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winslow\AppData\Local\Temp\B6Run\FY2023\"/>
    </mc:Choice>
  </mc:AlternateContent>
  <xr:revisionPtr revIDLastSave="0" documentId="13_ncr:1_{E073D166-7A77-4499-B59A-9DF8A5066CA8}" xr6:coauthVersionLast="45" xr6:coauthVersionMax="45" xr10:uidLastSave="{00000000-0000-0000-0000-000000000000}"/>
  <bookViews>
    <workbookView xWindow="4896" yWindow="1368" windowWidth="17280" windowHeight="8964" xr2:uid="{00000000-000D-0000-FFFF-FFFF00000000}"/>
  </bookViews>
  <sheets>
    <sheet name="AGAA|0001-00" sheetId="12" r:id="rId1"/>
    <sheet name="AGAA|0125-01" sheetId="13" r:id="rId2"/>
    <sheet name="AGAA|0125-02" sheetId="14" r:id="rId3"/>
    <sheet name="AGAB|0001-00" sheetId="15" r:id="rId4"/>
    <sheet name="AGAB|0332-06" sheetId="16" r:id="rId5"/>
    <sheet name="AGAB|0332-07" sheetId="17" r:id="rId6"/>
    <sheet name="AGAB|0332-09" sheetId="18" r:id="rId7"/>
    <sheet name="AGAC|0001-00" sheetId="19" r:id="rId8"/>
    <sheet name="AGAC|0332-05" sheetId="20" r:id="rId9"/>
    <sheet name="AGAC|0348-00" sheetId="21" r:id="rId10"/>
    <sheet name="AGAD|0001-00" sheetId="22" r:id="rId11"/>
    <sheet name="AGAD|0330-00" sheetId="23" r:id="rId12"/>
    <sheet name="AGAD|0330-13" sheetId="24" r:id="rId13"/>
    <sheet name="AGAD|0332-04" sheetId="25" r:id="rId14"/>
    <sheet name="AGAD|0332-08" sheetId="26" r:id="rId15"/>
    <sheet name="AGAE|0001-00" sheetId="27" r:id="rId16"/>
    <sheet name="AGAE|0330-12" sheetId="28" r:id="rId17"/>
    <sheet name="AGAE|0332-10" sheetId="29" r:id="rId18"/>
    <sheet name="AGAF|0001-00" sheetId="30" r:id="rId19"/>
    <sheet name="AGAF|0330-00" sheetId="31" r:id="rId20"/>
    <sheet name="AGAF|0490-00" sheetId="32" r:id="rId21"/>
    <sheet name="AGAH|0001-00" sheetId="33" r:id="rId22"/>
    <sheet name="AGAH|0332-03" sheetId="34" r:id="rId23"/>
    <sheet name="AGAL|0486-00" sheetId="35" r:id="rId24"/>
    <sheet name="AGAM|0348-00" sheetId="36" r:id="rId25"/>
    <sheet name="AGAM|0403-03" sheetId="37" r:id="rId26"/>
    <sheet name="AGAO|0330-00" sheetId="38" r:id="rId27"/>
    <sheet name="AGAO|0332-11" sheetId="39" r:id="rId28"/>
    <sheet name="AGAO|0332-12" sheetId="40" r:id="rId29"/>
    <sheet name="AGAO|0348-00" sheetId="41" r:id="rId30"/>
    <sheet name="AGAP|0348-00" sheetId="42" r:id="rId31"/>
    <sheet name="AGAP|0402-00" sheetId="43" r:id="rId32"/>
    <sheet name="Data" sheetId="5" r:id="rId33"/>
    <sheet name="Benefits" sheetId="7" r:id="rId34"/>
    <sheet name="B6" sheetId="9" r:id="rId35"/>
    <sheet name="Summary" sheetId="10" r:id="rId36"/>
    <sheet name="FundSummary" sheetId="11" r:id="rId37"/>
  </sheets>
  <definedNames>
    <definedName name="AdjGroupHlth" localSheetId="0">'AGAA|0001-00'!$H$39</definedName>
    <definedName name="AdjGroupHlth" localSheetId="1">'AGAA|0125-01'!$H$39</definedName>
    <definedName name="AdjGroupHlth" localSheetId="2">'AGAA|0125-02'!$H$39</definedName>
    <definedName name="AdjGroupHlth" localSheetId="3">'AGAB|0001-00'!$H$39</definedName>
    <definedName name="AdjGroupHlth" localSheetId="4">'AGAB|0332-06'!$H$39</definedName>
    <definedName name="AdjGroupHlth" localSheetId="5">'AGAB|0332-07'!$H$39</definedName>
    <definedName name="AdjGroupHlth" localSheetId="6">'AGAB|0332-09'!$H$39</definedName>
    <definedName name="AdjGroupHlth" localSheetId="7">'AGAC|0001-00'!$H$39</definedName>
    <definedName name="AdjGroupHlth" localSheetId="8">'AGAC|0332-05'!$H$39</definedName>
    <definedName name="AdjGroupHlth" localSheetId="9">'AGAC|0348-00'!$H$39</definedName>
    <definedName name="AdjGroupHlth" localSheetId="10">'AGAD|0001-00'!$H$39</definedName>
    <definedName name="AdjGroupHlth" localSheetId="11">'AGAD|0330-00'!$H$39</definedName>
    <definedName name="AdjGroupHlth" localSheetId="12">'AGAD|0330-13'!$H$39</definedName>
    <definedName name="AdjGroupHlth" localSheetId="13">'AGAD|0332-04'!$H$39</definedName>
    <definedName name="AdjGroupHlth" localSheetId="14">'AGAD|0332-08'!$H$39</definedName>
    <definedName name="AdjGroupHlth" localSheetId="15">'AGAE|0001-00'!$H$39</definedName>
    <definedName name="AdjGroupHlth" localSheetId="16">'AGAE|0330-12'!$H$39</definedName>
    <definedName name="AdjGroupHlth" localSheetId="17">'AGAE|0332-10'!$H$39</definedName>
    <definedName name="AdjGroupHlth" localSheetId="18">'AGAF|0001-00'!$H$39</definedName>
    <definedName name="AdjGroupHlth" localSheetId="19">'AGAF|0330-00'!$H$39</definedName>
    <definedName name="AdjGroupHlth" localSheetId="20">'AGAF|0490-00'!$H$39</definedName>
    <definedName name="AdjGroupHlth" localSheetId="21">'AGAH|0001-00'!$H$39</definedName>
    <definedName name="AdjGroupHlth" localSheetId="22">'AGAH|0332-03'!$H$39</definedName>
    <definedName name="AdjGroupHlth" localSheetId="23">'AGAL|0486-00'!$H$39</definedName>
    <definedName name="AdjGroupHlth" localSheetId="24">'AGAM|0348-00'!$H$39</definedName>
    <definedName name="AdjGroupHlth" localSheetId="25">'AGAM|0403-03'!$H$39</definedName>
    <definedName name="AdjGroupHlth" localSheetId="26">'AGAO|0330-00'!$H$39</definedName>
    <definedName name="AdjGroupHlth" localSheetId="27">'AGAO|0332-11'!$H$39</definedName>
    <definedName name="AdjGroupHlth" localSheetId="28">'AGAO|0332-12'!$H$39</definedName>
    <definedName name="AdjGroupHlth" localSheetId="29">'AGAO|0348-00'!$H$39</definedName>
    <definedName name="AdjGroupHlth" localSheetId="30">'AGAP|0348-00'!$H$39</definedName>
    <definedName name="AdjGroupHlth" localSheetId="31">'AGAP|0402-00'!$H$39</definedName>
    <definedName name="AdjGroupHlth">'B6'!$H$39</definedName>
    <definedName name="AdjGroupSalary" localSheetId="0">'AGAA|0001-00'!$G$39</definedName>
    <definedName name="AdjGroupSalary" localSheetId="1">'AGAA|0125-01'!$G$39</definedName>
    <definedName name="AdjGroupSalary" localSheetId="2">'AGAA|0125-02'!$G$39</definedName>
    <definedName name="AdjGroupSalary" localSheetId="3">'AGAB|0001-00'!$G$39</definedName>
    <definedName name="AdjGroupSalary" localSheetId="4">'AGAB|0332-06'!$G$39</definedName>
    <definedName name="AdjGroupSalary" localSheetId="5">'AGAB|0332-07'!$G$39</definedName>
    <definedName name="AdjGroupSalary" localSheetId="6">'AGAB|0332-09'!$G$39</definedName>
    <definedName name="AdjGroupSalary" localSheetId="7">'AGAC|0001-00'!$G$39</definedName>
    <definedName name="AdjGroupSalary" localSheetId="8">'AGAC|0332-05'!$G$39</definedName>
    <definedName name="AdjGroupSalary" localSheetId="9">'AGAC|0348-00'!$G$39</definedName>
    <definedName name="AdjGroupSalary" localSheetId="10">'AGAD|0001-00'!$G$39</definedName>
    <definedName name="AdjGroupSalary" localSheetId="11">'AGAD|0330-00'!$G$39</definedName>
    <definedName name="AdjGroupSalary" localSheetId="12">'AGAD|0330-13'!$G$39</definedName>
    <definedName name="AdjGroupSalary" localSheetId="13">'AGAD|0332-04'!$G$39</definedName>
    <definedName name="AdjGroupSalary" localSheetId="14">'AGAD|0332-08'!$G$39</definedName>
    <definedName name="AdjGroupSalary" localSheetId="15">'AGAE|0001-00'!$G$39</definedName>
    <definedName name="AdjGroupSalary" localSheetId="16">'AGAE|0330-12'!$G$39</definedName>
    <definedName name="AdjGroupSalary" localSheetId="17">'AGAE|0332-10'!$G$39</definedName>
    <definedName name="AdjGroupSalary" localSheetId="18">'AGAF|0001-00'!$G$39</definedName>
    <definedName name="AdjGroupSalary" localSheetId="19">'AGAF|0330-00'!$G$39</definedName>
    <definedName name="AdjGroupSalary" localSheetId="20">'AGAF|0490-00'!$G$39</definedName>
    <definedName name="AdjGroupSalary" localSheetId="21">'AGAH|0001-00'!$G$39</definedName>
    <definedName name="AdjGroupSalary" localSheetId="22">'AGAH|0332-03'!$G$39</definedName>
    <definedName name="AdjGroupSalary" localSheetId="23">'AGAL|0486-00'!$G$39</definedName>
    <definedName name="AdjGroupSalary" localSheetId="24">'AGAM|0348-00'!$G$39</definedName>
    <definedName name="AdjGroupSalary" localSheetId="25">'AGAM|0403-03'!$G$39</definedName>
    <definedName name="AdjGroupSalary" localSheetId="26">'AGAO|0330-00'!$G$39</definedName>
    <definedName name="AdjGroupSalary" localSheetId="27">'AGAO|0332-11'!$G$39</definedName>
    <definedName name="AdjGroupSalary" localSheetId="28">'AGAO|0332-12'!$G$39</definedName>
    <definedName name="AdjGroupSalary" localSheetId="29">'AGAO|0348-00'!$G$39</definedName>
    <definedName name="AdjGroupSalary" localSheetId="30">'AGAP|0348-00'!$G$39</definedName>
    <definedName name="AdjGroupSalary" localSheetId="31">'AGAP|0402-00'!$G$39</definedName>
    <definedName name="AdjGroupSalary">'B6'!$G$39</definedName>
    <definedName name="AdjGroupVB" localSheetId="0">'AGAA|0001-00'!$I$39</definedName>
    <definedName name="AdjGroupVB" localSheetId="1">'AGAA|0125-01'!$I$39</definedName>
    <definedName name="AdjGroupVB" localSheetId="2">'AGAA|0125-02'!$I$39</definedName>
    <definedName name="AdjGroupVB" localSheetId="3">'AGAB|0001-00'!$I$39</definedName>
    <definedName name="AdjGroupVB" localSheetId="4">'AGAB|0332-06'!$I$39</definedName>
    <definedName name="AdjGroupVB" localSheetId="5">'AGAB|0332-07'!$I$39</definedName>
    <definedName name="AdjGroupVB" localSheetId="6">'AGAB|0332-09'!$I$39</definedName>
    <definedName name="AdjGroupVB" localSheetId="7">'AGAC|0001-00'!$I$39</definedName>
    <definedName name="AdjGroupVB" localSheetId="8">'AGAC|0332-05'!$I$39</definedName>
    <definedName name="AdjGroupVB" localSheetId="9">'AGAC|0348-00'!$I$39</definedName>
    <definedName name="AdjGroupVB" localSheetId="10">'AGAD|0001-00'!$I$39</definedName>
    <definedName name="AdjGroupVB" localSheetId="11">'AGAD|0330-00'!$I$39</definedName>
    <definedName name="AdjGroupVB" localSheetId="12">'AGAD|0330-13'!$I$39</definedName>
    <definedName name="AdjGroupVB" localSheetId="13">'AGAD|0332-04'!$I$39</definedName>
    <definedName name="AdjGroupVB" localSheetId="14">'AGAD|0332-08'!$I$39</definedName>
    <definedName name="AdjGroupVB" localSheetId="15">'AGAE|0001-00'!$I$39</definedName>
    <definedName name="AdjGroupVB" localSheetId="16">'AGAE|0330-12'!$I$39</definedName>
    <definedName name="AdjGroupVB" localSheetId="17">'AGAE|0332-10'!$I$39</definedName>
    <definedName name="AdjGroupVB" localSheetId="18">'AGAF|0001-00'!$I$39</definedName>
    <definedName name="AdjGroupVB" localSheetId="19">'AGAF|0330-00'!$I$39</definedName>
    <definedName name="AdjGroupVB" localSheetId="20">'AGAF|0490-00'!$I$39</definedName>
    <definedName name="AdjGroupVB" localSheetId="21">'AGAH|0001-00'!$I$39</definedName>
    <definedName name="AdjGroupVB" localSheetId="22">'AGAH|0332-03'!$I$39</definedName>
    <definedName name="AdjGroupVB" localSheetId="23">'AGAL|0486-00'!$I$39</definedName>
    <definedName name="AdjGroupVB" localSheetId="24">'AGAM|0348-00'!$I$39</definedName>
    <definedName name="AdjGroupVB" localSheetId="25">'AGAM|0403-03'!$I$39</definedName>
    <definedName name="AdjGroupVB" localSheetId="26">'AGAO|0330-00'!$I$39</definedName>
    <definedName name="AdjGroupVB" localSheetId="27">'AGAO|0332-11'!$I$39</definedName>
    <definedName name="AdjGroupVB" localSheetId="28">'AGAO|0332-12'!$I$39</definedName>
    <definedName name="AdjGroupVB" localSheetId="29">'AGAO|0348-00'!$I$39</definedName>
    <definedName name="AdjGroupVB" localSheetId="30">'AGAP|0348-00'!$I$39</definedName>
    <definedName name="AdjGroupVB" localSheetId="31">'AGAP|0402-00'!$I$39</definedName>
    <definedName name="AdjGroupVB">'B6'!$I$39</definedName>
    <definedName name="AdjGroupVBBY" localSheetId="0">'AGAA|0001-00'!$M$39</definedName>
    <definedName name="AdjGroupVBBY" localSheetId="1">'AGAA|0125-01'!$M$39</definedName>
    <definedName name="AdjGroupVBBY" localSheetId="2">'AGAA|0125-02'!$M$39</definedName>
    <definedName name="AdjGroupVBBY" localSheetId="3">'AGAB|0001-00'!$M$39</definedName>
    <definedName name="AdjGroupVBBY" localSheetId="4">'AGAB|0332-06'!$M$39</definedName>
    <definedName name="AdjGroupVBBY" localSheetId="5">'AGAB|0332-07'!$M$39</definedName>
    <definedName name="AdjGroupVBBY" localSheetId="6">'AGAB|0332-09'!$M$39</definedName>
    <definedName name="AdjGroupVBBY" localSheetId="7">'AGAC|0001-00'!$M$39</definedName>
    <definedName name="AdjGroupVBBY" localSheetId="8">'AGAC|0332-05'!$M$39</definedName>
    <definedName name="AdjGroupVBBY" localSheetId="9">'AGAC|0348-00'!$M$39</definedName>
    <definedName name="AdjGroupVBBY" localSheetId="10">'AGAD|0001-00'!$M$39</definedName>
    <definedName name="AdjGroupVBBY" localSheetId="11">'AGAD|0330-00'!$M$39</definedName>
    <definedName name="AdjGroupVBBY" localSheetId="12">'AGAD|0330-13'!$M$39</definedName>
    <definedName name="AdjGroupVBBY" localSheetId="13">'AGAD|0332-04'!$M$39</definedName>
    <definedName name="AdjGroupVBBY" localSheetId="14">'AGAD|0332-08'!$M$39</definedName>
    <definedName name="AdjGroupVBBY" localSheetId="15">'AGAE|0001-00'!$M$39</definedName>
    <definedName name="AdjGroupVBBY" localSheetId="16">'AGAE|0330-12'!$M$39</definedName>
    <definedName name="AdjGroupVBBY" localSheetId="17">'AGAE|0332-10'!$M$39</definedName>
    <definedName name="AdjGroupVBBY" localSheetId="18">'AGAF|0001-00'!$M$39</definedName>
    <definedName name="AdjGroupVBBY" localSheetId="19">'AGAF|0330-00'!$M$39</definedName>
    <definedName name="AdjGroupVBBY" localSheetId="20">'AGAF|0490-00'!$M$39</definedName>
    <definedName name="AdjGroupVBBY" localSheetId="21">'AGAH|0001-00'!$M$39</definedName>
    <definedName name="AdjGroupVBBY" localSheetId="22">'AGAH|0332-03'!$M$39</definedName>
    <definedName name="AdjGroupVBBY" localSheetId="23">'AGAL|0486-00'!$M$39</definedName>
    <definedName name="AdjGroupVBBY" localSheetId="24">'AGAM|0348-00'!$M$39</definedName>
    <definedName name="AdjGroupVBBY" localSheetId="25">'AGAM|0403-03'!$M$39</definedName>
    <definedName name="AdjGroupVBBY" localSheetId="26">'AGAO|0330-00'!$M$39</definedName>
    <definedName name="AdjGroupVBBY" localSheetId="27">'AGAO|0332-11'!$M$39</definedName>
    <definedName name="AdjGroupVBBY" localSheetId="28">'AGAO|0332-12'!$M$39</definedName>
    <definedName name="AdjGroupVBBY" localSheetId="29">'AGAO|0348-00'!$M$39</definedName>
    <definedName name="AdjGroupVBBY" localSheetId="30">'AGAP|0348-00'!$M$39</definedName>
    <definedName name="AdjGroupVBBY" localSheetId="31">'AGAP|0402-00'!$M$39</definedName>
    <definedName name="AdjGroupVBBY">'B6'!$M$39</definedName>
    <definedName name="AdjPermHlth" localSheetId="0">'AGAA|0001-00'!$H$38</definedName>
    <definedName name="AdjPermHlth" localSheetId="1">'AGAA|0125-01'!$H$38</definedName>
    <definedName name="AdjPermHlth" localSheetId="2">'AGAA|0125-02'!$H$38</definedName>
    <definedName name="AdjPermHlth" localSheetId="3">'AGAB|0001-00'!$H$38</definedName>
    <definedName name="AdjPermHlth" localSheetId="4">'AGAB|0332-06'!$H$38</definedName>
    <definedName name="AdjPermHlth" localSheetId="5">'AGAB|0332-07'!$H$38</definedName>
    <definedName name="AdjPermHlth" localSheetId="6">'AGAB|0332-09'!$H$38</definedName>
    <definedName name="AdjPermHlth" localSheetId="7">'AGAC|0001-00'!$H$38</definedName>
    <definedName name="AdjPermHlth" localSheetId="8">'AGAC|0332-05'!$H$38</definedName>
    <definedName name="AdjPermHlth" localSheetId="9">'AGAC|0348-00'!$H$38</definedName>
    <definedName name="AdjPermHlth" localSheetId="10">'AGAD|0001-00'!$H$38</definedName>
    <definedName name="AdjPermHlth" localSheetId="11">'AGAD|0330-00'!$H$38</definedName>
    <definedName name="AdjPermHlth" localSheetId="12">'AGAD|0330-13'!$H$38</definedName>
    <definedName name="AdjPermHlth" localSheetId="13">'AGAD|0332-04'!$H$38</definedName>
    <definedName name="AdjPermHlth" localSheetId="14">'AGAD|0332-08'!$H$38</definedName>
    <definedName name="AdjPermHlth" localSheetId="15">'AGAE|0001-00'!$H$38</definedName>
    <definedName name="AdjPermHlth" localSheetId="16">'AGAE|0330-12'!$H$38</definedName>
    <definedName name="AdjPermHlth" localSheetId="17">'AGAE|0332-10'!$H$38</definedName>
    <definedName name="AdjPermHlth" localSheetId="18">'AGAF|0001-00'!$H$38</definedName>
    <definedName name="AdjPermHlth" localSheetId="19">'AGAF|0330-00'!$H$38</definedName>
    <definedName name="AdjPermHlth" localSheetId="20">'AGAF|0490-00'!$H$38</definedName>
    <definedName name="AdjPermHlth" localSheetId="21">'AGAH|0001-00'!$H$38</definedName>
    <definedName name="AdjPermHlth" localSheetId="22">'AGAH|0332-03'!$H$38</definedName>
    <definedName name="AdjPermHlth" localSheetId="23">'AGAL|0486-00'!$H$38</definedName>
    <definedName name="AdjPermHlth" localSheetId="24">'AGAM|0348-00'!$H$38</definedName>
    <definedName name="AdjPermHlth" localSheetId="25">'AGAM|0403-03'!$H$38</definedName>
    <definedName name="AdjPermHlth" localSheetId="26">'AGAO|0330-00'!$H$38</definedName>
    <definedName name="AdjPermHlth" localSheetId="27">'AGAO|0332-11'!$H$38</definedName>
    <definedName name="AdjPermHlth" localSheetId="28">'AGAO|0332-12'!$H$38</definedName>
    <definedName name="AdjPermHlth" localSheetId="29">'AGAO|0348-00'!$H$38</definedName>
    <definedName name="AdjPermHlth" localSheetId="30">'AGAP|0348-00'!$H$38</definedName>
    <definedName name="AdjPermHlth" localSheetId="31">'AGAP|0402-00'!$H$38</definedName>
    <definedName name="AdjPermHlth">'B6'!$H$38</definedName>
    <definedName name="AdjPermHlthBY" localSheetId="0">'AGAA|0001-00'!$L$38</definedName>
    <definedName name="AdjPermHlthBY" localSheetId="1">'AGAA|0125-01'!$L$38</definedName>
    <definedName name="AdjPermHlthBY" localSheetId="2">'AGAA|0125-02'!$L$38</definedName>
    <definedName name="AdjPermHlthBY" localSheetId="3">'AGAB|0001-00'!$L$38</definedName>
    <definedName name="AdjPermHlthBY" localSheetId="4">'AGAB|0332-06'!$L$38</definedName>
    <definedName name="AdjPermHlthBY" localSheetId="5">'AGAB|0332-07'!$L$38</definedName>
    <definedName name="AdjPermHlthBY" localSheetId="6">'AGAB|0332-09'!$L$38</definedName>
    <definedName name="AdjPermHlthBY" localSheetId="7">'AGAC|0001-00'!$L$38</definedName>
    <definedName name="AdjPermHlthBY" localSheetId="8">'AGAC|0332-05'!$L$38</definedName>
    <definedName name="AdjPermHlthBY" localSheetId="9">'AGAC|0348-00'!$L$38</definedName>
    <definedName name="AdjPermHlthBY" localSheetId="10">'AGAD|0001-00'!$L$38</definedName>
    <definedName name="AdjPermHlthBY" localSheetId="11">'AGAD|0330-00'!$L$38</definedName>
    <definedName name="AdjPermHlthBY" localSheetId="12">'AGAD|0330-13'!$L$38</definedName>
    <definedName name="AdjPermHlthBY" localSheetId="13">'AGAD|0332-04'!$L$38</definedName>
    <definedName name="AdjPermHlthBY" localSheetId="14">'AGAD|0332-08'!$L$38</definedName>
    <definedName name="AdjPermHlthBY" localSheetId="15">'AGAE|0001-00'!$L$38</definedName>
    <definedName name="AdjPermHlthBY" localSheetId="16">'AGAE|0330-12'!$L$38</definedName>
    <definedName name="AdjPermHlthBY" localSheetId="17">'AGAE|0332-10'!$L$38</definedName>
    <definedName name="AdjPermHlthBY" localSheetId="18">'AGAF|0001-00'!$L$38</definedName>
    <definedName name="AdjPermHlthBY" localSheetId="19">'AGAF|0330-00'!$L$38</definedName>
    <definedName name="AdjPermHlthBY" localSheetId="20">'AGAF|0490-00'!$L$38</definedName>
    <definedName name="AdjPermHlthBY" localSheetId="21">'AGAH|0001-00'!$L$38</definedName>
    <definedName name="AdjPermHlthBY" localSheetId="22">'AGAH|0332-03'!$L$38</definedName>
    <definedName name="AdjPermHlthBY" localSheetId="23">'AGAL|0486-00'!$L$38</definedName>
    <definedName name="AdjPermHlthBY" localSheetId="24">'AGAM|0348-00'!$L$38</definedName>
    <definedName name="AdjPermHlthBY" localSheetId="25">'AGAM|0403-03'!$L$38</definedName>
    <definedName name="AdjPermHlthBY" localSheetId="26">'AGAO|0330-00'!$L$38</definedName>
    <definedName name="AdjPermHlthBY" localSheetId="27">'AGAO|0332-11'!$L$38</definedName>
    <definedName name="AdjPermHlthBY" localSheetId="28">'AGAO|0332-12'!$L$38</definedName>
    <definedName name="AdjPermHlthBY" localSheetId="29">'AGAO|0348-00'!$L$38</definedName>
    <definedName name="AdjPermHlthBY" localSheetId="30">'AGAP|0348-00'!$L$38</definedName>
    <definedName name="AdjPermHlthBY" localSheetId="31">'AGAP|0402-00'!$L$38</definedName>
    <definedName name="AdjPermHlthBY">'B6'!$L$38</definedName>
    <definedName name="AdjPermSalary" localSheetId="0">'AGAA|0001-00'!$G$38</definedName>
    <definedName name="AdjPermSalary" localSheetId="1">'AGAA|0125-01'!$G$38</definedName>
    <definedName name="AdjPermSalary" localSheetId="2">'AGAA|0125-02'!$G$38</definedName>
    <definedName name="AdjPermSalary" localSheetId="3">'AGAB|0001-00'!$G$38</definedName>
    <definedName name="AdjPermSalary" localSheetId="4">'AGAB|0332-06'!$G$38</definedName>
    <definedName name="AdjPermSalary" localSheetId="5">'AGAB|0332-07'!$G$38</definedName>
    <definedName name="AdjPermSalary" localSheetId="6">'AGAB|0332-09'!$G$38</definedName>
    <definedName name="AdjPermSalary" localSheetId="7">'AGAC|0001-00'!$G$38</definedName>
    <definedName name="AdjPermSalary" localSheetId="8">'AGAC|0332-05'!$G$38</definedName>
    <definedName name="AdjPermSalary" localSheetId="9">'AGAC|0348-00'!$G$38</definedName>
    <definedName name="AdjPermSalary" localSheetId="10">'AGAD|0001-00'!$G$38</definedName>
    <definedName name="AdjPermSalary" localSheetId="11">'AGAD|0330-00'!$G$38</definedName>
    <definedName name="AdjPermSalary" localSheetId="12">'AGAD|0330-13'!$G$38</definedName>
    <definedName name="AdjPermSalary" localSheetId="13">'AGAD|0332-04'!$G$38</definedName>
    <definedName name="AdjPermSalary" localSheetId="14">'AGAD|0332-08'!$G$38</definedName>
    <definedName name="AdjPermSalary" localSheetId="15">'AGAE|0001-00'!$G$38</definedName>
    <definedName name="AdjPermSalary" localSheetId="16">'AGAE|0330-12'!$G$38</definedName>
    <definedName name="AdjPermSalary" localSheetId="17">'AGAE|0332-10'!$G$38</definedName>
    <definedName name="AdjPermSalary" localSheetId="18">'AGAF|0001-00'!$G$38</definedName>
    <definedName name="AdjPermSalary" localSheetId="19">'AGAF|0330-00'!$G$38</definedName>
    <definedName name="AdjPermSalary" localSheetId="20">'AGAF|0490-00'!$G$38</definedName>
    <definedName name="AdjPermSalary" localSheetId="21">'AGAH|0001-00'!$G$38</definedName>
    <definedName name="AdjPermSalary" localSheetId="22">'AGAH|0332-03'!$G$38</definedName>
    <definedName name="AdjPermSalary" localSheetId="23">'AGAL|0486-00'!$G$38</definedName>
    <definedName name="AdjPermSalary" localSheetId="24">'AGAM|0348-00'!$G$38</definedName>
    <definedName name="AdjPermSalary" localSheetId="25">'AGAM|0403-03'!$G$38</definedName>
    <definedName name="AdjPermSalary" localSheetId="26">'AGAO|0330-00'!$G$38</definedName>
    <definedName name="AdjPermSalary" localSheetId="27">'AGAO|0332-11'!$G$38</definedName>
    <definedName name="AdjPermSalary" localSheetId="28">'AGAO|0332-12'!$G$38</definedName>
    <definedName name="AdjPermSalary" localSheetId="29">'AGAO|0348-00'!$G$38</definedName>
    <definedName name="AdjPermSalary" localSheetId="30">'AGAP|0348-00'!$G$38</definedName>
    <definedName name="AdjPermSalary" localSheetId="31">'AGAP|0402-00'!$G$38</definedName>
    <definedName name="AdjPermSalary">'B6'!$G$38</definedName>
    <definedName name="AdjPermVB" localSheetId="0">'AGAA|0001-00'!$I$38</definedName>
    <definedName name="AdjPermVB" localSheetId="1">'AGAA|0125-01'!$I$38</definedName>
    <definedName name="AdjPermVB" localSheetId="2">'AGAA|0125-02'!$I$38</definedName>
    <definedName name="AdjPermVB" localSheetId="3">'AGAB|0001-00'!$I$38</definedName>
    <definedName name="AdjPermVB" localSheetId="4">'AGAB|0332-06'!$I$38</definedName>
    <definedName name="AdjPermVB" localSheetId="5">'AGAB|0332-07'!$I$38</definedName>
    <definedName name="AdjPermVB" localSheetId="6">'AGAB|0332-09'!$I$38</definedName>
    <definedName name="AdjPermVB" localSheetId="7">'AGAC|0001-00'!$I$38</definedName>
    <definedName name="AdjPermVB" localSheetId="8">'AGAC|0332-05'!$I$38</definedName>
    <definedName name="AdjPermVB" localSheetId="9">'AGAC|0348-00'!$I$38</definedName>
    <definedName name="AdjPermVB" localSheetId="10">'AGAD|0001-00'!$I$38</definedName>
    <definedName name="AdjPermVB" localSheetId="11">'AGAD|0330-00'!$I$38</definedName>
    <definedName name="AdjPermVB" localSheetId="12">'AGAD|0330-13'!$I$38</definedName>
    <definedName name="AdjPermVB" localSheetId="13">'AGAD|0332-04'!$I$38</definedName>
    <definedName name="AdjPermVB" localSheetId="14">'AGAD|0332-08'!$I$38</definedName>
    <definedName name="AdjPermVB" localSheetId="15">'AGAE|0001-00'!$I$38</definedName>
    <definedName name="AdjPermVB" localSheetId="16">'AGAE|0330-12'!$I$38</definedName>
    <definedName name="AdjPermVB" localSheetId="17">'AGAE|0332-10'!$I$38</definedName>
    <definedName name="AdjPermVB" localSheetId="18">'AGAF|0001-00'!$I$38</definedName>
    <definedName name="AdjPermVB" localSheetId="19">'AGAF|0330-00'!$I$38</definedName>
    <definedName name="AdjPermVB" localSheetId="20">'AGAF|0490-00'!$I$38</definedName>
    <definedName name="AdjPermVB" localSheetId="21">'AGAH|0001-00'!$I$38</definedName>
    <definedName name="AdjPermVB" localSheetId="22">'AGAH|0332-03'!$I$38</definedName>
    <definedName name="AdjPermVB" localSheetId="23">'AGAL|0486-00'!$I$38</definedName>
    <definedName name="AdjPermVB" localSheetId="24">'AGAM|0348-00'!$I$38</definedName>
    <definedName name="AdjPermVB" localSheetId="25">'AGAM|0403-03'!$I$38</definedName>
    <definedName name="AdjPermVB" localSheetId="26">'AGAO|0330-00'!$I$38</definedName>
    <definedName name="AdjPermVB" localSheetId="27">'AGAO|0332-11'!$I$38</definedName>
    <definedName name="AdjPermVB" localSheetId="28">'AGAO|0332-12'!$I$38</definedName>
    <definedName name="AdjPermVB" localSheetId="29">'AGAO|0348-00'!$I$38</definedName>
    <definedName name="AdjPermVB" localSheetId="30">'AGAP|0348-00'!$I$38</definedName>
    <definedName name="AdjPermVB" localSheetId="31">'AGAP|0402-00'!$I$38</definedName>
    <definedName name="AdjPermVB">'B6'!$I$38</definedName>
    <definedName name="AdjPermVBBY" localSheetId="0">'AGAA|0001-00'!$M$38</definedName>
    <definedName name="AdjPermVBBY" localSheetId="1">'AGAA|0125-01'!$M$38</definedName>
    <definedName name="AdjPermVBBY" localSheetId="2">'AGAA|0125-02'!$M$38</definedName>
    <definedName name="AdjPermVBBY" localSheetId="3">'AGAB|0001-00'!$M$38</definedName>
    <definedName name="AdjPermVBBY" localSheetId="4">'AGAB|0332-06'!$M$38</definedName>
    <definedName name="AdjPermVBBY" localSheetId="5">'AGAB|0332-07'!$M$38</definedName>
    <definedName name="AdjPermVBBY" localSheetId="6">'AGAB|0332-09'!$M$38</definedName>
    <definedName name="AdjPermVBBY" localSheetId="7">'AGAC|0001-00'!$M$38</definedName>
    <definedName name="AdjPermVBBY" localSheetId="8">'AGAC|0332-05'!$M$38</definedName>
    <definedName name="AdjPermVBBY" localSheetId="9">'AGAC|0348-00'!$M$38</definedName>
    <definedName name="AdjPermVBBY" localSheetId="10">'AGAD|0001-00'!$M$38</definedName>
    <definedName name="AdjPermVBBY" localSheetId="11">'AGAD|0330-00'!$M$38</definedName>
    <definedName name="AdjPermVBBY" localSheetId="12">'AGAD|0330-13'!$M$38</definedName>
    <definedName name="AdjPermVBBY" localSheetId="13">'AGAD|0332-04'!$M$38</definedName>
    <definedName name="AdjPermVBBY" localSheetId="14">'AGAD|0332-08'!$M$38</definedName>
    <definedName name="AdjPermVBBY" localSheetId="15">'AGAE|0001-00'!$M$38</definedName>
    <definedName name="AdjPermVBBY" localSheetId="16">'AGAE|0330-12'!$M$38</definedName>
    <definedName name="AdjPermVBBY" localSheetId="17">'AGAE|0332-10'!$M$38</definedName>
    <definedName name="AdjPermVBBY" localSheetId="18">'AGAF|0001-00'!$M$38</definedName>
    <definedName name="AdjPermVBBY" localSheetId="19">'AGAF|0330-00'!$M$38</definedName>
    <definedName name="AdjPermVBBY" localSheetId="20">'AGAF|0490-00'!$M$38</definedName>
    <definedName name="AdjPermVBBY" localSheetId="21">'AGAH|0001-00'!$M$38</definedName>
    <definedName name="AdjPermVBBY" localSheetId="22">'AGAH|0332-03'!$M$38</definedName>
    <definedName name="AdjPermVBBY" localSheetId="23">'AGAL|0486-00'!$M$38</definedName>
    <definedName name="AdjPermVBBY" localSheetId="24">'AGAM|0348-00'!$M$38</definedName>
    <definedName name="AdjPermVBBY" localSheetId="25">'AGAM|0403-03'!$M$38</definedName>
    <definedName name="AdjPermVBBY" localSheetId="26">'AGAO|0330-00'!$M$38</definedName>
    <definedName name="AdjPermVBBY" localSheetId="27">'AGAO|0332-11'!$M$38</definedName>
    <definedName name="AdjPermVBBY" localSheetId="28">'AGAO|0332-12'!$M$38</definedName>
    <definedName name="AdjPermVBBY" localSheetId="29">'AGAO|0348-00'!$M$38</definedName>
    <definedName name="AdjPermVBBY" localSheetId="30">'AGAP|0348-00'!$M$38</definedName>
    <definedName name="AdjPermVBBY" localSheetId="31">'AGAP|0402-00'!$M$38</definedName>
    <definedName name="AdjPermVBBY">'B6'!$M$38</definedName>
    <definedName name="AdjustedTotal" localSheetId="0">'AGAA|0001-00'!$J$16</definedName>
    <definedName name="AdjustedTotal" localSheetId="1">'AGAA|0125-01'!$J$16</definedName>
    <definedName name="AdjustedTotal" localSheetId="2">'AGAA|0125-02'!$J$16</definedName>
    <definedName name="AdjustedTotal" localSheetId="3">'AGAB|0001-00'!$J$16</definedName>
    <definedName name="AdjustedTotal" localSheetId="4">'AGAB|0332-06'!$J$16</definedName>
    <definedName name="AdjustedTotal" localSheetId="5">'AGAB|0332-07'!$J$16</definedName>
    <definedName name="AdjustedTotal" localSheetId="6">'AGAB|0332-09'!$J$16</definedName>
    <definedName name="AdjustedTotal" localSheetId="7">'AGAC|0001-00'!$J$16</definedName>
    <definedName name="AdjustedTotal" localSheetId="8">'AGAC|0332-05'!$J$16</definedName>
    <definedName name="AdjustedTotal" localSheetId="9">'AGAC|0348-00'!$J$16</definedName>
    <definedName name="AdjustedTotal" localSheetId="10">'AGAD|0001-00'!$J$16</definedName>
    <definedName name="AdjustedTotal" localSheetId="11">'AGAD|0330-00'!$J$16</definedName>
    <definedName name="AdjustedTotal" localSheetId="12">'AGAD|0330-13'!$J$16</definedName>
    <definedName name="AdjustedTotal" localSheetId="13">'AGAD|0332-04'!$J$16</definedName>
    <definedName name="AdjustedTotal" localSheetId="14">'AGAD|0332-08'!$J$16</definedName>
    <definedName name="AdjustedTotal" localSheetId="15">'AGAE|0001-00'!$J$16</definedName>
    <definedName name="AdjustedTotal" localSheetId="16">'AGAE|0330-12'!$J$16</definedName>
    <definedName name="AdjustedTotal" localSheetId="17">'AGAE|0332-10'!$J$16</definedName>
    <definedName name="AdjustedTotal" localSheetId="18">'AGAF|0001-00'!$J$16</definedName>
    <definedName name="AdjustedTotal" localSheetId="19">'AGAF|0330-00'!$J$16</definedName>
    <definedName name="AdjustedTotal" localSheetId="20">'AGAF|0490-00'!$J$16</definedName>
    <definedName name="AdjustedTotal" localSheetId="21">'AGAH|0001-00'!$J$16</definedName>
    <definedName name="AdjustedTotal" localSheetId="22">'AGAH|0332-03'!$J$16</definedName>
    <definedName name="AdjustedTotal" localSheetId="23">'AGAL|0486-00'!$J$16</definedName>
    <definedName name="AdjustedTotal" localSheetId="24">'AGAM|0348-00'!$J$16</definedName>
    <definedName name="AdjustedTotal" localSheetId="25">'AGAM|0403-03'!$J$16</definedName>
    <definedName name="AdjustedTotal" localSheetId="26">'AGAO|0330-00'!$J$16</definedName>
    <definedName name="AdjustedTotal" localSheetId="27">'AGAO|0332-11'!$J$16</definedName>
    <definedName name="AdjustedTotal" localSheetId="28">'AGAO|0332-12'!$J$16</definedName>
    <definedName name="AdjustedTotal" localSheetId="29">'AGAO|0348-00'!$J$16</definedName>
    <definedName name="AdjustedTotal" localSheetId="30">'AGAP|0348-00'!$J$16</definedName>
    <definedName name="AdjustedTotal" localSheetId="31">'AGAP|0402-00'!$J$16</definedName>
    <definedName name="AdjustedTotal">'B6'!$J$16</definedName>
    <definedName name="AGAA000100col_1_27TH_PP">Data!$BA$702</definedName>
    <definedName name="AGAA000100col_DHR">Data!$BI$702</definedName>
    <definedName name="AGAA000100col_DHR_BY">Data!$BU$702</definedName>
    <definedName name="AGAA000100col_DHR_CHG">Data!$CG$702</definedName>
    <definedName name="AGAA000100col_FTI_SALARY_ELECT">Data!$AZ$702</definedName>
    <definedName name="AGAA000100col_FTI_SALARY_PERM">Data!$AY$702</definedName>
    <definedName name="AGAA000100col_FTI_SALARY_SSDI">Data!$AX$702</definedName>
    <definedName name="AGAA000100col_Group_Ben">Data!$CM$702</definedName>
    <definedName name="AGAA000100col_Group_Salary">Data!$CL$702</definedName>
    <definedName name="AGAA000100col_HEALTH_ELECT">Data!$BC$702</definedName>
    <definedName name="AGAA000100col_HEALTH_ELECT_BY">Data!$BO$702</definedName>
    <definedName name="AGAA000100col_HEALTH_ELECT_CHG">Data!$CA$702</definedName>
    <definedName name="AGAA000100col_HEALTH_PERM">Data!$BB$702</definedName>
    <definedName name="AGAA000100col_HEALTH_PERM_BY">Data!$BN$702</definedName>
    <definedName name="AGAA000100col_HEALTH_PERM_CHG">Data!$BZ$702</definedName>
    <definedName name="AGAA000100col_INC_FTI">Data!$AS$702</definedName>
    <definedName name="AGAA000100col_LIFE_INS">Data!$BG$702</definedName>
    <definedName name="AGAA000100col_LIFE_INS_BY">Data!$BS$702</definedName>
    <definedName name="AGAA000100col_LIFE_INS_CHG">Data!$CE$702</definedName>
    <definedName name="AGAA000100col_RETIREMENT">Data!$BF$702</definedName>
    <definedName name="AGAA000100col_RETIREMENT_BY">Data!$BR$702</definedName>
    <definedName name="AGAA000100col_RETIREMENT_CHG">Data!$CD$702</definedName>
    <definedName name="AGAA000100col_ROWS_PER_PCN">Data!$AW$702</definedName>
    <definedName name="AGAA000100col_SICK">Data!$BK$702</definedName>
    <definedName name="AGAA000100col_SICK_BY">Data!$BW$702</definedName>
    <definedName name="AGAA000100col_SICK_CHG">Data!$CI$702</definedName>
    <definedName name="AGAA000100col_SSDI">Data!$BD$702</definedName>
    <definedName name="AGAA000100col_SSDI_BY">Data!$BP$702</definedName>
    <definedName name="AGAA000100col_SSDI_CHG">Data!$CB$702</definedName>
    <definedName name="AGAA000100col_SSHI">Data!$BE$702</definedName>
    <definedName name="AGAA000100col_SSHI_BY">Data!$BQ$702</definedName>
    <definedName name="AGAA000100col_SSHI_CHGv">Data!$CC$702</definedName>
    <definedName name="AGAA000100col_TOT_VB_ELECT">Data!$BM$702</definedName>
    <definedName name="AGAA000100col_TOT_VB_ELECT_BY">Data!$BY$702</definedName>
    <definedName name="AGAA000100col_TOT_VB_ELECT_CHG">Data!$CK$702</definedName>
    <definedName name="AGAA000100col_TOT_VB_PERM">Data!$BL$702</definedName>
    <definedName name="AGAA000100col_TOT_VB_PERM_BY">Data!$BX$702</definedName>
    <definedName name="AGAA000100col_TOT_VB_PERM_CHG">Data!$CJ$702</definedName>
    <definedName name="AGAA000100col_TOTAL_ELECT_PCN_FTI">Data!$AT$702</definedName>
    <definedName name="AGAA000100col_TOTAL_ELECT_PCN_FTI_ALT">Data!$AV$702</definedName>
    <definedName name="AGAA000100col_TOTAL_PERM_PCN_FTI">Data!$AU$702</definedName>
    <definedName name="AGAA000100col_UNEMP_INS">Data!$BH$702</definedName>
    <definedName name="AGAA000100col_UNEMP_INS_BY">Data!$BT$702</definedName>
    <definedName name="AGAA000100col_UNEMP_INS_CHG">Data!$CF$702</definedName>
    <definedName name="AGAA000100col_WORKERS_COMP">Data!$BJ$702</definedName>
    <definedName name="AGAA000100col_WORKERS_COMP_BY">Data!$BV$702</definedName>
    <definedName name="AGAA000100col_WORKERS_COMP_CHG">Data!$CH$702</definedName>
    <definedName name="AGAA012501col_1_27TH_PP">Data!$BA$704</definedName>
    <definedName name="AGAA012501col_DHR">Data!$BI$704</definedName>
    <definedName name="AGAA012501col_DHR_BY">Data!$BU$704</definedName>
    <definedName name="AGAA012501col_DHR_CHG">Data!$CG$704</definedName>
    <definedName name="AGAA012501col_FTI_SALARY_ELECT">Data!$AZ$704</definedName>
    <definedName name="AGAA012501col_FTI_SALARY_PERM">Data!$AY$704</definedName>
    <definedName name="AGAA012501col_FTI_SALARY_SSDI">Data!$AX$704</definedName>
    <definedName name="AGAA012501col_Group_Ben">Data!$CM$704</definedName>
    <definedName name="AGAA012501col_Group_Salary">Data!$CL$704</definedName>
    <definedName name="AGAA012501col_HEALTH_ELECT">Data!$BC$704</definedName>
    <definedName name="AGAA012501col_HEALTH_ELECT_BY">Data!$BO$704</definedName>
    <definedName name="AGAA012501col_HEALTH_ELECT_CHG">Data!$CA$704</definedName>
    <definedName name="AGAA012501col_HEALTH_PERM">Data!$BB$704</definedName>
    <definedName name="AGAA012501col_HEALTH_PERM_BY">Data!$BN$704</definedName>
    <definedName name="AGAA012501col_HEALTH_PERM_CHG">Data!$BZ$704</definedName>
    <definedName name="AGAA012501col_INC_FTI">Data!$AS$704</definedName>
    <definedName name="AGAA012501col_LIFE_INS">Data!$BG$704</definedName>
    <definedName name="AGAA012501col_LIFE_INS_BY">Data!$BS$704</definedName>
    <definedName name="AGAA012501col_LIFE_INS_CHG">Data!$CE$704</definedName>
    <definedName name="AGAA012501col_RETIREMENT">Data!$BF$704</definedName>
    <definedName name="AGAA012501col_RETIREMENT_BY">Data!$BR$704</definedName>
    <definedName name="AGAA012501col_RETIREMENT_CHG">Data!$CD$704</definedName>
    <definedName name="AGAA012501col_ROWS_PER_PCN">Data!$AW$704</definedName>
    <definedName name="AGAA012501col_SICK">Data!$BK$704</definedName>
    <definedName name="AGAA012501col_SICK_BY">Data!$BW$704</definedName>
    <definedName name="AGAA012501col_SICK_CHG">Data!$CI$704</definedName>
    <definedName name="AGAA012501col_SSDI">Data!$BD$704</definedName>
    <definedName name="AGAA012501col_SSDI_BY">Data!$BP$704</definedName>
    <definedName name="AGAA012501col_SSDI_CHG">Data!$CB$704</definedName>
    <definedName name="AGAA012501col_SSHI">Data!$BE$704</definedName>
    <definedName name="AGAA012501col_SSHI_BY">Data!$BQ$704</definedName>
    <definedName name="AGAA012501col_SSHI_CHGv">Data!$CC$704</definedName>
    <definedName name="AGAA012501col_TOT_VB_ELECT">Data!$BM$704</definedName>
    <definedName name="AGAA012501col_TOT_VB_ELECT_BY">Data!$BY$704</definedName>
    <definedName name="AGAA012501col_TOT_VB_ELECT_CHG">Data!$CK$704</definedName>
    <definedName name="AGAA012501col_TOT_VB_PERM">Data!$BL$704</definedName>
    <definedName name="AGAA012501col_TOT_VB_PERM_BY">Data!$BX$704</definedName>
    <definedName name="AGAA012501col_TOT_VB_PERM_CHG">Data!$CJ$704</definedName>
    <definedName name="AGAA012501col_TOTAL_ELECT_PCN_FTI">Data!$AT$704</definedName>
    <definedName name="AGAA012501col_TOTAL_ELECT_PCN_FTI_ALT">Data!$AV$704</definedName>
    <definedName name="AGAA012501col_TOTAL_PERM_PCN_FTI">Data!$AU$704</definedName>
    <definedName name="AGAA012501col_UNEMP_INS">Data!$BH$704</definedName>
    <definedName name="AGAA012501col_UNEMP_INS_BY">Data!$BT$704</definedName>
    <definedName name="AGAA012501col_UNEMP_INS_CHG">Data!$CF$704</definedName>
    <definedName name="AGAA012501col_WORKERS_COMP">Data!$BJ$704</definedName>
    <definedName name="AGAA012501col_WORKERS_COMP_BY">Data!$BV$704</definedName>
    <definedName name="AGAA012501col_WORKERS_COMP_CHG">Data!$CH$704</definedName>
    <definedName name="AGAA012502col_1_27TH_PP">Data!$BA$706</definedName>
    <definedName name="AGAA012502col_DHR">Data!$BI$706</definedName>
    <definedName name="AGAA012502col_DHR_BY">Data!$BU$706</definedName>
    <definedName name="AGAA012502col_DHR_CHG">Data!$CG$706</definedName>
    <definedName name="AGAA012502col_FTI_SALARY_ELECT">Data!$AZ$706</definedName>
    <definedName name="AGAA012502col_FTI_SALARY_PERM">Data!$AY$706</definedName>
    <definedName name="AGAA012502col_FTI_SALARY_SSDI">Data!$AX$706</definedName>
    <definedName name="AGAA012502col_Group_Ben">Data!$CM$706</definedName>
    <definedName name="AGAA012502col_Group_Salary">Data!$CL$706</definedName>
    <definedName name="AGAA012502col_HEALTH_ELECT">Data!$BC$706</definedName>
    <definedName name="AGAA012502col_HEALTH_ELECT_BY">Data!$BO$706</definedName>
    <definedName name="AGAA012502col_HEALTH_ELECT_CHG">Data!$CA$706</definedName>
    <definedName name="AGAA012502col_HEALTH_PERM">Data!$BB$706</definedName>
    <definedName name="AGAA012502col_HEALTH_PERM_BY">Data!$BN$706</definedName>
    <definedName name="AGAA012502col_HEALTH_PERM_CHG">Data!$BZ$706</definedName>
    <definedName name="AGAA012502col_INC_FTI">Data!$AS$706</definedName>
    <definedName name="AGAA012502col_LIFE_INS">Data!$BG$706</definedName>
    <definedName name="AGAA012502col_LIFE_INS_BY">Data!$BS$706</definedName>
    <definedName name="AGAA012502col_LIFE_INS_CHG">Data!$CE$706</definedName>
    <definedName name="AGAA012502col_RETIREMENT">Data!$BF$706</definedName>
    <definedName name="AGAA012502col_RETIREMENT_BY">Data!$BR$706</definedName>
    <definedName name="AGAA012502col_RETIREMENT_CHG">Data!$CD$706</definedName>
    <definedName name="AGAA012502col_ROWS_PER_PCN">Data!$AW$706</definedName>
    <definedName name="AGAA012502col_SICK">Data!$BK$706</definedName>
    <definedName name="AGAA012502col_SICK_BY">Data!$BW$706</definedName>
    <definedName name="AGAA012502col_SICK_CHG">Data!$CI$706</definedName>
    <definedName name="AGAA012502col_SSDI">Data!$BD$706</definedName>
    <definedName name="AGAA012502col_SSDI_BY">Data!$BP$706</definedName>
    <definedName name="AGAA012502col_SSDI_CHG">Data!$CB$706</definedName>
    <definedName name="AGAA012502col_SSHI">Data!$BE$706</definedName>
    <definedName name="AGAA012502col_SSHI_BY">Data!$BQ$706</definedName>
    <definedName name="AGAA012502col_SSHI_CHGv">Data!$CC$706</definedName>
    <definedName name="AGAA012502col_TOT_VB_ELECT">Data!$BM$706</definedName>
    <definedName name="AGAA012502col_TOT_VB_ELECT_BY">Data!$BY$706</definedName>
    <definedName name="AGAA012502col_TOT_VB_ELECT_CHG">Data!$CK$706</definedName>
    <definedName name="AGAA012502col_TOT_VB_PERM">Data!$BL$706</definedName>
    <definedName name="AGAA012502col_TOT_VB_PERM_BY">Data!$BX$706</definedName>
    <definedName name="AGAA012502col_TOT_VB_PERM_CHG">Data!$CJ$706</definedName>
    <definedName name="AGAA012502col_TOTAL_ELECT_PCN_FTI">Data!$AT$706</definedName>
    <definedName name="AGAA012502col_TOTAL_ELECT_PCN_FTI_ALT">Data!$AV$706</definedName>
    <definedName name="AGAA012502col_TOTAL_PERM_PCN_FTI">Data!$AU$706</definedName>
    <definedName name="AGAA012502col_UNEMP_INS">Data!$BH$706</definedName>
    <definedName name="AGAA012502col_UNEMP_INS_BY">Data!$BT$706</definedName>
    <definedName name="AGAA012502col_UNEMP_INS_CHG">Data!$CF$706</definedName>
    <definedName name="AGAA012502col_WORKERS_COMP">Data!$BJ$706</definedName>
    <definedName name="AGAA012502col_WORKERS_COMP_BY">Data!$BV$706</definedName>
    <definedName name="AGAA012502col_WORKERS_COMP_CHG">Data!$CH$706</definedName>
    <definedName name="AGAB000100col_1_27TH_PP">Data!$BA$708</definedName>
    <definedName name="AGAB000100col_DHR">Data!$BI$708</definedName>
    <definedName name="AGAB000100col_DHR_BY">Data!$BU$708</definedName>
    <definedName name="AGAB000100col_DHR_CHG">Data!$CG$708</definedName>
    <definedName name="AGAB000100col_FTI_SALARY_ELECT">Data!$AZ$708</definedName>
    <definedName name="AGAB000100col_FTI_SALARY_PERM">Data!$AY$708</definedName>
    <definedName name="AGAB000100col_FTI_SALARY_SSDI">Data!$AX$708</definedName>
    <definedName name="AGAB000100col_Group_Ben">Data!$CM$708</definedName>
    <definedName name="AGAB000100col_Group_Salary">Data!$CL$708</definedName>
    <definedName name="AGAB000100col_HEALTH_ELECT">Data!$BC$708</definedName>
    <definedName name="AGAB000100col_HEALTH_ELECT_BY">Data!$BO$708</definedName>
    <definedName name="AGAB000100col_HEALTH_ELECT_CHG">Data!$CA$708</definedName>
    <definedName name="AGAB000100col_HEALTH_PERM">Data!$BB$708</definedName>
    <definedName name="AGAB000100col_HEALTH_PERM_BY">Data!$BN$708</definedName>
    <definedName name="AGAB000100col_HEALTH_PERM_CHG">Data!$BZ$708</definedName>
    <definedName name="AGAB000100col_INC_FTI">Data!$AS$708</definedName>
    <definedName name="AGAB000100col_LIFE_INS">Data!$BG$708</definedName>
    <definedName name="AGAB000100col_LIFE_INS_BY">Data!$BS$708</definedName>
    <definedName name="AGAB000100col_LIFE_INS_CHG">Data!$CE$708</definedName>
    <definedName name="AGAB000100col_RETIREMENT">Data!$BF$708</definedName>
    <definedName name="AGAB000100col_RETIREMENT_BY">Data!$BR$708</definedName>
    <definedName name="AGAB000100col_RETIREMENT_CHG">Data!$CD$708</definedName>
    <definedName name="AGAB000100col_ROWS_PER_PCN">Data!$AW$708</definedName>
    <definedName name="AGAB000100col_SICK">Data!$BK$708</definedName>
    <definedName name="AGAB000100col_SICK_BY">Data!$BW$708</definedName>
    <definedName name="AGAB000100col_SICK_CHG">Data!$CI$708</definedName>
    <definedName name="AGAB000100col_SSDI">Data!$BD$708</definedName>
    <definedName name="AGAB000100col_SSDI_BY">Data!$BP$708</definedName>
    <definedName name="AGAB000100col_SSDI_CHG">Data!$CB$708</definedName>
    <definedName name="AGAB000100col_SSHI">Data!$BE$708</definedName>
    <definedName name="AGAB000100col_SSHI_BY">Data!$BQ$708</definedName>
    <definedName name="AGAB000100col_SSHI_CHGv">Data!$CC$708</definedName>
    <definedName name="AGAB000100col_TOT_VB_ELECT">Data!$BM$708</definedName>
    <definedName name="AGAB000100col_TOT_VB_ELECT_BY">Data!$BY$708</definedName>
    <definedName name="AGAB000100col_TOT_VB_ELECT_CHG">Data!$CK$708</definedName>
    <definedName name="AGAB000100col_TOT_VB_PERM">Data!$BL$708</definedName>
    <definedName name="AGAB000100col_TOT_VB_PERM_BY">Data!$BX$708</definedName>
    <definedName name="AGAB000100col_TOT_VB_PERM_CHG">Data!$CJ$708</definedName>
    <definedName name="AGAB000100col_TOTAL_ELECT_PCN_FTI">Data!$AT$708</definedName>
    <definedName name="AGAB000100col_TOTAL_ELECT_PCN_FTI_ALT">Data!$AV$708</definedName>
    <definedName name="AGAB000100col_TOTAL_PERM_PCN_FTI">Data!$AU$708</definedName>
    <definedName name="AGAB000100col_UNEMP_INS">Data!$BH$708</definedName>
    <definedName name="AGAB000100col_UNEMP_INS_BY">Data!$BT$708</definedName>
    <definedName name="AGAB000100col_UNEMP_INS_CHG">Data!$CF$708</definedName>
    <definedName name="AGAB000100col_WORKERS_COMP">Data!$BJ$708</definedName>
    <definedName name="AGAB000100col_WORKERS_COMP_BY">Data!$BV$708</definedName>
    <definedName name="AGAB000100col_WORKERS_COMP_CHG">Data!$CH$708</definedName>
    <definedName name="AGAB033206col_1_27TH_PP">Data!$BA$710</definedName>
    <definedName name="AGAB033206col_DHR">Data!$BI$710</definedName>
    <definedName name="AGAB033206col_DHR_BY">Data!$BU$710</definedName>
    <definedName name="AGAB033206col_DHR_CHG">Data!$CG$710</definedName>
    <definedName name="AGAB033206col_FTI_SALARY_ELECT">Data!$AZ$710</definedName>
    <definedName name="AGAB033206col_FTI_SALARY_PERM">Data!$AY$710</definedName>
    <definedName name="AGAB033206col_FTI_SALARY_SSDI">Data!$AX$710</definedName>
    <definedName name="AGAB033206col_Group_Ben">Data!$CM$710</definedName>
    <definedName name="AGAB033206col_Group_Salary">Data!$CL$710</definedName>
    <definedName name="AGAB033206col_HEALTH_ELECT">Data!$BC$710</definedName>
    <definedName name="AGAB033206col_HEALTH_ELECT_BY">Data!$BO$710</definedName>
    <definedName name="AGAB033206col_HEALTH_ELECT_CHG">Data!$CA$710</definedName>
    <definedName name="AGAB033206col_HEALTH_PERM">Data!$BB$710</definedName>
    <definedName name="AGAB033206col_HEALTH_PERM_BY">Data!$BN$710</definedName>
    <definedName name="AGAB033206col_HEALTH_PERM_CHG">Data!$BZ$710</definedName>
    <definedName name="AGAB033206col_INC_FTI">Data!$AS$710</definedName>
    <definedName name="AGAB033206col_LIFE_INS">Data!$BG$710</definedName>
    <definedName name="AGAB033206col_LIFE_INS_BY">Data!$BS$710</definedName>
    <definedName name="AGAB033206col_LIFE_INS_CHG">Data!$CE$710</definedName>
    <definedName name="AGAB033206col_RETIREMENT">Data!$BF$710</definedName>
    <definedName name="AGAB033206col_RETIREMENT_BY">Data!$BR$710</definedName>
    <definedName name="AGAB033206col_RETIREMENT_CHG">Data!$CD$710</definedName>
    <definedName name="AGAB033206col_ROWS_PER_PCN">Data!$AW$710</definedName>
    <definedName name="AGAB033206col_SICK">Data!$BK$710</definedName>
    <definedName name="AGAB033206col_SICK_BY">Data!$BW$710</definedName>
    <definedName name="AGAB033206col_SICK_CHG">Data!$CI$710</definedName>
    <definedName name="AGAB033206col_SSDI">Data!$BD$710</definedName>
    <definedName name="AGAB033206col_SSDI_BY">Data!$BP$710</definedName>
    <definedName name="AGAB033206col_SSDI_CHG">Data!$CB$710</definedName>
    <definedName name="AGAB033206col_SSHI">Data!$BE$710</definedName>
    <definedName name="AGAB033206col_SSHI_BY">Data!$BQ$710</definedName>
    <definedName name="AGAB033206col_SSHI_CHGv">Data!$CC$710</definedName>
    <definedName name="AGAB033206col_TOT_VB_ELECT">Data!$BM$710</definedName>
    <definedName name="AGAB033206col_TOT_VB_ELECT_BY">Data!$BY$710</definedName>
    <definedName name="AGAB033206col_TOT_VB_ELECT_CHG">Data!$CK$710</definedName>
    <definedName name="AGAB033206col_TOT_VB_PERM">Data!$BL$710</definedName>
    <definedName name="AGAB033206col_TOT_VB_PERM_BY">Data!$BX$710</definedName>
    <definedName name="AGAB033206col_TOT_VB_PERM_CHG">Data!$CJ$710</definedName>
    <definedName name="AGAB033206col_TOTAL_ELECT_PCN_FTI">Data!$AT$710</definedName>
    <definedName name="AGAB033206col_TOTAL_ELECT_PCN_FTI_ALT">Data!$AV$710</definedName>
    <definedName name="AGAB033206col_TOTAL_PERM_PCN_FTI">Data!$AU$710</definedName>
    <definedName name="AGAB033206col_UNEMP_INS">Data!$BH$710</definedName>
    <definedName name="AGAB033206col_UNEMP_INS_BY">Data!$BT$710</definedName>
    <definedName name="AGAB033206col_UNEMP_INS_CHG">Data!$CF$710</definedName>
    <definedName name="AGAB033206col_WORKERS_COMP">Data!$BJ$710</definedName>
    <definedName name="AGAB033206col_WORKERS_COMP_BY">Data!$BV$710</definedName>
    <definedName name="AGAB033206col_WORKERS_COMP_CHG">Data!$CH$710</definedName>
    <definedName name="AGAB033207col_1_27TH_PP">Data!$BA$712</definedName>
    <definedName name="AGAB033207col_DHR">Data!$BI$712</definedName>
    <definedName name="AGAB033207col_DHR_BY">Data!$BU$712</definedName>
    <definedName name="AGAB033207col_DHR_CHG">Data!$CG$712</definedName>
    <definedName name="AGAB033207col_FTI_SALARY_ELECT">Data!$AZ$712</definedName>
    <definedName name="AGAB033207col_FTI_SALARY_PERM">Data!$AY$712</definedName>
    <definedName name="AGAB033207col_FTI_SALARY_SSDI">Data!$AX$712</definedName>
    <definedName name="AGAB033207col_Group_Ben">Data!$CM$712</definedName>
    <definedName name="AGAB033207col_Group_Salary">Data!$CL$712</definedName>
    <definedName name="AGAB033207col_HEALTH_ELECT">Data!$BC$712</definedName>
    <definedName name="AGAB033207col_HEALTH_ELECT_BY">Data!$BO$712</definedName>
    <definedName name="AGAB033207col_HEALTH_ELECT_CHG">Data!$CA$712</definedName>
    <definedName name="AGAB033207col_HEALTH_PERM">Data!$BB$712</definedName>
    <definedName name="AGAB033207col_HEALTH_PERM_BY">Data!$BN$712</definedName>
    <definedName name="AGAB033207col_HEALTH_PERM_CHG">Data!$BZ$712</definedName>
    <definedName name="AGAB033207col_INC_FTI">Data!$AS$712</definedName>
    <definedName name="AGAB033207col_LIFE_INS">Data!$BG$712</definedName>
    <definedName name="AGAB033207col_LIFE_INS_BY">Data!$BS$712</definedName>
    <definedName name="AGAB033207col_LIFE_INS_CHG">Data!$CE$712</definedName>
    <definedName name="AGAB033207col_RETIREMENT">Data!$BF$712</definedName>
    <definedName name="AGAB033207col_RETIREMENT_BY">Data!$BR$712</definedName>
    <definedName name="AGAB033207col_RETIREMENT_CHG">Data!$CD$712</definedName>
    <definedName name="AGAB033207col_ROWS_PER_PCN">Data!$AW$712</definedName>
    <definedName name="AGAB033207col_SICK">Data!$BK$712</definedName>
    <definedName name="AGAB033207col_SICK_BY">Data!$BW$712</definedName>
    <definedName name="AGAB033207col_SICK_CHG">Data!$CI$712</definedName>
    <definedName name="AGAB033207col_SSDI">Data!$BD$712</definedName>
    <definedName name="AGAB033207col_SSDI_BY">Data!$BP$712</definedName>
    <definedName name="AGAB033207col_SSDI_CHG">Data!$CB$712</definedName>
    <definedName name="AGAB033207col_SSHI">Data!$BE$712</definedName>
    <definedName name="AGAB033207col_SSHI_BY">Data!$BQ$712</definedName>
    <definedName name="AGAB033207col_SSHI_CHGv">Data!$CC$712</definedName>
    <definedName name="AGAB033207col_TOT_VB_ELECT">Data!$BM$712</definedName>
    <definedName name="AGAB033207col_TOT_VB_ELECT_BY">Data!$BY$712</definedName>
    <definedName name="AGAB033207col_TOT_VB_ELECT_CHG">Data!$CK$712</definedName>
    <definedName name="AGAB033207col_TOT_VB_PERM">Data!$BL$712</definedName>
    <definedName name="AGAB033207col_TOT_VB_PERM_BY">Data!$BX$712</definedName>
    <definedName name="AGAB033207col_TOT_VB_PERM_CHG">Data!$CJ$712</definedName>
    <definedName name="AGAB033207col_TOTAL_ELECT_PCN_FTI">Data!$AT$712</definedName>
    <definedName name="AGAB033207col_TOTAL_ELECT_PCN_FTI_ALT">Data!$AV$712</definedName>
    <definedName name="AGAB033207col_TOTAL_PERM_PCN_FTI">Data!$AU$712</definedName>
    <definedName name="AGAB033207col_UNEMP_INS">Data!$BH$712</definedName>
    <definedName name="AGAB033207col_UNEMP_INS_BY">Data!$BT$712</definedName>
    <definedName name="AGAB033207col_UNEMP_INS_CHG">Data!$CF$712</definedName>
    <definedName name="AGAB033207col_WORKERS_COMP">Data!$BJ$712</definedName>
    <definedName name="AGAB033207col_WORKERS_COMP_BY">Data!$BV$712</definedName>
    <definedName name="AGAB033207col_WORKERS_COMP_CHG">Data!$CH$712</definedName>
    <definedName name="AGAB033209col_1_27TH_PP">Data!$BA$714</definedName>
    <definedName name="AGAB033209col_DHR">Data!$BI$714</definedName>
    <definedName name="AGAB033209col_DHR_BY">Data!$BU$714</definedName>
    <definedName name="AGAB033209col_DHR_CHG">Data!$CG$714</definedName>
    <definedName name="AGAB033209col_FTI_SALARY_ELECT">Data!$AZ$714</definedName>
    <definedName name="AGAB033209col_FTI_SALARY_PERM">Data!$AY$714</definedName>
    <definedName name="AGAB033209col_FTI_SALARY_SSDI">Data!$AX$714</definedName>
    <definedName name="AGAB033209col_Group_Ben">Data!$CM$714</definedName>
    <definedName name="AGAB033209col_Group_Salary">Data!$CL$714</definedName>
    <definedName name="AGAB033209col_HEALTH_ELECT">Data!$BC$714</definedName>
    <definedName name="AGAB033209col_HEALTH_ELECT_BY">Data!$BO$714</definedName>
    <definedName name="AGAB033209col_HEALTH_ELECT_CHG">Data!$CA$714</definedName>
    <definedName name="AGAB033209col_HEALTH_PERM">Data!$BB$714</definedName>
    <definedName name="AGAB033209col_HEALTH_PERM_BY">Data!$BN$714</definedName>
    <definedName name="AGAB033209col_HEALTH_PERM_CHG">Data!$BZ$714</definedName>
    <definedName name="AGAB033209col_INC_FTI">Data!$AS$714</definedName>
    <definedName name="AGAB033209col_LIFE_INS">Data!$BG$714</definedName>
    <definedName name="AGAB033209col_LIFE_INS_BY">Data!$BS$714</definedName>
    <definedName name="AGAB033209col_LIFE_INS_CHG">Data!$CE$714</definedName>
    <definedName name="AGAB033209col_RETIREMENT">Data!$BF$714</definedName>
    <definedName name="AGAB033209col_RETIREMENT_BY">Data!$BR$714</definedName>
    <definedName name="AGAB033209col_RETIREMENT_CHG">Data!$CD$714</definedName>
    <definedName name="AGAB033209col_ROWS_PER_PCN">Data!$AW$714</definedName>
    <definedName name="AGAB033209col_SICK">Data!$BK$714</definedName>
    <definedName name="AGAB033209col_SICK_BY">Data!$BW$714</definedName>
    <definedName name="AGAB033209col_SICK_CHG">Data!$CI$714</definedName>
    <definedName name="AGAB033209col_SSDI">Data!$BD$714</definedName>
    <definedName name="AGAB033209col_SSDI_BY">Data!$BP$714</definedName>
    <definedName name="AGAB033209col_SSDI_CHG">Data!$CB$714</definedName>
    <definedName name="AGAB033209col_SSHI">Data!$BE$714</definedName>
    <definedName name="AGAB033209col_SSHI_BY">Data!$BQ$714</definedName>
    <definedName name="AGAB033209col_SSHI_CHGv">Data!$CC$714</definedName>
    <definedName name="AGAB033209col_TOT_VB_ELECT">Data!$BM$714</definedName>
    <definedName name="AGAB033209col_TOT_VB_ELECT_BY">Data!$BY$714</definedName>
    <definedName name="AGAB033209col_TOT_VB_ELECT_CHG">Data!$CK$714</definedName>
    <definedName name="AGAB033209col_TOT_VB_PERM">Data!$BL$714</definedName>
    <definedName name="AGAB033209col_TOT_VB_PERM_BY">Data!$BX$714</definedName>
    <definedName name="AGAB033209col_TOT_VB_PERM_CHG">Data!$CJ$714</definedName>
    <definedName name="AGAB033209col_TOTAL_ELECT_PCN_FTI">Data!$AT$714</definedName>
    <definedName name="AGAB033209col_TOTAL_ELECT_PCN_FTI_ALT">Data!$AV$714</definedName>
    <definedName name="AGAB033209col_TOTAL_PERM_PCN_FTI">Data!$AU$714</definedName>
    <definedName name="AGAB033209col_UNEMP_INS">Data!$BH$714</definedName>
    <definedName name="AGAB033209col_UNEMP_INS_BY">Data!$BT$714</definedName>
    <definedName name="AGAB033209col_UNEMP_INS_CHG">Data!$CF$714</definedName>
    <definedName name="AGAB033209col_WORKERS_COMP">Data!$BJ$714</definedName>
    <definedName name="AGAB033209col_WORKERS_COMP_BY">Data!$BV$714</definedName>
    <definedName name="AGAB033209col_WORKERS_COMP_CHG">Data!$CH$714</definedName>
    <definedName name="AGAC000100col_1_27TH_PP">Data!$BA$716</definedName>
    <definedName name="AGAC000100col_DHR">Data!$BI$716</definedName>
    <definedName name="AGAC000100col_DHR_BY">Data!$BU$716</definedName>
    <definedName name="AGAC000100col_DHR_CHG">Data!$CG$716</definedName>
    <definedName name="AGAC000100col_FTI_SALARY_ELECT">Data!$AZ$716</definedName>
    <definedName name="AGAC000100col_FTI_SALARY_PERM">Data!$AY$716</definedName>
    <definedName name="AGAC000100col_FTI_SALARY_SSDI">Data!$AX$716</definedName>
    <definedName name="AGAC000100col_Group_Ben">Data!$CM$716</definedName>
    <definedName name="AGAC000100col_Group_Salary">Data!$CL$716</definedName>
    <definedName name="AGAC000100col_HEALTH_ELECT">Data!$BC$716</definedName>
    <definedName name="AGAC000100col_HEALTH_ELECT_BY">Data!$BO$716</definedName>
    <definedName name="AGAC000100col_HEALTH_ELECT_CHG">Data!$CA$716</definedName>
    <definedName name="AGAC000100col_HEALTH_PERM">Data!$BB$716</definedName>
    <definedName name="AGAC000100col_HEALTH_PERM_BY">Data!$BN$716</definedName>
    <definedName name="AGAC000100col_HEALTH_PERM_CHG">Data!$BZ$716</definedName>
    <definedName name="AGAC000100col_INC_FTI">Data!$AS$716</definedName>
    <definedName name="AGAC000100col_LIFE_INS">Data!$BG$716</definedName>
    <definedName name="AGAC000100col_LIFE_INS_BY">Data!$BS$716</definedName>
    <definedName name="AGAC000100col_LIFE_INS_CHG">Data!$CE$716</definedName>
    <definedName name="AGAC000100col_RETIREMENT">Data!$BF$716</definedName>
    <definedName name="AGAC000100col_RETIREMENT_BY">Data!$BR$716</definedName>
    <definedName name="AGAC000100col_RETIREMENT_CHG">Data!$CD$716</definedName>
    <definedName name="AGAC000100col_ROWS_PER_PCN">Data!$AW$716</definedName>
    <definedName name="AGAC000100col_SICK">Data!$BK$716</definedName>
    <definedName name="AGAC000100col_SICK_BY">Data!$BW$716</definedName>
    <definedName name="AGAC000100col_SICK_CHG">Data!$CI$716</definedName>
    <definedName name="AGAC000100col_SSDI">Data!$BD$716</definedName>
    <definedName name="AGAC000100col_SSDI_BY">Data!$BP$716</definedName>
    <definedName name="AGAC000100col_SSDI_CHG">Data!$CB$716</definedName>
    <definedName name="AGAC000100col_SSHI">Data!$BE$716</definedName>
    <definedName name="AGAC000100col_SSHI_BY">Data!$BQ$716</definedName>
    <definedName name="AGAC000100col_SSHI_CHGv">Data!$CC$716</definedName>
    <definedName name="AGAC000100col_TOT_VB_ELECT">Data!$BM$716</definedName>
    <definedName name="AGAC000100col_TOT_VB_ELECT_BY">Data!$BY$716</definedName>
    <definedName name="AGAC000100col_TOT_VB_ELECT_CHG">Data!$CK$716</definedName>
    <definedName name="AGAC000100col_TOT_VB_PERM">Data!$BL$716</definedName>
    <definedName name="AGAC000100col_TOT_VB_PERM_BY">Data!$BX$716</definedName>
    <definedName name="AGAC000100col_TOT_VB_PERM_CHG">Data!$CJ$716</definedName>
    <definedName name="AGAC000100col_TOTAL_ELECT_PCN_FTI">Data!$AT$716</definedName>
    <definedName name="AGAC000100col_TOTAL_ELECT_PCN_FTI_ALT">Data!$AV$716</definedName>
    <definedName name="AGAC000100col_TOTAL_PERM_PCN_FTI">Data!$AU$716</definedName>
    <definedName name="AGAC000100col_UNEMP_INS">Data!$BH$716</definedName>
    <definedName name="AGAC000100col_UNEMP_INS_BY">Data!$BT$716</definedName>
    <definedName name="AGAC000100col_UNEMP_INS_CHG">Data!$CF$716</definedName>
    <definedName name="AGAC000100col_WORKERS_COMP">Data!$BJ$716</definedName>
    <definedName name="AGAC000100col_WORKERS_COMP_BY">Data!$BV$716</definedName>
    <definedName name="AGAC000100col_WORKERS_COMP_CHG">Data!$CH$716</definedName>
    <definedName name="AGAC033205col_1_27TH_PP">Data!$BA$718</definedName>
    <definedName name="AGAC033205col_DHR">Data!$BI$718</definedName>
    <definedName name="AGAC033205col_DHR_BY">Data!$BU$718</definedName>
    <definedName name="AGAC033205col_DHR_CHG">Data!$CG$718</definedName>
    <definedName name="AGAC033205col_FTI_SALARY_ELECT">Data!$AZ$718</definedName>
    <definedName name="AGAC033205col_FTI_SALARY_PERM">Data!$AY$718</definedName>
    <definedName name="AGAC033205col_FTI_SALARY_SSDI">Data!$AX$718</definedName>
    <definedName name="AGAC033205col_Group_Ben">Data!$CM$718</definedName>
    <definedName name="AGAC033205col_Group_Salary">Data!$CL$718</definedName>
    <definedName name="AGAC033205col_HEALTH_ELECT">Data!$BC$718</definedName>
    <definedName name="AGAC033205col_HEALTH_ELECT_BY">Data!$BO$718</definedName>
    <definedName name="AGAC033205col_HEALTH_ELECT_CHG">Data!$CA$718</definedName>
    <definedName name="AGAC033205col_HEALTH_PERM">Data!$BB$718</definedName>
    <definedName name="AGAC033205col_HEALTH_PERM_BY">Data!$BN$718</definedName>
    <definedName name="AGAC033205col_HEALTH_PERM_CHG">Data!$BZ$718</definedName>
    <definedName name="AGAC033205col_INC_FTI">Data!$AS$718</definedName>
    <definedName name="AGAC033205col_LIFE_INS">Data!$BG$718</definedName>
    <definedName name="AGAC033205col_LIFE_INS_BY">Data!$BS$718</definedName>
    <definedName name="AGAC033205col_LIFE_INS_CHG">Data!$CE$718</definedName>
    <definedName name="AGAC033205col_RETIREMENT">Data!$BF$718</definedName>
    <definedName name="AGAC033205col_RETIREMENT_BY">Data!$BR$718</definedName>
    <definedName name="AGAC033205col_RETIREMENT_CHG">Data!$CD$718</definedName>
    <definedName name="AGAC033205col_ROWS_PER_PCN">Data!$AW$718</definedName>
    <definedName name="AGAC033205col_SICK">Data!$BK$718</definedName>
    <definedName name="AGAC033205col_SICK_BY">Data!$BW$718</definedName>
    <definedName name="AGAC033205col_SICK_CHG">Data!$CI$718</definedName>
    <definedName name="AGAC033205col_SSDI">Data!$BD$718</definedName>
    <definedName name="AGAC033205col_SSDI_BY">Data!$BP$718</definedName>
    <definedName name="AGAC033205col_SSDI_CHG">Data!$CB$718</definedName>
    <definedName name="AGAC033205col_SSHI">Data!$BE$718</definedName>
    <definedName name="AGAC033205col_SSHI_BY">Data!$BQ$718</definedName>
    <definedName name="AGAC033205col_SSHI_CHGv">Data!$CC$718</definedName>
    <definedName name="AGAC033205col_TOT_VB_ELECT">Data!$BM$718</definedName>
    <definedName name="AGAC033205col_TOT_VB_ELECT_BY">Data!$BY$718</definedName>
    <definedName name="AGAC033205col_TOT_VB_ELECT_CHG">Data!$CK$718</definedName>
    <definedName name="AGAC033205col_TOT_VB_PERM">Data!$BL$718</definedName>
    <definedName name="AGAC033205col_TOT_VB_PERM_BY">Data!$BX$718</definedName>
    <definedName name="AGAC033205col_TOT_VB_PERM_CHG">Data!$CJ$718</definedName>
    <definedName name="AGAC033205col_TOTAL_ELECT_PCN_FTI">Data!$AT$718</definedName>
    <definedName name="AGAC033205col_TOTAL_ELECT_PCN_FTI_ALT">Data!$AV$718</definedName>
    <definedName name="AGAC033205col_TOTAL_PERM_PCN_FTI">Data!$AU$718</definedName>
    <definedName name="AGAC033205col_UNEMP_INS">Data!$BH$718</definedName>
    <definedName name="AGAC033205col_UNEMP_INS_BY">Data!$BT$718</definedName>
    <definedName name="AGAC033205col_UNEMP_INS_CHG">Data!$CF$718</definedName>
    <definedName name="AGAC033205col_WORKERS_COMP">Data!$BJ$718</definedName>
    <definedName name="AGAC033205col_WORKERS_COMP_BY">Data!$BV$718</definedName>
    <definedName name="AGAC033205col_WORKERS_COMP_CHG">Data!$CH$718</definedName>
    <definedName name="AGAC034800col_1_27TH_PP">Data!$BA$720</definedName>
    <definedName name="AGAC034800col_DHR">Data!$BI$720</definedName>
    <definedName name="AGAC034800col_DHR_BY">Data!$BU$720</definedName>
    <definedName name="AGAC034800col_DHR_CHG">Data!$CG$720</definedName>
    <definedName name="AGAC034800col_FTI_SALARY_ELECT">Data!$AZ$720</definedName>
    <definedName name="AGAC034800col_FTI_SALARY_PERM">Data!$AY$720</definedName>
    <definedName name="AGAC034800col_FTI_SALARY_SSDI">Data!$AX$720</definedName>
    <definedName name="AGAC034800col_Group_Ben">Data!$CM$720</definedName>
    <definedName name="AGAC034800col_Group_Salary">Data!$CL$720</definedName>
    <definedName name="AGAC034800col_HEALTH_ELECT">Data!$BC$720</definedName>
    <definedName name="AGAC034800col_HEALTH_ELECT_BY">Data!$BO$720</definedName>
    <definedName name="AGAC034800col_HEALTH_ELECT_CHG">Data!$CA$720</definedName>
    <definedName name="AGAC034800col_HEALTH_PERM">Data!$BB$720</definedName>
    <definedName name="AGAC034800col_HEALTH_PERM_BY">Data!$BN$720</definedName>
    <definedName name="AGAC034800col_HEALTH_PERM_CHG">Data!$BZ$720</definedName>
    <definedName name="AGAC034800col_INC_FTI">Data!$AS$720</definedName>
    <definedName name="AGAC034800col_LIFE_INS">Data!$BG$720</definedName>
    <definedName name="AGAC034800col_LIFE_INS_BY">Data!$BS$720</definedName>
    <definedName name="AGAC034800col_LIFE_INS_CHG">Data!$CE$720</definedName>
    <definedName name="AGAC034800col_RETIREMENT">Data!$BF$720</definedName>
    <definedName name="AGAC034800col_RETIREMENT_BY">Data!$BR$720</definedName>
    <definedName name="AGAC034800col_RETIREMENT_CHG">Data!$CD$720</definedName>
    <definedName name="AGAC034800col_ROWS_PER_PCN">Data!$AW$720</definedName>
    <definedName name="AGAC034800col_SICK">Data!$BK$720</definedName>
    <definedName name="AGAC034800col_SICK_BY">Data!$BW$720</definedName>
    <definedName name="AGAC034800col_SICK_CHG">Data!$CI$720</definedName>
    <definedName name="AGAC034800col_SSDI">Data!$BD$720</definedName>
    <definedName name="AGAC034800col_SSDI_BY">Data!$BP$720</definedName>
    <definedName name="AGAC034800col_SSDI_CHG">Data!$CB$720</definedName>
    <definedName name="AGAC034800col_SSHI">Data!$BE$720</definedName>
    <definedName name="AGAC034800col_SSHI_BY">Data!$BQ$720</definedName>
    <definedName name="AGAC034800col_SSHI_CHGv">Data!$CC$720</definedName>
    <definedName name="AGAC034800col_TOT_VB_ELECT">Data!$BM$720</definedName>
    <definedName name="AGAC034800col_TOT_VB_ELECT_BY">Data!$BY$720</definedName>
    <definedName name="AGAC034800col_TOT_VB_ELECT_CHG">Data!$CK$720</definedName>
    <definedName name="AGAC034800col_TOT_VB_PERM">Data!$BL$720</definedName>
    <definedName name="AGAC034800col_TOT_VB_PERM_BY">Data!$BX$720</definedName>
    <definedName name="AGAC034800col_TOT_VB_PERM_CHG">Data!$CJ$720</definedName>
    <definedName name="AGAC034800col_TOTAL_ELECT_PCN_FTI">Data!$AT$720</definedName>
    <definedName name="AGAC034800col_TOTAL_ELECT_PCN_FTI_ALT">Data!$AV$720</definedName>
    <definedName name="AGAC034800col_TOTAL_PERM_PCN_FTI">Data!$AU$720</definedName>
    <definedName name="AGAC034800col_UNEMP_INS">Data!$BH$720</definedName>
    <definedName name="AGAC034800col_UNEMP_INS_BY">Data!$BT$720</definedName>
    <definedName name="AGAC034800col_UNEMP_INS_CHG">Data!$CF$720</definedName>
    <definedName name="AGAC034800col_WORKERS_COMP">Data!$BJ$720</definedName>
    <definedName name="AGAC034800col_WORKERS_COMP_BY">Data!$BV$720</definedName>
    <definedName name="AGAC034800col_WORKERS_COMP_CHG">Data!$CH$720</definedName>
    <definedName name="AGAD000100col_1_27TH_PP">Data!$BA$722</definedName>
    <definedName name="AGAD000100col_DHR">Data!$BI$722</definedName>
    <definedName name="AGAD000100col_DHR_BY">Data!$BU$722</definedName>
    <definedName name="AGAD000100col_DHR_CHG">Data!$CG$722</definedName>
    <definedName name="AGAD000100col_FTI_SALARY_ELECT">Data!$AZ$722</definedName>
    <definedName name="AGAD000100col_FTI_SALARY_PERM">Data!$AY$722</definedName>
    <definedName name="AGAD000100col_FTI_SALARY_SSDI">Data!$AX$722</definedName>
    <definedName name="AGAD000100col_Group_Ben">Data!$CM$722</definedName>
    <definedName name="AGAD000100col_Group_Salary">Data!$CL$722</definedName>
    <definedName name="AGAD000100col_HEALTH_ELECT">Data!$BC$722</definedName>
    <definedName name="AGAD000100col_HEALTH_ELECT_BY">Data!$BO$722</definedName>
    <definedName name="AGAD000100col_HEALTH_ELECT_CHG">Data!$CA$722</definedName>
    <definedName name="AGAD000100col_HEALTH_PERM">Data!$BB$722</definedName>
    <definedName name="AGAD000100col_HEALTH_PERM_BY">Data!$BN$722</definedName>
    <definedName name="AGAD000100col_HEALTH_PERM_CHG">Data!$BZ$722</definedName>
    <definedName name="AGAD000100col_INC_FTI">Data!$AS$722</definedName>
    <definedName name="AGAD000100col_LIFE_INS">Data!$BG$722</definedName>
    <definedName name="AGAD000100col_LIFE_INS_BY">Data!$BS$722</definedName>
    <definedName name="AGAD000100col_LIFE_INS_CHG">Data!$CE$722</definedName>
    <definedName name="AGAD000100col_RETIREMENT">Data!$BF$722</definedName>
    <definedName name="AGAD000100col_RETIREMENT_BY">Data!$BR$722</definedName>
    <definedName name="AGAD000100col_RETIREMENT_CHG">Data!$CD$722</definedName>
    <definedName name="AGAD000100col_ROWS_PER_PCN">Data!$AW$722</definedName>
    <definedName name="AGAD000100col_SICK">Data!$BK$722</definedName>
    <definedName name="AGAD000100col_SICK_BY">Data!$BW$722</definedName>
    <definedName name="AGAD000100col_SICK_CHG">Data!$CI$722</definedName>
    <definedName name="AGAD000100col_SSDI">Data!$BD$722</definedName>
    <definedName name="AGAD000100col_SSDI_BY">Data!$BP$722</definedName>
    <definedName name="AGAD000100col_SSDI_CHG">Data!$CB$722</definedName>
    <definedName name="AGAD000100col_SSHI">Data!$BE$722</definedName>
    <definedName name="AGAD000100col_SSHI_BY">Data!$BQ$722</definedName>
    <definedName name="AGAD000100col_SSHI_CHGv">Data!$CC$722</definedName>
    <definedName name="AGAD000100col_TOT_VB_ELECT">Data!$BM$722</definedName>
    <definedName name="AGAD000100col_TOT_VB_ELECT_BY">Data!$BY$722</definedName>
    <definedName name="AGAD000100col_TOT_VB_ELECT_CHG">Data!$CK$722</definedName>
    <definedName name="AGAD000100col_TOT_VB_PERM">Data!$BL$722</definedName>
    <definedName name="AGAD000100col_TOT_VB_PERM_BY">Data!$BX$722</definedName>
    <definedName name="AGAD000100col_TOT_VB_PERM_CHG">Data!$CJ$722</definedName>
    <definedName name="AGAD000100col_TOTAL_ELECT_PCN_FTI">Data!$AT$722</definedName>
    <definedName name="AGAD000100col_TOTAL_ELECT_PCN_FTI_ALT">Data!$AV$722</definedName>
    <definedName name="AGAD000100col_TOTAL_PERM_PCN_FTI">Data!$AU$722</definedName>
    <definedName name="AGAD000100col_UNEMP_INS">Data!$BH$722</definedName>
    <definedName name="AGAD000100col_UNEMP_INS_BY">Data!$BT$722</definedName>
    <definedName name="AGAD000100col_UNEMP_INS_CHG">Data!$CF$722</definedName>
    <definedName name="AGAD000100col_WORKERS_COMP">Data!$BJ$722</definedName>
    <definedName name="AGAD000100col_WORKERS_COMP_BY">Data!$BV$722</definedName>
    <definedName name="AGAD000100col_WORKERS_COMP_CHG">Data!$CH$722</definedName>
    <definedName name="AGAD033000col_1_27TH_PP">Data!$BA$728</definedName>
    <definedName name="AGAD033000col_DHR">Data!$BI$728</definedName>
    <definedName name="AGAD033000col_DHR_BY">Data!$BU$728</definedName>
    <definedName name="AGAD033000col_DHR_CHG">Data!$CG$728</definedName>
    <definedName name="AGAD033000col_FTI_SALARY_ELECT">Data!$AZ$728</definedName>
    <definedName name="AGAD033000col_FTI_SALARY_PERM">Data!$AY$728</definedName>
    <definedName name="AGAD033000col_FTI_SALARY_SSDI">Data!$AX$728</definedName>
    <definedName name="AGAD033000col_Group_Ben">Data!$CM$728</definedName>
    <definedName name="AGAD033000col_Group_Salary">Data!$CL$728</definedName>
    <definedName name="AGAD033000col_HEALTH_ELECT">Data!$BC$728</definedName>
    <definedName name="AGAD033000col_HEALTH_ELECT_BY">Data!$BO$728</definedName>
    <definedName name="AGAD033000col_HEALTH_ELECT_CHG">Data!$CA$728</definedName>
    <definedName name="AGAD033000col_HEALTH_PERM">Data!$BB$728</definedName>
    <definedName name="AGAD033000col_HEALTH_PERM_BY">Data!$BN$728</definedName>
    <definedName name="AGAD033000col_HEALTH_PERM_CHG">Data!$BZ$728</definedName>
    <definedName name="AGAD033000col_INC_FTI">Data!$AS$728</definedName>
    <definedName name="AGAD033000col_LIFE_INS">Data!$BG$728</definedName>
    <definedName name="AGAD033000col_LIFE_INS_BY">Data!$BS$728</definedName>
    <definedName name="AGAD033000col_LIFE_INS_CHG">Data!$CE$728</definedName>
    <definedName name="AGAD033000col_RETIREMENT">Data!$BF$728</definedName>
    <definedName name="AGAD033000col_RETIREMENT_BY">Data!$BR$728</definedName>
    <definedName name="AGAD033000col_RETIREMENT_CHG">Data!$CD$728</definedName>
    <definedName name="AGAD033000col_ROWS_PER_PCN">Data!$AW$728</definedName>
    <definedName name="AGAD033000col_SICK">Data!$BK$728</definedName>
    <definedName name="AGAD033000col_SICK_BY">Data!$BW$728</definedName>
    <definedName name="AGAD033000col_SICK_CHG">Data!$CI$728</definedName>
    <definedName name="AGAD033000col_SSDI">Data!$BD$728</definedName>
    <definedName name="AGAD033000col_SSDI_BY">Data!$BP$728</definedName>
    <definedName name="AGAD033000col_SSDI_CHG">Data!$CB$728</definedName>
    <definedName name="AGAD033000col_SSHI">Data!$BE$728</definedName>
    <definedName name="AGAD033000col_SSHI_BY">Data!$BQ$728</definedName>
    <definedName name="AGAD033000col_SSHI_CHGv">Data!$CC$728</definedName>
    <definedName name="AGAD033000col_TOT_VB_ELECT">Data!$BM$728</definedName>
    <definedName name="AGAD033000col_TOT_VB_ELECT_BY">Data!$BY$728</definedName>
    <definedName name="AGAD033000col_TOT_VB_ELECT_CHG">Data!$CK$728</definedName>
    <definedName name="AGAD033000col_TOT_VB_PERM">Data!$BL$728</definedName>
    <definedName name="AGAD033000col_TOT_VB_PERM_BY">Data!$BX$728</definedName>
    <definedName name="AGAD033000col_TOT_VB_PERM_CHG">Data!$CJ$728</definedName>
    <definedName name="AGAD033000col_TOTAL_ELECT_PCN_FTI">Data!$AT$728</definedName>
    <definedName name="AGAD033000col_TOTAL_ELECT_PCN_FTI_ALT">Data!$AV$728</definedName>
    <definedName name="AGAD033000col_TOTAL_PERM_PCN_FTI">Data!$AU$728</definedName>
    <definedName name="AGAD033000col_UNEMP_INS">Data!$BH$728</definedName>
    <definedName name="AGAD033000col_UNEMP_INS_BY">Data!$BT$728</definedName>
    <definedName name="AGAD033000col_UNEMP_INS_CHG">Data!$CF$728</definedName>
    <definedName name="AGAD033000col_WORKERS_COMP">Data!$BJ$728</definedName>
    <definedName name="AGAD033000col_WORKERS_COMP_BY">Data!$BV$728</definedName>
    <definedName name="AGAD033000col_WORKERS_COMP_CHG">Data!$CH$728</definedName>
    <definedName name="AGAD033013col_1_27TH_PP">Data!$BA$730</definedName>
    <definedName name="AGAD033013col_DHR">Data!$BI$730</definedName>
    <definedName name="AGAD033013col_DHR_BY">Data!$BU$730</definedName>
    <definedName name="AGAD033013col_DHR_CHG">Data!$CG$730</definedName>
    <definedName name="AGAD033013col_FTI_SALARY_ELECT">Data!$AZ$730</definedName>
    <definedName name="AGAD033013col_FTI_SALARY_PERM">Data!$AY$730</definedName>
    <definedName name="AGAD033013col_FTI_SALARY_SSDI">Data!$AX$730</definedName>
    <definedName name="AGAD033013col_Group_Ben">Data!$CM$730</definedName>
    <definedName name="AGAD033013col_Group_Salary">Data!$CL$730</definedName>
    <definedName name="AGAD033013col_HEALTH_ELECT">Data!$BC$730</definedName>
    <definedName name="AGAD033013col_HEALTH_ELECT_BY">Data!$BO$730</definedName>
    <definedName name="AGAD033013col_HEALTH_ELECT_CHG">Data!$CA$730</definedName>
    <definedName name="AGAD033013col_HEALTH_PERM">Data!$BB$730</definedName>
    <definedName name="AGAD033013col_HEALTH_PERM_BY">Data!$BN$730</definedName>
    <definedName name="AGAD033013col_HEALTH_PERM_CHG">Data!$BZ$730</definedName>
    <definedName name="AGAD033013col_INC_FTI">Data!$AS$730</definedName>
    <definedName name="AGAD033013col_LIFE_INS">Data!$BG$730</definedName>
    <definedName name="AGAD033013col_LIFE_INS_BY">Data!$BS$730</definedName>
    <definedName name="AGAD033013col_LIFE_INS_CHG">Data!$CE$730</definedName>
    <definedName name="AGAD033013col_RETIREMENT">Data!$BF$730</definedName>
    <definedName name="AGAD033013col_RETIREMENT_BY">Data!$BR$730</definedName>
    <definedName name="AGAD033013col_RETIREMENT_CHG">Data!$CD$730</definedName>
    <definedName name="AGAD033013col_ROWS_PER_PCN">Data!$AW$730</definedName>
    <definedName name="AGAD033013col_SICK">Data!$BK$730</definedName>
    <definedName name="AGAD033013col_SICK_BY">Data!$BW$730</definedName>
    <definedName name="AGAD033013col_SICK_CHG">Data!$CI$730</definedName>
    <definedName name="AGAD033013col_SSDI">Data!$BD$730</definedName>
    <definedName name="AGAD033013col_SSDI_BY">Data!$BP$730</definedName>
    <definedName name="AGAD033013col_SSDI_CHG">Data!$CB$730</definedName>
    <definedName name="AGAD033013col_SSHI">Data!$BE$730</definedName>
    <definedName name="AGAD033013col_SSHI_BY">Data!$BQ$730</definedName>
    <definedName name="AGAD033013col_SSHI_CHGv">Data!$CC$730</definedName>
    <definedName name="AGAD033013col_TOT_VB_ELECT">Data!$BM$730</definedName>
    <definedName name="AGAD033013col_TOT_VB_ELECT_BY">Data!$BY$730</definedName>
    <definedName name="AGAD033013col_TOT_VB_ELECT_CHG">Data!$CK$730</definedName>
    <definedName name="AGAD033013col_TOT_VB_PERM">Data!$BL$730</definedName>
    <definedName name="AGAD033013col_TOT_VB_PERM_BY">Data!$BX$730</definedName>
    <definedName name="AGAD033013col_TOT_VB_PERM_CHG">Data!$CJ$730</definedName>
    <definedName name="AGAD033013col_TOTAL_ELECT_PCN_FTI">Data!$AT$730</definedName>
    <definedName name="AGAD033013col_TOTAL_ELECT_PCN_FTI_ALT">Data!$AV$730</definedName>
    <definedName name="AGAD033013col_TOTAL_PERM_PCN_FTI">Data!$AU$730</definedName>
    <definedName name="AGAD033013col_UNEMP_INS">Data!$BH$730</definedName>
    <definedName name="AGAD033013col_UNEMP_INS_BY">Data!$BT$730</definedName>
    <definedName name="AGAD033013col_UNEMP_INS_CHG">Data!$CF$730</definedName>
    <definedName name="AGAD033013col_WORKERS_COMP">Data!$BJ$730</definedName>
    <definedName name="AGAD033013col_WORKERS_COMP_BY">Data!$BV$730</definedName>
    <definedName name="AGAD033013col_WORKERS_COMP_CHG">Data!$CH$730</definedName>
    <definedName name="AGAD033204col_1_27TH_PP">Data!$BA$732</definedName>
    <definedName name="AGAD033204col_DHR">Data!$BI$732</definedName>
    <definedName name="AGAD033204col_DHR_BY">Data!$BU$732</definedName>
    <definedName name="AGAD033204col_DHR_CHG">Data!$CG$732</definedName>
    <definedName name="AGAD033204col_FTI_SALARY_ELECT">Data!$AZ$732</definedName>
    <definedName name="AGAD033204col_FTI_SALARY_PERM">Data!$AY$732</definedName>
    <definedName name="AGAD033204col_FTI_SALARY_SSDI">Data!$AX$732</definedName>
    <definedName name="AGAD033204col_Group_Ben">Data!$CM$732</definedName>
    <definedName name="AGAD033204col_Group_Salary">Data!$CL$732</definedName>
    <definedName name="AGAD033204col_HEALTH_ELECT">Data!$BC$732</definedName>
    <definedName name="AGAD033204col_HEALTH_ELECT_BY">Data!$BO$732</definedName>
    <definedName name="AGAD033204col_HEALTH_ELECT_CHG">Data!$CA$732</definedName>
    <definedName name="AGAD033204col_HEALTH_PERM">Data!$BB$732</definedName>
    <definedName name="AGAD033204col_HEALTH_PERM_BY">Data!$BN$732</definedName>
    <definedName name="AGAD033204col_HEALTH_PERM_CHG">Data!$BZ$732</definedName>
    <definedName name="AGAD033204col_INC_FTI">Data!$AS$732</definedName>
    <definedName name="AGAD033204col_LIFE_INS">Data!$BG$732</definedName>
    <definedName name="AGAD033204col_LIFE_INS_BY">Data!$BS$732</definedName>
    <definedName name="AGAD033204col_LIFE_INS_CHG">Data!$CE$732</definedName>
    <definedName name="AGAD033204col_RETIREMENT">Data!$BF$732</definedName>
    <definedName name="AGAD033204col_RETIREMENT_BY">Data!$BR$732</definedName>
    <definedName name="AGAD033204col_RETIREMENT_CHG">Data!$CD$732</definedName>
    <definedName name="AGAD033204col_ROWS_PER_PCN">Data!$AW$732</definedName>
    <definedName name="AGAD033204col_SICK">Data!$BK$732</definedName>
    <definedName name="AGAD033204col_SICK_BY">Data!$BW$732</definedName>
    <definedName name="AGAD033204col_SICK_CHG">Data!$CI$732</definedName>
    <definedName name="AGAD033204col_SSDI">Data!$BD$732</definedName>
    <definedName name="AGAD033204col_SSDI_BY">Data!$BP$732</definedName>
    <definedName name="AGAD033204col_SSDI_CHG">Data!$CB$732</definedName>
    <definedName name="AGAD033204col_SSHI">Data!$BE$732</definedName>
    <definedName name="AGAD033204col_SSHI_BY">Data!$BQ$732</definedName>
    <definedName name="AGAD033204col_SSHI_CHGv">Data!$CC$732</definedName>
    <definedName name="AGAD033204col_TOT_VB_ELECT">Data!$BM$732</definedName>
    <definedName name="AGAD033204col_TOT_VB_ELECT_BY">Data!$BY$732</definedName>
    <definedName name="AGAD033204col_TOT_VB_ELECT_CHG">Data!$CK$732</definedName>
    <definedName name="AGAD033204col_TOT_VB_PERM">Data!$BL$732</definedName>
    <definedName name="AGAD033204col_TOT_VB_PERM_BY">Data!$BX$732</definedName>
    <definedName name="AGAD033204col_TOT_VB_PERM_CHG">Data!$CJ$732</definedName>
    <definedName name="AGAD033204col_TOTAL_ELECT_PCN_FTI">Data!$AT$732</definedName>
    <definedName name="AGAD033204col_TOTAL_ELECT_PCN_FTI_ALT">Data!$AV$732</definedName>
    <definedName name="AGAD033204col_TOTAL_PERM_PCN_FTI">Data!$AU$732</definedName>
    <definedName name="AGAD033204col_UNEMP_INS">Data!$BH$732</definedName>
    <definedName name="AGAD033204col_UNEMP_INS_BY">Data!$BT$732</definedName>
    <definedName name="AGAD033204col_UNEMP_INS_CHG">Data!$CF$732</definedName>
    <definedName name="AGAD033204col_WORKERS_COMP">Data!$BJ$732</definedName>
    <definedName name="AGAD033204col_WORKERS_COMP_BY">Data!$BV$732</definedName>
    <definedName name="AGAD033204col_WORKERS_COMP_CHG">Data!$CH$732</definedName>
    <definedName name="AGAD033208col_1_27TH_PP">Data!$BA$734</definedName>
    <definedName name="AGAD033208col_DHR">Data!$BI$734</definedName>
    <definedName name="AGAD033208col_DHR_BY">Data!$BU$734</definedName>
    <definedName name="AGAD033208col_DHR_CHG">Data!$CG$734</definedName>
    <definedName name="AGAD033208col_FTI_SALARY_ELECT">Data!$AZ$734</definedName>
    <definedName name="AGAD033208col_FTI_SALARY_PERM">Data!$AY$734</definedName>
    <definedName name="AGAD033208col_FTI_SALARY_SSDI">Data!$AX$734</definedName>
    <definedName name="AGAD033208col_Group_Ben">Data!$CM$734</definedName>
    <definedName name="AGAD033208col_Group_Salary">Data!$CL$734</definedName>
    <definedName name="AGAD033208col_HEALTH_ELECT">Data!$BC$734</definedName>
    <definedName name="AGAD033208col_HEALTH_ELECT_BY">Data!$BO$734</definedName>
    <definedName name="AGAD033208col_HEALTH_ELECT_CHG">Data!$CA$734</definedName>
    <definedName name="AGAD033208col_HEALTH_PERM">Data!$BB$734</definedName>
    <definedName name="AGAD033208col_HEALTH_PERM_BY">Data!$BN$734</definedName>
    <definedName name="AGAD033208col_HEALTH_PERM_CHG">Data!$BZ$734</definedName>
    <definedName name="AGAD033208col_INC_FTI">Data!$AS$734</definedName>
    <definedName name="AGAD033208col_LIFE_INS">Data!$BG$734</definedName>
    <definedName name="AGAD033208col_LIFE_INS_BY">Data!$BS$734</definedName>
    <definedName name="AGAD033208col_LIFE_INS_CHG">Data!$CE$734</definedName>
    <definedName name="AGAD033208col_RETIREMENT">Data!$BF$734</definedName>
    <definedName name="AGAD033208col_RETIREMENT_BY">Data!$BR$734</definedName>
    <definedName name="AGAD033208col_RETIREMENT_CHG">Data!$CD$734</definedName>
    <definedName name="AGAD033208col_ROWS_PER_PCN">Data!$AW$734</definedName>
    <definedName name="AGAD033208col_SICK">Data!$BK$734</definedName>
    <definedName name="AGAD033208col_SICK_BY">Data!$BW$734</definedName>
    <definedName name="AGAD033208col_SICK_CHG">Data!$CI$734</definedName>
    <definedName name="AGAD033208col_SSDI">Data!$BD$734</definedName>
    <definedName name="AGAD033208col_SSDI_BY">Data!$BP$734</definedName>
    <definedName name="AGAD033208col_SSDI_CHG">Data!$CB$734</definedName>
    <definedName name="AGAD033208col_SSHI">Data!$BE$734</definedName>
    <definedName name="AGAD033208col_SSHI_BY">Data!$BQ$734</definedName>
    <definedName name="AGAD033208col_SSHI_CHGv">Data!$CC$734</definedName>
    <definedName name="AGAD033208col_TOT_VB_ELECT">Data!$BM$734</definedName>
    <definedName name="AGAD033208col_TOT_VB_ELECT_BY">Data!$BY$734</definedName>
    <definedName name="AGAD033208col_TOT_VB_ELECT_CHG">Data!$CK$734</definedName>
    <definedName name="AGAD033208col_TOT_VB_PERM">Data!$BL$734</definedName>
    <definedName name="AGAD033208col_TOT_VB_PERM_BY">Data!$BX$734</definedName>
    <definedName name="AGAD033208col_TOT_VB_PERM_CHG">Data!$CJ$734</definedName>
    <definedName name="AGAD033208col_TOTAL_ELECT_PCN_FTI">Data!$AT$734</definedName>
    <definedName name="AGAD033208col_TOTAL_ELECT_PCN_FTI_ALT">Data!$AV$734</definedName>
    <definedName name="AGAD033208col_TOTAL_PERM_PCN_FTI">Data!$AU$734</definedName>
    <definedName name="AGAD033208col_UNEMP_INS">Data!$BH$734</definedName>
    <definedName name="AGAD033208col_UNEMP_INS_BY">Data!$BT$734</definedName>
    <definedName name="AGAD033208col_UNEMP_INS_CHG">Data!$CF$734</definedName>
    <definedName name="AGAD033208col_WORKERS_COMP">Data!$BJ$734</definedName>
    <definedName name="AGAD033208col_WORKERS_COMP_BY">Data!$BV$734</definedName>
    <definedName name="AGAD033208col_WORKERS_COMP_CHG">Data!$CH$734</definedName>
    <definedName name="AGAE000100col_1_27TH_PP">Data!$BA$736</definedName>
    <definedName name="AGAE000100col_DHR">Data!$BI$736</definedName>
    <definedName name="AGAE000100col_DHR_BY">Data!$BU$736</definedName>
    <definedName name="AGAE000100col_DHR_CHG">Data!$CG$736</definedName>
    <definedName name="AGAE000100col_FTI_SALARY_ELECT">Data!$AZ$736</definedName>
    <definedName name="AGAE000100col_FTI_SALARY_PERM">Data!$AY$736</definedName>
    <definedName name="AGAE000100col_FTI_SALARY_SSDI">Data!$AX$736</definedName>
    <definedName name="AGAE000100col_Group_Ben">Data!$CM$736</definedName>
    <definedName name="AGAE000100col_Group_Salary">Data!$CL$736</definedName>
    <definedName name="AGAE000100col_HEALTH_ELECT">Data!$BC$736</definedName>
    <definedName name="AGAE000100col_HEALTH_ELECT_BY">Data!$BO$736</definedName>
    <definedName name="AGAE000100col_HEALTH_ELECT_CHG">Data!$CA$736</definedName>
    <definedName name="AGAE000100col_HEALTH_PERM">Data!$BB$736</definedName>
    <definedName name="AGAE000100col_HEALTH_PERM_BY">Data!$BN$736</definedName>
    <definedName name="AGAE000100col_HEALTH_PERM_CHG">Data!$BZ$736</definedName>
    <definedName name="AGAE000100col_INC_FTI">Data!$AS$736</definedName>
    <definedName name="AGAE000100col_LIFE_INS">Data!$BG$736</definedName>
    <definedName name="AGAE000100col_LIFE_INS_BY">Data!$BS$736</definedName>
    <definedName name="AGAE000100col_LIFE_INS_CHG">Data!$CE$736</definedName>
    <definedName name="AGAE000100col_RETIREMENT">Data!$BF$736</definedName>
    <definedName name="AGAE000100col_RETIREMENT_BY">Data!$BR$736</definedName>
    <definedName name="AGAE000100col_RETIREMENT_CHG">Data!$CD$736</definedName>
    <definedName name="AGAE000100col_ROWS_PER_PCN">Data!$AW$736</definedName>
    <definedName name="AGAE000100col_SICK">Data!$BK$736</definedName>
    <definedName name="AGAE000100col_SICK_BY">Data!$BW$736</definedName>
    <definedName name="AGAE000100col_SICK_CHG">Data!$CI$736</definedName>
    <definedName name="AGAE000100col_SSDI">Data!$BD$736</definedName>
    <definedName name="AGAE000100col_SSDI_BY">Data!$BP$736</definedName>
    <definedName name="AGAE000100col_SSDI_CHG">Data!$CB$736</definedName>
    <definedName name="AGAE000100col_SSHI">Data!$BE$736</definedName>
    <definedName name="AGAE000100col_SSHI_BY">Data!$BQ$736</definedName>
    <definedName name="AGAE000100col_SSHI_CHGv">Data!$CC$736</definedName>
    <definedName name="AGAE000100col_TOT_VB_ELECT">Data!$BM$736</definedName>
    <definedName name="AGAE000100col_TOT_VB_ELECT_BY">Data!$BY$736</definedName>
    <definedName name="AGAE000100col_TOT_VB_ELECT_CHG">Data!$CK$736</definedName>
    <definedName name="AGAE000100col_TOT_VB_PERM">Data!$BL$736</definedName>
    <definedName name="AGAE000100col_TOT_VB_PERM_BY">Data!$BX$736</definedName>
    <definedName name="AGAE000100col_TOT_VB_PERM_CHG">Data!$CJ$736</definedName>
    <definedName name="AGAE000100col_TOTAL_ELECT_PCN_FTI">Data!$AT$736</definedName>
    <definedName name="AGAE000100col_TOTAL_ELECT_PCN_FTI_ALT">Data!$AV$736</definedName>
    <definedName name="AGAE000100col_TOTAL_PERM_PCN_FTI">Data!$AU$736</definedName>
    <definedName name="AGAE000100col_UNEMP_INS">Data!$BH$736</definedName>
    <definedName name="AGAE000100col_UNEMP_INS_BY">Data!$BT$736</definedName>
    <definedName name="AGAE000100col_UNEMP_INS_CHG">Data!$CF$736</definedName>
    <definedName name="AGAE000100col_WORKERS_COMP">Data!$BJ$736</definedName>
    <definedName name="AGAE000100col_WORKERS_COMP_BY">Data!$BV$736</definedName>
    <definedName name="AGAE000100col_WORKERS_COMP_CHG">Data!$CH$736</definedName>
    <definedName name="AGAE033012col_1_27TH_PP">Data!$BA$738</definedName>
    <definedName name="AGAE033012col_DHR">Data!$BI$738</definedName>
    <definedName name="AGAE033012col_DHR_BY">Data!$BU$738</definedName>
    <definedName name="AGAE033012col_DHR_CHG">Data!$CG$738</definedName>
    <definedName name="AGAE033012col_FTI_SALARY_ELECT">Data!$AZ$738</definedName>
    <definedName name="AGAE033012col_FTI_SALARY_PERM">Data!$AY$738</definedName>
    <definedName name="AGAE033012col_FTI_SALARY_SSDI">Data!$AX$738</definedName>
    <definedName name="AGAE033012col_Group_Ben">Data!$CM$738</definedName>
    <definedName name="AGAE033012col_Group_Salary">Data!$CL$738</definedName>
    <definedName name="AGAE033012col_HEALTH_ELECT">Data!$BC$738</definedName>
    <definedName name="AGAE033012col_HEALTH_ELECT_BY">Data!$BO$738</definedName>
    <definedName name="AGAE033012col_HEALTH_ELECT_CHG">Data!$CA$738</definedName>
    <definedName name="AGAE033012col_HEALTH_PERM">Data!$BB$738</definedName>
    <definedName name="AGAE033012col_HEALTH_PERM_BY">Data!$BN$738</definedName>
    <definedName name="AGAE033012col_HEALTH_PERM_CHG">Data!$BZ$738</definedName>
    <definedName name="AGAE033012col_INC_FTI">Data!$AS$738</definedName>
    <definedName name="AGAE033012col_LIFE_INS">Data!$BG$738</definedName>
    <definedName name="AGAE033012col_LIFE_INS_BY">Data!$BS$738</definedName>
    <definedName name="AGAE033012col_LIFE_INS_CHG">Data!$CE$738</definedName>
    <definedName name="AGAE033012col_RETIREMENT">Data!$BF$738</definedName>
    <definedName name="AGAE033012col_RETIREMENT_BY">Data!$BR$738</definedName>
    <definedName name="AGAE033012col_RETIREMENT_CHG">Data!$CD$738</definedName>
    <definedName name="AGAE033012col_ROWS_PER_PCN">Data!$AW$738</definedName>
    <definedName name="AGAE033012col_SICK">Data!$BK$738</definedName>
    <definedName name="AGAE033012col_SICK_BY">Data!$BW$738</definedName>
    <definedName name="AGAE033012col_SICK_CHG">Data!$CI$738</definedName>
    <definedName name="AGAE033012col_SSDI">Data!$BD$738</definedName>
    <definedName name="AGAE033012col_SSDI_BY">Data!$BP$738</definedName>
    <definedName name="AGAE033012col_SSDI_CHG">Data!$CB$738</definedName>
    <definedName name="AGAE033012col_SSHI">Data!$BE$738</definedName>
    <definedName name="AGAE033012col_SSHI_BY">Data!$BQ$738</definedName>
    <definedName name="AGAE033012col_SSHI_CHGv">Data!$CC$738</definedName>
    <definedName name="AGAE033012col_TOT_VB_ELECT">Data!$BM$738</definedName>
    <definedName name="AGAE033012col_TOT_VB_ELECT_BY">Data!$BY$738</definedName>
    <definedName name="AGAE033012col_TOT_VB_ELECT_CHG">Data!$CK$738</definedName>
    <definedName name="AGAE033012col_TOT_VB_PERM">Data!$BL$738</definedName>
    <definedName name="AGAE033012col_TOT_VB_PERM_BY">Data!$BX$738</definedName>
    <definedName name="AGAE033012col_TOT_VB_PERM_CHG">Data!$CJ$738</definedName>
    <definedName name="AGAE033012col_TOTAL_ELECT_PCN_FTI">Data!$AT$738</definedName>
    <definedName name="AGAE033012col_TOTAL_ELECT_PCN_FTI_ALT">Data!$AV$738</definedName>
    <definedName name="AGAE033012col_TOTAL_PERM_PCN_FTI">Data!$AU$738</definedName>
    <definedName name="AGAE033012col_UNEMP_INS">Data!$BH$738</definedName>
    <definedName name="AGAE033012col_UNEMP_INS_BY">Data!$BT$738</definedName>
    <definedName name="AGAE033012col_UNEMP_INS_CHG">Data!$CF$738</definedName>
    <definedName name="AGAE033012col_WORKERS_COMP">Data!$BJ$738</definedName>
    <definedName name="AGAE033012col_WORKERS_COMP_BY">Data!$BV$738</definedName>
    <definedName name="AGAE033012col_WORKERS_COMP_CHG">Data!$CH$738</definedName>
    <definedName name="AGAE033210col_1_27TH_PP">Data!$BA$740</definedName>
    <definedName name="AGAE033210col_DHR">Data!$BI$740</definedName>
    <definedName name="AGAE033210col_DHR_BY">Data!$BU$740</definedName>
    <definedName name="AGAE033210col_DHR_CHG">Data!$CG$740</definedName>
    <definedName name="AGAE033210col_FTI_SALARY_ELECT">Data!$AZ$740</definedName>
    <definedName name="AGAE033210col_FTI_SALARY_PERM">Data!$AY$740</definedName>
    <definedName name="AGAE033210col_FTI_SALARY_SSDI">Data!$AX$740</definedName>
    <definedName name="AGAE033210col_Group_Ben">Data!$CM$740</definedName>
    <definedName name="AGAE033210col_Group_Salary">Data!$CL$740</definedName>
    <definedName name="AGAE033210col_HEALTH_ELECT">Data!$BC$740</definedName>
    <definedName name="AGAE033210col_HEALTH_ELECT_BY">Data!$BO$740</definedName>
    <definedName name="AGAE033210col_HEALTH_ELECT_CHG">Data!$CA$740</definedName>
    <definedName name="AGAE033210col_HEALTH_PERM">Data!$BB$740</definedName>
    <definedName name="AGAE033210col_HEALTH_PERM_BY">Data!$BN$740</definedName>
    <definedName name="AGAE033210col_HEALTH_PERM_CHG">Data!$BZ$740</definedName>
    <definedName name="AGAE033210col_INC_FTI">Data!$AS$740</definedName>
    <definedName name="AGAE033210col_LIFE_INS">Data!$BG$740</definedName>
    <definedName name="AGAE033210col_LIFE_INS_BY">Data!$BS$740</definedName>
    <definedName name="AGAE033210col_LIFE_INS_CHG">Data!$CE$740</definedName>
    <definedName name="AGAE033210col_RETIREMENT">Data!$BF$740</definedName>
    <definedName name="AGAE033210col_RETIREMENT_BY">Data!$BR$740</definedName>
    <definedName name="AGAE033210col_RETIREMENT_CHG">Data!$CD$740</definedName>
    <definedName name="AGAE033210col_ROWS_PER_PCN">Data!$AW$740</definedName>
    <definedName name="AGAE033210col_SICK">Data!$BK$740</definedName>
    <definedName name="AGAE033210col_SICK_BY">Data!$BW$740</definedName>
    <definedName name="AGAE033210col_SICK_CHG">Data!$CI$740</definedName>
    <definedName name="AGAE033210col_SSDI">Data!$BD$740</definedName>
    <definedName name="AGAE033210col_SSDI_BY">Data!$BP$740</definedName>
    <definedName name="AGAE033210col_SSDI_CHG">Data!$CB$740</definedName>
    <definedName name="AGAE033210col_SSHI">Data!$BE$740</definedName>
    <definedName name="AGAE033210col_SSHI_BY">Data!$BQ$740</definedName>
    <definedName name="AGAE033210col_SSHI_CHGv">Data!$CC$740</definedName>
    <definedName name="AGAE033210col_TOT_VB_ELECT">Data!$BM$740</definedName>
    <definedName name="AGAE033210col_TOT_VB_ELECT_BY">Data!$BY$740</definedName>
    <definedName name="AGAE033210col_TOT_VB_ELECT_CHG">Data!$CK$740</definedName>
    <definedName name="AGAE033210col_TOT_VB_PERM">Data!$BL$740</definedName>
    <definedName name="AGAE033210col_TOT_VB_PERM_BY">Data!$BX$740</definedName>
    <definedName name="AGAE033210col_TOT_VB_PERM_CHG">Data!$CJ$740</definedName>
    <definedName name="AGAE033210col_TOTAL_ELECT_PCN_FTI">Data!$AT$740</definedName>
    <definedName name="AGAE033210col_TOTAL_ELECT_PCN_FTI_ALT">Data!$AV$740</definedName>
    <definedName name="AGAE033210col_TOTAL_PERM_PCN_FTI">Data!$AU$740</definedName>
    <definedName name="AGAE033210col_UNEMP_INS">Data!$BH$740</definedName>
    <definedName name="AGAE033210col_UNEMP_INS_BY">Data!$BT$740</definedName>
    <definedName name="AGAE033210col_UNEMP_INS_CHG">Data!$CF$740</definedName>
    <definedName name="AGAE033210col_WORKERS_COMP">Data!$BJ$740</definedName>
    <definedName name="AGAE033210col_WORKERS_COMP_BY">Data!$BV$740</definedName>
    <definedName name="AGAE033210col_WORKERS_COMP_CHG">Data!$CH$740</definedName>
    <definedName name="AGAF000100col_1_27TH_PP">Data!$BA$742</definedName>
    <definedName name="AGAF000100col_DHR">Data!$BI$742</definedName>
    <definedName name="AGAF000100col_DHR_BY">Data!$BU$742</definedName>
    <definedName name="AGAF000100col_DHR_CHG">Data!$CG$742</definedName>
    <definedName name="AGAF000100col_FTI_SALARY_ELECT">Data!$AZ$742</definedName>
    <definedName name="AGAF000100col_FTI_SALARY_PERM">Data!$AY$742</definedName>
    <definedName name="AGAF000100col_FTI_SALARY_SSDI">Data!$AX$742</definedName>
    <definedName name="AGAF000100col_Group_Ben">Data!$CM$742</definedName>
    <definedName name="AGAF000100col_Group_Salary">Data!$CL$742</definedName>
    <definedName name="AGAF000100col_HEALTH_ELECT">Data!$BC$742</definedName>
    <definedName name="AGAF000100col_HEALTH_ELECT_BY">Data!$BO$742</definedName>
    <definedName name="AGAF000100col_HEALTH_ELECT_CHG">Data!$CA$742</definedName>
    <definedName name="AGAF000100col_HEALTH_PERM">Data!$BB$742</definedName>
    <definedName name="AGAF000100col_HEALTH_PERM_BY">Data!$BN$742</definedName>
    <definedName name="AGAF000100col_HEALTH_PERM_CHG">Data!$BZ$742</definedName>
    <definedName name="AGAF000100col_INC_FTI">Data!$AS$742</definedName>
    <definedName name="AGAF000100col_LIFE_INS">Data!$BG$742</definedName>
    <definedName name="AGAF000100col_LIFE_INS_BY">Data!$BS$742</definedName>
    <definedName name="AGAF000100col_LIFE_INS_CHG">Data!$CE$742</definedName>
    <definedName name="AGAF000100col_RETIREMENT">Data!$BF$742</definedName>
    <definedName name="AGAF000100col_RETIREMENT_BY">Data!$BR$742</definedName>
    <definedName name="AGAF000100col_RETIREMENT_CHG">Data!$CD$742</definedName>
    <definedName name="AGAF000100col_ROWS_PER_PCN">Data!$AW$742</definedName>
    <definedName name="AGAF000100col_SICK">Data!$BK$742</definedName>
    <definedName name="AGAF000100col_SICK_BY">Data!$BW$742</definedName>
    <definedName name="AGAF000100col_SICK_CHG">Data!$CI$742</definedName>
    <definedName name="AGAF000100col_SSDI">Data!$BD$742</definedName>
    <definedName name="AGAF000100col_SSDI_BY">Data!$BP$742</definedName>
    <definedName name="AGAF000100col_SSDI_CHG">Data!$CB$742</definedName>
    <definedName name="AGAF000100col_SSHI">Data!$BE$742</definedName>
    <definedName name="AGAF000100col_SSHI_BY">Data!$BQ$742</definedName>
    <definedName name="AGAF000100col_SSHI_CHGv">Data!$CC$742</definedName>
    <definedName name="AGAF000100col_TOT_VB_ELECT">Data!$BM$742</definedName>
    <definedName name="AGAF000100col_TOT_VB_ELECT_BY">Data!$BY$742</definedName>
    <definedName name="AGAF000100col_TOT_VB_ELECT_CHG">Data!$CK$742</definedName>
    <definedName name="AGAF000100col_TOT_VB_PERM">Data!$BL$742</definedName>
    <definedName name="AGAF000100col_TOT_VB_PERM_BY">Data!$BX$742</definedName>
    <definedName name="AGAF000100col_TOT_VB_PERM_CHG">Data!$CJ$742</definedName>
    <definedName name="AGAF000100col_TOTAL_ELECT_PCN_FTI">Data!$AT$742</definedName>
    <definedName name="AGAF000100col_TOTAL_ELECT_PCN_FTI_ALT">Data!$AV$742</definedName>
    <definedName name="AGAF000100col_TOTAL_PERM_PCN_FTI">Data!$AU$742</definedName>
    <definedName name="AGAF000100col_UNEMP_INS">Data!$BH$742</definedName>
    <definedName name="AGAF000100col_UNEMP_INS_BY">Data!$BT$742</definedName>
    <definedName name="AGAF000100col_UNEMP_INS_CHG">Data!$CF$742</definedName>
    <definedName name="AGAF000100col_WORKERS_COMP">Data!$BJ$742</definedName>
    <definedName name="AGAF000100col_WORKERS_COMP_BY">Data!$BV$742</definedName>
    <definedName name="AGAF000100col_WORKERS_COMP_CHG">Data!$CH$742</definedName>
    <definedName name="AGAF033000col_1_27TH_PP">Data!$BA$745</definedName>
    <definedName name="AGAF033000col_DHR">Data!$BI$745</definedName>
    <definedName name="AGAF033000col_DHR_BY">Data!$BU$745</definedName>
    <definedName name="AGAF033000col_DHR_CHG">Data!$CG$745</definedName>
    <definedName name="AGAF033000col_FTI_SALARY_ELECT">Data!$AZ$745</definedName>
    <definedName name="AGAF033000col_FTI_SALARY_PERM">Data!$AY$745</definedName>
    <definedName name="AGAF033000col_FTI_SALARY_SSDI">Data!$AX$745</definedName>
    <definedName name="AGAF033000col_Group_Ben">Data!$CM$745</definedName>
    <definedName name="AGAF033000col_Group_Salary">Data!$CL$745</definedName>
    <definedName name="AGAF033000col_HEALTH_ELECT">Data!$BC$745</definedName>
    <definedName name="AGAF033000col_HEALTH_ELECT_BY">Data!$BO$745</definedName>
    <definedName name="AGAF033000col_HEALTH_ELECT_CHG">Data!$CA$745</definedName>
    <definedName name="AGAF033000col_HEALTH_PERM">Data!$BB$745</definedName>
    <definedName name="AGAF033000col_HEALTH_PERM_BY">Data!$BN$745</definedName>
    <definedName name="AGAF033000col_HEALTH_PERM_CHG">Data!$BZ$745</definedName>
    <definedName name="AGAF033000col_INC_FTI">Data!$AS$745</definedName>
    <definedName name="AGAF033000col_LIFE_INS">Data!$BG$745</definedName>
    <definedName name="AGAF033000col_LIFE_INS_BY">Data!$BS$745</definedName>
    <definedName name="AGAF033000col_LIFE_INS_CHG">Data!$CE$745</definedName>
    <definedName name="AGAF033000col_RETIREMENT">Data!$BF$745</definedName>
    <definedName name="AGAF033000col_RETIREMENT_BY">Data!$BR$745</definedName>
    <definedName name="AGAF033000col_RETIREMENT_CHG">Data!$CD$745</definedName>
    <definedName name="AGAF033000col_ROWS_PER_PCN">Data!$AW$745</definedName>
    <definedName name="AGAF033000col_SICK">Data!$BK$745</definedName>
    <definedName name="AGAF033000col_SICK_BY">Data!$BW$745</definedName>
    <definedName name="AGAF033000col_SICK_CHG">Data!$CI$745</definedName>
    <definedName name="AGAF033000col_SSDI">Data!$BD$745</definedName>
    <definedName name="AGAF033000col_SSDI_BY">Data!$BP$745</definedName>
    <definedName name="AGAF033000col_SSDI_CHG">Data!$CB$745</definedName>
    <definedName name="AGAF033000col_SSHI">Data!$BE$745</definedName>
    <definedName name="AGAF033000col_SSHI_BY">Data!$BQ$745</definedName>
    <definedName name="AGAF033000col_SSHI_CHGv">Data!$CC$745</definedName>
    <definedName name="AGAF033000col_TOT_VB_ELECT">Data!$BM$745</definedName>
    <definedName name="AGAF033000col_TOT_VB_ELECT_BY">Data!$BY$745</definedName>
    <definedName name="AGAF033000col_TOT_VB_ELECT_CHG">Data!$CK$745</definedName>
    <definedName name="AGAF033000col_TOT_VB_PERM">Data!$BL$745</definedName>
    <definedName name="AGAF033000col_TOT_VB_PERM_BY">Data!$BX$745</definedName>
    <definedName name="AGAF033000col_TOT_VB_PERM_CHG">Data!$CJ$745</definedName>
    <definedName name="AGAF033000col_TOTAL_ELECT_PCN_FTI">Data!$AT$745</definedName>
    <definedName name="AGAF033000col_TOTAL_ELECT_PCN_FTI_ALT">Data!$AV$745</definedName>
    <definedName name="AGAF033000col_TOTAL_PERM_PCN_FTI">Data!$AU$745</definedName>
    <definedName name="AGAF033000col_UNEMP_INS">Data!$BH$745</definedName>
    <definedName name="AGAF033000col_UNEMP_INS_BY">Data!$BT$745</definedName>
    <definedName name="AGAF033000col_UNEMP_INS_CHG">Data!$CF$745</definedName>
    <definedName name="AGAF033000col_WORKERS_COMP">Data!$BJ$745</definedName>
    <definedName name="AGAF033000col_WORKERS_COMP_BY">Data!$BV$745</definedName>
    <definedName name="AGAF033000col_WORKERS_COMP_CHG">Data!$CH$745</definedName>
    <definedName name="AGAF049000col_1_27TH_PP">Data!$BA$747</definedName>
    <definedName name="AGAF049000col_DHR">Data!$BI$747</definedName>
    <definedName name="AGAF049000col_DHR_BY">Data!$BU$747</definedName>
    <definedName name="AGAF049000col_DHR_CHG">Data!$CG$747</definedName>
    <definedName name="AGAF049000col_FTI_SALARY_ELECT">Data!$AZ$747</definedName>
    <definedName name="AGAF049000col_FTI_SALARY_PERM">Data!$AY$747</definedName>
    <definedName name="AGAF049000col_FTI_SALARY_SSDI">Data!$AX$747</definedName>
    <definedName name="AGAF049000col_Group_Ben">Data!$CM$747</definedName>
    <definedName name="AGAF049000col_Group_Salary">Data!$CL$747</definedName>
    <definedName name="AGAF049000col_HEALTH_ELECT">Data!$BC$747</definedName>
    <definedName name="AGAF049000col_HEALTH_ELECT_BY">Data!$BO$747</definedName>
    <definedName name="AGAF049000col_HEALTH_ELECT_CHG">Data!$CA$747</definedName>
    <definedName name="AGAF049000col_HEALTH_PERM">Data!$BB$747</definedName>
    <definedName name="AGAF049000col_HEALTH_PERM_BY">Data!$BN$747</definedName>
    <definedName name="AGAF049000col_HEALTH_PERM_CHG">Data!$BZ$747</definedName>
    <definedName name="AGAF049000col_INC_FTI">Data!$AS$747</definedName>
    <definedName name="AGAF049000col_LIFE_INS">Data!$BG$747</definedName>
    <definedName name="AGAF049000col_LIFE_INS_BY">Data!$BS$747</definedName>
    <definedName name="AGAF049000col_LIFE_INS_CHG">Data!$CE$747</definedName>
    <definedName name="AGAF049000col_RETIREMENT">Data!$BF$747</definedName>
    <definedName name="AGAF049000col_RETIREMENT_BY">Data!$BR$747</definedName>
    <definedName name="AGAF049000col_RETIREMENT_CHG">Data!$CD$747</definedName>
    <definedName name="AGAF049000col_ROWS_PER_PCN">Data!$AW$747</definedName>
    <definedName name="AGAF049000col_SICK">Data!$BK$747</definedName>
    <definedName name="AGAF049000col_SICK_BY">Data!$BW$747</definedName>
    <definedName name="AGAF049000col_SICK_CHG">Data!$CI$747</definedName>
    <definedName name="AGAF049000col_SSDI">Data!$BD$747</definedName>
    <definedName name="AGAF049000col_SSDI_BY">Data!$BP$747</definedName>
    <definedName name="AGAF049000col_SSDI_CHG">Data!$CB$747</definedName>
    <definedName name="AGAF049000col_SSHI">Data!$BE$747</definedName>
    <definedName name="AGAF049000col_SSHI_BY">Data!$BQ$747</definedName>
    <definedName name="AGAF049000col_SSHI_CHGv">Data!$CC$747</definedName>
    <definedName name="AGAF049000col_TOT_VB_ELECT">Data!$BM$747</definedName>
    <definedName name="AGAF049000col_TOT_VB_ELECT_BY">Data!$BY$747</definedName>
    <definedName name="AGAF049000col_TOT_VB_ELECT_CHG">Data!$CK$747</definedName>
    <definedName name="AGAF049000col_TOT_VB_PERM">Data!$BL$747</definedName>
    <definedName name="AGAF049000col_TOT_VB_PERM_BY">Data!$BX$747</definedName>
    <definedName name="AGAF049000col_TOT_VB_PERM_CHG">Data!$CJ$747</definedName>
    <definedName name="AGAF049000col_TOTAL_ELECT_PCN_FTI">Data!$AT$747</definedName>
    <definedName name="AGAF049000col_TOTAL_ELECT_PCN_FTI_ALT">Data!$AV$747</definedName>
    <definedName name="AGAF049000col_TOTAL_PERM_PCN_FTI">Data!$AU$747</definedName>
    <definedName name="AGAF049000col_UNEMP_INS">Data!$BH$747</definedName>
    <definedName name="AGAF049000col_UNEMP_INS_BY">Data!$BT$747</definedName>
    <definedName name="AGAF049000col_UNEMP_INS_CHG">Data!$CF$747</definedName>
    <definedName name="AGAF049000col_WORKERS_COMP">Data!$BJ$747</definedName>
    <definedName name="AGAF049000col_WORKERS_COMP_BY">Data!$BV$747</definedName>
    <definedName name="AGAF049000col_WORKERS_COMP_CHG">Data!$CH$747</definedName>
    <definedName name="AGAH000100col_1_27TH_PP">Data!$BA$749</definedName>
    <definedName name="AGAH000100col_DHR">Data!$BI$749</definedName>
    <definedName name="AGAH000100col_DHR_BY">Data!$BU$749</definedName>
    <definedName name="AGAH000100col_DHR_CHG">Data!$CG$749</definedName>
    <definedName name="AGAH000100col_FTI_SALARY_ELECT">Data!$AZ$749</definedName>
    <definedName name="AGAH000100col_FTI_SALARY_PERM">Data!$AY$749</definedName>
    <definedName name="AGAH000100col_FTI_SALARY_SSDI">Data!$AX$749</definedName>
    <definedName name="AGAH000100col_Group_Ben">Data!$CM$749</definedName>
    <definedName name="AGAH000100col_Group_Salary">Data!$CL$749</definedName>
    <definedName name="AGAH000100col_HEALTH_ELECT">Data!$BC$749</definedName>
    <definedName name="AGAH000100col_HEALTH_ELECT_BY">Data!$BO$749</definedName>
    <definedName name="AGAH000100col_HEALTH_ELECT_CHG">Data!$CA$749</definedName>
    <definedName name="AGAH000100col_HEALTH_PERM">Data!$BB$749</definedName>
    <definedName name="AGAH000100col_HEALTH_PERM_BY">Data!$BN$749</definedName>
    <definedName name="AGAH000100col_HEALTH_PERM_CHG">Data!$BZ$749</definedName>
    <definedName name="AGAH000100col_INC_FTI">Data!$AS$749</definedName>
    <definedName name="AGAH000100col_LIFE_INS">Data!$BG$749</definedName>
    <definedName name="AGAH000100col_LIFE_INS_BY">Data!$BS$749</definedName>
    <definedName name="AGAH000100col_LIFE_INS_CHG">Data!$CE$749</definedName>
    <definedName name="AGAH000100col_RETIREMENT">Data!$BF$749</definedName>
    <definedName name="AGAH000100col_RETIREMENT_BY">Data!$BR$749</definedName>
    <definedName name="AGAH000100col_RETIREMENT_CHG">Data!$CD$749</definedName>
    <definedName name="AGAH000100col_ROWS_PER_PCN">Data!$AW$749</definedName>
    <definedName name="AGAH000100col_SICK">Data!$BK$749</definedName>
    <definedName name="AGAH000100col_SICK_BY">Data!$BW$749</definedName>
    <definedName name="AGAH000100col_SICK_CHG">Data!$CI$749</definedName>
    <definedName name="AGAH000100col_SSDI">Data!$BD$749</definedName>
    <definedName name="AGAH000100col_SSDI_BY">Data!$BP$749</definedName>
    <definedName name="AGAH000100col_SSDI_CHG">Data!$CB$749</definedName>
    <definedName name="AGAH000100col_SSHI">Data!$BE$749</definedName>
    <definedName name="AGAH000100col_SSHI_BY">Data!$BQ$749</definedName>
    <definedName name="AGAH000100col_SSHI_CHGv">Data!$CC$749</definedName>
    <definedName name="AGAH000100col_TOT_VB_ELECT">Data!$BM$749</definedName>
    <definedName name="AGAH000100col_TOT_VB_ELECT_BY">Data!$BY$749</definedName>
    <definedName name="AGAH000100col_TOT_VB_ELECT_CHG">Data!$CK$749</definedName>
    <definedName name="AGAH000100col_TOT_VB_PERM">Data!$BL$749</definedName>
    <definedName name="AGAH000100col_TOT_VB_PERM_BY">Data!$BX$749</definedName>
    <definedName name="AGAH000100col_TOT_VB_PERM_CHG">Data!$CJ$749</definedName>
    <definedName name="AGAH000100col_TOTAL_ELECT_PCN_FTI">Data!$AT$749</definedName>
    <definedName name="AGAH000100col_TOTAL_ELECT_PCN_FTI_ALT">Data!$AV$749</definedName>
    <definedName name="AGAH000100col_TOTAL_PERM_PCN_FTI">Data!$AU$749</definedName>
    <definedName name="AGAH000100col_UNEMP_INS">Data!$BH$749</definedName>
    <definedName name="AGAH000100col_UNEMP_INS_BY">Data!$BT$749</definedName>
    <definedName name="AGAH000100col_UNEMP_INS_CHG">Data!$CF$749</definedName>
    <definedName name="AGAH000100col_WORKERS_COMP">Data!$BJ$749</definedName>
    <definedName name="AGAH000100col_WORKERS_COMP_BY">Data!$BV$749</definedName>
    <definedName name="AGAH000100col_WORKERS_COMP_CHG">Data!$CH$749</definedName>
    <definedName name="AGAH033203col_1_27TH_PP">Data!$BA$751</definedName>
    <definedName name="AGAH033203col_DHR">Data!$BI$751</definedName>
    <definedName name="AGAH033203col_DHR_BY">Data!$BU$751</definedName>
    <definedName name="AGAH033203col_DHR_CHG">Data!$CG$751</definedName>
    <definedName name="AGAH033203col_FTI_SALARY_ELECT">Data!$AZ$751</definedName>
    <definedName name="AGAH033203col_FTI_SALARY_PERM">Data!$AY$751</definedName>
    <definedName name="AGAH033203col_FTI_SALARY_SSDI">Data!$AX$751</definedName>
    <definedName name="AGAH033203col_Group_Ben">Data!$CM$751</definedName>
    <definedName name="AGAH033203col_Group_Salary">Data!$CL$751</definedName>
    <definedName name="AGAH033203col_HEALTH_ELECT">Data!$BC$751</definedName>
    <definedName name="AGAH033203col_HEALTH_ELECT_BY">Data!$BO$751</definedName>
    <definedName name="AGAH033203col_HEALTH_ELECT_CHG">Data!$CA$751</definedName>
    <definedName name="AGAH033203col_HEALTH_PERM">Data!$BB$751</definedName>
    <definedName name="AGAH033203col_HEALTH_PERM_BY">Data!$BN$751</definedName>
    <definedName name="AGAH033203col_HEALTH_PERM_CHG">Data!$BZ$751</definedName>
    <definedName name="AGAH033203col_INC_FTI">Data!$AS$751</definedName>
    <definedName name="AGAH033203col_LIFE_INS">Data!$BG$751</definedName>
    <definedName name="AGAH033203col_LIFE_INS_BY">Data!$BS$751</definedName>
    <definedName name="AGAH033203col_LIFE_INS_CHG">Data!$CE$751</definedName>
    <definedName name="AGAH033203col_RETIREMENT">Data!$BF$751</definedName>
    <definedName name="AGAH033203col_RETIREMENT_BY">Data!$BR$751</definedName>
    <definedName name="AGAH033203col_RETIREMENT_CHG">Data!$CD$751</definedName>
    <definedName name="AGAH033203col_ROWS_PER_PCN">Data!$AW$751</definedName>
    <definedName name="AGAH033203col_SICK">Data!$BK$751</definedName>
    <definedName name="AGAH033203col_SICK_BY">Data!$BW$751</definedName>
    <definedName name="AGAH033203col_SICK_CHG">Data!$CI$751</definedName>
    <definedName name="AGAH033203col_SSDI">Data!$BD$751</definedName>
    <definedName name="AGAH033203col_SSDI_BY">Data!$BP$751</definedName>
    <definedName name="AGAH033203col_SSDI_CHG">Data!$CB$751</definedName>
    <definedName name="AGAH033203col_SSHI">Data!$BE$751</definedName>
    <definedName name="AGAH033203col_SSHI_BY">Data!$BQ$751</definedName>
    <definedName name="AGAH033203col_SSHI_CHGv">Data!$CC$751</definedName>
    <definedName name="AGAH033203col_TOT_VB_ELECT">Data!$BM$751</definedName>
    <definedName name="AGAH033203col_TOT_VB_ELECT_BY">Data!$BY$751</definedName>
    <definedName name="AGAH033203col_TOT_VB_ELECT_CHG">Data!$CK$751</definedName>
    <definedName name="AGAH033203col_TOT_VB_PERM">Data!$BL$751</definedName>
    <definedName name="AGAH033203col_TOT_VB_PERM_BY">Data!$BX$751</definedName>
    <definedName name="AGAH033203col_TOT_VB_PERM_CHG">Data!$CJ$751</definedName>
    <definedName name="AGAH033203col_TOTAL_ELECT_PCN_FTI">Data!$AT$751</definedName>
    <definedName name="AGAH033203col_TOTAL_ELECT_PCN_FTI_ALT">Data!$AV$751</definedName>
    <definedName name="AGAH033203col_TOTAL_PERM_PCN_FTI">Data!$AU$751</definedName>
    <definedName name="AGAH033203col_UNEMP_INS">Data!$BH$751</definedName>
    <definedName name="AGAH033203col_UNEMP_INS_BY">Data!$BT$751</definedName>
    <definedName name="AGAH033203col_UNEMP_INS_CHG">Data!$CF$751</definedName>
    <definedName name="AGAH033203col_WORKERS_COMP">Data!$BJ$751</definedName>
    <definedName name="AGAH033203col_WORKERS_COMP_BY">Data!$BV$751</definedName>
    <definedName name="AGAH033203col_WORKERS_COMP_CHG">Data!$CH$751</definedName>
    <definedName name="AGAK033100col_1_27TH_PP">Data!$BA$753</definedName>
    <definedName name="AGAK033100col_DHR">Data!$BI$753</definedName>
    <definedName name="AGAK033100col_DHR_BY">Data!$BU$753</definedName>
    <definedName name="AGAK033100col_DHR_CHG">Data!$CG$753</definedName>
    <definedName name="AGAK033100col_FTI_SALARY_ELECT">Data!$AZ$753</definedName>
    <definedName name="AGAK033100col_FTI_SALARY_PERM">Data!$AY$753</definedName>
    <definedName name="AGAK033100col_FTI_SALARY_SSDI">Data!$AX$753</definedName>
    <definedName name="AGAK033100col_Group_Ben">Data!$CM$753</definedName>
    <definedName name="AGAK033100col_Group_Salary">Data!$CL$753</definedName>
    <definedName name="AGAK033100col_HEALTH_ELECT">Data!$BC$753</definedName>
    <definedName name="AGAK033100col_HEALTH_ELECT_BY">Data!$BO$753</definedName>
    <definedName name="AGAK033100col_HEALTH_ELECT_CHG">Data!$CA$753</definedName>
    <definedName name="AGAK033100col_HEALTH_PERM">Data!$BB$753</definedName>
    <definedName name="AGAK033100col_HEALTH_PERM_BY">Data!$BN$753</definedName>
    <definedName name="AGAK033100col_HEALTH_PERM_CHG">Data!$BZ$753</definedName>
    <definedName name="AGAK033100col_INC_FTI">Data!$AS$753</definedName>
    <definedName name="AGAK033100col_LIFE_INS">Data!$BG$753</definedName>
    <definedName name="AGAK033100col_LIFE_INS_BY">Data!$BS$753</definedName>
    <definedName name="AGAK033100col_LIFE_INS_CHG">Data!$CE$753</definedName>
    <definedName name="AGAK033100col_RETIREMENT">Data!$BF$753</definedName>
    <definedName name="AGAK033100col_RETIREMENT_BY">Data!$BR$753</definedName>
    <definedName name="AGAK033100col_RETIREMENT_CHG">Data!$CD$753</definedName>
    <definedName name="AGAK033100col_ROWS_PER_PCN">Data!$AW$753</definedName>
    <definedName name="AGAK033100col_SICK">Data!$BK$753</definedName>
    <definedName name="AGAK033100col_SICK_BY">Data!$BW$753</definedName>
    <definedName name="AGAK033100col_SICK_CHG">Data!$CI$753</definedName>
    <definedName name="AGAK033100col_SSDI">Data!$BD$753</definedName>
    <definedName name="AGAK033100col_SSDI_BY">Data!$BP$753</definedName>
    <definedName name="AGAK033100col_SSDI_CHG">Data!$CB$753</definedName>
    <definedName name="AGAK033100col_SSHI">Data!$BE$753</definedName>
    <definedName name="AGAK033100col_SSHI_BY">Data!$BQ$753</definedName>
    <definedName name="AGAK033100col_SSHI_CHGv">Data!$CC$753</definedName>
    <definedName name="AGAK033100col_TOT_VB_ELECT">Data!$BM$753</definedName>
    <definedName name="AGAK033100col_TOT_VB_ELECT_BY">Data!$BY$753</definedName>
    <definedName name="AGAK033100col_TOT_VB_ELECT_CHG">Data!$CK$753</definedName>
    <definedName name="AGAK033100col_TOT_VB_PERM">Data!$BL$753</definedName>
    <definedName name="AGAK033100col_TOT_VB_PERM_BY">Data!$BX$753</definedName>
    <definedName name="AGAK033100col_TOT_VB_PERM_CHG">Data!$CJ$753</definedName>
    <definedName name="AGAK033100col_TOTAL_ELECT_PCN_FTI">Data!$AT$753</definedName>
    <definedName name="AGAK033100col_TOTAL_ELECT_PCN_FTI_ALT">Data!$AV$753</definedName>
    <definedName name="AGAK033100col_TOTAL_PERM_PCN_FTI">Data!$AU$753</definedName>
    <definedName name="AGAK033100col_UNEMP_INS">Data!$BH$753</definedName>
    <definedName name="AGAK033100col_UNEMP_INS_BY">Data!$BT$753</definedName>
    <definedName name="AGAK033100col_UNEMP_INS_CHG">Data!$CF$753</definedName>
    <definedName name="AGAK033100col_WORKERS_COMP">Data!$BJ$753</definedName>
    <definedName name="AGAK033100col_WORKERS_COMP_BY">Data!$BV$753</definedName>
    <definedName name="AGAK033100col_WORKERS_COMP_CHG">Data!$CH$753</definedName>
    <definedName name="AGAL048600col_1_27TH_PP">Data!$BA$755</definedName>
    <definedName name="AGAL048600col_DHR">Data!$BI$755</definedName>
    <definedName name="AGAL048600col_DHR_BY">Data!$BU$755</definedName>
    <definedName name="AGAL048600col_DHR_CHG">Data!$CG$755</definedName>
    <definedName name="AGAL048600col_FTI_SALARY_ELECT">Data!$AZ$755</definedName>
    <definedName name="AGAL048600col_FTI_SALARY_PERM">Data!$AY$755</definedName>
    <definedName name="AGAL048600col_FTI_SALARY_SSDI">Data!$AX$755</definedName>
    <definedName name="AGAL048600col_Group_Ben">Data!$CM$755</definedName>
    <definedName name="AGAL048600col_Group_Salary">Data!$CL$755</definedName>
    <definedName name="AGAL048600col_HEALTH_ELECT">Data!$BC$755</definedName>
    <definedName name="AGAL048600col_HEALTH_ELECT_BY">Data!$BO$755</definedName>
    <definedName name="AGAL048600col_HEALTH_ELECT_CHG">Data!$CA$755</definedName>
    <definedName name="AGAL048600col_HEALTH_PERM">Data!$BB$755</definedName>
    <definedName name="AGAL048600col_HEALTH_PERM_BY">Data!$BN$755</definedName>
    <definedName name="AGAL048600col_HEALTH_PERM_CHG">Data!$BZ$755</definedName>
    <definedName name="AGAL048600col_INC_FTI">Data!$AS$755</definedName>
    <definedName name="AGAL048600col_LIFE_INS">Data!$BG$755</definedName>
    <definedName name="AGAL048600col_LIFE_INS_BY">Data!$BS$755</definedName>
    <definedName name="AGAL048600col_LIFE_INS_CHG">Data!$CE$755</definedName>
    <definedName name="AGAL048600col_RETIREMENT">Data!$BF$755</definedName>
    <definedName name="AGAL048600col_RETIREMENT_BY">Data!$BR$755</definedName>
    <definedName name="AGAL048600col_RETIREMENT_CHG">Data!$CD$755</definedName>
    <definedName name="AGAL048600col_ROWS_PER_PCN">Data!$AW$755</definedName>
    <definedName name="AGAL048600col_SICK">Data!$BK$755</definedName>
    <definedName name="AGAL048600col_SICK_BY">Data!$BW$755</definedName>
    <definedName name="AGAL048600col_SICK_CHG">Data!$CI$755</definedName>
    <definedName name="AGAL048600col_SSDI">Data!$BD$755</definedName>
    <definedName name="AGAL048600col_SSDI_BY">Data!$BP$755</definedName>
    <definedName name="AGAL048600col_SSDI_CHG">Data!$CB$755</definedName>
    <definedName name="AGAL048600col_SSHI">Data!$BE$755</definedName>
    <definedName name="AGAL048600col_SSHI_BY">Data!$BQ$755</definedName>
    <definedName name="AGAL048600col_SSHI_CHGv">Data!$CC$755</definedName>
    <definedName name="AGAL048600col_TOT_VB_ELECT">Data!$BM$755</definedName>
    <definedName name="AGAL048600col_TOT_VB_ELECT_BY">Data!$BY$755</definedName>
    <definedName name="AGAL048600col_TOT_VB_ELECT_CHG">Data!$CK$755</definedName>
    <definedName name="AGAL048600col_TOT_VB_PERM">Data!$BL$755</definedName>
    <definedName name="AGAL048600col_TOT_VB_PERM_BY">Data!$BX$755</definedName>
    <definedName name="AGAL048600col_TOT_VB_PERM_CHG">Data!$CJ$755</definedName>
    <definedName name="AGAL048600col_TOTAL_ELECT_PCN_FTI">Data!$AT$755</definedName>
    <definedName name="AGAL048600col_TOTAL_ELECT_PCN_FTI_ALT">Data!$AV$755</definedName>
    <definedName name="AGAL048600col_TOTAL_PERM_PCN_FTI">Data!$AU$755</definedName>
    <definedName name="AGAL048600col_UNEMP_INS">Data!$BH$755</definedName>
    <definedName name="AGAL048600col_UNEMP_INS_BY">Data!$BT$755</definedName>
    <definedName name="AGAL048600col_UNEMP_INS_CHG">Data!$CF$755</definedName>
    <definedName name="AGAL048600col_WORKERS_COMP">Data!$BJ$755</definedName>
    <definedName name="AGAL048600col_WORKERS_COMP_BY">Data!$BV$755</definedName>
    <definedName name="AGAL048600col_WORKERS_COMP_CHG">Data!$CH$755</definedName>
    <definedName name="AGAM034800col_1_27TH_PP">Data!$BA$757</definedName>
    <definedName name="AGAM034800col_DHR">Data!$BI$757</definedName>
    <definedName name="AGAM034800col_DHR_BY">Data!$BU$757</definedName>
    <definedName name="AGAM034800col_DHR_CHG">Data!$CG$757</definedName>
    <definedName name="AGAM034800col_FTI_SALARY_ELECT">Data!$AZ$757</definedName>
    <definedName name="AGAM034800col_FTI_SALARY_PERM">Data!$AY$757</definedName>
    <definedName name="AGAM034800col_FTI_SALARY_SSDI">Data!$AX$757</definedName>
    <definedName name="AGAM034800col_Group_Ben">Data!$CM$757</definedName>
    <definedName name="AGAM034800col_Group_Salary">Data!$CL$757</definedName>
    <definedName name="AGAM034800col_HEALTH_ELECT">Data!$BC$757</definedName>
    <definedName name="AGAM034800col_HEALTH_ELECT_BY">Data!$BO$757</definedName>
    <definedName name="AGAM034800col_HEALTH_ELECT_CHG">Data!$CA$757</definedName>
    <definedName name="AGAM034800col_HEALTH_PERM">Data!$BB$757</definedName>
    <definedName name="AGAM034800col_HEALTH_PERM_BY">Data!$BN$757</definedName>
    <definedName name="AGAM034800col_HEALTH_PERM_CHG">Data!$BZ$757</definedName>
    <definedName name="AGAM034800col_INC_FTI">Data!$AS$757</definedName>
    <definedName name="AGAM034800col_LIFE_INS">Data!$BG$757</definedName>
    <definedName name="AGAM034800col_LIFE_INS_BY">Data!$BS$757</definedName>
    <definedName name="AGAM034800col_LIFE_INS_CHG">Data!$CE$757</definedName>
    <definedName name="AGAM034800col_RETIREMENT">Data!$BF$757</definedName>
    <definedName name="AGAM034800col_RETIREMENT_BY">Data!$BR$757</definedName>
    <definedName name="AGAM034800col_RETIREMENT_CHG">Data!$CD$757</definedName>
    <definedName name="AGAM034800col_ROWS_PER_PCN">Data!$AW$757</definedName>
    <definedName name="AGAM034800col_SICK">Data!$BK$757</definedName>
    <definedName name="AGAM034800col_SICK_BY">Data!$BW$757</definedName>
    <definedName name="AGAM034800col_SICK_CHG">Data!$CI$757</definedName>
    <definedName name="AGAM034800col_SSDI">Data!$BD$757</definedName>
    <definedName name="AGAM034800col_SSDI_BY">Data!$BP$757</definedName>
    <definedName name="AGAM034800col_SSDI_CHG">Data!$CB$757</definedName>
    <definedName name="AGAM034800col_SSHI">Data!$BE$757</definedName>
    <definedName name="AGAM034800col_SSHI_BY">Data!$BQ$757</definedName>
    <definedName name="AGAM034800col_SSHI_CHGv">Data!$CC$757</definedName>
    <definedName name="AGAM034800col_TOT_VB_ELECT">Data!$BM$757</definedName>
    <definedName name="AGAM034800col_TOT_VB_ELECT_BY">Data!$BY$757</definedName>
    <definedName name="AGAM034800col_TOT_VB_ELECT_CHG">Data!$CK$757</definedName>
    <definedName name="AGAM034800col_TOT_VB_PERM">Data!$BL$757</definedName>
    <definedName name="AGAM034800col_TOT_VB_PERM_BY">Data!$BX$757</definedName>
    <definedName name="AGAM034800col_TOT_VB_PERM_CHG">Data!$CJ$757</definedName>
    <definedName name="AGAM034800col_TOTAL_ELECT_PCN_FTI">Data!$AT$757</definedName>
    <definedName name="AGAM034800col_TOTAL_ELECT_PCN_FTI_ALT">Data!$AV$757</definedName>
    <definedName name="AGAM034800col_TOTAL_PERM_PCN_FTI">Data!$AU$757</definedName>
    <definedName name="AGAM034800col_UNEMP_INS">Data!$BH$757</definedName>
    <definedName name="AGAM034800col_UNEMP_INS_BY">Data!$BT$757</definedName>
    <definedName name="AGAM034800col_UNEMP_INS_CHG">Data!$CF$757</definedName>
    <definedName name="AGAM034800col_WORKERS_COMP">Data!$BJ$757</definedName>
    <definedName name="AGAM034800col_WORKERS_COMP_BY">Data!$BV$757</definedName>
    <definedName name="AGAM034800col_WORKERS_COMP_CHG">Data!$CH$757</definedName>
    <definedName name="AGAM040303col_1_27TH_PP">Data!$BA$759</definedName>
    <definedName name="AGAM040303col_DHR">Data!$BI$759</definedName>
    <definedName name="AGAM040303col_DHR_BY">Data!$BU$759</definedName>
    <definedName name="AGAM040303col_DHR_CHG">Data!$CG$759</definedName>
    <definedName name="AGAM040303col_FTI_SALARY_ELECT">Data!$AZ$759</definedName>
    <definedName name="AGAM040303col_FTI_SALARY_PERM">Data!$AY$759</definedName>
    <definedName name="AGAM040303col_FTI_SALARY_SSDI">Data!$AX$759</definedName>
    <definedName name="AGAM040303col_Group_Ben">Data!$CM$759</definedName>
    <definedName name="AGAM040303col_Group_Salary">Data!$CL$759</definedName>
    <definedName name="AGAM040303col_HEALTH_ELECT">Data!$BC$759</definedName>
    <definedName name="AGAM040303col_HEALTH_ELECT_BY">Data!$BO$759</definedName>
    <definedName name="AGAM040303col_HEALTH_ELECT_CHG">Data!$CA$759</definedName>
    <definedName name="AGAM040303col_HEALTH_PERM">Data!$BB$759</definedName>
    <definedName name="AGAM040303col_HEALTH_PERM_BY">Data!$BN$759</definedName>
    <definedName name="AGAM040303col_HEALTH_PERM_CHG">Data!$BZ$759</definedName>
    <definedName name="AGAM040303col_INC_FTI">Data!$AS$759</definedName>
    <definedName name="AGAM040303col_LIFE_INS">Data!$BG$759</definedName>
    <definedName name="AGAM040303col_LIFE_INS_BY">Data!$BS$759</definedName>
    <definedName name="AGAM040303col_LIFE_INS_CHG">Data!$CE$759</definedName>
    <definedName name="AGAM040303col_RETIREMENT">Data!$BF$759</definedName>
    <definedName name="AGAM040303col_RETIREMENT_BY">Data!$BR$759</definedName>
    <definedName name="AGAM040303col_RETIREMENT_CHG">Data!$CD$759</definedName>
    <definedName name="AGAM040303col_ROWS_PER_PCN">Data!$AW$759</definedName>
    <definedName name="AGAM040303col_SICK">Data!$BK$759</definedName>
    <definedName name="AGAM040303col_SICK_BY">Data!$BW$759</definedName>
    <definedName name="AGAM040303col_SICK_CHG">Data!$CI$759</definedName>
    <definedName name="AGAM040303col_SSDI">Data!$BD$759</definedName>
    <definedName name="AGAM040303col_SSDI_BY">Data!$BP$759</definedName>
    <definedName name="AGAM040303col_SSDI_CHG">Data!$CB$759</definedName>
    <definedName name="AGAM040303col_SSHI">Data!$BE$759</definedName>
    <definedName name="AGAM040303col_SSHI_BY">Data!$BQ$759</definedName>
    <definedName name="AGAM040303col_SSHI_CHGv">Data!$CC$759</definedName>
    <definedName name="AGAM040303col_TOT_VB_ELECT">Data!$BM$759</definedName>
    <definedName name="AGAM040303col_TOT_VB_ELECT_BY">Data!$BY$759</definedName>
    <definedName name="AGAM040303col_TOT_VB_ELECT_CHG">Data!$CK$759</definedName>
    <definedName name="AGAM040303col_TOT_VB_PERM">Data!$BL$759</definedName>
    <definedName name="AGAM040303col_TOT_VB_PERM_BY">Data!$BX$759</definedName>
    <definedName name="AGAM040303col_TOT_VB_PERM_CHG">Data!$CJ$759</definedName>
    <definedName name="AGAM040303col_TOTAL_ELECT_PCN_FTI">Data!$AT$759</definedName>
    <definedName name="AGAM040303col_TOTAL_ELECT_PCN_FTI_ALT">Data!$AV$759</definedName>
    <definedName name="AGAM040303col_TOTAL_PERM_PCN_FTI">Data!$AU$759</definedName>
    <definedName name="AGAM040303col_UNEMP_INS">Data!$BH$759</definedName>
    <definedName name="AGAM040303col_UNEMP_INS_BY">Data!$BT$759</definedName>
    <definedName name="AGAM040303col_UNEMP_INS_CHG">Data!$CF$759</definedName>
    <definedName name="AGAM040303col_WORKERS_COMP">Data!$BJ$759</definedName>
    <definedName name="AGAM040303col_WORKERS_COMP_BY">Data!$BV$759</definedName>
    <definedName name="AGAM040303col_WORKERS_COMP_CHG">Data!$CH$759</definedName>
    <definedName name="AGAN049101col_1_27TH_PP">Data!$BA$761</definedName>
    <definedName name="AGAN049101col_DHR">Data!$BI$761</definedName>
    <definedName name="AGAN049101col_DHR_BY">Data!$BU$761</definedName>
    <definedName name="AGAN049101col_DHR_CHG">Data!$CG$761</definedName>
    <definedName name="AGAN049101col_FTI_SALARY_ELECT">Data!$AZ$761</definedName>
    <definedName name="AGAN049101col_FTI_SALARY_PERM">Data!$AY$761</definedName>
    <definedName name="AGAN049101col_FTI_SALARY_SSDI">Data!$AX$761</definedName>
    <definedName name="AGAN049101col_Group_Ben">Data!$CM$761</definedName>
    <definedName name="AGAN049101col_Group_Salary">Data!$CL$761</definedName>
    <definedName name="AGAN049101col_HEALTH_ELECT">Data!$BC$761</definedName>
    <definedName name="AGAN049101col_HEALTH_ELECT_BY">Data!$BO$761</definedName>
    <definedName name="AGAN049101col_HEALTH_ELECT_CHG">Data!$CA$761</definedName>
    <definedName name="AGAN049101col_HEALTH_PERM">Data!$BB$761</definedName>
    <definedName name="AGAN049101col_HEALTH_PERM_BY">Data!$BN$761</definedName>
    <definedName name="AGAN049101col_HEALTH_PERM_CHG">Data!$BZ$761</definedName>
    <definedName name="AGAN049101col_INC_FTI">Data!$AS$761</definedName>
    <definedName name="AGAN049101col_LIFE_INS">Data!$BG$761</definedName>
    <definedName name="AGAN049101col_LIFE_INS_BY">Data!$BS$761</definedName>
    <definedName name="AGAN049101col_LIFE_INS_CHG">Data!$CE$761</definedName>
    <definedName name="AGAN049101col_RETIREMENT">Data!$BF$761</definedName>
    <definedName name="AGAN049101col_RETIREMENT_BY">Data!$BR$761</definedName>
    <definedName name="AGAN049101col_RETIREMENT_CHG">Data!$CD$761</definedName>
    <definedName name="AGAN049101col_ROWS_PER_PCN">Data!$AW$761</definedName>
    <definedName name="AGAN049101col_SICK">Data!$BK$761</definedName>
    <definedName name="AGAN049101col_SICK_BY">Data!$BW$761</definedName>
    <definedName name="AGAN049101col_SICK_CHG">Data!$CI$761</definedName>
    <definedName name="AGAN049101col_SSDI">Data!$BD$761</definedName>
    <definedName name="AGAN049101col_SSDI_BY">Data!$BP$761</definedName>
    <definedName name="AGAN049101col_SSDI_CHG">Data!$CB$761</definedName>
    <definedName name="AGAN049101col_SSHI">Data!$BE$761</definedName>
    <definedName name="AGAN049101col_SSHI_BY">Data!$BQ$761</definedName>
    <definedName name="AGAN049101col_SSHI_CHGv">Data!$CC$761</definedName>
    <definedName name="AGAN049101col_TOT_VB_ELECT">Data!$BM$761</definedName>
    <definedName name="AGAN049101col_TOT_VB_ELECT_BY">Data!$BY$761</definedName>
    <definedName name="AGAN049101col_TOT_VB_ELECT_CHG">Data!$CK$761</definedName>
    <definedName name="AGAN049101col_TOT_VB_PERM">Data!$BL$761</definedName>
    <definedName name="AGAN049101col_TOT_VB_PERM_BY">Data!$BX$761</definedName>
    <definedName name="AGAN049101col_TOT_VB_PERM_CHG">Data!$CJ$761</definedName>
    <definedName name="AGAN049101col_TOTAL_ELECT_PCN_FTI">Data!$AT$761</definedName>
    <definedName name="AGAN049101col_TOTAL_ELECT_PCN_FTI_ALT">Data!$AV$761</definedName>
    <definedName name="AGAN049101col_TOTAL_PERM_PCN_FTI">Data!$AU$761</definedName>
    <definedName name="AGAN049101col_UNEMP_INS">Data!$BH$761</definedName>
    <definedName name="AGAN049101col_UNEMP_INS_BY">Data!$BT$761</definedName>
    <definedName name="AGAN049101col_UNEMP_INS_CHG">Data!$CF$761</definedName>
    <definedName name="AGAN049101col_WORKERS_COMP">Data!$BJ$761</definedName>
    <definedName name="AGAN049101col_WORKERS_COMP_BY">Data!$BV$761</definedName>
    <definedName name="AGAN049101col_WORKERS_COMP_CHG">Data!$CH$761</definedName>
    <definedName name="AGAN049102col_1_27TH_PP">Data!$BA$763</definedName>
    <definedName name="AGAN049102col_DHR">Data!$BI$763</definedName>
    <definedName name="AGAN049102col_DHR_BY">Data!$BU$763</definedName>
    <definedName name="AGAN049102col_DHR_CHG">Data!$CG$763</definedName>
    <definedName name="AGAN049102col_FTI_SALARY_ELECT">Data!$AZ$763</definedName>
    <definedName name="AGAN049102col_FTI_SALARY_PERM">Data!$AY$763</definedName>
    <definedName name="AGAN049102col_FTI_SALARY_SSDI">Data!$AX$763</definedName>
    <definedName name="AGAN049102col_Group_Ben">Data!$CM$763</definedName>
    <definedName name="AGAN049102col_Group_Salary">Data!$CL$763</definedName>
    <definedName name="AGAN049102col_HEALTH_ELECT">Data!$BC$763</definedName>
    <definedName name="AGAN049102col_HEALTH_ELECT_BY">Data!$BO$763</definedName>
    <definedName name="AGAN049102col_HEALTH_ELECT_CHG">Data!$CA$763</definedName>
    <definedName name="AGAN049102col_HEALTH_PERM">Data!$BB$763</definedName>
    <definedName name="AGAN049102col_HEALTH_PERM_BY">Data!$BN$763</definedName>
    <definedName name="AGAN049102col_HEALTH_PERM_CHG">Data!$BZ$763</definedName>
    <definedName name="AGAN049102col_INC_FTI">Data!$AS$763</definedName>
    <definedName name="AGAN049102col_LIFE_INS">Data!$BG$763</definedName>
    <definedName name="AGAN049102col_LIFE_INS_BY">Data!$BS$763</definedName>
    <definedName name="AGAN049102col_LIFE_INS_CHG">Data!$CE$763</definedName>
    <definedName name="AGAN049102col_RETIREMENT">Data!$BF$763</definedName>
    <definedName name="AGAN049102col_RETIREMENT_BY">Data!$BR$763</definedName>
    <definedName name="AGAN049102col_RETIREMENT_CHG">Data!$CD$763</definedName>
    <definedName name="AGAN049102col_ROWS_PER_PCN">Data!$AW$763</definedName>
    <definedName name="AGAN049102col_SICK">Data!$BK$763</definedName>
    <definedName name="AGAN049102col_SICK_BY">Data!$BW$763</definedName>
    <definedName name="AGAN049102col_SICK_CHG">Data!$CI$763</definedName>
    <definedName name="AGAN049102col_SSDI">Data!$BD$763</definedName>
    <definedName name="AGAN049102col_SSDI_BY">Data!$BP$763</definedName>
    <definedName name="AGAN049102col_SSDI_CHG">Data!$CB$763</definedName>
    <definedName name="AGAN049102col_SSHI">Data!$BE$763</definedName>
    <definedName name="AGAN049102col_SSHI_BY">Data!$BQ$763</definedName>
    <definedName name="AGAN049102col_SSHI_CHGv">Data!$CC$763</definedName>
    <definedName name="AGAN049102col_TOT_VB_ELECT">Data!$BM$763</definedName>
    <definedName name="AGAN049102col_TOT_VB_ELECT_BY">Data!$BY$763</definedName>
    <definedName name="AGAN049102col_TOT_VB_ELECT_CHG">Data!$CK$763</definedName>
    <definedName name="AGAN049102col_TOT_VB_PERM">Data!$BL$763</definedName>
    <definedName name="AGAN049102col_TOT_VB_PERM_BY">Data!$BX$763</definedName>
    <definedName name="AGAN049102col_TOT_VB_PERM_CHG">Data!$CJ$763</definedName>
    <definedName name="AGAN049102col_TOTAL_ELECT_PCN_FTI">Data!$AT$763</definedName>
    <definedName name="AGAN049102col_TOTAL_ELECT_PCN_FTI_ALT">Data!$AV$763</definedName>
    <definedName name="AGAN049102col_TOTAL_PERM_PCN_FTI">Data!$AU$763</definedName>
    <definedName name="AGAN049102col_UNEMP_INS">Data!$BH$763</definedName>
    <definedName name="AGAN049102col_UNEMP_INS_BY">Data!$BT$763</definedName>
    <definedName name="AGAN049102col_UNEMP_INS_CHG">Data!$CF$763</definedName>
    <definedName name="AGAN049102col_WORKERS_COMP">Data!$BJ$763</definedName>
    <definedName name="AGAN049102col_WORKERS_COMP_BY">Data!$BV$763</definedName>
    <definedName name="AGAN049102col_WORKERS_COMP_CHG">Data!$CH$763</definedName>
    <definedName name="AGAO033000col_1_27TH_PP">Data!$BA$766</definedName>
    <definedName name="AGAO033000col_DHR">Data!$BI$766</definedName>
    <definedName name="AGAO033000col_DHR_BY">Data!$BU$766</definedName>
    <definedName name="AGAO033000col_DHR_CHG">Data!$CG$766</definedName>
    <definedName name="AGAO033000col_FTI_SALARY_ELECT">Data!$AZ$766</definedName>
    <definedName name="AGAO033000col_FTI_SALARY_PERM">Data!$AY$766</definedName>
    <definedName name="AGAO033000col_FTI_SALARY_SSDI">Data!$AX$766</definedName>
    <definedName name="AGAO033000col_Group_Ben">Data!$CM$766</definedName>
    <definedName name="AGAO033000col_Group_Salary">Data!$CL$766</definedName>
    <definedName name="AGAO033000col_HEALTH_ELECT">Data!$BC$766</definedName>
    <definedName name="AGAO033000col_HEALTH_ELECT_BY">Data!$BO$766</definedName>
    <definedName name="AGAO033000col_HEALTH_ELECT_CHG">Data!$CA$766</definedName>
    <definedName name="AGAO033000col_HEALTH_PERM">Data!$BB$766</definedName>
    <definedName name="AGAO033000col_HEALTH_PERM_BY">Data!$BN$766</definedName>
    <definedName name="AGAO033000col_HEALTH_PERM_CHG">Data!$BZ$766</definedName>
    <definedName name="AGAO033000col_INC_FTI">Data!$AS$766</definedName>
    <definedName name="AGAO033000col_LIFE_INS">Data!$BG$766</definedName>
    <definedName name="AGAO033000col_LIFE_INS_BY">Data!$BS$766</definedName>
    <definedName name="AGAO033000col_LIFE_INS_CHG">Data!$CE$766</definedName>
    <definedName name="AGAO033000col_RETIREMENT">Data!$BF$766</definedName>
    <definedName name="AGAO033000col_RETIREMENT_BY">Data!$BR$766</definedName>
    <definedName name="AGAO033000col_RETIREMENT_CHG">Data!$CD$766</definedName>
    <definedName name="AGAO033000col_ROWS_PER_PCN">Data!$AW$766</definedName>
    <definedName name="AGAO033000col_SICK">Data!$BK$766</definedName>
    <definedName name="AGAO033000col_SICK_BY">Data!$BW$766</definedName>
    <definedName name="AGAO033000col_SICK_CHG">Data!$CI$766</definedName>
    <definedName name="AGAO033000col_SSDI">Data!$BD$766</definedName>
    <definedName name="AGAO033000col_SSDI_BY">Data!$BP$766</definedName>
    <definedName name="AGAO033000col_SSDI_CHG">Data!$CB$766</definedName>
    <definedName name="AGAO033000col_SSHI">Data!$BE$766</definedName>
    <definedName name="AGAO033000col_SSHI_BY">Data!$BQ$766</definedName>
    <definedName name="AGAO033000col_SSHI_CHGv">Data!$CC$766</definedName>
    <definedName name="AGAO033000col_TOT_VB_ELECT">Data!$BM$766</definedName>
    <definedName name="AGAO033000col_TOT_VB_ELECT_BY">Data!$BY$766</definedName>
    <definedName name="AGAO033000col_TOT_VB_ELECT_CHG">Data!$CK$766</definedName>
    <definedName name="AGAO033000col_TOT_VB_PERM">Data!$BL$766</definedName>
    <definedName name="AGAO033000col_TOT_VB_PERM_BY">Data!$BX$766</definedName>
    <definedName name="AGAO033000col_TOT_VB_PERM_CHG">Data!$CJ$766</definedName>
    <definedName name="AGAO033000col_TOTAL_ELECT_PCN_FTI">Data!$AT$766</definedName>
    <definedName name="AGAO033000col_TOTAL_ELECT_PCN_FTI_ALT">Data!$AV$766</definedName>
    <definedName name="AGAO033000col_TOTAL_PERM_PCN_FTI">Data!$AU$766</definedName>
    <definedName name="AGAO033000col_UNEMP_INS">Data!$BH$766</definedName>
    <definedName name="AGAO033000col_UNEMP_INS_BY">Data!$BT$766</definedName>
    <definedName name="AGAO033000col_UNEMP_INS_CHG">Data!$CF$766</definedName>
    <definedName name="AGAO033000col_WORKERS_COMP">Data!$BJ$766</definedName>
    <definedName name="AGAO033000col_WORKERS_COMP_BY">Data!$BV$766</definedName>
    <definedName name="AGAO033000col_WORKERS_COMP_CHG">Data!$CH$766</definedName>
    <definedName name="AGAO033211col_1_27TH_PP">Data!$BA$768</definedName>
    <definedName name="AGAO033211col_DHR">Data!$BI$768</definedName>
    <definedName name="AGAO033211col_DHR_BY">Data!$BU$768</definedName>
    <definedName name="AGAO033211col_DHR_CHG">Data!$CG$768</definedName>
    <definedName name="AGAO033211col_FTI_SALARY_ELECT">Data!$AZ$768</definedName>
    <definedName name="AGAO033211col_FTI_SALARY_PERM">Data!$AY$768</definedName>
    <definedName name="AGAO033211col_FTI_SALARY_SSDI">Data!$AX$768</definedName>
    <definedName name="AGAO033211col_Group_Ben">Data!$CM$768</definedName>
    <definedName name="AGAO033211col_Group_Salary">Data!$CL$768</definedName>
    <definedName name="AGAO033211col_HEALTH_ELECT">Data!$BC$768</definedName>
    <definedName name="AGAO033211col_HEALTH_ELECT_BY">Data!$BO$768</definedName>
    <definedName name="AGAO033211col_HEALTH_ELECT_CHG">Data!$CA$768</definedName>
    <definedName name="AGAO033211col_HEALTH_PERM">Data!$BB$768</definedName>
    <definedName name="AGAO033211col_HEALTH_PERM_BY">Data!$BN$768</definedName>
    <definedName name="AGAO033211col_HEALTH_PERM_CHG">Data!$BZ$768</definedName>
    <definedName name="AGAO033211col_INC_FTI">Data!$AS$768</definedName>
    <definedName name="AGAO033211col_LIFE_INS">Data!$BG$768</definedName>
    <definedName name="AGAO033211col_LIFE_INS_BY">Data!$BS$768</definedName>
    <definedName name="AGAO033211col_LIFE_INS_CHG">Data!$CE$768</definedName>
    <definedName name="AGAO033211col_RETIREMENT">Data!$BF$768</definedName>
    <definedName name="AGAO033211col_RETIREMENT_BY">Data!$BR$768</definedName>
    <definedName name="AGAO033211col_RETIREMENT_CHG">Data!$CD$768</definedName>
    <definedName name="AGAO033211col_ROWS_PER_PCN">Data!$AW$768</definedName>
    <definedName name="AGAO033211col_SICK">Data!$BK$768</definedName>
    <definedName name="AGAO033211col_SICK_BY">Data!$BW$768</definedName>
    <definedName name="AGAO033211col_SICK_CHG">Data!$CI$768</definedName>
    <definedName name="AGAO033211col_SSDI">Data!$BD$768</definedName>
    <definedName name="AGAO033211col_SSDI_BY">Data!$BP$768</definedName>
    <definedName name="AGAO033211col_SSDI_CHG">Data!$CB$768</definedName>
    <definedName name="AGAO033211col_SSHI">Data!$BE$768</definedName>
    <definedName name="AGAO033211col_SSHI_BY">Data!$BQ$768</definedName>
    <definedName name="AGAO033211col_SSHI_CHGv">Data!$CC$768</definedName>
    <definedName name="AGAO033211col_TOT_VB_ELECT">Data!$BM$768</definedName>
    <definedName name="AGAO033211col_TOT_VB_ELECT_BY">Data!$BY$768</definedName>
    <definedName name="AGAO033211col_TOT_VB_ELECT_CHG">Data!$CK$768</definedName>
    <definedName name="AGAO033211col_TOT_VB_PERM">Data!$BL$768</definedName>
    <definedName name="AGAO033211col_TOT_VB_PERM_BY">Data!$BX$768</definedName>
    <definedName name="AGAO033211col_TOT_VB_PERM_CHG">Data!$CJ$768</definedName>
    <definedName name="AGAO033211col_TOTAL_ELECT_PCN_FTI">Data!$AT$768</definedName>
    <definedName name="AGAO033211col_TOTAL_ELECT_PCN_FTI_ALT">Data!$AV$768</definedName>
    <definedName name="AGAO033211col_TOTAL_PERM_PCN_FTI">Data!$AU$768</definedName>
    <definedName name="AGAO033211col_UNEMP_INS">Data!$BH$768</definedName>
    <definedName name="AGAO033211col_UNEMP_INS_BY">Data!$BT$768</definedName>
    <definedName name="AGAO033211col_UNEMP_INS_CHG">Data!$CF$768</definedName>
    <definedName name="AGAO033211col_WORKERS_COMP">Data!$BJ$768</definedName>
    <definedName name="AGAO033211col_WORKERS_COMP_BY">Data!$BV$768</definedName>
    <definedName name="AGAO033211col_WORKERS_COMP_CHG">Data!$CH$768</definedName>
    <definedName name="AGAO033212col_1_27TH_PP">Data!$BA$770</definedName>
    <definedName name="AGAO033212col_DHR">Data!$BI$770</definedName>
    <definedName name="AGAO033212col_DHR_BY">Data!$BU$770</definedName>
    <definedName name="AGAO033212col_DHR_CHG">Data!$CG$770</definedName>
    <definedName name="AGAO033212col_FTI_SALARY_ELECT">Data!$AZ$770</definedName>
    <definedName name="AGAO033212col_FTI_SALARY_PERM">Data!$AY$770</definedName>
    <definedName name="AGAO033212col_FTI_SALARY_SSDI">Data!$AX$770</definedName>
    <definedName name="AGAO033212col_Group_Ben">Data!$CM$770</definedName>
    <definedName name="AGAO033212col_Group_Salary">Data!$CL$770</definedName>
    <definedName name="AGAO033212col_HEALTH_ELECT">Data!$BC$770</definedName>
    <definedName name="AGAO033212col_HEALTH_ELECT_BY">Data!$BO$770</definedName>
    <definedName name="AGAO033212col_HEALTH_ELECT_CHG">Data!$CA$770</definedName>
    <definedName name="AGAO033212col_HEALTH_PERM">Data!$BB$770</definedName>
    <definedName name="AGAO033212col_HEALTH_PERM_BY">Data!$BN$770</definedName>
    <definedName name="AGAO033212col_HEALTH_PERM_CHG">Data!$BZ$770</definedName>
    <definedName name="AGAO033212col_INC_FTI">Data!$AS$770</definedName>
    <definedName name="AGAO033212col_LIFE_INS">Data!$BG$770</definedName>
    <definedName name="AGAO033212col_LIFE_INS_BY">Data!$BS$770</definedName>
    <definedName name="AGAO033212col_LIFE_INS_CHG">Data!$CE$770</definedName>
    <definedName name="AGAO033212col_RETIREMENT">Data!$BF$770</definedName>
    <definedName name="AGAO033212col_RETIREMENT_BY">Data!$BR$770</definedName>
    <definedName name="AGAO033212col_RETIREMENT_CHG">Data!$CD$770</definedName>
    <definedName name="AGAO033212col_ROWS_PER_PCN">Data!$AW$770</definedName>
    <definedName name="AGAO033212col_SICK">Data!$BK$770</definedName>
    <definedName name="AGAO033212col_SICK_BY">Data!$BW$770</definedName>
    <definedName name="AGAO033212col_SICK_CHG">Data!$CI$770</definedName>
    <definedName name="AGAO033212col_SSDI">Data!$BD$770</definedName>
    <definedName name="AGAO033212col_SSDI_BY">Data!$BP$770</definedName>
    <definedName name="AGAO033212col_SSDI_CHG">Data!$CB$770</definedName>
    <definedName name="AGAO033212col_SSHI">Data!$BE$770</definedName>
    <definedName name="AGAO033212col_SSHI_BY">Data!$BQ$770</definedName>
    <definedName name="AGAO033212col_SSHI_CHGv">Data!$CC$770</definedName>
    <definedName name="AGAO033212col_TOT_VB_ELECT">Data!$BM$770</definedName>
    <definedName name="AGAO033212col_TOT_VB_ELECT_BY">Data!$BY$770</definedName>
    <definedName name="AGAO033212col_TOT_VB_ELECT_CHG">Data!$CK$770</definedName>
    <definedName name="AGAO033212col_TOT_VB_PERM">Data!$BL$770</definedName>
    <definedName name="AGAO033212col_TOT_VB_PERM_BY">Data!$BX$770</definedName>
    <definedName name="AGAO033212col_TOT_VB_PERM_CHG">Data!$CJ$770</definedName>
    <definedName name="AGAO033212col_TOTAL_ELECT_PCN_FTI">Data!$AT$770</definedName>
    <definedName name="AGAO033212col_TOTAL_ELECT_PCN_FTI_ALT">Data!$AV$770</definedName>
    <definedName name="AGAO033212col_TOTAL_PERM_PCN_FTI">Data!$AU$770</definedName>
    <definedName name="AGAO033212col_UNEMP_INS">Data!$BH$770</definedName>
    <definedName name="AGAO033212col_UNEMP_INS_BY">Data!$BT$770</definedName>
    <definedName name="AGAO033212col_UNEMP_INS_CHG">Data!$CF$770</definedName>
    <definedName name="AGAO033212col_WORKERS_COMP">Data!$BJ$770</definedName>
    <definedName name="AGAO033212col_WORKERS_COMP_BY">Data!$BV$770</definedName>
    <definedName name="AGAO033212col_WORKERS_COMP_CHG">Data!$CH$770</definedName>
    <definedName name="AGAO034800col_1_27TH_PP">Data!$BA$772</definedName>
    <definedName name="AGAO034800col_DHR">Data!$BI$772</definedName>
    <definedName name="AGAO034800col_DHR_BY">Data!$BU$772</definedName>
    <definedName name="AGAO034800col_DHR_CHG">Data!$CG$772</definedName>
    <definedName name="AGAO034800col_FTI_SALARY_ELECT">Data!$AZ$772</definedName>
    <definedName name="AGAO034800col_FTI_SALARY_PERM">Data!$AY$772</definedName>
    <definedName name="AGAO034800col_FTI_SALARY_SSDI">Data!$AX$772</definedName>
    <definedName name="AGAO034800col_Group_Ben">Data!$CM$772</definedName>
    <definedName name="AGAO034800col_Group_Salary">Data!$CL$772</definedName>
    <definedName name="AGAO034800col_HEALTH_ELECT">Data!$BC$772</definedName>
    <definedName name="AGAO034800col_HEALTH_ELECT_BY">Data!$BO$772</definedName>
    <definedName name="AGAO034800col_HEALTH_ELECT_CHG">Data!$CA$772</definedName>
    <definedName name="AGAO034800col_HEALTH_PERM">Data!$BB$772</definedName>
    <definedName name="AGAO034800col_HEALTH_PERM_BY">Data!$BN$772</definedName>
    <definedName name="AGAO034800col_HEALTH_PERM_CHG">Data!$BZ$772</definedName>
    <definedName name="AGAO034800col_INC_FTI">Data!$AS$772</definedName>
    <definedName name="AGAO034800col_LIFE_INS">Data!$BG$772</definedName>
    <definedName name="AGAO034800col_LIFE_INS_BY">Data!$BS$772</definedName>
    <definedName name="AGAO034800col_LIFE_INS_CHG">Data!$CE$772</definedName>
    <definedName name="AGAO034800col_RETIREMENT">Data!$BF$772</definedName>
    <definedName name="AGAO034800col_RETIREMENT_BY">Data!$BR$772</definedName>
    <definedName name="AGAO034800col_RETIREMENT_CHG">Data!$CD$772</definedName>
    <definedName name="AGAO034800col_ROWS_PER_PCN">Data!$AW$772</definedName>
    <definedName name="AGAO034800col_SICK">Data!$BK$772</definedName>
    <definedName name="AGAO034800col_SICK_BY">Data!$BW$772</definedName>
    <definedName name="AGAO034800col_SICK_CHG">Data!$CI$772</definedName>
    <definedName name="AGAO034800col_SSDI">Data!$BD$772</definedName>
    <definedName name="AGAO034800col_SSDI_BY">Data!$BP$772</definedName>
    <definedName name="AGAO034800col_SSDI_CHG">Data!$CB$772</definedName>
    <definedName name="AGAO034800col_SSHI">Data!$BE$772</definedName>
    <definedName name="AGAO034800col_SSHI_BY">Data!$BQ$772</definedName>
    <definedName name="AGAO034800col_SSHI_CHGv">Data!$CC$772</definedName>
    <definedName name="AGAO034800col_TOT_VB_ELECT">Data!$BM$772</definedName>
    <definedName name="AGAO034800col_TOT_VB_ELECT_BY">Data!$BY$772</definedName>
    <definedName name="AGAO034800col_TOT_VB_ELECT_CHG">Data!$CK$772</definedName>
    <definedName name="AGAO034800col_TOT_VB_PERM">Data!$BL$772</definedName>
    <definedName name="AGAO034800col_TOT_VB_PERM_BY">Data!$BX$772</definedName>
    <definedName name="AGAO034800col_TOT_VB_PERM_CHG">Data!$CJ$772</definedName>
    <definedName name="AGAO034800col_TOTAL_ELECT_PCN_FTI">Data!$AT$772</definedName>
    <definedName name="AGAO034800col_TOTAL_ELECT_PCN_FTI_ALT">Data!$AV$772</definedName>
    <definedName name="AGAO034800col_TOTAL_PERM_PCN_FTI">Data!$AU$772</definedName>
    <definedName name="AGAO034800col_UNEMP_INS">Data!$BH$772</definedName>
    <definedName name="AGAO034800col_UNEMP_INS_BY">Data!$BT$772</definedName>
    <definedName name="AGAO034800col_UNEMP_INS_CHG">Data!$CF$772</definedName>
    <definedName name="AGAO034800col_WORKERS_COMP">Data!$BJ$772</definedName>
    <definedName name="AGAO034800col_WORKERS_COMP_BY">Data!$BV$772</definedName>
    <definedName name="AGAO034800col_WORKERS_COMP_CHG">Data!$CH$772</definedName>
    <definedName name="AGAP034800col_1_27TH_PP">Data!$BA$774</definedName>
    <definedName name="AGAP034800col_DHR">Data!$BI$774</definedName>
    <definedName name="AGAP034800col_DHR_BY">Data!$BU$774</definedName>
    <definedName name="AGAP034800col_DHR_CHG">Data!$CG$774</definedName>
    <definedName name="AGAP034800col_FTI_SALARY_ELECT">Data!$AZ$774</definedName>
    <definedName name="AGAP034800col_FTI_SALARY_PERM">Data!$AY$774</definedName>
    <definedName name="AGAP034800col_FTI_SALARY_SSDI">Data!$AX$774</definedName>
    <definedName name="AGAP034800col_Group_Ben">Data!$CM$774</definedName>
    <definedName name="AGAP034800col_Group_Salary">Data!$CL$774</definedName>
    <definedName name="AGAP034800col_HEALTH_ELECT">Data!$BC$774</definedName>
    <definedName name="AGAP034800col_HEALTH_ELECT_BY">Data!$BO$774</definedName>
    <definedName name="AGAP034800col_HEALTH_ELECT_CHG">Data!$CA$774</definedName>
    <definedName name="AGAP034800col_HEALTH_PERM">Data!$BB$774</definedName>
    <definedName name="AGAP034800col_HEALTH_PERM_BY">Data!$BN$774</definedName>
    <definedName name="AGAP034800col_HEALTH_PERM_CHG">Data!$BZ$774</definedName>
    <definedName name="AGAP034800col_INC_FTI">Data!$AS$774</definedName>
    <definedName name="AGAP034800col_LIFE_INS">Data!$BG$774</definedName>
    <definedName name="AGAP034800col_LIFE_INS_BY">Data!$BS$774</definedName>
    <definedName name="AGAP034800col_LIFE_INS_CHG">Data!$CE$774</definedName>
    <definedName name="AGAP034800col_RETIREMENT">Data!$BF$774</definedName>
    <definedName name="AGAP034800col_RETIREMENT_BY">Data!$BR$774</definedName>
    <definedName name="AGAP034800col_RETIREMENT_CHG">Data!$CD$774</definedName>
    <definedName name="AGAP034800col_ROWS_PER_PCN">Data!$AW$774</definedName>
    <definedName name="AGAP034800col_SICK">Data!$BK$774</definedName>
    <definedName name="AGAP034800col_SICK_BY">Data!$BW$774</definedName>
    <definedName name="AGAP034800col_SICK_CHG">Data!$CI$774</definedName>
    <definedName name="AGAP034800col_SSDI">Data!$BD$774</definedName>
    <definedName name="AGAP034800col_SSDI_BY">Data!$BP$774</definedName>
    <definedName name="AGAP034800col_SSDI_CHG">Data!$CB$774</definedName>
    <definedName name="AGAP034800col_SSHI">Data!$BE$774</definedName>
    <definedName name="AGAP034800col_SSHI_BY">Data!$BQ$774</definedName>
    <definedName name="AGAP034800col_SSHI_CHGv">Data!$CC$774</definedName>
    <definedName name="AGAP034800col_TOT_VB_ELECT">Data!$BM$774</definedName>
    <definedName name="AGAP034800col_TOT_VB_ELECT_BY">Data!$BY$774</definedName>
    <definedName name="AGAP034800col_TOT_VB_ELECT_CHG">Data!$CK$774</definedName>
    <definedName name="AGAP034800col_TOT_VB_PERM">Data!$BL$774</definedName>
    <definedName name="AGAP034800col_TOT_VB_PERM_BY">Data!$BX$774</definedName>
    <definedName name="AGAP034800col_TOT_VB_PERM_CHG">Data!$CJ$774</definedName>
    <definedName name="AGAP034800col_TOTAL_ELECT_PCN_FTI">Data!$AT$774</definedName>
    <definedName name="AGAP034800col_TOTAL_ELECT_PCN_FTI_ALT">Data!$AV$774</definedName>
    <definedName name="AGAP034800col_TOTAL_PERM_PCN_FTI">Data!$AU$774</definedName>
    <definedName name="AGAP034800col_UNEMP_INS">Data!$BH$774</definedName>
    <definedName name="AGAP034800col_UNEMP_INS_BY">Data!$BT$774</definedName>
    <definedName name="AGAP034800col_UNEMP_INS_CHG">Data!$CF$774</definedName>
    <definedName name="AGAP034800col_WORKERS_COMP">Data!$BJ$774</definedName>
    <definedName name="AGAP034800col_WORKERS_COMP_BY">Data!$BV$774</definedName>
    <definedName name="AGAP034800col_WORKERS_COMP_CHG">Data!$CH$774</definedName>
    <definedName name="AGAP040200col_1_27TH_PP">Data!$BA$776</definedName>
    <definedName name="AGAP040200col_DHR">Data!$BI$776</definedName>
    <definedName name="AGAP040200col_DHR_BY">Data!$BU$776</definedName>
    <definedName name="AGAP040200col_DHR_CHG">Data!$CG$776</definedName>
    <definedName name="AGAP040200col_FTI_SALARY_ELECT">Data!$AZ$776</definedName>
    <definedName name="AGAP040200col_FTI_SALARY_PERM">Data!$AY$776</definedName>
    <definedName name="AGAP040200col_FTI_SALARY_SSDI">Data!$AX$776</definedName>
    <definedName name="AGAP040200col_Group_Ben">Data!$CM$776</definedName>
    <definedName name="AGAP040200col_Group_Salary">Data!$CL$776</definedName>
    <definedName name="AGAP040200col_HEALTH_ELECT">Data!$BC$776</definedName>
    <definedName name="AGAP040200col_HEALTH_ELECT_BY">Data!$BO$776</definedName>
    <definedName name="AGAP040200col_HEALTH_ELECT_CHG">Data!$CA$776</definedName>
    <definedName name="AGAP040200col_HEALTH_PERM">Data!$BB$776</definedName>
    <definedName name="AGAP040200col_HEALTH_PERM_BY">Data!$BN$776</definedName>
    <definedName name="AGAP040200col_HEALTH_PERM_CHG">Data!$BZ$776</definedName>
    <definedName name="AGAP040200col_INC_FTI">Data!$AS$776</definedName>
    <definedName name="AGAP040200col_LIFE_INS">Data!$BG$776</definedName>
    <definedName name="AGAP040200col_LIFE_INS_BY">Data!$BS$776</definedName>
    <definedName name="AGAP040200col_LIFE_INS_CHG">Data!$CE$776</definedName>
    <definedName name="AGAP040200col_RETIREMENT">Data!$BF$776</definedName>
    <definedName name="AGAP040200col_RETIREMENT_BY">Data!$BR$776</definedName>
    <definedName name="AGAP040200col_RETIREMENT_CHG">Data!$CD$776</definedName>
    <definedName name="AGAP040200col_ROWS_PER_PCN">Data!$AW$776</definedName>
    <definedName name="AGAP040200col_SICK">Data!$BK$776</definedName>
    <definedName name="AGAP040200col_SICK_BY">Data!$BW$776</definedName>
    <definedName name="AGAP040200col_SICK_CHG">Data!$CI$776</definedName>
    <definedName name="AGAP040200col_SSDI">Data!$BD$776</definedName>
    <definedName name="AGAP040200col_SSDI_BY">Data!$BP$776</definedName>
    <definedName name="AGAP040200col_SSDI_CHG">Data!$CB$776</definedName>
    <definedName name="AGAP040200col_SSHI">Data!$BE$776</definedName>
    <definedName name="AGAP040200col_SSHI_BY">Data!$BQ$776</definedName>
    <definedName name="AGAP040200col_SSHI_CHGv">Data!$CC$776</definedName>
    <definedName name="AGAP040200col_TOT_VB_ELECT">Data!$BM$776</definedName>
    <definedName name="AGAP040200col_TOT_VB_ELECT_BY">Data!$BY$776</definedName>
    <definedName name="AGAP040200col_TOT_VB_ELECT_CHG">Data!$CK$776</definedName>
    <definedName name="AGAP040200col_TOT_VB_PERM">Data!$BL$776</definedName>
    <definedName name="AGAP040200col_TOT_VB_PERM_BY">Data!$BX$776</definedName>
    <definedName name="AGAP040200col_TOT_VB_PERM_CHG">Data!$CJ$776</definedName>
    <definedName name="AGAP040200col_TOTAL_ELECT_PCN_FTI">Data!$AT$776</definedName>
    <definedName name="AGAP040200col_TOTAL_ELECT_PCN_FTI_ALT">Data!$AV$776</definedName>
    <definedName name="AGAP040200col_TOTAL_PERM_PCN_FTI">Data!$AU$776</definedName>
    <definedName name="AGAP040200col_UNEMP_INS">Data!$BH$776</definedName>
    <definedName name="AGAP040200col_UNEMP_INS_BY">Data!$BT$776</definedName>
    <definedName name="AGAP040200col_UNEMP_INS_CHG">Data!$CF$776</definedName>
    <definedName name="AGAP040200col_WORKERS_COMP">Data!$BJ$776</definedName>
    <definedName name="AGAP040200col_WORKERS_COMP_BY">Data!$BV$776</definedName>
    <definedName name="AGAP040200col_WORKERS_COMP_CHG">Data!$CH$776</definedName>
    <definedName name="AgencyNum" localSheetId="0">'AGAA|0001-00'!$M$1</definedName>
    <definedName name="AgencyNum" localSheetId="1">'AGAA|0125-01'!$M$1</definedName>
    <definedName name="AgencyNum" localSheetId="2">'AGAA|0125-02'!$M$1</definedName>
    <definedName name="AgencyNum" localSheetId="3">'AGAB|0001-00'!$M$1</definedName>
    <definedName name="AgencyNum" localSheetId="4">'AGAB|0332-06'!$M$1</definedName>
    <definedName name="AgencyNum" localSheetId="5">'AGAB|0332-07'!$M$1</definedName>
    <definedName name="AgencyNum" localSheetId="6">'AGAB|0332-09'!$M$1</definedName>
    <definedName name="AgencyNum" localSheetId="7">'AGAC|0001-00'!$M$1</definedName>
    <definedName name="AgencyNum" localSheetId="8">'AGAC|0332-05'!$M$1</definedName>
    <definedName name="AgencyNum" localSheetId="9">'AGAC|0348-00'!$M$1</definedName>
    <definedName name="AgencyNum" localSheetId="10">'AGAD|0001-00'!$M$1</definedName>
    <definedName name="AgencyNum" localSheetId="11">'AGAD|0330-00'!$M$1</definedName>
    <definedName name="AgencyNum" localSheetId="12">'AGAD|0330-13'!$M$1</definedName>
    <definedName name="AgencyNum" localSheetId="13">'AGAD|0332-04'!$M$1</definedName>
    <definedName name="AgencyNum" localSheetId="14">'AGAD|0332-08'!$M$1</definedName>
    <definedName name="AgencyNum" localSheetId="15">'AGAE|0001-00'!$M$1</definedName>
    <definedName name="AgencyNum" localSheetId="16">'AGAE|0330-12'!$M$1</definedName>
    <definedName name="AgencyNum" localSheetId="17">'AGAE|0332-10'!$M$1</definedName>
    <definedName name="AgencyNum" localSheetId="18">'AGAF|0001-00'!$M$1</definedName>
    <definedName name="AgencyNum" localSheetId="19">'AGAF|0330-00'!$M$1</definedName>
    <definedName name="AgencyNum" localSheetId="20">'AGAF|0490-00'!$M$1</definedName>
    <definedName name="AgencyNum" localSheetId="21">'AGAH|0001-00'!$M$1</definedName>
    <definedName name="AgencyNum" localSheetId="22">'AGAH|0332-03'!$M$1</definedName>
    <definedName name="AgencyNum" localSheetId="23">'AGAL|0486-00'!$M$1</definedName>
    <definedName name="AgencyNum" localSheetId="24">'AGAM|0348-00'!$M$1</definedName>
    <definedName name="AgencyNum" localSheetId="25">'AGAM|0403-03'!$M$1</definedName>
    <definedName name="AgencyNum" localSheetId="26">'AGAO|0330-00'!$M$1</definedName>
    <definedName name="AgencyNum" localSheetId="27">'AGAO|0332-11'!$M$1</definedName>
    <definedName name="AgencyNum" localSheetId="28">'AGAO|0332-12'!$M$1</definedName>
    <definedName name="AgencyNum" localSheetId="29">'AGAO|0348-00'!$M$1</definedName>
    <definedName name="AgencyNum" localSheetId="30">'AGAP|0348-00'!$M$1</definedName>
    <definedName name="AgencyNum" localSheetId="31">'AGAP|0402-00'!$M$1</definedName>
    <definedName name="AgencyNum">'B6'!$M$1</definedName>
    <definedName name="AppropFTP" localSheetId="0">'AGAA|0001-00'!$F$15</definedName>
    <definedName name="AppropFTP" localSheetId="1">'AGAA|0125-01'!$F$15</definedName>
    <definedName name="AppropFTP" localSheetId="2">'AGAA|0125-02'!$F$15</definedName>
    <definedName name="AppropFTP" localSheetId="3">'AGAB|0001-00'!$F$15</definedName>
    <definedName name="AppropFTP" localSheetId="4">'AGAB|0332-06'!$F$15</definedName>
    <definedName name="AppropFTP" localSheetId="5">'AGAB|0332-07'!$F$15</definedName>
    <definedName name="AppropFTP" localSheetId="6">'AGAB|0332-09'!$F$15</definedName>
    <definedName name="AppropFTP" localSheetId="7">'AGAC|0001-00'!$F$15</definedName>
    <definedName name="AppropFTP" localSheetId="8">'AGAC|0332-05'!$F$15</definedName>
    <definedName name="AppropFTP" localSheetId="9">'AGAC|0348-00'!$F$15</definedName>
    <definedName name="AppropFTP" localSheetId="10">'AGAD|0001-00'!$F$15</definedName>
    <definedName name="AppropFTP" localSheetId="11">'AGAD|0330-00'!$F$15</definedName>
    <definedName name="AppropFTP" localSheetId="12">'AGAD|0330-13'!$F$15</definedName>
    <definedName name="AppropFTP" localSheetId="13">'AGAD|0332-04'!$F$15</definedName>
    <definedName name="AppropFTP" localSheetId="14">'AGAD|0332-08'!$F$15</definedName>
    <definedName name="AppropFTP" localSheetId="15">'AGAE|0001-00'!$F$15</definedName>
    <definedName name="AppropFTP" localSheetId="16">'AGAE|0330-12'!$F$15</definedName>
    <definedName name="AppropFTP" localSheetId="17">'AGAE|0332-10'!$F$15</definedName>
    <definedName name="AppropFTP" localSheetId="18">'AGAF|0001-00'!$F$15</definedName>
    <definedName name="AppropFTP" localSheetId="19">'AGAF|0330-00'!$F$15</definedName>
    <definedName name="AppropFTP" localSheetId="20">'AGAF|0490-00'!$F$15</definedName>
    <definedName name="AppropFTP" localSheetId="21">'AGAH|0001-00'!$F$15</definedName>
    <definedName name="AppropFTP" localSheetId="22">'AGAH|0332-03'!$F$15</definedName>
    <definedName name="AppropFTP" localSheetId="23">'AGAL|0486-00'!$F$15</definedName>
    <definedName name="AppropFTP" localSheetId="24">'AGAM|0348-00'!$F$15</definedName>
    <definedName name="AppropFTP" localSheetId="25">'AGAM|0403-03'!$F$15</definedName>
    <definedName name="AppropFTP" localSheetId="26">'AGAO|0330-00'!$F$15</definedName>
    <definedName name="AppropFTP" localSheetId="27">'AGAO|0332-11'!$F$15</definedName>
    <definedName name="AppropFTP" localSheetId="28">'AGAO|0332-12'!$F$15</definedName>
    <definedName name="AppropFTP" localSheetId="29">'AGAO|0348-00'!$F$15</definedName>
    <definedName name="AppropFTP" localSheetId="30">'AGAP|0348-00'!$F$15</definedName>
    <definedName name="AppropFTP" localSheetId="31">'AGAP|0402-00'!$F$15</definedName>
    <definedName name="AppropFTP">'B6'!$F$15</definedName>
    <definedName name="AppropTotal" localSheetId="0">'AGAA|0001-00'!$J$15</definedName>
    <definedName name="AppropTotal" localSheetId="1">'AGAA|0125-01'!$J$15</definedName>
    <definedName name="AppropTotal" localSheetId="2">'AGAA|0125-02'!$J$15</definedName>
    <definedName name="AppropTotal" localSheetId="3">'AGAB|0001-00'!$J$15</definedName>
    <definedName name="AppropTotal" localSheetId="4">'AGAB|0332-06'!$J$15</definedName>
    <definedName name="AppropTotal" localSheetId="5">'AGAB|0332-07'!$J$15</definedName>
    <definedName name="AppropTotal" localSheetId="6">'AGAB|0332-09'!$J$15</definedName>
    <definedName name="AppropTotal" localSheetId="7">'AGAC|0001-00'!$J$15</definedName>
    <definedName name="AppropTotal" localSheetId="8">'AGAC|0332-05'!$J$15</definedName>
    <definedName name="AppropTotal" localSheetId="9">'AGAC|0348-00'!$J$15</definedName>
    <definedName name="AppropTotal" localSheetId="10">'AGAD|0001-00'!$J$15</definedName>
    <definedName name="AppropTotal" localSheetId="11">'AGAD|0330-00'!$J$15</definedName>
    <definedName name="AppropTotal" localSheetId="12">'AGAD|0330-13'!$J$15</definedName>
    <definedName name="AppropTotal" localSheetId="13">'AGAD|0332-04'!$J$15</definedName>
    <definedName name="AppropTotal" localSheetId="14">'AGAD|0332-08'!$J$15</definedName>
    <definedName name="AppropTotal" localSheetId="15">'AGAE|0001-00'!$J$15</definedName>
    <definedName name="AppropTotal" localSheetId="16">'AGAE|0330-12'!$J$15</definedName>
    <definedName name="AppropTotal" localSheetId="17">'AGAE|0332-10'!$J$15</definedName>
    <definedName name="AppropTotal" localSheetId="18">'AGAF|0001-00'!$J$15</definedName>
    <definedName name="AppropTotal" localSheetId="19">'AGAF|0330-00'!$J$15</definedName>
    <definedName name="AppropTotal" localSheetId="20">'AGAF|0490-00'!$J$15</definedName>
    <definedName name="AppropTotal" localSheetId="21">'AGAH|0001-00'!$J$15</definedName>
    <definedName name="AppropTotal" localSheetId="22">'AGAH|0332-03'!$J$15</definedName>
    <definedName name="AppropTotal" localSheetId="23">'AGAL|0486-00'!$J$15</definedName>
    <definedName name="AppropTotal" localSheetId="24">'AGAM|0348-00'!$J$15</definedName>
    <definedName name="AppropTotal" localSheetId="25">'AGAM|0403-03'!$J$15</definedName>
    <definedName name="AppropTotal" localSheetId="26">'AGAO|0330-00'!$J$15</definedName>
    <definedName name="AppropTotal" localSheetId="27">'AGAO|0332-11'!$J$15</definedName>
    <definedName name="AppropTotal" localSheetId="28">'AGAO|0332-12'!$J$15</definedName>
    <definedName name="AppropTotal" localSheetId="29">'AGAO|0348-00'!$J$15</definedName>
    <definedName name="AppropTotal" localSheetId="30">'AGAP|0348-00'!$J$15</definedName>
    <definedName name="AppropTotal" localSheetId="31">'AGAP|0402-00'!$J$15</definedName>
    <definedName name="AppropTotal">'B6'!$J$15</definedName>
    <definedName name="AtZHealth" localSheetId="0">'AGAA|0001-00'!$H$45</definedName>
    <definedName name="AtZHealth" localSheetId="1">'AGAA|0125-01'!$H$45</definedName>
    <definedName name="AtZHealth" localSheetId="2">'AGAA|0125-02'!$H$45</definedName>
    <definedName name="AtZHealth" localSheetId="3">'AGAB|0001-00'!$H$45</definedName>
    <definedName name="AtZHealth" localSheetId="4">'AGAB|0332-06'!$H$45</definedName>
    <definedName name="AtZHealth" localSheetId="5">'AGAB|0332-07'!$H$45</definedName>
    <definedName name="AtZHealth" localSheetId="6">'AGAB|0332-09'!$H$45</definedName>
    <definedName name="AtZHealth" localSheetId="7">'AGAC|0001-00'!$H$45</definedName>
    <definedName name="AtZHealth" localSheetId="8">'AGAC|0332-05'!$H$45</definedName>
    <definedName name="AtZHealth" localSheetId="9">'AGAC|0348-00'!$H$45</definedName>
    <definedName name="AtZHealth" localSheetId="10">'AGAD|0001-00'!$H$45</definedName>
    <definedName name="AtZHealth" localSheetId="11">'AGAD|0330-00'!$H$45</definedName>
    <definedName name="AtZHealth" localSheetId="12">'AGAD|0330-13'!$H$45</definedName>
    <definedName name="AtZHealth" localSheetId="13">'AGAD|0332-04'!$H$45</definedName>
    <definedName name="AtZHealth" localSheetId="14">'AGAD|0332-08'!$H$45</definedName>
    <definedName name="AtZHealth" localSheetId="15">'AGAE|0001-00'!$H$45</definedName>
    <definedName name="AtZHealth" localSheetId="16">'AGAE|0330-12'!$H$45</definedName>
    <definedName name="AtZHealth" localSheetId="17">'AGAE|0332-10'!$H$45</definedName>
    <definedName name="AtZHealth" localSheetId="18">'AGAF|0001-00'!$H$45</definedName>
    <definedName name="AtZHealth" localSheetId="19">'AGAF|0330-00'!$H$45</definedName>
    <definedName name="AtZHealth" localSheetId="20">'AGAF|0490-00'!$H$45</definedName>
    <definedName name="AtZHealth" localSheetId="21">'AGAH|0001-00'!$H$45</definedName>
    <definedName name="AtZHealth" localSheetId="22">'AGAH|0332-03'!$H$45</definedName>
    <definedName name="AtZHealth" localSheetId="23">'AGAL|0486-00'!$H$45</definedName>
    <definedName name="AtZHealth" localSheetId="24">'AGAM|0348-00'!$H$45</definedName>
    <definedName name="AtZHealth" localSheetId="25">'AGAM|0403-03'!$H$45</definedName>
    <definedName name="AtZHealth" localSheetId="26">'AGAO|0330-00'!$H$45</definedName>
    <definedName name="AtZHealth" localSheetId="27">'AGAO|0332-11'!$H$45</definedName>
    <definedName name="AtZHealth" localSheetId="28">'AGAO|0332-12'!$H$45</definedName>
    <definedName name="AtZHealth" localSheetId="29">'AGAO|0348-00'!$H$45</definedName>
    <definedName name="AtZHealth" localSheetId="30">'AGAP|0348-00'!$H$45</definedName>
    <definedName name="AtZHealth" localSheetId="31">'AGAP|0402-00'!$H$45</definedName>
    <definedName name="AtZHealth">'B6'!$H$45</definedName>
    <definedName name="AtZSalary" localSheetId="0">'AGAA|0001-00'!$G$45</definedName>
    <definedName name="AtZSalary" localSheetId="1">'AGAA|0125-01'!$G$45</definedName>
    <definedName name="AtZSalary" localSheetId="2">'AGAA|0125-02'!$G$45</definedName>
    <definedName name="AtZSalary" localSheetId="3">'AGAB|0001-00'!$G$45</definedName>
    <definedName name="AtZSalary" localSheetId="4">'AGAB|0332-06'!$G$45</definedName>
    <definedName name="AtZSalary" localSheetId="5">'AGAB|0332-07'!$G$45</definedName>
    <definedName name="AtZSalary" localSheetId="6">'AGAB|0332-09'!$G$45</definedName>
    <definedName name="AtZSalary" localSheetId="7">'AGAC|0001-00'!$G$45</definedName>
    <definedName name="AtZSalary" localSheetId="8">'AGAC|0332-05'!$G$45</definedName>
    <definedName name="AtZSalary" localSheetId="9">'AGAC|0348-00'!$G$45</definedName>
    <definedName name="AtZSalary" localSheetId="10">'AGAD|0001-00'!$G$45</definedName>
    <definedName name="AtZSalary" localSheetId="11">'AGAD|0330-00'!$G$45</definedName>
    <definedName name="AtZSalary" localSheetId="12">'AGAD|0330-13'!$G$45</definedName>
    <definedName name="AtZSalary" localSheetId="13">'AGAD|0332-04'!$G$45</definedName>
    <definedName name="AtZSalary" localSheetId="14">'AGAD|0332-08'!$G$45</definedName>
    <definedName name="AtZSalary" localSheetId="15">'AGAE|0001-00'!$G$45</definedName>
    <definedName name="AtZSalary" localSheetId="16">'AGAE|0330-12'!$G$45</definedName>
    <definedName name="AtZSalary" localSheetId="17">'AGAE|0332-10'!$G$45</definedName>
    <definedName name="AtZSalary" localSheetId="18">'AGAF|0001-00'!$G$45</definedName>
    <definedName name="AtZSalary" localSheetId="19">'AGAF|0330-00'!$G$45</definedName>
    <definedName name="AtZSalary" localSheetId="20">'AGAF|0490-00'!$G$45</definedName>
    <definedName name="AtZSalary" localSheetId="21">'AGAH|0001-00'!$G$45</definedName>
    <definedName name="AtZSalary" localSheetId="22">'AGAH|0332-03'!$G$45</definedName>
    <definedName name="AtZSalary" localSheetId="23">'AGAL|0486-00'!$G$45</definedName>
    <definedName name="AtZSalary" localSheetId="24">'AGAM|0348-00'!$G$45</definedName>
    <definedName name="AtZSalary" localSheetId="25">'AGAM|0403-03'!$G$45</definedName>
    <definedName name="AtZSalary" localSheetId="26">'AGAO|0330-00'!$G$45</definedName>
    <definedName name="AtZSalary" localSheetId="27">'AGAO|0332-11'!$G$45</definedName>
    <definedName name="AtZSalary" localSheetId="28">'AGAO|0332-12'!$G$45</definedName>
    <definedName name="AtZSalary" localSheetId="29">'AGAO|0348-00'!$G$45</definedName>
    <definedName name="AtZSalary" localSheetId="30">'AGAP|0348-00'!$G$45</definedName>
    <definedName name="AtZSalary" localSheetId="31">'AGAP|0402-00'!$G$45</definedName>
    <definedName name="AtZSalary">'B6'!$G$45</definedName>
    <definedName name="AtZTotal" localSheetId="0">'AGAA|0001-00'!$J$45</definedName>
    <definedName name="AtZTotal" localSheetId="1">'AGAA|0125-01'!$J$45</definedName>
    <definedName name="AtZTotal" localSheetId="2">'AGAA|0125-02'!$J$45</definedName>
    <definedName name="AtZTotal" localSheetId="3">'AGAB|0001-00'!$J$45</definedName>
    <definedName name="AtZTotal" localSheetId="4">'AGAB|0332-06'!$J$45</definedName>
    <definedName name="AtZTotal" localSheetId="5">'AGAB|0332-07'!$J$45</definedName>
    <definedName name="AtZTotal" localSheetId="6">'AGAB|0332-09'!$J$45</definedName>
    <definedName name="AtZTotal" localSheetId="7">'AGAC|0001-00'!$J$45</definedName>
    <definedName name="AtZTotal" localSheetId="8">'AGAC|0332-05'!$J$45</definedName>
    <definedName name="AtZTotal" localSheetId="9">'AGAC|0348-00'!$J$45</definedName>
    <definedName name="AtZTotal" localSheetId="10">'AGAD|0001-00'!$J$45</definedName>
    <definedName name="AtZTotal" localSheetId="11">'AGAD|0330-00'!$J$45</definedName>
    <definedName name="AtZTotal" localSheetId="12">'AGAD|0330-13'!$J$45</definedName>
    <definedName name="AtZTotal" localSheetId="13">'AGAD|0332-04'!$J$45</definedName>
    <definedName name="AtZTotal" localSheetId="14">'AGAD|0332-08'!$J$45</definedName>
    <definedName name="AtZTotal" localSheetId="15">'AGAE|0001-00'!$J$45</definedName>
    <definedName name="AtZTotal" localSheetId="16">'AGAE|0330-12'!$J$45</definedName>
    <definedName name="AtZTotal" localSheetId="17">'AGAE|0332-10'!$J$45</definedName>
    <definedName name="AtZTotal" localSheetId="18">'AGAF|0001-00'!$J$45</definedName>
    <definedName name="AtZTotal" localSheetId="19">'AGAF|0330-00'!$J$45</definedName>
    <definedName name="AtZTotal" localSheetId="20">'AGAF|0490-00'!$J$45</definedName>
    <definedName name="AtZTotal" localSheetId="21">'AGAH|0001-00'!$J$45</definedName>
    <definedName name="AtZTotal" localSheetId="22">'AGAH|0332-03'!$J$45</definedName>
    <definedName name="AtZTotal" localSheetId="23">'AGAL|0486-00'!$J$45</definedName>
    <definedName name="AtZTotal" localSheetId="24">'AGAM|0348-00'!$J$45</definedName>
    <definedName name="AtZTotal" localSheetId="25">'AGAM|0403-03'!$J$45</definedName>
    <definedName name="AtZTotal" localSheetId="26">'AGAO|0330-00'!$J$45</definedName>
    <definedName name="AtZTotal" localSheetId="27">'AGAO|0332-11'!$J$45</definedName>
    <definedName name="AtZTotal" localSheetId="28">'AGAO|0332-12'!$J$45</definedName>
    <definedName name="AtZTotal" localSheetId="29">'AGAO|0348-00'!$J$45</definedName>
    <definedName name="AtZTotal" localSheetId="30">'AGAP|0348-00'!$J$45</definedName>
    <definedName name="AtZTotal" localSheetId="31">'AGAP|0402-00'!$J$45</definedName>
    <definedName name="AtZTotal">'B6'!$J$45</definedName>
    <definedName name="AtZVarBen" localSheetId="0">'AGAA|0001-00'!$I$45</definedName>
    <definedName name="AtZVarBen" localSheetId="1">'AGAA|0125-01'!$I$45</definedName>
    <definedName name="AtZVarBen" localSheetId="2">'AGAA|0125-02'!$I$45</definedName>
    <definedName name="AtZVarBen" localSheetId="3">'AGAB|0001-00'!$I$45</definedName>
    <definedName name="AtZVarBen" localSheetId="4">'AGAB|0332-06'!$I$45</definedName>
    <definedName name="AtZVarBen" localSheetId="5">'AGAB|0332-07'!$I$45</definedName>
    <definedName name="AtZVarBen" localSheetId="6">'AGAB|0332-09'!$I$45</definedName>
    <definedName name="AtZVarBen" localSheetId="7">'AGAC|0001-00'!$I$45</definedName>
    <definedName name="AtZVarBen" localSheetId="8">'AGAC|0332-05'!$I$45</definedName>
    <definedName name="AtZVarBen" localSheetId="9">'AGAC|0348-00'!$I$45</definedName>
    <definedName name="AtZVarBen" localSheetId="10">'AGAD|0001-00'!$I$45</definedName>
    <definedName name="AtZVarBen" localSheetId="11">'AGAD|0330-00'!$I$45</definedName>
    <definedName name="AtZVarBen" localSheetId="12">'AGAD|0330-13'!$I$45</definedName>
    <definedName name="AtZVarBen" localSheetId="13">'AGAD|0332-04'!$I$45</definedName>
    <definedName name="AtZVarBen" localSheetId="14">'AGAD|0332-08'!$I$45</definedName>
    <definedName name="AtZVarBen" localSheetId="15">'AGAE|0001-00'!$I$45</definedName>
    <definedName name="AtZVarBen" localSheetId="16">'AGAE|0330-12'!$I$45</definedName>
    <definedName name="AtZVarBen" localSheetId="17">'AGAE|0332-10'!$I$45</definedName>
    <definedName name="AtZVarBen" localSheetId="18">'AGAF|0001-00'!$I$45</definedName>
    <definedName name="AtZVarBen" localSheetId="19">'AGAF|0330-00'!$I$45</definedName>
    <definedName name="AtZVarBen" localSheetId="20">'AGAF|0490-00'!$I$45</definedName>
    <definedName name="AtZVarBen" localSheetId="21">'AGAH|0001-00'!$I$45</definedName>
    <definedName name="AtZVarBen" localSheetId="22">'AGAH|0332-03'!$I$45</definedName>
    <definedName name="AtZVarBen" localSheetId="23">'AGAL|0486-00'!$I$45</definedName>
    <definedName name="AtZVarBen" localSheetId="24">'AGAM|0348-00'!$I$45</definedName>
    <definedName name="AtZVarBen" localSheetId="25">'AGAM|0403-03'!$I$45</definedName>
    <definedName name="AtZVarBen" localSheetId="26">'AGAO|0330-00'!$I$45</definedName>
    <definedName name="AtZVarBen" localSheetId="27">'AGAO|0332-11'!$I$45</definedName>
    <definedName name="AtZVarBen" localSheetId="28">'AGAO|0332-12'!$I$45</definedName>
    <definedName name="AtZVarBen" localSheetId="29">'AGAO|0348-00'!$I$45</definedName>
    <definedName name="AtZVarBen" localSheetId="30">'AGAP|0348-00'!$I$45</definedName>
    <definedName name="AtZVarBen" localSheetId="31">'AGAP|0402-00'!$I$45</definedName>
    <definedName name="AtZVarBen">'B6'!$I$45</definedName>
    <definedName name="BudgetUnit" localSheetId="0">'AGAA|0001-00'!$M$3</definedName>
    <definedName name="BudgetUnit" localSheetId="1">'AGAA|0125-01'!$M$3</definedName>
    <definedName name="BudgetUnit" localSheetId="2">'AGAA|0125-02'!$M$3</definedName>
    <definedName name="BudgetUnit" localSheetId="3">'AGAB|0001-00'!$M$3</definedName>
    <definedName name="BudgetUnit" localSheetId="4">'AGAB|0332-06'!$M$3</definedName>
    <definedName name="BudgetUnit" localSheetId="5">'AGAB|0332-07'!$M$3</definedName>
    <definedName name="BudgetUnit" localSheetId="6">'AGAB|0332-09'!$M$3</definedName>
    <definedName name="BudgetUnit" localSheetId="7">'AGAC|0001-00'!$M$3</definedName>
    <definedName name="BudgetUnit" localSheetId="8">'AGAC|0332-05'!$M$3</definedName>
    <definedName name="BudgetUnit" localSheetId="9">'AGAC|0348-00'!$M$3</definedName>
    <definedName name="BudgetUnit" localSheetId="10">'AGAD|0001-00'!$M$3</definedName>
    <definedName name="BudgetUnit" localSheetId="11">'AGAD|0330-00'!$M$3</definedName>
    <definedName name="BudgetUnit" localSheetId="12">'AGAD|0330-13'!$M$3</definedName>
    <definedName name="BudgetUnit" localSheetId="13">'AGAD|0332-04'!$M$3</definedName>
    <definedName name="BudgetUnit" localSheetId="14">'AGAD|0332-08'!$M$3</definedName>
    <definedName name="BudgetUnit" localSheetId="15">'AGAE|0001-00'!$M$3</definedName>
    <definedName name="BudgetUnit" localSheetId="16">'AGAE|0330-12'!$M$3</definedName>
    <definedName name="BudgetUnit" localSheetId="17">'AGAE|0332-10'!$M$3</definedName>
    <definedName name="BudgetUnit" localSheetId="18">'AGAF|0001-00'!$M$3</definedName>
    <definedName name="BudgetUnit" localSheetId="19">'AGAF|0330-00'!$M$3</definedName>
    <definedName name="BudgetUnit" localSheetId="20">'AGAF|0490-00'!$M$3</definedName>
    <definedName name="BudgetUnit" localSheetId="21">'AGAH|0001-00'!$M$3</definedName>
    <definedName name="BudgetUnit" localSheetId="22">'AGAH|0332-03'!$M$3</definedName>
    <definedName name="BudgetUnit" localSheetId="23">'AGAL|0486-00'!$M$3</definedName>
    <definedName name="BudgetUnit" localSheetId="24">'AGAM|0348-00'!$M$3</definedName>
    <definedName name="BudgetUnit" localSheetId="25">'AGAM|0403-03'!$M$3</definedName>
    <definedName name="BudgetUnit" localSheetId="26">'AGAO|0330-00'!$M$3</definedName>
    <definedName name="BudgetUnit" localSheetId="27">'AGAO|0332-11'!$M$3</definedName>
    <definedName name="BudgetUnit" localSheetId="28">'AGAO|0332-12'!$M$3</definedName>
    <definedName name="BudgetUnit" localSheetId="29">'AGAO|0348-00'!$M$3</definedName>
    <definedName name="BudgetUnit" localSheetId="30">'AGAP|0348-00'!$M$3</definedName>
    <definedName name="BudgetUnit" localSheetId="31">'AGAP|0402-00'!$M$3</definedName>
    <definedName name="BudgetUnit">'B6'!$M$3</definedName>
    <definedName name="BudgetYear">Benefits!$D$4</definedName>
    <definedName name="CECGroup">Benefits!$C$39</definedName>
    <definedName name="CECOrigElectSalary" localSheetId="0">'AGAA|0001-00'!$G$74</definedName>
    <definedName name="CECOrigElectSalary" localSheetId="1">'AGAA|0125-01'!$G$74</definedName>
    <definedName name="CECOrigElectSalary" localSheetId="2">'AGAA|0125-02'!$G$74</definedName>
    <definedName name="CECOrigElectSalary" localSheetId="3">'AGAB|0001-00'!$G$74</definedName>
    <definedName name="CECOrigElectSalary" localSheetId="4">'AGAB|0332-06'!$G$74</definedName>
    <definedName name="CECOrigElectSalary" localSheetId="5">'AGAB|0332-07'!$G$74</definedName>
    <definedName name="CECOrigElectSalary" localSheetId="6">'AGAB|0332-09'!$G$74</definedName>
    <definedName name="CECOrigElectSalary" localSheetId="7">'AGAC|0001-00'!$G$74</definedName>
    <definedName name="CECOrigElectSalary" localSheetId="8">'AGAC|0332-05'!$G$74</definedName>
    <definedName name="CECOrigElectSalary" localSheetId="9">'AGAC|0348-00'!$G$74</definedName>
    <definedName name="CECOrigElectSalary" localSheetId="10">'AGAD|0001-00'!$G$74</definedName>
    <definedName name="CECOrigElectSalary" localSheetId="11">'AGAD|0330-00'!$G$74</definedName>
    <definedName name="CECOrigElectSalary" localSheetId="12">'AGAD|0330-13'!$G$74</definedName>
    <definedName name="CECOrigElectSalary" localSheetId="13">'AGAD|0332-04'!$G$74</definedName>
    <definedName name="CECOrigElectSalary" localSheetId="14">'AGAD|0332-08'!$G$74</definedName>
    <definedName name="CECOrigElectSalary" localSheetId="15">'AGAE|0001-00'!$G$74</definedName>
    <definedName name="CECOrigElectSalary" localSheetId="16">'AGAE|0330-12'!$G$74</definedName>
    <definedName name="CECOrigElectSalary" localSheetId="17">'AGAE|0332-10'!$G$74</definedName>
    <definedName name="CECOrigElectSalary" localSheetId="18">'AGAF|0001-00'!$G$74</definedName>
    <definedName name="CECOrigElectSalary" localSheetId="19">'AGAF|0330-00'!$G$74</definedName>
    <definedName name="CECOrigElectSalary" localSheetId="20">'AGAF|0490-00'!$G$74</definedName>
    <definedName name="CECOrigElectSalary" localSheetId="21">'AGAH|0001-00'!$G$74</definedName>
    <definedName name="CECOrigElectSalary" localSheetId="22">'AGAH|0332-03'!$G$74</definedName>
    <definedName name="CECOrigElectSalary" localSheetId="23">'AGAL|0486-00'!$G$74</definedName>
    <definedName name="CECOrigElectSalary" localSheetId="24">'AGAM|0348-00'!$G$74</definedName>
    <definedName name="CECOrigElectSalary" localSheetId="25">'AGAM|0403-03'!$G$74</definedName>
    <definedName name="CECOrigElectSalary" localSheetId="26">'AGAO|0330-00'!$G$74</definedName>
    <definedName name="CECOrigElectSalary" localSheetId="27">'AGAO|0332-11'!$G$74</definedName>
    <definedName name="CECOrigElectSalary" localSheetId="28">'AGAO|0332-12'!$G$74</definedName>
    <definedName name="CECOrigElectSalary" localSheetId="29">'AGAO|0348-00'!$G$74</definedName>
    <definedName name="CECOrigElectSalary" localSheetId="30">'AGAP|0348-00'!$G$74</definedName>
    <definedName name="CECOrigElectSalary" localSheetId="31">'AGAP|0402-00'!$G$74</definedName>
    <definedName name="CECOrigElectSalary">'B6'!$G$74</definedName>
    <definedName name="CECOrigElectVB" localSheetId="0">'AGAA|0001-00'!$I$74</definedName>
    <definedName name="CECOrigElectVB" localSheetId="1">'AGAA|0125-01'!$I$74</definedName>
    <definedName name="CECOrigElectVB" localSheetId="2">'AGAA|0125-02'!$I$74</definedName>
    <definedName name="CECOrigElectVB" localSheetId="3">'AGAB|0001-00'!$I$74</definedName>
    <definedName name="CECOrigElectVB" localSheetId="4">'AGAB|0332-06'!$I$74</definedName>
    <definedName name="CECOrigElectVB" localSheetId="5">'AGAB|0332-07'!$I$74</definedName>
    <definedName name="CECOrigElectVB" localSheetId="6">'AGAB|0332-09'!$I$74</definedName>
    <definedName name="CECOrigElectVB" localSheetId="7">'AGAC|0001-00'!$I$74</definedName>
    <definedName name="CECOrigElectVB" localSheetId="8">'AGAC|0332-05'!$I$74</definedName>
    <definedName name="CECOrigElectVB" localSheetId="9">'AGAC|0348-00'!$I$74</definedName>
    <definedName name="CECOrigElectVB" localSheetId="10">'AGAD|0001-00'!$I$74</definedName>
    <definedName name="CECOrigElectVB" localSheetId="11">'AGAD|0330-00'!$I$74</definedName>
    <definedName name="CECOrigElectVB" localSheetId="12">'AGAD|0330-13'!$I$74</definedName>
    <definedName name="CECOrigElectVB" localSheetId="13">'AGAD|0332-04'!$I$74</definedName>
    <definedName name="CECOrigElectVB" localSheetId="14">'AGAD|0332-08'!$I$74</definedName>
    <definedName name="CECOrigElectVB" localSheetId="15">'AGAE|0001-00'!$I$74</definedName>
    <definedName name="CECOrigElectVB" localSheetId="16">'AGAE|0330-12'!$I$74</definedName>
    <definedName name="CECOrigElectVB" localSheetId="17">'AGAE|0332-10'!$I$74</definedName>
    <definedName name="CECOrigElectVB" localSheetId="18">'AGAF|0001-00'!$I$74</definedName>
    <definedName name="CECOrigElectVB" localSheetId="19">'AGAF|0330-00'!$I$74</definedName>
    <definedName name="CECOrigElectVB" localSheetId="20">'AGAF|0490-00'!$I$74</definedName>
    <definedName name="CECOrigElectVB" localSheetId="21">'AGAH|0001-00'!$I$74</definedName>
    <definedName name="CECOrigElectVB" localSheetId="22">'AGAH|0332-03'!$I$74</definedName>
    <definedName name="CECOrigElectVB" localSheetId="23">'AGAL|0486-00'!$I$74</definedName>
    <definedName name="CECOrigElectVB" localSheetId="24">'AGAM|0348-00'!$I$74</definedName>
    <definedName name="CECOrigElectVB" localSheetId="25">'AGAM|0403-03'!$I$74</definedName>
    <definedName name="CECOrigElectVB" localSheetId="26">'AGAO|0330-00'!$I$74</definedName>
    <definedName name="CECOrigElectVB" localSheetId="27">'AGAO|0332-11'!$I$74</definedName>
    <definedName name="CECOrigElectVB" localSheetId="28">'AGAO|0332-12'!$I$74</definedName>
    <definedName name="CECOrigElectVB" localSheetId="29">'AGAO|0348-00'!$I$74</definedName>
    <definedName name="CECOrigElectVB" localSheetId="30">'AGAP|0348-00'!$I$74</definedName>
    <definedName name="CECOrigElectVB" localSheetId="31">'AGAP|0402-00'!$I$74</definedName>
    <definedName name="CECOrigElectVB">'B6'!$I$74</definedName>
    <definedName name="CECOrigGroupSalary" localSheetId="0">'AGAA|0001-00'!$G$73</definedName>
    <definedName name="CECOrigGroupSalary" localSheetId="1">'AGAA|0125-01'!$G$73</definedName>
    <definedName name="CECOrigGroupSalary" localSheetId="2">'AGAA|0125-02'!$G$73</definedName>
    <definedName name="CECOrigGroupSalary" localSheetId="3">'AGAB|0001-00'!$G$73</definedName>
    <definedName name="CECOrigGroupSalary" localSheetId="4">'AGAB|0332-06'!$G$73</definedName>
    <definedName name="CECOrigGroupSalary" localSheetId="5">'AGAB|0332-07'!$G$73</definedName>
    <definedName name="CECOrigGroupSalary" localSheetId="6">'AGAB|0332-09'!$G$73</definedName>
    <definedName name="CECOrigGroupSalary" localSheetId="7">'AGAC|0001-00'!$G$73</definedName>
    <definedName name="CECOrigGroupSalary" localSheetId="8">'AGAC|0332-05'!$G$73</definedName>
    <definedName name="CECOrigGroupSalary" localSheetId="9">'AGAC|0348-00'!$G$73</definedName>
    <definedName name="CECOrigGroupSalary" localSheetId="10">'AGAD|0001-00'!$G$73</definedName>
    <definedName name="CECOrigGroupSalary" localSheetId="11">'AGAD|0330-00'!$G$73</definedName>
    <definedName name="CECOrigGroupSalary" localSheetId="12">'AGAD|0330-13'!$G$73</definedName>
    <definedName name="CECOrigGroupSalary" localSheetId="13">'AGAD|0332-04'!$G$73</definedName>
    <definedName name="CECOrigGroupSalary" localSheetId="14">'AGAD|0332-08'!$G$73</definedName>
    <definedName name="CECOrigGroupSalary" localSheetId="15">'AGAE|0001-00'!$G$73</definedName>
    <definedName name="CECOrigGroupSalary" localSheetId="16">'AGAE|0330-12'!$G$73</definedName>
    <definedName name="CECOrigGroupSalary" localSheetId="17">'AGAE|0332-10'!$G$73</definedName>
    <definedName name="CECOrigGroupSalary" localSheetId="18">'AGAF|0001-00'!$G$73</definedName>
    <definedName name="CECOrigGroupSalary" localSheetId="19">'AGAF|0330-00'!$G$73</definedName>
    <definedName name="CECOrigGroupSalary" localSheetId="20">'AGAF|0490-00'!$G$73</definedName>
    <definedName name="CECOrigGroupSalary" localSheetId="21">'AGAH|0001-00'!$G$73</definedName>
    <definedName name="CECOrigGroupSalary" localSheetId="22">'AGAH|0332-03'!$G$73</definedName>
    <definedName name="CECOrigGroupSalary" localSheetId="23">'AGAL|0486-00'!$G$73</definedName>
    <definedName name="CECOrigGroupSalary" localSheetId="24">'AGAM|0348-00'!$G$73</definedName>
    <definedName name="CECOrigGroupSalary" localSheetId="25">'AGAM|0403-03'!$G$73</definedName>
    <definedName name="CECOrigGroupSalary" localSheetId="26">'AGAO|0330-00'!$G$73</definedName>
    <definedName name="CECOrigGroupSalary" localSheetId="27">'AGAO|0332-11'!$G$73</definedName>
    <definedName name="CECOrigGroupSalary" localSheetId="28">'AGAO|0332-12'!$G$73</definedName>
    <definedName name="CECOrigGroupSalary" localSheetId="29">'AGAO|0348-00'!$G$73</definedName>
    <definedName name="CECOrigGroupSalary" localSheetId="30">'AGAP|0348-00'!$G$73</definedName>
    <definedName name="CECOrigGroupSalary" localSheetId="31">'AGAP|0402-00'!$G$73</definedName>
    <definedName name="CECOrigGroupSalary">'B6'!$G$73</definedName>
    <definedName name="CECOrigGroupVB" localSheetId="0">'AGAA|0001-00'!$I$73</definedName>
    <definedName name="CECOrigGroupVB" localSheetId="1">'AGAA|0125-01'!$I$73</definedName>
    <definedName name="CECOrigGroupVB" localSheetId="2">'AGAA|0125-02'!$I$73</definedName>
    <definedName name="CECOrigGroupVB" localSheetId="3">'AGAB|0001-00'!$I$73</definedName>
    <definedName name="CECOrigGroupVB" localSheetId="4">'AGAB|0332-06'!$I$73</definedName>
    <definedName name="CECOrigGroupVB" localSheetId="5">'AGAB|0332-07'!$I$73</definedName>
    <definedName name="CECOrigGroupVB" localSheetId="6">'AGAB|0332-09'!$I$73</definedName>
    <definedName name="CECOrigGroupVB" localSheetId="7">'AGAC|0001-00'!$I$73</definedName>
    <definedName name="CECOrigGroupVB" localSheetId="8">'AGAC|0332-05'!$I$73</definedName>
    <definedName name="CECOrigGroupVB" localSheetId="9">'AGAC|0348-00'!$I$73</definedName>
    <definedName name="CECOrigGroupVB" localSheetId="10">'AGAD|0001-00'!$I$73</definedName>
    <definedName name="CECOrigGroupVB" localSheetId="11">'AGAD|0330-00'!$I$73</definedName>
    <definedName name="CECOrigGroupVB" localSheetId="12">'AGAD|0330-13'!$I$73</definedName>
    <definedName name="CECOrigGroupVB" localSheetId="13">'AGAD|0332-04'!$I$73</definedName>
    <definedName name="CECOrigGroupVB" localSheetId="14">'AGAD|0332-08'!$I$73</definedName>
    <definedName name="CECOrigGroupVB" localSheetId="15">'AGAE|0001-00'!$I$73</definedName>
    <definedName name="CECOrigGroupVB" localSheetId="16">'AGAE|0330-12'!$I$73</definedName>
    <definedName name="CECOrigGroupVB" localSheetId="17">'AGAE|0332-10'!$I$73</definedName>
    <definedName name="CECOrigGroupVB" localSheetId="18">'AGAF|0001-00'!$I$73</definedName>
    <definedName name="CECOrigGroupVB" localSheetId="19">'AGAF|0330-00'!$I$73</definedName>
    <definedName name="CECOrigGroupVB" localSheetId="20">'AGAF|0490-00'!$I$73</definedName>
    <definedName name="CECOrigGroupVB" localSheetId="21">'AGAH|0001-00'!$I$73</definedName>
    <definedName name="CECOrigGroupVB" localSheetId="22">'AGAH|0332-03'!$I$73</definedName>
    <definedName name="CECOrigGroupVB" localSheetId="23">'AGAL|0486-00'!$I$73</definedName>
    <definedName name="CECOrigGroupVB" localSheetId="24">'AGAM|0348-00'!$I$73</definedName>
    <definedName name="CECOrigGroupVB" localSheetId="25">'AGAM|0403-03'!$I$73</definedName>
    <definedName name="CECOrigGroupVB" localSheetId="26">'AGAO|0330-00'!$I$73</definedName>
    <definedName name="CECOrigGroupVB" localSheetId="27">'AGAO|0332-11'!$I$73</definedName>
    <definedName name="CECOrigGroupVB" localSheetId="28">'AGAO|0332-12'!$I$73</definedName>
    <definedName name="CECOrigGroupVB" localSheetId="29">'AGAO|0348-00'!$I$73</definedName>
    <definedName name="CECOrigGroupVB" localSheetId="30">'AGAP|0348-00'!$I$73</definedName>
    <definedName name="CECOrigGroupVB" localSheetId="31">'AGAP|0402-00'!$I$73</definedName>
    <definedName name="CECOrigGroupVB">'B6'!$I$73</definedName>
    <definedName name="CECOrigPermSalary" localSheetId="0">'AGAA|0001-00'!$G$72</definedName>
    <definedName name="CECOrigPermSalary" localSheetId="1">'AGAA|0125-01'!$G$72</definedName>
    <definedName name="CECOrigPermSalary" localSheetId="2">'AGAA|0125-02'!$G$72</definedName>
    <definedName name="CECOrigPermSalary" localSheetId="3">'AGAB|0001-00'!$G$72</definedName>
    <definedName name="CECOrigPermSalary" localSheetId="4">'AGAB|0332-06'!$G$72</definedName>
    <definedName name="CECOrigPermSalary" localSheetId="5">'AGAB|0332-07'!$G$72</definedName>
    <definedName name="CECOrigPermSalary" localSheetId="6">'AGAB|0332-09'!$G$72</definedName>
    <definedName name="CECOrigPermSalary" localSheetId="7">'AGAC|0001-00'!$G$72</definedName>
    <definedName name="CECOrigPermSalary" localSheetId="8">'AGAC|0332-05'!$G$72</definedName>
    <definedName name="CECOrigPermSalary" localSheetId="9">'AGAC|0348-00'!$G$72</definedName>
    <definedName name="CECOrigPermSalary" localSheetId="10">'AGAD|0001-00'!$G$72</definedName>
    <definedName name="CECOrigPermSalary" localSheetId="11">'AGAD|0330-00'!$G$72</definedName>
    <definedName name="CECOrigPermSalary" localSheetId="12">'AGAD|0330-13'!$G$72</definedName>
    <definedName name="CECOrigPermSalary" localSheetId="13">'AGAD|0332-04'!$G$72</definedName>
    <definedName name="CECOrigPermSalary" localSheetId="14">'AGAD|0332-08'!$G$72</definedName>
    <definedName name="CECOrigPermSalary" localSheetId="15">'AGAE|0001-00'!$G$72</definedName>
    <definedName name="CECOrigPermSalary" localSheetId="16">'AGAE|0330-12'!$G$72</definedName>
    <definedName name="CECOrigPermSalary" localSheetId="17">'AGAE|0332-10'!$G$72</definedName>
    <definedName name="CECOrigPermSalary" localSheetId="18">'AGAF|0001-00'!$G$72</definedName>
    <definedName name="CECOrigPermSalary" localSheetId="19">'AGAF|0330-00'!$G$72</definedName>
    <definedName name="CECOrigPermSalary" localSheetId="20">'AGAF|0490-00'!$G$72</definedName>
    <definedName name="CECOrigPermSalary" localSheetId="21">'AGAH|0001-00'!$G$72</definedName>
    <definedName name="CECOrigPermSalary" localSheetId="22">'AGAH|0332-03'!$G$72</definedName>
    <definedName name="CECOrigPermSalary" localSheetId="23">'AGAL|0486-00'!$G$72</definedName>
    <definedName name="CECOrigPermSalary" localSheetId="24">'AGAM|0348-00'!$G$72</definedName>
    <definedName name="CECOrigPermSalary" localSheetId="25">'AGAM|0403-03'!$G$72</definedName>
    <definedName name="CECOrigPermSalary" localSheetId="26">'AGAO|0330-00'!$G$72</definedName>
    <definedName name="CECOrigPermSalary" localSheetId="27">'AGAO|0332-11'!$G$72</definedName>
    <definedName name="CECOrigPermSalary" localSheetId="28">'AGAO|0332-12'!$G$72</definedName>
    <definedName name="CECOrigPermSalary" localSheetId="29">'AGAO|0348-00'!$G$72</definedName>
    <definedName name="CECOrigPermSalary" localSheetId="30">'AGAP|0348-00'!$G$72</definedName>
    <definedName name="CECOrigPermSalary" localSheetId="31">'AGAP|0402-00'!$G$72</definedName>
    <definedName name="CECOrigPermSalary">'B6'!$G$72</definedName>
    <definedName name="CECOrigPermVB" localSheetId="0">'AGAA|0001-00'!$I$72</definedName>
    <definedName name="CECOrigPermVB" localSheetId="1">'AGAA|0125-01'!$I$72</definedName>
    <definedName name="CECOrigPermVB" localSheetId="2">'AGAA|0125-02'!$I$72</definedName>
    <definedName name="CECOrigPermVB" localSheetId="3">'AGAB|0001-00'!$I$72</definedName>
    <definedName name="CECOrigPermVB" localSheetId="4">'AGAB|0332-06'!$I$72</definedName>
    <definedName name="CECOrigPermVB" localSheetId="5">'AGAB|0332-07'!$I$72</definedName>
    <definedName name="CECOrigPermVB" localSheetId="6">'AGAB|0332-09'!$I$72</definedName>
    <definedName name="CECOrigPermVB" localSheetId="7">'AGAC|0001-00'!$I$72</definedName>
    <definedName name="CECOrigPermVB" localSheetId="8">'AGAC|0332-05'!$I$72</definedName>
    <definedName name="CECOrigPermVB" localSheetId="9">'AGAC|0348-00'!$I$72</definedName>
    <definedName name="CECOrigPermVB" localSheetId="10">'AGAD|0001-00'!$I$72</definedName>
    <definedName name="CECOrigPermVB" localSheetId="11">'AGAD|0330-00'!$I$72</definedName>
    <definedName name="CECOrigPermVB" localSheetId="12">'AGAD|0330-13'!$I$72</definedName>
    <definedName name="CECOrigPermVB" localSheetId="13">'AGAD|0332-04'!$I$72</definedName>
    <definedName name="CECOrigPermVB" localSheetId="14">'AGAD|0332-08'!$I$72</definedName>
    <definedName name="CECOrigPermVB" localSheetId="15">'AGAE|0001-00'!$I$72</definedName>
    <definedName name="CECOrigPermVB" localSheetId="16">'AGAE|0330-12'!$I$72</definedName>
    <definedName name="CECOrigPermVB" localSheetId="17">'AGAE|0332-10'!$I$72</definedName>
    <definedName name="CECOrigPermVB" localSheetId="18">'AGAF|0001-00'!$I$72</definedName>
    <definedName name="CECOrigPermVB" localSheetId="19">'AGAF|0330-00'!$I$72</definedName>
    <definedName name="CECOrigPermVB" localSheetId="20">'AGAF|0490-00'!$I$72</definedName>
    <definedName name="CECOrigPermVB" localSheetId="21">'AGAH|0001-00'!$I$72</definedName>
    <definedName name="CECOrigPermVB" localSheetId="22">'AGAH|0332-03'!$I$72</definedName>
    <definedName name="CECOrigPermVB" localSheetId="23">'AGAL|0486-00'!$I$72</definedName>
    <definedName name="CECOrigPermVB" localSheetId="24">'AGAM|0348-00'!$I$72</definedName>
    <definedName name="CECOrigPermVB" localSheetId="25">'AGAM|0403-03'!$I$72</definedName>
    <definedName name="CECOrigPermVB" localSheetId="26">'AGAO|0330-00'!$I$72</definedName>
    <definedName name="CECOrigPermVB" localSheetId="27">'AGAO|0332-11'!$I$72</definedName>
    <definedName name="CECOrigPermVB" localSheetId="28">'AGAO|0332-12'!$I$72</definedName>
    <definedName name="CECOrigPermVB" localSheetId="29">'AGAO|0348-00'!$I$72</definedName>
    <definedName name="CECOrigPermVB" localSheetId="30">'AGAP|0348-00'!$I$72</definedName>
    <definedName name="CECOrigPermVB" localSheetId="31">'AGAP|0402-00'!$I$72</definedName>
    <definedName name="CECOrigPermVB">'B6'!$I$72</definedName>
    <definedName name="CECPerm">Benefits!$C$38</definedName>
    <definedName name="CECpermCalc" localSheetId="0">'AGAA|0001-00'!$E$72</definedName>
    <definedName name="CECpermCalc" localSheetId="1">'AGAA|0125-01'!$E$72</definedName>
    <definedName name="CECpermCalc" localSheetId="2">'AGAA|0125-02'!$E$72</definedName>
    <definedName name="CECpermCalc" localSheetId="3">'AGAB|0001-00'!$E$72</definedName>
    <definedName name="CECpermCalc" localSheetId="4">'AGAB|0332-06'!$E$72</definedName>
    <definedName name="CECpermCalc" localSheetId="5">'AGAB|0332-07'!$E$72</definedName>
    <definedName name="CECpermCalc" localSheetId="6">'AGAB|0332-09'!$E$72</definedName>
    <definedName name="CECpermCalc" localSheetId="7">'AGAC|0001-00'!$E$72</definedName>
    <definedName name="CECpermCalc" localSheetId="8">'AGAC|0332-05'!$E$72</definedName>
    <definedName name="CECpermCalc" localSheetId="9">'AGAC|0348-00'!$E$72</definedName>
    <definedName name="CECpermCalc" localSheetId="10">'AGAD|0001-00'!$E$72</definedName>
    <definedName name="CECpermCalc" localSheetId="11">'AGAD|0330-00'!$E$72</definedName>
    <definedName name="CECpermCalc" localSheetId="12">'AGAD|0330-13'!$E$72</definedName>
    <definedName name="CECpermCalc" localSheetId="13">'AGAD|0332-04'!$E$72</definedName>
    <definedName name="CECpermCalc" localSheetId="14">'AGAD|0332-08'!$E$72</definedName>
    <definedName name="CECpermCalc" localSheetId="15">'AGAE|0001-00'!$E$72</definedName>
    <definedName name="CECpermCalc" localSheetId="16">'AGAE|0330-12'!$E$72</definedName>
    <definedName name="CECpermCalc" localSheetId="17">'AGAE|0332-10'!$E$72</definedName>
    <definedName name="CECpermCalc" localSheetId="18">'AGAF|0001-00'!$E$72</definedName>
    <definedName name="CECpermCalc" localSheetId="19">'AGAF|0330-00'!$E$72</definedName>
    <definedName name="CECpermCalc" localSheetId="20">'AGAF|0490-00'!$E$72</definedName>
    <definedName name="CECpermCalc" localSheetId="21">'AGAH|0001-00'!$E$72</definedName>
    <definedName name="CECpermCalc" localSheetId="22">'AGAH|0332-03'!$E$72</definedName>
    <definedName name="CECpermCalc" localSheetId="23">'AGAL|0486-00'!$E$72</definedName>
    <definedName name="CECpermCalc" localSheetId="24">'AGAM|0348-00'!$E$72</definedName>
    <definedName name="CECpermCalc" localSheetId="25">'AGAM|0403-03'!$E$72</definedName>
    <definedName name="CECpermCalc" localSheetId="26">'AGAO|0330-00'!$E$72</definedName>
    <definedName name="CECpermCalc" localSheetId="27">'AGAO|0332-11'!$E$72</definedName>
    <definedName name="CECpermCalc" localSheetId="28">'AGAO|0332-12'!$E$72</definedName>
    <definedName name="CECpermCalc" localSheetId="29">'AGAO|0348-00'!$E$72</definedName>
    <definedName name="CECpermCalc" localSheetId="30">'AGAP|0348-00'!$E$72</definedName>
    <definedName name="CECpermCalc" localSheetId="31">'AGAP|0402-00'!$E$72</definedName>
    <definedName name="CECpermCalc">'B6'!$E$72</definedName>
    <definedName name="Department" localSheetId="0">'AGAA|0001-00'!$D$1</definedName>
    <definedName name="Department" localSheetId="1">'AGAA|0125-01'!$D$1</definedName>
    <definedName name="Department" localSheetId="2">'AGAA|0125-02'!$D$1</definedName>
    <definedName name="Department" localSheetId="3">'AGAB|0001-00'!$D$1</definedName>
    <definedName name="Department" localSheetId="4">'AGAB|0332-06'!$D$1</definedName>
    <definedName name="Department" localSheetId="5">'AGAB|0332-07'!$D$1</definedName>
    <definedName name="Department" localSheetId="6">'AGAB|0332-09'!$D$1</definedName>
    <definedName name="Department" localSheetId="7">'AGAC|0001-00'!$D$1</definedName>
    <definedName name="Department" localSheetId="8">'AGAC|0332-05'!$D$1</definedName>
    <definedName name="Department" localSheetId="9">'AGAC|0348-00'!$D$1</definedName>
    <definedName name="Department" localSheetId="10">'AGAD|0001-00'!$D$1</definedName>
    <definedName name="Department" localSheetId="11">'AGAD|0330-00'!$D$1</definedName>
    <definedName name="Department" localSheetId="12">'AGAD|0330-13'!$D$1</definedName>
    <definedName name="Department" localSheetId="13">'AGAD|0332-04'!$D$1</definedName>
    <definedName name="Department" localSheetId="14">'AGAD|0332-08'!$D$1</definedName>
    <definedName name="Department" localSheetId="15">'AGAE|0001-00'!$D$1</definedName>
    <definedName name="Department" localSheetId="16">'AGAE|0330-12'!$D$1</definedName>
    <definedName name="Department" localSheetId="17">'AGAE|0332-10'!$D$1</definedName>
    <definedName name="Department" localSheetId="18">'AGAF|0001-00'!$D$1</definedName>
    <definedName name="Department" localSheetId="19">'AGAF|0330-00'!$D$1</definedName>
    <definedName name="Department" localSheetId="20">'AGAF|0490-00'!$D$1</definedName>
    <definedName name="Department" localSheetId="21">'AGAH|0001-00'!$D$1</definedName>
    <definedName name="Department" localSheetId="22">'AGAH|0332-03'!$D$1</definedName>
    <definedName name="Department" localSheetId="23">'AGAL|0486-00'!$D$1</definedName>
    <definedName name="Department" localSheetId="24">'AGAM|0348-00'!$D$1</definedName>
    <definedName name="Department" localSheetId="25">'AGAM|0403-03'!$D$1</definedName>
    <definedName name="Department" localSheetId="26">'AGAO|0330-00'!$D$1</definedName>
    <definedName name="Department" localSheetId="27">'AGAO|0332-11'!$D$1</definedName>
    <definedName name="Department" localSheetId="28">'AGAO|0332-12'!$D$1</definedName>
    <definedName name="Department" localSheetId="29">'AGAO|0348-00'!$D$1</definedName>
    <definedName name="Department" localSheetId="30">'AGAP|0348-00'!$D$1</definedName>
    <definedName name="Department" localSheetId="31">'AGAP|0402-00'!$D$1</definedName>
    <definedName name="Department">'B6'!$D$1</definedName>
    <definedName name="DHR">Benefits!$C$11</definedName>
    <definedName name="DHRBY">Benefits!$D$11</definedName>
    <definedName name="DHRCHG">Benefits!$E$11</definedName>
    <definedName name="Division" localSheetId="0">'AGAA|0001-00'!$D$2</definedName>
    <definedName name="Division" localSheetId="1">'AGAA|0125-01'!$D$2</definedName>
    <definedName name="Division" localSheetId="2">'AGAA|0125-02'!$D$2</definedName>
    <definedName name="Division" localSheetId="3">'AGAB|0001-00'!$D$2</definedName>
    <definedName name="Division" localSheetId="4">'AGAB|0332-06'!$D$2</definedName>
    <definedName name="Division" localSheetId="5">'AGAB|0332-07'!$D$2</definedName>
    <definedName name="Division" localSheetId="6">'AGAB|0332-09'!$D$2</definedName>
    <definedName name="Division" localSheetId="7">'AGAC|0001-00'!$D$2</definedName>
    <definedName name="Division" localSheetId="8">'AGAC|0332-05'!$D$2</definedName>
    <definedName name="Division" localSheetId="9">'AGAC|0348-00'!$D$2</definedName>
    <definedName name="Division" localSheetId="10">'AGAD|0001-00'!$D$2</definedName>
    <definedName name="Division" localSheetId="11">'AGAD|0330-00'!$D$2</definedName>
    <definedName name="Division" localSheetId="12">'AGAD|0330-13'!$D$2</definedName>
    <definedName name="Division" localSheetId="13">'AGAD|0332-04'!$D$2</definedName>
    <definedName name="Division" localSheetId="14">'AGAD|0332-08'!$D$2</definedName>
    <definedName name="Division" localSheetId="15">'AGAE|0001-00'!$D$2</definedName>
    <definedName name="Division" localSheetId="16">'AGAE|0330-12'!$D$2</definedName>
    <definedName name="Division" localSheetId="17">'AGAE|0332-10'!$D$2</definedName>
    <definedName name="Division" localSheetId="18">'AGAF|0001-00'!$D$2</definedName>
    <definedName name="Division" localSheetId="19">'AGAF|0330-00'!$D$2</definedName>
    <definedName name="Division" localSheetId="20">'AGAF|0490-00'!$D$2</definedName>
    <definedName name="Division" localSheetId="21">'AGAH|0001-00'!$D$2</definedName>
    <definedName name="Division" localSheetId="22">'AGAH|0332-03'!$D$2</definedName>
    <definedName name="Division" localSheetId="23">'AGAL|0486-00'!$D$2</definedName>
    <definedName name="Division" localSheetId="24">'AGAM|0348-00'!$D$2</definedName>
    <definedName name="Division" localSheetId="25">'AGAM|0403-03'!$D$2</definedName>
    <definedName name="Division" localSheetId="26">'AGAO|0330-00'!$D$2</definedName>
    <definedName name="Division" localSheetId="27">'AGAO|0332-11'!$D$2</definedName>
    <definedName name="Division" localSheetId="28">'AGAO|0332-12'!$D$2</definedName>
    <definedName name="Division" localSheetId="29">'AGAO|0348-00'!$D$2</definedName>
    <definedName name="Division" localSheetId="30">'AGAP|0348-00'!$D$2</definedName>
    <definedName name="Division" localSheetId="31">'AGAP|0402-00'!$D$2</definedName>
    <definedName name="Division">'B6'!$D$2</definedName>
    <definedName name="DUCECElect" localSheetId="0">'AGAA|0001-00'!$J$74</definedName>
    <definedName name="DUCECElect" localSheetId="1">'AGAA|0125-01'!$J$74</definedName>
    <definedName name="DUCECElect" localSheetId="2">'AGAA|0125-02'!$J$74</definedName>
    <definedName name="DUCECElect" localSheetId="3">'AGAB|0001-00'!$J$74</definedName>
    <definedName name="DUCECElect" localSheetId="4">'AGAB|0332-06'!$J$74</definedName>
    <definedName name="DUCECElect" localSheetId="5">'AGAB|0332-07'!$J$74</definedName>
    <definedName name="DUCECElect" localSheetId="6">'AGAB|0332-09'!$J$74</definedName>
    <definedName name="DUCECElect" localSheetId="7">'AGAC|0001-00'!$J$74</definedName>
    <definedName name="DUCECElect" localSheetId="8">'AGAC|0332-05'!$J$74</definedName>
    <definedName name="DUCECElect" localSheetId="9">'AGAC|0348-00'!$J$74</definedName>
    <definedName name="DUCECElect" localSheetId="10">'AGAD|0001-00'!$J$74</definedName>
    <definedName name="DUCECElect" localSheetId="11">'AGAD|0330-00'!$J$74</definedName>
    <definedName name="DUCECElect" localSheetId="12">'AGAD|0330-13'!$J$74</definedName>
    <definedName name="DUCECElect" localSheetId="13">'AGAD|0332-04'!$J$74</definedName>
    <definedName name="DUCECElect" localSheetId="14">'AGAD|0332-08'!$J$74</definedName>
    <definedName name="DUCECElect" localSheetId="15">'AGAE|0001-00'!$J$74</definedName>
    <definedName name="DUCECElect" localSheetId="16">'AGAE|0330-12'!$J$74</definedName>
    <definedName name="DUCECElect" localSheetId="17">'AGAE|0332-10'!$J$74</definedName>
    <definedName name="DUCECElect" localSheetId="18">'AGAF|0001-00'!$J$74</definedName>
    <definedName name="DUCECElect" localSheetId="19">'AGAF|0330-00'!$J$74</definedName>
    <definedName name="DUCECElect" localSheetId="20">'AGAF|0490-00'!$J$74</definedName>
    <definedName name="DUCECElect" localSheetId="21">'AGAH|0001-00'!$J$74</definedName>
    <definedName name="DUCECElect" localSheetId="22">'AGAH|0332-03'!$J$74</definedName>
    <definedName name="DUCECElect" localSheetId="23">'AGAL|0486-00'!$J$74</definedName>
    <definedName name="DUCECElect" localSheetId="24">'AGAM|0348-00'!$J$74</definedName>
    <definedName name="DUCECElect" localSheetId="25">'AGAM|0403-03'!$J$74</definedName>
    <definedName name="DUCECElect" localSheetId="26">'AGAO|0330-00'!$J$74</definedName>
    <definedName name="DUCECElect" localSheetId="27">'AGAO|0332-11'!$J$74</definedName>
    <definedName name="DUCECElect" localSheetId="28">'AGAO|0332-12'!$J$74</definedName>
    <definedName name="DUCECElect" localSheetId="29">'AGAO|0348-00'!$J$74</definedName>
    <definedName name="DUCECElect" localSheetId="30">'AGAP|0348-00'!$J$74</definedName>
    <definedName name="DUCECElect" localSheetId="31">'AGAP|0402-00'!$J$74</definedName>
    <definedName name="DUCECElect">'B6'!$J$74</definedName>
    <definedName name="DUCECGroup" localSheetId="0">'AGAA|0001-00'!$J$73</definedName>
    <definedName name="DUCECGroup" localSheetId="1">'AGAA|0125-01'!$J$73</definedName>
    <definedName name="DUCECGroup" localSheetId="2">'AGAA|0125-02'!$J$73</definedName>
    <definedName name="DUCECGroup" localSheetId="3">'AGAB|0001-00'!$J$73</definedName>
    <definedName name="DUCECGroup" localSheetId="4">'AGAB|0332-06'!$J$73</definedName>
    <definedName name="DUCECGroup" localSheetId="5">'AGAB|0332-07'!$J$73</definedName>
    <definedName name="DUCECGroup" localSheetId="6">'AGAB|0332-09'!$J$73</definedName>
    <definedName name="DUCECGroup" localSheetId="7">'AGAC|0001-00'!$J$73</definedName>
    <definedName name="DUCECGroup" localSheetId="8">'AGAC|0332-05'!$J$73</definedName>
    <definedName name="DUCECGroup" localSheetId="9">'AGAC|0348-00'!$J$73</definedName>
    <definedName name="DUCECGroup" localSheetId="10">'AGAD|0001-00'!$J$73</definedName>
    <definedName name="DUCECGroup" localSheetId="11">'AGAD|0330-00'!$J$73</definedName>
    <definedName name="DUCECGroup" localSheetId="12">'AGAD|0330-13'!$J$73</definedName>
    <definedName name="DUCECGroup" localSheetId="13">'AGAD|0332-04'!$J$73</definedName>
    <definedName name="DUCECGroup" localSheetId="14">'AGAD|0332-08'!$J$73</definedName>
    <definedName name="DUCECGroup" localSheetId="15">'AGAE|0001-00'!$J$73</definedName>
    <definedName name="DUCECGroup" localSheetId="16">'AGAE|0330-12'!$J$73</definedName>
    <definedName name="DUCECGroup" localSheetId="17">'AGAE|0332-10'!$J$73</definedName>
    <definedName name="DUCECGroup" localSheetId="18">'AGAF|0001-00'!$J$73</definedName>
    <definedName name="DUCECGroup" localSheetId="19">'AGAF|0330-00'!$J$73</definedName>
    <definedName name="DUCECGroup" localSheetId="20">'AGAF|0490-00'!$J$73</definedName>
    <definedName name="DUCECGroup" localSheetId="21">'AGAH|0001-00'!$J$73</definedName>
    <definedName name="DUCECGroup" localSheetId="22">'AGAH|0332-03'!$J$73</definedName>
    <definedName name="DUCECGroup" localSheetId="23">'AGAL|0486-00'!$J$73</definedName>
    <definedName name="DUCECGroup" localSheetId="24">'AGAM|0348-00'!$J$73</definedName>
    <definedName name="DUCECGroup" localSheetId="25">'AGAM|0403-03'!$J$73</definedName>
    <definedName name="DUCECGroup" localSheetId="26">'AGAO|0330-00'!$J$73</definedName>
    <definedName name="DUCECGroup" localSheetId="27">'AGAO|0332-11'!$J$73</definedName>
    <definedName name="DUCECGroup" localSheetId="28">'AGAO|0332-12'!$J$73</definedName>
    <definedName name="DUCECGroup" localSheetId="29">'AGAO|0348-00'!$J$73</definedName>
    <definedName name="DUCECGroup" localSheetId="30">'AGAP|0348-00'!$J$73</definedName>
    <definedName name="DUCECGroup" localSheetId="31">'AGAP|0402-00'!$J$73</definedName>
    <definedName name="DUCECGroup">'B6'!$J$73</definedName>
    <definedName name="DUCECPerm" localSheetId="0">'AGAA|0001-00'!$J$72</definedName>
    <definedName name="DUCECPerm" localSheetId="1">'AGAA|0125-01'!$J$72</definedName>
    <definedName name="DUCECPerm" localSheetId="2">'AGAA|0125-02'!$J$72</definedName>
    <definedName name="DUCECPerm" localSheetId="3">'AGAB|0001-00'!$J$72</definedName>
    <definedName name="DUCECPerm" localSheetId="4">'AGAB|0332-06'!$J$72</definedName>
    <definedName name="DUCECPerm" localSheetId="5">'AGAB|0332-07'!$J$72</definedName>
    <definedName name="DUCECPerm" localSheetId="6">'AGAB|0332-09'!$J$72</definedName>
    <definedName name="DUCECPerm" localSheetId="7">'AGAC|0001-00'!$J$72</definedName>
    <definedName name="DUCECPerm" localSheetId="8">'AGAC|0332-05'!$J$72</definedName>
    <definedName name="DUCECPerm" localSheetId="9">'AGAC|0348-00'!$J$72</definedName>
    <definedName name="DUCECPerm" localSheetId="10">'AGAD|0001-00'!$J$72</definedName>
    <definedName name="DUCECPerm" localSheetId="11">'AGAD|0330-00'!$J$72</definedName>
    <definedName name="DUCECPerm" localSheetId="12">'AGAD|0330-13'!$J$72</definedName>
    <definedName name="DUCECPerm" localSheetId="13">'AGAD|0332-04'!$J$72</definedName>
    <definedName name="DUCECPerm" localSheetId="14">'AGAD|0332-08'!$J$72</definedName>
    <definedName name="DUCECPerm" localSheetId="15">'AGAE|0001-00'!$J$72</definedName>
    <definedName name="DUCECPerm" localSheetId="16">'AGAE|0330-12'!$J$72</definedName>
    <definedName name="DUCECPerm" localSheetId="17">'AGAE|0332-10'!$J$72</definedName>
    <definedName name="DUCECPerm" localSheetId="18">'AGAF|0001-00'!$J$72</definedName>
    <definedName name="DUCECPerm" localSheetId="19">'AGAF|0330-00'!$J$72</definedName>
    <definedName name="DUCECPerm" localSheetId="20">'AGAF|0490-00'!$J$72</definedName>
    <definedName name="DUCECPerm" localSheetId="21">'AGAH|0001-00'!$J$72</definedName>
    <definedName name="DUCECPerm" localSheetId="22">'AGAH|0332-03'!$J$72</definedName>
    <definedName name="DUCECPerm" localSheetId="23">'AGAL|0486-00'!$J$72</definedName>
    <definedName name="DUCECPerm" localSheetId="24">'AGAM|0348-00'!$J$72</definedName>
    <definedName name="DUCECPerm" localSheetId="25">'AGAM|0403-03'!$J$72</definedName>
    <definedName name="DUCECPerm" localSheetId="26">'AGAO|0330-00'!$J$72</definedName>
    <definedName name="DUCECPerm" localSheetId="27">'AGAO|0332-11'!$J$72</definedName>
    <definedName name="DUCECPerm" localSheetId="28">'AGAO|0332-12'!$J$72</definedName>
    <definedName name="DUCECPerm" localSheetId="29">'AGAO|0348-00'!$J$72</definedName>
    <definedName name="DUCECPerm" localSheetId="30">'AGAP|0348-00'!$J$72</definedName>
    <definedName name="DUCECPerm" localSheetId="31">'AGAP|0402-00'!$J$72</definedName>
    <definedName name="DUCECPerm">'B6'!$J$72</definedName>
    <definedName name="DUEleven" localSheetId="0">'AGAA|0001-00'!$J$75</definedName>
    <definedName name="DUEleven" localSheetId="1">'AGAA|0125-01'!$J$75</definedName>
    <definedName name="DUEleven" localSheetId="2">'AGAA|0125-02'!$J$75</definedName>
    <definedName name="DUEleven" localSheetId="3">'AGAB|0001-00'!$J$75</definedName>
    <definedName name="DUEleven" localSheetId="4">'AGAB|0332-06'!$J$75</definedName>
    <definedName name="DUEleven" localSheetId="5">'AGAB|0332-07'!$J$75</definedName>
    <definedName name="DUEleven" localSheetId="6">'AGAB|0332-09'!$J$75</definedName>
    <definedName name="DUEleven" localSheetId="7">'AGAC|0001-00'!$J$75</definedName>
    <definedName name="DUEleven" localSheetId="8">'AGAC|0332-05'!$J$75</definedName>
    <definedName name="DUEleven" localSheetId="9">'AGAC|0348-00'!$J$75</definedName>
    <definedName name="DUEleven" localSheetId="10">'AGAD|0001-00'!$J$75</definedName>
    <definedName name="DUEleven" localSheetId="11">'AGAD|0330-00'!$J$75</definedName>
    <definedName name="DUEleven" localSheetId="12">'AGAD|0330-13'!$J$75</definedName>
    <definedName name="DUEleven" localSheetId="13">'AGAD|0332-04'!$J$75</definedName>
    <definedName name="DUEleven" localSheetId="14">'AGAD|0332-08'!$J$75</definedName>
    <definedName name="DUEleven" localSheetId="15">'AGAE|0001-00'!$J$75</definedName>
    <definedName name="DUEleven" localSheetId="16">'AGAE|0330-12'!$J$75</definedName>
    <definedName name="DUEleven" localSheetId="17">'AGAE|0332-10'!$J$75</definedName>
    <definedName name="DUEleven" localSheetId="18">'AGAF|0001-00'!$J$75</definedName>
    <definedName name="DUEleven" localSheetId="19">'AGAF|0330-00'!$J$75</definedName>
    <definedName name="DUEleven" localSheetId="20">'AGAF|0490-00'!$J$75</definedName>
    <definedName name="DUEleven" localSheetId="21">'AGAH|0001-00'!$J$75</definedName>
    <definedName name="DUEleven" localSheetId="22">'AGAH|0332-03'!$J$75</definedName>
    <definedName name="DUEleven" localSheetId="23">'AGAL|0486-00'!$J$75</definedName>
    <definedName name="DUEleven" localSheetId="24">'AGAM|0348-00'!$J$75</definedName>
    <definedName name="DUEleven" localSheetId="25">'AGAM|0403-03'!$J$75</definedName>
    <definedName name="DUEleven" localSheetId="26">'AGAO|0330-00'!$J$75</definedName>
    <definedName name="DUEleven" localSheetId="27">'AGAO|0332-11'!$J$75</definedName>
    <definedName name="DUEleven" localSheetId="28">'AGAO|0332-12'!$J$75</definedName>
    <definedName name="DUEleven" localSheetId="29">'AGAO|0348-00'!$J$75</definedName>
    <definedName name="DUEleven" localSheetId="30">'AGAP|0348-00'!$J$75</definedName>
    <definedName name="DUEleven" localSheetId="31">'AGAP|0402-00'!$J$75</definedName>
    <definedName name="DUEleven">'B6'!$J$75</definedName>
    <definedName name="DUHealthBen" localSheetId="0">'AGAA|0001-00'!$J$68</definedName>
    <definedName name="DUHealthBen" localSheetId="1">'AGAA|0125-01'!$J$68</definedName>
    <definedName name="DUHealthBen" localSheetId="2">'AGAA|0125-02'!$J$68</definedName>
    <definedName name="DUHealthBen" localSheetId="3">'AGAB|0001-00'!$J$68</definedName>
    <definedName name="DUHealthBen" localSheetId="4">'AGAB|0332-06'!$J$68</definedName>
    <definedName name="DUHealthBen" localSheetId="5">'AGAB|0332-07'!$J$68</definedName>
    <definedName name="DUHealthBen" localSheetId="6">'AGAB|0332-09'!$J$68</definedName>
    <definedName name="DUHealthBen" localSheetId="7">'AGAC|0001-00'!$J$68</definedName>
    <definedName name="DUHealthBen" localSheetId="8">'AGAC|0332-05'!$J$68</definedName>
    <definedName name="DUHealthBen" localSheetId="9">'AGAC|0348-00'!$J$68</definedName>
    <definedName name="DUHealthBen" localSheetId="10">'AGAD|0001-00'!$J$68</definedName>
    <definedName name="DUHealthBen" localSheetId="11">'AGAD|0330-00'!$J$68</definedName>
    <definedName name="DUHealthBen" localSheetId="12">'AGAD|0330-13'!$J$68</definedName>
    <definedName name="DUHealthBen" localSheetId="13">'AGAD|0332-04'!$J$68</definedName>
    <definedName name="DUHealthBen" localSheetId="14">'AGAD|0332-08'!$J$68</definedName>
    <definedName name="DUHealthBen" localSheetId="15">'AGAE|0001-00'!$J$68</definedName>
    <definedName name="DUHealthBen" localSheetId="16">'AGAE|0330-12'!$J$68</definedName>
    <definedName name="DUHealthBen" localSheetId="17">'AGAE|0332-10'!$J$68</definedName>
    <definedName name="DUHealthBen" localSheetId="18">'AGAF|0001-00'!$J$68</definedName>
    <definedName name="DUHealthBen" localSheetId="19">'AGAF|0330-00'!$J$68</definedName>
    <definedName name="DUHealthBen" localSheetId="20">'AGAF|0490-00'!$J$68</definedName>
    <definedName name="DUHealthBen" localSheetId="21">'AGAH|0001-00'!$J$68</definedName>
    <definedName name="DUHealthBen" localSheetId="22">'AGAH|0332-03'!$J$68</definedName>
    <definedName name="DUHealthBen" localSheetId="23">'AGAL|0486-00'!$J$68</definedName>
    <definedName name="DUHealthBen" localSheetId="24">'AGAM|0348-00'!$J$68</definedName>
    <definedName name="DUHealthBen" localSheetId="25">'AGAM|0403-03'!$J$68</definedName>
    <definedName name="DUHealthBen" localSheetId="26">'AGAO|0330-00'!$J$68</definedName>
    <definedName name="DUHealthBen" localSheetId="27">'AGAO|0332-11'!$J$68</definedName>
    <definedName name="DUHealthBen" localSheetId="28">'AGAO|0332-12'!$J$68</definedName>
    <definedName name="DUHealthBen" localSheetId="29">'AGAO|0348-00'!$J$68</definedName>
    <definedName name="DUHealthBen" localSheetId="30">'AGAP|0348-00'!$J$68</definedName>
    <definedName name="DUHealthBen" localSheetId="31">'AGAP|0402-00'!$J$68</definedName>
    <definedName name="DUHealthBen">'B6'!$J$68</definedName>
    <definedName name="DUNine" localSheetId="0">'AGAA|0001-00'!$J$67</definedName>
    <definedName name="DUNine" localSheetId="1">'AGAA|0125-01'!$J$67</definedName>
    <definedName name="DUNine" localSheetId="2">'AGAA|0125-02'!$J$67</definedName>
    <definedName name="DUNine" localSheetId="3">'AGAB|0001-00'!$J$67</definedName>
    <definedName name="DUNine" localSheetId="4">'AGAB|0332-06'!$J$67</definedName>
    <definedName name="DUNine" localSheetId="5">'AGAB|0332-07'!$J$67</definedName>
    <definedName name="DUNine" localSheetId="6">'AGAB|0332-09'!$J$67</definedName>
    <definedName name="DUNine" localSheetId="7">'AGAC|0001-00'!$J$67</definedName>
    <definedName name="DUNine" localSheetId="8">'AGAC|0332-05'!$J$67</definedName>
    <definedName name="DUNine" localSheetId="9">'AGAC|0348-00'!$J$67</definedName>
    <definedName name="DUNine" localSheetId="10">'AGAD|0001-00'!$J$67</definedName>
    <definedName name="DUNine" localSheetId="11">'AGAD|0330-00'!$J$67</definedName>
    <definedName name="DUNine" localSheetId="12">'AGAD|0330-13'!$J$67</definedName>
    <definedName name="DUNine" localSheetId="13">'AGAD|0332-04'!$J$67</definedName>
    <definedName name="DUNine" localSheetId="14">'AGAD|0332-08'!$J$67</definedName>
    <definedName name="DUNine" localSheetId="15">'AGAE|0001-00'!$J$67</definedName>
    <definedName name="DUNine" localSheetId="16">'AGAE|0330-12'!$J$67</definedName>
    <definedName name="DUNine" localSheetId="17">'AGAE|0332-10'!$J$67</definedName>
    <definedName name="DUNine" localSheetId="18">'AGAF|0001-00'!$J$67</definedName>
    <definedName name="DUNine" localSheetId="19">'AGAF|0330-00'!$J$67</definedName>
    <definedName name="DUNine" localSheetId="20">'AGAF|0490-00'!$J$67</definedName>
    <definedName name="DUNine" localSheetId="21">'AGAH|0001-00'!$J$67</definedName>
    <definedName name="DUNine" localSheetId="22">'AGAH|0332-03'!$J$67</definedName>
    <definedName name="DUNine" localSheetId="23">'AGAL|0486-00'!$J$67</definedName>
    <definedName name="DUNine" localSheetId="24">'AGAM|0348-00'!$J$67</definedName>
    <definedName name="DUNine" localSheetId="25">'AGAM|0403-03'!$J$67</definedName>
    <definedName name="DUNine" localSheetId="26">'AGAO|0330-00'!$J$67</definedName>
    <definedName name="DUNine" localSheetId="27">'AGAO|0332-11'!$J$67</definedName>
    <definedName name="DUNine" localSheetId="28">'AGAO|0332-12'!$J$67</definedName>
    <definedName name="DUNine" localSheetId="29">'AGAO|0348-00'!$J$67</definedName>
    <definedName name="DUNine" localSheetId="30">'AGAP|0348-00'!$J$67</definedName>
    <definedName name="DUNine" localSheetId="31">'AGAP|0402-00'!$J$67</definedName>
    <definedName name="DUNine">'B6'!$J$67</definedName>
    <definedName name="DUThirteen" localSheetId="0">'AGAA|0001-00'!$J$80</definedName>
    <definedName name="DUThirteen" localSheetId="1">'AGAA|0125-01'!$J$80</definedName>
    <definedName name="DUThirteen" localSheetId="2">'AGAA|0125-02'!$J$80</definedName>
    <definedName name="DUThirteen" localSheetId="3">'AGAB|0001-00'!$J$80</definedName>
    <definedName name="DUThirteen" localSheetId="4">'AGAB|0332-06'!$J$80</definedName>
    <definedName name="DUThirteen" localSheetId="5">'AGAB|0332-07'!$J$80</definedName>
    <definedName name="DUThirteen" localSheetId="6">'AGAB|0332-09'!$J$80</definedName>
    <definedName name="DUThirteen" localSheetId="7">'AGAC|0001-00'!$J$80</definedName>
    <definedName name="DUThirteen" localSheetId="8">'AGAC|0332-05'!$J$80</definedName>
    <definedName name="DUThirteen" localSheetId="9">'AGAC|0348-00'!$J$80</definedName>
    <definedName name="DUThirteen" localSheetId="10">'AGAD|0001-00'!$J$80</definedName>
    <definedName name="DUThirteen" localSheetId="11">'AGAD|0330-00'!$J$80</definedName>
    <definedName name="DUThirteen" localSheetId="12">'AGAD|0330-13'!$J$80</definedName>
    <definedName name="DUThirteen" localSheetId="13">'AGAD|0332-04'!$J$80</definedName>
    <definedName name="DUThirteen" localSheetId="14">'AGAD|0332-08'!$J$80</definedName>
    <definedName name="DUThirteen" localSheetId="15">'AGAE|0001-00'!$J$80</definedName>
    <definedName name="DUThirteen" localSheetId="16">'AGAE|0330-12'!$J$80</definedName>
    <definedName name="DUThirteen" localSheetId="17">'AGAE|0332-10'!$J$80</definedName>
    <definedName name="DUThirteen" localSheetId="18">'AGAF|0001-00'!$J$80</definedName>
    <definedName name="DUThirteen" localSheetId="19">'AGAF|0330-00'!$J$80</definedName>
    <definedName name="DUThirteen" localSheetId="20">'AGAF|0490-00'!$J$80</definedName>
    <definedName name="DUThirteen" localSheetId="21">'AGAH|0001-00'!$J$80</definedName>
    <definedName name="DUThirteen" localSheetId="22">'AGAH|0332-03'!$J$80</definedName>
    <definedName name="DUThirteen" localSheetId="23">'AGAL|0486-00'!$J$80</definedName>
    <definedName name="DUThirteen" localSheetId="24">'AGAM|0348-00'!$J$80</definedName>
    <definedName name="DUThirteen" localSheetId="25">'AGAM|0403-03'!$J$80</definedName>
    <definedName name="DUThirteen" localSheetId="26">'AGAO|0330-00'!$J$80</definedName>
    <definedName name="DUThirteen" localSheetId="27">'AGAO|0332-11'!$J$80</definedName>
    <definedName name="DUThirteen" localSheetId="28">'AGAO|0332-12'!$J$80</definedName>
    <definedName name="DUThirteen" localSheetId="29">'AGAO|0348-00'!$J$80</definedName>
    <definedName name="DUThirteen" localSheetId="30">'AGAP|0348-00'!$J$80</definedName>
    <definedName name="DUThirteen" localSheetId="31">'AGAP|0402-00'!$J$80</definedName>
    <definedName name="DUThirteen">'B6'!$J$80</definedName>
    <definedName name="DUVariableBen" localSheetId="0">'AGAA|0001-00'!$J$69</definedName>
    <definedName name="DUVariableBen" localSheetId="1">'AGAA|0125-01'!$J$69</definedName>
    <definedName name="DUVariableBen" localSheetId="2">'AGAA|0125-02'!$J$69</definedName>
    <definedName name="DUVariableBen" localSheetId="3">'AGAB|0001-00'!$J$69</definedName>
    <definedName name="DUVariableBen" localSheetId="4">'AGAB|0332-06'!$J$69</definedName>
    <definedName name="DUVariableBen" localSheetId="5">'AGAB|0332-07'!$J$69</definedName>
    <definedName name="DUVariableBen" localSheetId="6">'AGAB|0332-09'!$J$69</definedName>
    <definedName name="DUVariableBen" localSheetId="7">'AGAC|0001-00'!$J$69</definedName>
    <definedName name="DUVariableBen" localSheetId="8">'AGAC|0332-05'!$J$69</definedName>
    <definedName name="DUVariableBen" localSheetId="9">'AGAC|0348-00'!$J$69</definedName>
    <definedName name="DUVariableBen" localSheetId="10">'AGAD|0001-00'!$J$69</definedName>
    <definedName name="DUVariableBen" localSheetId="11">'AGAD|0330-00'!$J$69</definedName>
    <definedName name="DUVariableBen" localSheetId="12">'AGAD|0330-13'!$J$69</definedName>
    <definedName name="DUVariableBen" localSheetId="13">'AGAD|0332-04'!$J$69</definedName>
    <definedName name="DUVariableBen" localSheetId="14">'AGAD|0332-08'!$J$69</definedName>
    <definedName name="DUVariableBen" localSheetId="15">'AGAE|0001-00'!$J$69</definedName>
    <definedName name="DUVariableBen" localSheetId="16">'AGAE|0330-12'!$J$69</definedName>
    <definedName name="DUVariableBen" localSheetId="17">'AGAE|0332-10'!$J$69</definedName>
    <definedName name="DUVariableBen" localSheetId="18">'AGAF|0001-00'!$J$69</definedName>
    <definedName name="DUVariableBen" localSheetId="19">'AGAF|0330-00'!$J$69</definedName>
    <definedName name="DUVariableBen" localSheetId="20">'AGAF|0490-00'!$J$69</definedName>
    <definedName name="DUVariableBen" localSheetId="21">'AGAH|0001-00'!$J$69</definedName>
    <definedName name="DUVariableBen" localSheetId="22">'AGAH|0332-03'!$J$69</definedName>
    <definedName name="DUVariableBen" localSheetId="23">'AGAL|0486-00'!$J$69</definedName>
    <definedName name="DUVariableBen" localSheetId="24">'AGAM|0348-00'!$J$69</definedName>
    <definedName name="DUVariableBen" localSheetId="25">'AGAM|0403-03'!$J$69</definedName>
    <definedName name="DUVariableBen" localSheetId="26">'AGAO|0330-00'!$J$69</definedName>
    <definedName name="DUVariableBen" localSheetId="27">'AGAO|0332-11'!$J$69</definedName>
    <definedName name="DUVariableBen" localSheetId="28">'AGAO|0332-12'!$J$69</definedName>
    <definedName name="DUVariableBen" localSheetId="29">'AGAO|0348-00'!$J$69</definedName>
    <definedName name="DUVariableBen" localSheetId="30">'AGAP|0348-00'!$J$69</definedName>
    <definedName name="DUVariableBen" localSheetId="31">'AGAP|0402-00'!$J$69</definedName>
    <definedName name="DUVariableBen">'B6'!$J$69</definedName>
    <definedName name="Elect_chg_health" localSheetId="0">'AGAA|0001-00'!$L$12</definedName>
    <definedName name="Elect_chg_health" localSheetId="1">'AGAA|0125-01'!$L$12</definedName>
    <definedName name="Elect_chg_health" localSheetId="2">'AGAA|0125-02'!$L$12</definedName>
    <definedName name="Elect_chg_health" localSheetId="3">'AGAB|0001-00'!$L$12</definedName>
    <definedName name="Elect_chg_health" localSheetId="4">'AGAB|0332-06'!$L$12</definedName>
    <definedName name="Elect_chg_health" localSheetId="5">'AGAB|0332-07'!$L$12</definedName>
    <definedName name="Elect_chg_health" localSheetId="6">'AGAB|0332-09'!$L$12</definedName>
    <definedName name="Elect_chg_health" localSheetId="7">'AGAC|0001-00'!$L$12</definedName>
    <definedName name="Elect_chg_health" localSheetId="8">'AGAC|0332-05'!$L$12</definedName>
    <definedName name="Elect_chg_health" localSheetId="9">'AGAC|0348-00'!$L$12</definedName>
    <definedName name="Elect_chg_health" localSheetId="10">'AGAD|0001-00'!$L$12</definedName>
    <definedName name="Elect_chg_health" localSheetId="11">'AGAD|0330-00'!$L$12</definedName>
    <definedName name="Elect_chg_health" localSheetId="12">'AGAD|0330-13'!$L$12</definedName>
    <definedName name="Elect_chg_health" localSheetId="13">'AGAD|0332-04'!$L$12</definedName>
    <definedName name="Elect_chg_health" localSheetId="14">'AGAD|0332-08'!$L$12</definedName>
    <definedName name="Elect_chg_health" localSheetId="15">'AGAE|0001-00'!$L$12</definedName>
    <definedName name="Elect_chg_health" localSheetId="16">'AGAE|0330-12'!$L$12</definedName>
    <definedName name="Elect_chg_health" localSheetId="17">'AGAE|0332-10'!$L$12</definedName>
    <definedName name="Elect_chg_health" localSheetId="18">'AGAF|0001-00'!$L$12</definedName>
    <definedName name="Elect_chg_health" localSheetId="19">'AGAF|0330-00'!$L$12</definedName>
    <definedName name="Elect_chg_health" localSheetId="20">'AGAF|0490-00'!$L$12</definedName>
    <definedName name="Elect_chg_health" localSheetId="21">'AGAH|0001-00'!$L$12</definedName>
    <definedName name="Elect_chg_health" localSheetId="22">'AGAH|0332-03'!$L$12</definedName>
    <definedName name="Elect_chg_health" localSheetId="23">'AGAL|0486-00'!$L$12</definedName>
    <definedName name="Elect_chg_health" localSheetId="24">'AGAM|0348-00'!$L$12</definedName>
    <definedName name="Elect_chg_health" localSheetId="25">'AGAM|0403-03'!$L$12</definedName>
    <definedName name="Elect_chg_health" localSheetId="26">'AGAO|0330-00'!$L$12</definedName>
    <definedName name="Elect_chg_health" localSheetId="27">'AGAO|0332-11'!$L$12</definedName>
    <definedName name="Elect_chg_health" localSheetId="28">'AGAO|0332-12'!$L$12</definedName>
    <definedName name="Elect_chg_health" localSheetId="29">'AGAO|0348-00'!$L$12</definedName>
    <definedName name="Elect_chg_health" localSheetId="30">'AGAP|0348-00'!$L$12</definedName>
    <definedName name="Elect_chg_health" localSheetId="31">'AGAP|0402-00'!$L$12</definedName>
    <definedName name="Elect_chg_health">'B6'!$L$12</definedName>
    <definedName name="Elect_chg_Var" localSheetId="0">'AGAA|0001-00'!$M$12</definedName>
    <definedName name="Elect_chg_Var" localSheetId="1">'AGAA|0125-01'!$M$12</definedName>
    <definedName name="Elect_chg_Var" localSheetId="2">'AGAA|0125-02'!$M$12</definedName>
    <definedName name="Elect_chg_Var" localSheetId="3">'AGAB|0001-00'!$M$12</definedName>
    <definedName name="Elect_chg_Var" localSheetId="4">'AGAB|0332-06'!$M$12</definedName>
    <definedName name="Elect_chg_Var" localSheetId="5">'AGAB|0332-07'!$M$12</definedName>
    <definedName name="Elect_chg_Var" localSheetId="6">'AGAB|0332-09'!$M$12</definedName>
    <definedName name="Elect_chg_Var" localSheetId="7">'AGAC|0001-00'!$M$12</definedName>
    <definedName name="Elect_chg_Var" localSheetId="8">'AGAC|0332-05'!$M$12</definedName>
    <definedName name="Elect_chg_Var" localSheetId="9">'AGAC|0348-00'!$M$12</definedName>
    <definedName name="Elect_chg_Var" localSheetId="10">'AGAD|0001-00'!$M$12</definedName>
    <definedName name="Elect_chg_Var" localSheetId="11">'AGAD|0330-00'!$M$12</definedName>
    <definedName name="Elect_chg_Var" localSheetId="12">'AGAD|0330-13'!$M$12</definedName>
    <definedName name="Elect_chg_Var" localSheetId="13">'AGAD|0332-04'!$M$12</definedName>
    <definedName name="Elect_chg_Var" localSheetId="14">'AGAD|0332-08'!$M$12</definedName>
    <definedName name="Elect_chg_Var" localSheetId="15">'AGAE|0001-00'!$M$12</definedName>
    <definedName name="Elect_chg_Var" localSheetId="16">'AGAE|0330-12'!$M$12</definedName>
    <definedName name="Elect_chg_Var" localSheetId="17">'AGAE|0332-10'!$M$12</definedName>
    <definedName name="Elect_chg_Var" localSheetId="18">'AGAF|0001-00'!$M$12</definedName>
    <definedName name="Elect_chg_Var" localSheetId="19">'AGAF|0330-00'!$M$12</definedName>
    <definedName name="Elect_chg_Var" localSheetId="20">'AGAF|0490-00'!$M$12</definedName>
    <definedName name="Elect_chg_Var" localSheetId="21">'AGAH|0001-00'!$M$12</definedName>
    <definedName name="Elect_chg_Var" localSheetId="22">'AGAH|0332-03'!$M$12</definedName>
    <definedName name="Elect_chg_Var" localSheetId="23">'AGAL|0486-00'!$M$12</definedName>
    <definedName name="Elect_chg_Var" localSheetId="24">'AGAM|0348-00'!$M$12</definedName>
    <definedName name="Elect_chg_Var" localSheetId="25">'AGAM|0403-03'!$M$12</definedName>
    <definedName name="Elect_chg_Var" localSheetId="26">'AGAO|0330-00'!$M$12</definedName>
    <definedName name="Elect_chg_Var" localSheetId="27">'AGAO|0332-11'!$M$12</definedName>
    <definedName name="Elect_chg_Var" localSheetId="28">'AGAO|0332-12'!$M$12</definedName>
    <definedName name="Elect_chg_Var" localSheetId="29">'AGAO|0348-00'!$M$12</definedName>
    <definedName name="Elect_chg_Var" localSheetId="30">'AGAP|0348-00'!$M$12</definedName>
    <definedName name="Elect_chg_Var" localSheetId="31">'AGAP|0402-00'!$M$12</definedName>
    <definedName name="Elect_chg_Var">'B6'!$M$12</definedName>
    <definedName name="elect_FTP" localSheetId="0">'AGAA|0001-00'!$F$12</definedName>
    <definedName name="elect_FTP" localSheetId="1">'AGAA|0125-01'!$F$12</definedName>
    <definedName name="elect_FTP" localSheetId="2">'AGAA|0125-02'!$F$12</definedName>
    <definedName name="elect_FTP" localSheetId="3">'AGAB|0001-00'!$F$12</definedName>
    <definedName name="elect_FTP" localSheetId="4">'AGAB|0332-06'!$F$12</definedName>
    <definedName name="elect_FTP" localSheetId="5">'AGAB|0332-07'!$F$12</definedName>
    <definedName name="elect_FTP" localSheetId="6">'AGAB|0332-09'!$F$12</definedName>
    <definedName name="elect_FTP" localSheetId="7">'AGAC|0001-00'!$F$12</definedName>
    <definedName name="elect_FTP" localSheetId="8">'AGAC|0332-05'!$F$12</definedName>
    <definedName name="elect_FTP" localSheetId="9">'AGAC|0348-00'!$F$12</definedName>
    <definedName name="elect_FTP" localSheetId="10">'AGAD|0001-00'!$F$12</definedName>
    <definedName name="elect_FTP" localSheetId="11">'AGAD|0330-00'!$F$12</definedName>
    <definedName name="elect_FTP" localSheetId="12">'AGAD|0330-13'!$F$12</definedName>
    <definedName name="elect_FTP" localSheetId="13">'AGAD|0332-04'!$F$12</definedName>
    <definedName name="elect_FTP" localSheetId="14">'AGAD|0332-08'!$F$12</definedName>
    <definedName name="elect_FTP" localSheetId="15">'AGAE|0001-00'!$F$12</definedName>
    <definedName name="elect_FTP" localSheetId="16">'AGAE|0330-12'!$F$12</definedName>
    <definedName name="elect_FTP" localSheetId="17">'AGAE|0332-10'!$F$12</definedName>
    <definedName name="elect_FTP" localSheetId="18">'AGAF|0001-00'!$F$12</definedName>
    <definedName name="elect_FTP" localSheetId="19">'AGAF|0330-00'!$F$12</definedName>
    <definedName name="elect_FTP" localSheetId="20">'AGAF|0490-00'!$F$12</definedName>
    <definedName name="elect_FTP" localSheetId="21">'AGAH|0001-00'!$F$12</definedName>
    <definedName name="elect_FTP" localSheetId="22">'AGAH|0332-03'!$F$12</definedName>
    <definedName name="elect_FTP" localSheetId="23">'AGAL|0486-00'!$F$12</definedName>
    <definedName name="elect_FTP" localSheetId="24">'AGAM|0348-00'!$F$12</definedName>
    <definedName name="elect_FTP" localSheetId="25">'AGAM|0403-03'!$F$12</definedName>
    <definedName name="elect_FTP" localSheetId="26">'AGAO|0330-00'!$F$12</definedName>
    <definedName name="elect_FTP" localSheetId="27">'AGAO|0332-11'!$F$12</definedName>
    <definedName name="elect_FTP" localSheetId="28">'AGAO|0332-12'!$F$12</definedName>
    <definedName name="elect_FTP" localSheetId="29">'AGAO|0348-00'!$F$12</definedName>
    <definedName name="elect_FTP" localSheetId="30">'AGAP|0348-00'!$F$12</definedName>
    <definedName name="elect_FTP" localSheetId="31">'AGAP|0402-00'!$F$12</definedName>
    <definedName name="elect_FTP">'B6'!$F$12</definedName>
    <definedName name="Elect_health" localSheetId="0">'AGAA|0001-00'!$H$12</definedName>
    <definedName name="Elect_health" localSheetId="1">'AGAA|0125-01'!$H$12</definedName>
    <definedName name="Elect_health" localSheetId="2">'AGAA|0125-02'!$H$12</definedName>
    <definedName name="Elect_health" localSheetId="3">'AGAB|0001-00'!$H$12</definedName>
    <definedName name="Elect_health" localSheetId="4">'AGAB|0332-06'!$H$12</definedName>
    <definedName name="Elect_health" localSheetId="5">'AGAB|0332-07'!$H$12</definedName>
    <definedName name="Elect_health" localSheetId="6">'AGAB|0332-09'!$H$12</definedName>
    <definedName name="Elect_health" localSheetId="7">'AGAC|0001-00'!$H$12</definedName>
    <definedName name="Elect_health" localSheetId="8">'AGAC|0332-05'!$H$12</definedName>
    <definedName name="Elect_health" localSheetId="9">'AGAC|0348-00'!$H$12</definedName>
    <definedName name="Elect_health" localSheetId="10">'AGAD|0001-00'!$H$12</definedName>
    <definedName name="Elect_health" localSheetId="11">'AGAD|0330-00'!$H$12</definedName>
    <definedName name="Elect_health" localSheetId="12">'AGAD|0330-13'!$H$12</definedName>
    <definedName name="Elect_health" localSheetId="13">'AGAD|0332-04'!$H$12</definedName>
    <definedName name="Elect_health" localSheetId="14">'AGAD|0332-08'!$H$12</definedName>
    <definedName name="Elect_health" localSheetId="15">'AGAE|0001-00'!$H$12</definedName>
    <definedName name="Elect_health" localSheetId="16">'AGAE|0330-12'!$H$12</definedName>
    <definedName name="Elect_health" localSheetId="17">'AGAE|0332-10'!$H$12</definedName>
    <definedName name="Elect_health" localSheetId="18">'AGAF|0001-00'!$H$12</definedName>
    <definedName name="Elect_health" localSheetId="19">'AGAF|0330-00'!$H$12</definedName>
    <definedName name="Elect_health" localSheetId="20">'AGAF|0490-00'!$H$12</definedName>
    <definedName name="Elect_health" localSheetId="21">'AGAH|0001-00'!$H$12</definedName>
    <definedName name="Elect_health" localSheetId="22">'AGAH|0332-03'!$H$12</definedName>
    <definedName name="Elect_health" localSheetId="23">'AGAL|0486-00'!$H$12</definedName>
    <definedName name="Elect_health" localSheetId="24">'AGAM|0348-00'!$H$12</definedName>
    <definedName name="Elect_health" localSheetId="25">'AGAM|0403-03'!$H$12</definedName>
    <definedName name="Elect_health" localSheetId="26">'AGAO|0330-00'!$H$12</definedName>
    <definedName name="Elect_health" localSheetId="27">'AGAO|0332-11'!$H$12</definedName>
    <definedName name="Elect_health" localSheetId="28">'AGAO|0332-12'!$H$12</definedName>
    <definedName name="Elect_health" localSheetId="29">'AGAO|0348-00'!$H$12</definedName>
    <definedName name="Elect_health" localSheetId="30">'AGAP|0348-00'!$H$12</definedName>
    <definedName name="Elect_health" localSheetId="31">'AGAP|0402-00'!$H$12</definedName>
    <definedName name="Elect_health">'B6'!$H$12</definedName>
    <definedName name="Elect_name" localSheetId="0">'AGAA|0001-00'!$C$12</definedName>
    <definedName name="Elect_name" localSheetId="1">'AGAA|0125-01'!$C$12</definedName>
    <definedName name="Elect_name" localSheetId="2">'AGAA|0125-02'!$C$12</definedName>
    <definedName name="Elect_name" localSheetId="3">'AGAB|0001-00'!$C$12</definedName>
    <definedName name="Elect_name" localSheetId="4">'AGAB|0332-06'!$C$12</definedName>
    <definedName name="Elect_name" localSheetId="5">'AGAB|0332-07'!$C$12</definedName>
    <definedName name="Elect_name" localSheetId="6">'AGAB|0332-09'!$C$12</definedName>
    <definedName name="Elect_name" localSheetId="7">'AGAC|0001-00'!$C$12</definedName>
    <definedName name="Elect_name" localSheetId="8">'AGAC|0332-05'!$C$12</definedName>
    <definedName name="Elect_name" localSheetId="9">'AGAC|0348-00'!$C$12</definedName>
    <definedName name="Elect_name" localSheetId="10">'AGAD|0001-00'!$C$12</definedName>
    <definedName name="Elect_name" localSheetId="11">'AGAD|0330-00'!$C$12</definedName>
    <definedName name="Elect_name" localSheetId="12">'AGAD|0330-13'!$C$12</definedName>
    <definedName name="Elect_name" localSheetId="13">'AGAD|0332-04'!$C$12</definedName>
    <definedName name="Elect_name" localSheetId="14">'AGAD|0332-08'!$C$12</definedName>
    <definedName name="Elect_name" localSheetId="15">'AGAE|0001-00'!$C$12</definedName>
    <definedName name="Elect_name" localSheetId="16">'AGAE|0330-12'!$C$12</definedName>
    <definedName name="Elect_name" localSheetId="17">'AGAE|0332-10'!$C$12</definedName>
    <definedName name="Elect_name" localSheetId="18">'AGAF|0001-00'!$C$12</definedName>
    <definedName name="Elect_name" localSheetId="19">'AGAF|0330-00'!$C$12</definedName>
    <definedName name="Elect_name" localSheetId="20">'AGAF|0490-00'!$C$12</definedName>
    <definedName name="Elect_name" localSheetId="21">'AGAH|0001-00'!$C$12</definedName>
    <definedName name="Elect_name" localSheetId="22">'AGAH|0332-03'!$C$12</definedName>
    <definedName name="Elect_name" localSheetId="23">'AGAL|0486-00'!$C$12</definedName>
    <definedName name="Elect_name" localSheetId="24">'AGAM|0348-00'!$C$12</definedName>
    <definedName name="Elect_name" localSheetId="25">'AGAM|0403-03'!$C$12</definedName>
    <definedName name="Elect_name" localSheetId="26">'AGAO|0330-00'!$C$12</definedName>
    <definedName name="Elect_name" localSheetId="27">'AGAO|0332-11'!$C$12</definedName>
    <definedName name="Elect_name" localSheetId="28">'AGAO|0332-12'!$C$12</definedName>
    <definedName name="Elect_name" localSheetId="29">'AGAO|0348-00'!$C$12</definedName>
    <definedName name="Elect_name" localSheetId="30">'AGAP|0348-00'!$C$12</definedName>
    <definedName name="Elect_name" localSheetId="31">'AGAP|0402-00'!$C$12</definedName>
    <definedName name="Elect_name">'B6'!$C$12</definedName>
    <definedName name="Elect_salary" localSheetId="0">'AGAA|0001-00'!$G$12</definedName>
    <definedName name="Elect_salary" localSheetId="1">'AGAA|0125-01'!$G$12</definedName>
    <definedName name="Elect_salary" localSheetId="2">'AGAA|0125-02'!$G$12</definedName>
    <definedName name="Elect_salary" localSheetId="3">'AGAB|0001-00'!$G$12</definedName>
    <definedName name="Elect_salary" localSheetId="4">'AGAB|0332-06'!$G$12</definedName>
    <definedName name="Elect_salary" localSheetId="5">'AGAB|0332-07'!$G$12</definedName>
    <definedName name="Elect_salary" localSheetId="6">'AGAB|0332-09'!$G$12</definedName>
    <definedName name="Elect_salary" localSheetId="7">'AGAC|0001-00'!$G$12</definedName>
    <definedName name="Elect_salary" localSheetId="8">'AGAC|0332-05'!$G$12</definedName>
    <definedName name="Elect_salary" localSheetId="9">'AGAC|0348-00'!$G$12</definedName>
    <definedName name="Elect_salary" localSheetId="10">'AGAD|0001-00'!$G$12</definedName>
    <definedName name="Elect_salary" localSheetId="11">'AGAD|0330-00'!$G$12</definedName>
    <definedName name="Elect_salary" localSheetId="12">'AGAD|0330-13'!$G$12</definedName>
    <definedName name="Elect_salary" localSheetId="13">'AGAD|0332-04'!$G$12</definedName>
    <definedName name="Elect_salary" localSheetId="14">'AGAD|0332-08'!$G$12</definedName>
    <definedName name="Elect_salary" localSheetId="15">'AGAE|0001-00'!$G$12</definedName>
    <definedName name="Elect_salary" localSheetId="16">'AGAE|0330-12'!$G$12</definedName>
    <definedName name="Elect_salary" localSheetId="17">'AGAE|0332-10'!$G$12</definedName>
    <definedName name="Elect_salary" localSheetId="18">'AGAF|0001-00'!$G$12</definedName>
    <definedName name="Elect_salary" localSheetId="19">'AGAF|0330-00'!$G$12</definedName>
    <definedName name="Elect_salary" localSheetId="20">'AGAF|0490-00'!$G$12</definedName>
    <definedName name="Elect_salary" localSheetId="21">'AGAH|0001-00'!$G$12</definedName>
    <definedName name="Elect_salary" localSheetId="22">'AGAH|0332-03'!$G$12</definedName>
    <definedName name="Elect_salary" localSheetId="23">'AGAL|0486-00'!$G$12</definedName>
    <definedName name="Elect_salary" localSheetId="24">'AGAM|0348-00'!$G$12</definedName>
    <definedName name="Elect_salary" localSheetId="25">'AGAM|0403-03'!$G$12</definedName>
    <definedName name="Elect_salary" localSheetId="26">'AGAO|0330-00'!$G$12</definedName>
    <definedName name="Elect_salary" localSheetId="27">'AGAO|0332-11'!$G$12</definedName>
    <definedName name="Elect_salary" localSheetId="28">'AGAO|0332-12'!$G$12</definedName>
    <definedName name="Elect_salary" localSheetId="29">'AGAO|0348-00'!$G$12</definedName>
    <definedName name="Elect_salary" localSheetId="30">'AGAP|0348-00'!$G$12</definedName>
    <definedName name="Elect_salary" localSheetId="31">'AGAP|0402-00'!$G$12</definedName>
    <definedName name="Elect_salary">'B6'!$G$12</definedName>
    <definedName name="Elect_Var" localSheetId="0">'AGAA|0001-00'!$I$12</definedName>
    <definedName name="Elect_Var" localSheetId="1">'AGAA|0125-01'!$I$12</definedName>
    <definedName name="Elect_Var" localSheetId="2">'AGAA|0125-02'!$I$12</definedName>
    <definedName name="Elect_Var" localSheetId="3">'AGAB|0001-00'!$I$12</definedName>
    <definedName name="Elect_Var" localSheetId="4">'AGAB|0332-06'!$I$12</definedName>
    <definedName name="Elect_Var" localSheetId="5">'AGAB|0332-07'!$I$12</definedName>
    <definedName name="Elect_Var" localSheetId="6">'AGAB|0332-09'!$I$12</definedName>
    <definedName name="Elect_Var" localSheetId="7">'AGAC|0001-00'!$I$12</definedName>
    <definedName name="Elect_Var" localSheetId="8">'AGAC|0332-05'!$I$12</definedName>
    <definedName name="Elect_Var" localSheetId="9">'AGAC|0348-00'!$I$12</definedName>
    <definedName name="Elect_Var" localSheetId="10">'AGAD|0001-00'!$I$12</definedName>
    <definedName name="Elect_Var" localSheetId="11">'AGAD|0330-00'!$I$12</definedName>
    <definedName name="Elect_Var" localSheetId="12">'AGAD|0330-13'!$I$12</definedName>
    <definedName name="Elect_Var" localSheetId="13">'AGAD|0332-04'!$I$12</definedName>
    <definedName name="Elect_Var" localSheetId="14">'AGAD|0332-08'!$I$12</definedName>
    <definedName name="Elect_Var" localSheetId="15">'AGAE|0001-00'!$I$12</definedName>
    <definedName name="Elect_Var" localSheetId="16">'AGAE|0330-12'!$I$12</definedName>
    <definedName name="Elect_Var" localSheetId="17">'AGAE|0332-10'!$I$12</definedName>
    <definedName name="Elect_Var" localSheetId="18">'AGAF|0001-00'!$I$12</definedName>
    <definedName name="Elect_Var" localSheetId="19">'AGAF|0330-00'!$I$12</definedName>
    <definedName name="Elect_Var" localSheetId="20">'AGAF|0490-00'!$I$12</definedName>
    <definedName name="Elect_Var" localSheetId="21">'AGAH|0001-00'!$I$12</definedName>
    <definedName name="Elect_Var" localSheetId="22">'AGAH|0332-03'!$I$12</definedName>
    <definedName name="Elect_Var" localSheetId="23">'AGAL|0486-00'!$I$12</definedName>
    <definedName name="Elect_Var" localSheetId="24">'AGAM|0348-00'!$I$12</definedName>
    <definedName name="Elect_Var" localSheetId="25">'AGAM|0403-03'!$I$12</definedName>
    <definedName name="Elect_Var" localSheetId="26">'AGAO|0330-00'!$I$12</definedName>
    <definedName name="Elect_Var" localSheetId="27">'AGAO|0332-11'!$I$12</definedName>
    <definedName name="Elect_Var" localSheetId="28">'AGAO|0332-12'!$I$12</definedName>
    <definedName name="Elect_Var" localSheetId="29">'AGAO|0348-00'!$I$12</definedName>
    <definedName name="Elect_Var" localSheetId="30">'AGAP|0348-00'!$I$12</definedName>
    <definedName name="Elect_Var" localSheetId="31">'AGAP|0402-00'!$I$12</definedName>
    <definedName name="Elect_Var">'B6'!$I$12</definedName>
    <definedName name="Elect_VarBen" localSheetId="0">'AGAA|0001-00'!$I$12</definedName>
    <definedName name="Elect_VarBen" localSheetId="1">'AGAA|0125-01'!$I$12</definedName>
    <definedName name="Elect_VarBen" localSheetId="2">'AGAA|0125-02'!$I$12</definedName>
    <definedName name="Elect_VarBen" localSheetId="3">'AGAB|0001-00'!$I$12</definedName>
    <definedName name="Elect_VarBen" localSheetId="4">'AGAB|0332-06'!$I$12</definedName>
    <definedName name="Elect_VarBen" localSheetId="5">'AGAB|0332-07'!$I$12</definedName>
    <definedName name="Elect_VarBen" localSheetId="6">'AGAB|0332-09'!$I$12</definedName>
    <definedName name="Elect_VarBen" localSheetId="7">'AGAC|0001-00'!$I$12</definedName>
    <definedName name="Elect_VarBen" localSheetId="8">'AGAC|0332-05'!$I$12</definedName>
    <definedName name="Elect_VarBen" localSheetId="9">'AGAC|0348-00'!$I$12</definedName>
    <definedName name="Elect_VarBen" localSheetId="10">'AGAD|0001-00'!$I$12</definedName>
    <definedName name="Elect_VarBen" localSheetId="11">'AGAD|0330-00'!$I$12</definedName>
    <definedName name="Elect_VarBen" localSheetId="12">'AGAD|0330-13'!$I$12</definedName>
    <definedName name="Elect_VarBen" localSheetId="13">'AGAD|0332-04'!$I$12</definedName>
    <definedName name="Elect_VarBen" localSheetId="14">'AGAD|0332-08'!$I$12</definedName>
    <definedName name="Elect_VarBen" localSheetId="15">'AGAE|0001-00'!$I$12</definedName>
    <definedName name="Elect_VarBen" localSheetId="16">'AGAE|0330-12'!$I$12</definedName>
    <definedName name="Elect_VarBen" localSheetId="17">'AGAE|0332-10'!$I$12</definedName>
    <definedName name="Elect_VarBen" localSheetId="18">'AGAF|0001-00'!$I$12</definedName>
    <definedName name="Elect_VarBen" localSheetId="19">'AGAF|0330-00'!$I$12</definedName>
    <definedName name="Elect_VarBen" localSheetId="20">'AGAF|0490-00'!$I$12</definedName>
    <definedName name="Elect_VarBen" localSheetId="21">'AGAH|0001-00'!$I$12</definedName>
    <definedName name="Elect_VarBen" localSheetId="22">'AGAH|0332-03'!$I$12</definedName>
    <definedName name="Elect_VarBen" localSheetId="23">'AGAL|0486-00'!$I$12</definedName>
    <definedName name="Elect_VarBen" localSheetId="24">'AGAM|0348-00'!$I$12</definedName>
    <definedName name="Elect_VarBen" localSheetId="25">'AGAM|0403-03'!$I$12</definedName>
    <definedName name="Elect_VarBen" localSheetId="26">'AGAO|0330-00'!$I$12</definedName>
    <definedName name="Elect_VarBen" localSheetId="27">'AGAO|0332-11'!$I$12</definedName>
    <definedName name="Elect_VarBen" localSheetId="28">'AGAO|0332-12'!$I$12</definedName>
    <definedName name="Elect_VarBen" localSheetId="29">'AGAO|0348-00'!$I$12</definedName>
    <definedName name="Elect_VarBen" localSheetId="30">'AGAP|0348-00'!$I$12</definedName>
    <definedName name="Elect_VarBen" localSheetId="31">'AGAP|0402-00'!$I$12</definedName>
    <definedName name="Elect_VarBen">'B6'!$I$12</definedName>
    <definedName name="ElectVB">Benefits!$C$14</definedName>
    <definedName name="ElectVBBY">Benefits!$D$14</definedName>
    <definedName name="ElectVBCHG">Benefits!$E$14</definedName>
    <definedName name="FillRate_Avg">Benefits!$C$40</definedName>
    <definedName name="FillRateAvg_B6" localSheetId="0">'AGAA|0001-00'!#REF!</definedName>
    <definedName name="FillRateAvg_B6" localSheetId="1">'AGAA|0125-01'!#REF!</definedName>
    <definedName name="FillRateAvg_B6" localSheetId="2">'AGAA|0125-02'!#REF!</definedName>
    <definedName name="FillRateAvg_B6" localSheetId="3">'AGAB|0001-00'!#REF!</definedName>
    <definedName name="FillRateAvg_B6" localSheetId="4">'AGAB|0332-06'!#REF!</definedName>
    <definedName name="FillRateAvg_B6" localSheetId="5">'AGAB|0332-07'!#REF!</definedName>
    <definedName name="FillRateAvg_B6" localSheetId="6">'AGAB|0332-09'!#REF!</definedName>
    <definedName name="FillRateAvg_B6" localSheetId="7">'AGAC|0001-00'!#REF!</definedName>
    <definedName name="FillRateAvg_B6" localSheetId="8">'AGAC|0332-05'!#REF!</definedName>
    <definedName name="FillRateAvg_B6" localSheetId="9">'AGAC|0348-00'!#REF!</definedName>
    <definedName name="FillRateAvg_B6" localSheetId="10">'AGAD|0001-00'!#REF!</definedName>
    <definedName name="FillRateAvg_B6" localSheetId="11">'AGAD|0330-00'!#REF!</definedName>
    <definedName name="FillRateAvg_B6" localSheetId="12">'AGAD|0330-13'!#REF!</definedName>
    <definedName name="FillRateAvg_B6" localSheetId="13">'AGAD|0332-04'!#REF!</definedName>
    <definedName name="FillRateAvg_B6" localSheetId="14">'AGAD|0332-08'!#REF!</definedName>
    <definedName name="FillRateAvg_B6" localSheetId="15">'AGAE|0001-00'!#REF!</definedName>
    <definedName name="FillRateAvg_B6" localSheetId="16">'AGAE|0330-12'!#REF!</definedName>
    <definedName name="FillRateAvg_B6" localSheetId="17">'AGAE|0332-10'!#REF!</definedName>
    <definedName name="FillRateAvg_B6" localSheetId="18">'AGAF|0001-00'!#REF!</definedName>
    <definedName name="FillRateAvg_B6" localSheetId="19">'AGAF|0330-00'!#REF!</definedName>
    <definedName name="FillRateAvg_B6" localSheetId="20">'AGAF|0490-00'!#REF!</definedName>
    <definedName name="FillRateAvg_B6" localSheetId="21">'AGAH|0001-00'!#REF!</definedName>
    <definedName name="FillRateAvg_B6" localSheetId="22">'AGAH|0332-03'!#REF!</definedName>
    <definedName name="FillRateAvg_B6" localSheetId="23">'AGAL|0486-00'!#REF!</definedName>
    <definedName name="FillRateAvg_B6" localSheetId="24">'AGAM|0348-00'!#REF!</definedName>
    <definedName name="FillRateAvg_B6" localSheetId="25">'AGAM|0403-03'!#REF!</definedName>
    <definedName name="FillRateAvg_B6" localSheetId="26">'AGAO|0330-00'!#REF!</definedName>
    <definedName name="FillRateAvg_B6" localSheetId="27">'AGAO|0332-11'!#REF!</definedName>
    <definedName name="FillRateAvg_B6" localSheetId="28">'AGAO|0332-12'!#REF!</definedName>
    <definedName name="FillRateAvg_B6" localSheetId="29">'AGAO|0348-00'!#REF!</definedName>
    <definedName name="FillRateAvg_B6" localSheetId="30">'AGAP|0348-00'!#REF!</definedName>
    <definedName name="FillRateAvg_B6" localSheetId="31">'AGAP|0402-00'!#REF!</definedName>
    <definedName name="FillRateAvg_B6">'B6'!#REF!</definedName>
    <definedName name="FiscalYear" localSheetId="0">'AGAA|0001-00'!$M$4</definedName>
    <definedName name="FiscalYear" localSheetId="1">'AGAA|0125-01'!$M$4</definedName>
    <definedName name="FiscalYear" localSheetId="2">'AGAA|0125-02'!$M$4</definedName>
    <definedName name="FiscalYear" localSheetId="3">'AGAB|0001-00'!$M$4</definedName>
    <definedName name="FiscalYear" localSheetId="4">'AGAB|0332-06'!$M$4</definedName>
    <definedName name="FiscalYear" localSheetId="5">'AGAB|0332-07'!$M$4</definedName>
    <definedName name="FiscalYear" localSheetId="6">'AGAB|0332-09'!$M$4</definedName>
    <definedName name="FiscalYear" localSheetId="7">'AGAC|0001-00'!$M$4</definedName>
    <definedName name="FiscalYear" localSheetId="8">'AGAC|0332-05'!$M$4</definedName>
    <definedName name="FiscalYear" localSheetId="9">'AGAC|0348-00'!$M$4</definedName>
    <definedName name="FiscalYear" localSheetId="10">'AGAD|0001-00'!$M$4</definedName>
    <definedName name="FiscalYear" localSheetId="11">'AGAD|0330-00'!$M$4</definedName>
    <definedName name="FiscalYear" localSheetId="12">'AGAD|0330-13'!$M$4</definedName>
    <definedName name="FiscalYear" localSheetId="13">'AGAD|0332-04'!$M$4</definedName>
    <definedName name="FiscalYear" localSheetId="14">'AGAD|0332-08'!$M$4</definedName>
    <definedName name="FiscalYear" localSheetId="15">'AGAE|0001-00'!$M$4</definedName>
    <definedName name="FiscalYear" localSheetId="16">'AGAE|0330-12'!$M$4</definedName>
    <definedName name="FiscalYear" localSheetId="17">'AGAE|0332-10'!$M$4</definedName>
    <definedName name="FiscalYear" localSheetId="18">'AGAF|0001-00'!$M$4</definedName>
    <definedName name="FiscalYear" localSheetId="19">'AGAF|0330-00'!$M$4</definedName>
    <definedName name="FiscalYear" localSheetId="20">'AGAF|0490-00'!$M$4</definedName>
    <definedName name="FiscalYear" localSheetId="21">'AGAH|0001-00'!$M$4</definedName>
    <definedName name="FiscalYear" localSheetId="22">'AGAH|0332-03'!$M$4</definedName>
    <definedName name="FiscalYear" localSheetId="23">'AGAL|0486-00'!$M$4</definedName>
    <definedName name="FiscalYear" localSheetId="24">'AGAM|0348-00'!$M$4</definedName>
    <definedName name="FiscalYear" localSheetId="25">'AGAM|0403-03'!$M$4</definedName>
    <definedName name="FiscalYear" localSheetId="26">'AGAO|0330-00'!$M$4</definedName>
    <definedName name="FiscalYear" localSheetId="27">'AGAO|0332-11'!$M$4</definedName>
    <definedName name="FiscalYear" localSheetId="28">'AGAO|0332-12'!$M$4</definedName>
    <definedName name="FiscalYear" localSheetId="29">'AGAO|0348-00'!$M$4</definedName>
    <definedName name="FiscalYear" localSheetId="30">'AGAP|0348-00'!$M$4</definedName>
    <definedName name="FiscalYear" localSheetId="31">'AGAP|0402-00'!$M$4</definedName>
    <definedName name="FiscalYear">'B6'!$M$4</definedName>
    <definedName name="FundName" localSheetId="0">'AGAA|0001-00'!$I$5</definedName>
    <definedName name="FundName" localSheetId="1">'AGAA|0125-01'!$I$5</definedName>
    <definedName name="FundName" localSheetId="2">'AGAA|0125-02'!$I$5</definedName>
    <definedName name="FundName" localSheetId="3">'AGAB|0001-00'!$I$5</definedName>
    <definedName name="FundName" localSheetId="4">'AGAB|0332-06'!$I$5</definedName>
    <definedName name="FundName" localSheetId="5">'AGAB|0332-07'!$I$5</definedName>
    <definedName name="FundName" localSheetId="6">'AGAB|0332-09'!$I$5</definedName>
    <definedName name="FundName" localSheetId="7">'AGAC|0001-00'!$I$5</definedName>
    <definedName name="FundName" localSheetId="8">'AGAC|0332-05'!$I$5</definedName>
    <definedName name="FundName" localSheetId="9">'AGAC|0348-00'!$I$5</definedName>
    <definedName name="FundName" localSheetId="10">'AGAD|0001-00'!$I$5</definedName>
    <definedName name="FundName" localSheetId="11">'AGAD|0330-00'!$I$5</definedName>
    <definedName name="FundName" localSheetId="12">'AGAD|0330-13'!$I$5</definedName>
    <definedName name="FundName" localSheetId="13">'AGAD|0332-04'!$I$5</definedName>
    <definedName name="FundName" localSheetId="14">'AGAD|0332-08'!$I$5</definedName>
    <definedName name="FundName" localSheetId="15">'AGAE|0001-00'!$I$5</definedName>
    <definedName name="FundName" localSheetId="16">'AGAE|0330-12'!$I$5</definedName>
    <definedName name="FundName" localSheetId="17">'AGAE|0332-10'!$I$5</definedName>
    <definedName name="FundName" localSheetId="18">'AGAF|0001-00'!$I$5</definedName>
    <definedName name="FundName" localSheetId="19">'AGAF|0330-00'!$I$5</definedName>
    <definedName name="FundName" localSheetId="20">'AGAF|0490-00'!$I$5</definedName>
    <definedName name="FundName" localSheetId="21">'AGAH|0001-00'!$I$5</definedName>
    <definedName name="FundName" localSheetId="22">'AGAH|0332-03'!$I$5</definedName>
    <definedName name="FundName" localSheetId="23">'AGAL|0486-00'!$I$5</definedName>
    <definedName name="FundName" localSheetId="24">'AGAM|0348-00'!$I$5</definedName>
    <definedName name="FundName" localSheetId="25">'AGAM|0403-03'!$I$5</definedName>
    <definedName name="FundName" localSheetId="26">'AGAO|0330-00'!$I$5</definedName>
    <definedName name="FundName" localSheetId="27">'AGAO|0332-11'!$I$5</definedName>
    <definedName name="FundName" localSheetId="28">'AGAO|0332-12'!$I$5</definedName>
    <definedName name="FundName" localSheetId="29">'AGAO|0348-00'!$I$5</definedName>
    <definedName name="FundName" localSheetId="30">'AGAP|0348-00'!$I$5</definedName>
    <definedName name="FundName" localSheetId="31">'AGAP|0402-00'!$I$5</definedName>
    <definedName name="FundName">'B6'!$I$5</definedName>
    <definedName name="FundNum" localSheetId="0">'AGAA|0001-00'!$N$5</definedName>
    <definedName name="FundNum" localSheetId="1">'AGAA|0125-01'!$N$5</definedName>
    <definedName name="FundNum" localSheetId="2">'AGAA|0125-02'!$N$5</definedName>
    <definedName name="FundNum" localSheetId="3">'AGAB|0001-00'!$N$5</definedName>
    <definedName name="FundNum" localSheetId="4">'AGAB|0332-06'!$N$5</definedName>
    <definedName name="FundNum" localSheetId="5">'AGAB|0332-07'!$N$5</definedName>
    <definedName name="FundNum" localSheetId="6">'AGAB|0332-09'!$N$5</definedName>
    <definedName name="FundNum" localSheetId="7">'AGAC|0001-00'!$N$5</definedName>
    <definedName name="FundNum" localSheetId="8">'AGAC|0332-05'!$N$5</definedName>
    <definedName name="FundNum" localSheetId="9">'AGAC|0348-00'!$N$5</definedName>
    <definedName name="FundNum" localSheetId="10">'AGAD|0001-00'!$N$5</definedName>
    <definedName name="FundNum" localSheetId="11">'AGAD|0330-00'!$N$5</definedName>
    <definedName name="FundNum" localSheetId="12">'AGAD|0330-13'!$N$5</definedName>
    <definedName name="FundNum" localSheetId="13">'AGAD|0332-04'!$N$5</definedName>
    <definedName name="FundNum" localSheetId="14">'AGAD|0332-08'!$N$5</definedName>
    <definedName name="FundNum" localSheetId="15">'AGAE|0001-00'!$N$5</definedName>
    <definedName name="FundNum" localSheetId="16">'AGAE|0330-12'!$N$5</definedName>
    <definedName name="FundNum" localSheetId="17">'AGAE|0332-10'!$N$5</definedName>
    <definedName name="FundNum" localSheetId="18">'AGAF|0001-00'!$N$5</definedName>
    <definedName name="FundNum" localSheetId="19">'AGAF|0330-00'!$N$5</definedName>
    <definedName name="FundNum" localSheetId="20">'AGAF|0490-00'!$N$5</definedName>
    <definedName name="FundNum" localSheetId="21">'AGAH|0001-00'!$N$5</definedName>
    <definedName name="FundNum" localSheetId="22">'AGAH|0332-03'!$N$5</definedName>
    <definedName name="FundNum" localSheetId="23">'AGAL|0486-00'!$N$5</definedName>
    <definedName name="FundNum" localSheetId="24">'AGAM|0348-00'!$N$5</definedName>
    <definedName name="FundNum" localSheetId="25">'AGAM|0403-03'!$N$5</definedName>
    <definedName name="FundNum" localSheetId="26">'AGAO|0330-00'!$N$5</definedName>
    <definedName name="FundNum" localSheetId="27">'AGAO|0332-11'!$N$5</definedName>
    <definedName name="FundNum" localSheetId="28">'AGAO|0332-12'!$N$5</definedName>
    <definedName name="FundNum" localSheetId="29">'AGAO|0348-00'!$N$5</definedName>
    <definedName name="FundNum" localSheetId="30">'AGAP|0348-00'!$N$5</definedName>
    <definedName name="FundNum" localSheetId="31">'AGAP|0402-00'!$N$5</definedName>
    <definedName name="FundNum">'B6'!$N$5</definedName>
    <definedName name="FundNumber" localSheetId="0">'AGAA|0001-00'!$N$5</definedName>
    <definedName name="FundNumber" localSheetId="1">'AGAA|0125-01'!$N$5</definedName>
    <definedName name="FundNumber" localSheetId="2">'AGAA|0125-02'!$N$5</definedName>
    <definedName name="FundNumber" localSheetId="3">'AGAB|0001-00'!$N$5</definedName>
    <definedName name="FundNumber" localSheetId="4">'AGAB|0332-06'!$N$5</definedName>
    <definedName name="FundNumber" localSheetId="5">'AGAB|0332-07'!$N$5</definedName>
    <definedName name="FundNumber" localSheetId="6">'AGAB|0332-09'!$N$5</definedName>
    <definedName name="FundNumber" localSheetId="7">'AGAC|0001-00'!$N$5</definedName>
    <definedName name="FundNumber" localSheetId="8">'AGAC|0332-05'!$N$5</definedName>
    <definedName name="FundNumber" localSheetId="9">'AGAC|0348-00'!$N$5</definedName>
    <definedName name="FundNumber" localSheetId="10">'AGAD|0001-00'!$N$5</definedName>
    <definedName name="FundNumber" localSheetId="11">'AGAD|0330-00'!$N$5</definedName>
    <definedName name="FundNumber" localSheetId="12">'AGAD|0330-13'!$N$5</definedName>
    <definedName name="FundNumber" localSheetId="13">'AGAD|0332-04'!$N$5</definedName>
    <definedName name="FundNumber" localSheetId="14">'AGAD|0332-08'!$N$5</definedName>
    <definedName name="FundNumber" localSheetId="15">'AGAE|0001-00'!$N$5</definedName>
    <definedName name="FundNumber" localSheetId="16">'AGAE|0330-12'!$N$5</definedName>
    <definedName name="FundNumber" localSheetId="17">'AGAE|0332-10'!$N$5</definedName>
    <definedName name="FundNumber" localSheetId="18">'AGAF|0001-00'!$N$5</definedName>
    <definedName name="FundNumber" localSheetId="19">'AGAF|0330-00'!$N$5</definedName>
    <definedName name="FundNumber" localSheetId="20">'AGAF|0490-00'!$N$5</definedName>
    <definedName name="FundNumber" localSheetId="21">'AGAH|0001-00'!$N$5</definedName>
    <definedName name="FundNumber" localSheetId="22">'AGAH|0332-03'!$N$5</definedName>
    <definedName name="FundNumber" localSheetId="23">'AGAL|0486-00'!$N$5</definedName>
    <definedName name="FundNumber" localSheetId="24">'AGAM|0348-00'!$N$5</definedName>
    <definedName name="FundNumber" localSheetId="25">'AGAM|0403-03'!$N$5</definedName>
    <definedName name="FundNumber" localSheetId="26">'AGAO|0330-00'!$N$5</definedName>
    <definedName name="FundNumber" localSheetId="27">'AGAO|0332-11'!$N$5</definedName>
    <definedName name="FundNumber" localSheetId="28">'AGAO|0332-12'!$N$5</definedName>
    <definedName name="FundNumber" localSheetId="29">'AGAO|0348-00'!$N$5</definedName>
    <definedName name="FundNumber" localSheetId="30">'AGAP|0348-00'!$N$5</definedName>
    <definedName name="FundNumber" localSheetId="31">'AGAP|0402-00'!$N$5</definedName>
    <definedName name="FundNumber">'B6'!$N$5</definedName>
    <definedName name="FundSummaryEst">FundSummary!$H$5</definedName>
    <definedName name="FundSummaryLastColumn">FundSummary!$M$6</definedName>
    <definedName name="FundSummaryPermActual">FundSummary!$F$5</definedName>
    <definedName name="FundSummaryPermBY">FundSummary!$L$5</definedName>
    <definedName name="FundSummaryPermCY">FundSummary!$I$5</definedName>
    <definedName name="FundSummaryProj">FundSummary!$K$5</definedName>
    <definedName name="FundSummaryStartData">FundSummary!$E$8</definedName>
    <definedName name="Group_name" localSheetId="0">'AGAA|0001-00'!$C$11</definedName>
    <definedName name="Group_name" localSheetId="1">'AGAA|0125-01'!$C$11</definedName>
    <definedName name="Group_name" localSheetId="2">'AGAA|0125-02'!$C$11</definedName>
    <definedName name="Group_name" localSheetId="3">'AGAB|0001-00'!$C$11</definedName>
    <definedName name="Group_name" localSheetId="4">'AGAB|0332-06'!$C$11</definedName>
    <definedName name="Group_name" localSheetId="5">'AGAB|0332-07'!$C$11</definedName>
    <definedName name="Group_name" localSheetId="6">'AGAB|0332-09'!$C$11</definedName>
    <definedName name="Group_name" localSheetId="7">'AGAC|0001-00'!$C$11</definedName>
    <definedName name="Group_name" localSheetId="8">'AGAC|0332-05'!$C$11</definedName>
    <definedName name="Group_name" localSheetId="9">'AGAC|0348-00'!$C$11</definedName>
    <definedName name="Group_name" localSheetId="10">'AGAD|0001-00'!$C$11</definedName>
    <definedName name="Group_name" localSheetId="11">'AGAD|0330-00'!$C$11</definedName>
    <definedName name="Group_name" localSheetId="12">'AGAD|0330-13'!$C$11</definedName>
    <definedName name="Group_name" localSheetId="13">'AGAD|0332-04'!$C$11</definedName>
    <definedName name="Group_name" localSheetId="14">'AGAD|0332-08'!$C$11</definedName>
    <definedName name="Group_name" localSheetId="15">'AGAE|0001-00'!$C$11</definedName>
    <definedName name="Group_name" localSheetId="16">'AGAE|0330-12'!$C$11</definedName>
    <definedName name="Group_name" localSheetId="17">'AGAE|0332-10'!$C$11</definedName>
    <definedName name="Group_name" localSheetId="18">'AGAF|0001-00'!$C$11</definedName>
    <definedName name="Group_name" localSheetId="19">'AGAF|0330-00'!$C$11</definedName>
    <definedName name="Group_name" localSheetId="20">'AGAF|0490-00'!$C$11</definedName>
    <definedName name="Group_name" localSheetId="21">'AGAH|0001-00'!$C$11</definedName>
    <definedName name="Group_name" localSheetId="22">'AGAH|0332-03'!$C$11</definedName>
    <definedName name="Group_name" localSheetId="23">'AGAL|0486-00'!$C$11</definedName>
    <definedName name="Group_name" localSheetId="24">'AGAM|0348-00'!$C$11</definedName>
    <definedName name="Group_name" localSheetId="25">'AGAM|0403-03'!$C$11</definedName>
    <definedName name="Group_name" localSheetId="26">'AGAO|0330-00'!$C$11</definedName>
    <definedName name="Group_name" localSheetId="27">'AGAO|0332-11'!$C$11</definedName>
    <definedName name="Group_name" localSheetId="28">'AGAO|0332-12'!$C$11</definedName>
    <definedName name="Group_name" localSheetId="29">'AGAO|0348-00'!$C$11</definedName>
    <definedName name="Group_name" localSheetId="30">'AGAP|0348-00'!$C$11</definedName>
    <definedName name="Group_name" localSheetId="31">'AGAP|0402-00'!$C$11</definedName>
    <definedName name="Group_name">'B6'!$C$11</definedName>
    <definedName name="GroupFxdBen" localSheetId="0">'AGAA|0001-00'!$H$11</definedName>
    <definedName name="GroupFxdBen" localSheetId="1">'AGAA|0125-01'!$H$11</definedName>
    <definedName name="GroupFxdBen" localSheetId="2">'AGAA|0125-02'!$H$11</definedName>
    <definedName name="GroupFxdBen" localSheetId="3">'AGAB|0001-00'!$H$11</definedName>
    <definedName name="GroupFxdBen" localSheetId="4">'AGAB|0332-06'!$H$11</definedName>
    <definedName name="GroupFxdBen" localSheetId="5">'AGAB|0332-07'!$H$11</definedName>
    <definedName name="GroupFxdBen" localSheetId="6">'AGAB|0332-09'!$H$11</definedName>
    <definedName name="GroupFxdBen" localSheetId="7">'AGAC|0001-00'!$H$11</definedName>
    <definedName name="GroupFxdBen" localSheetId="8">'AGAC|0332-05'!$H$11</definedName>
    <definedName name="GroupFxdBen" localSheetId="9">'AGAC|0348-00'!$H$11</definedName>
    <definedName name="GroupFxdBen" localSheetId="10">'AGAD|0001-00'!$H$11</definedName>
    <definedName name="GroupFxdBen" localSheetId="11">'AGAD|0330-00'!$H$11</definedName>
    <definedName name="GroupFxdBen" localSheetId="12">'AGAD|0330-13'!$H$11</definedName>
    <definedName name="GroupFxdBen" localSheetId="13">'AGAD|0332-04'!$H$11</definedName>
    <definedName name="GroupFxdBen" localSheetId="14">'AGAD|0332-08'!$H$11</definedName>
    <definedName name="GroupFxdBen" localSheetId="15">'AGAE|0001-00'!$H$11</definedName>
    <definedName name="GroupFxdBen" localSheetId="16">'AGAE|0330-12'!$H$11</definedName>
    <definedName name="GroupFxdBen" localSheetId="17">'AGAE|0332-10'!$H$11</definedName>
    <definedName name="GroupFxdBen" localSheetId="18">'AGAF|0001-00'!$H$11</definedName>
    <definedName name="GroupFxdBen" localSheetId="19">'AGAF|0330-00'!$H$11</definedName>
    <definedName name="GroupFxdBen" localSheetId="20">'AGAF|0490-00'!$H$11</definedName>
    <definedName name="GroupFxdBen" localSheetId="21">'AGAH|0001-00'!$H$11</definedName>
    <definedName name="GroupFxdBen" localSheetId="22">'AGAH|0332-03'!$H$11</definedName>
    <definedName name="GroupFxdBen" localSheetId="23">'AGAL|0486-00'!$H$11</definedName>
    <definedName name="GroupFxdBen" localSheetId="24">'AGAM|0348-00'!$H$11</definedName>
    <definedName name="GroupFxdBen" localSheetId="25">'AGAM|0403-03'!$H$11</definedName>
    <definedName name="GroupFxdBen" localSheetId="26">'AGAO|0330-00'!$H$11</definedName>
    <definedName name="GroupFxdBen" localSheetId="27">'AGAO|0332-11'!$H$11</definedName>
    <definedName name="GroupFxdBen" localSheetId="28">'AGAO|0332-12'!$H$11</definedName>
    <definedName name="GroupFxdBen" localSheetId="29">'AGAO|0348-00'!$H$11</definedName>
    <definedName name="GroupFxdBen" localSheetId="30">'AGAP|0348-00'!$H$11</definedName>
    <definedName name="GroupFxdBen" localSheetId="31">'AGAP|0402-00'!$H$11</definedName>
    <definedName name="GroupFxdBen">'B6'!$H$11</definedName>
    <definedName name="GroupSalary" localSheetId="0">'AGAA|0001-00'!$G$11</definedName>
    <definedName name="GroupSalary" localSheetId="1">'AGAA|0125-01'!$G$11</definedName>
    <definedName name="GroupSalary" localSheetId="2">'AGAA|0125-02'!$G$11</definedName>
    <definedName name="GroupSalary" localSheetId="3">'AGAB|0001-00'!$G$11</definedName>
    <definedName name="GroupSalary" localSheetId="4">'AGAB|0332-06'!$G$11</definedName>
    <definedName name="GroupSalary" localSheetId="5">'AGAB|0332-07'!$G$11</definedName>
    <definedName name="GroupSalary" localSheetId="6">'AGAB|0332-09'!$G$11</definedName>
    <definedName name="GroupSalary" localSheetId="7">'AGAC|0001-00'!$G$11</definedName>
    <definedName name="GroupSalary" localSheetId="8">'AGAC|0332-05'!$G$11</definedName>
    <definedName name="GroupSalary" localSheetId="9">'AGAC|0348-00'!$G$11</definedName>
    <definedName name="GroupSalary" localSheetId="10">'AGAD|0001-00'!$G$11</definedName>
    <definedName name="GroupSalary" localSheetId="11">'AGAD|0330-00'!$G$11</definedName>
    <definedName name="GroupSalary" localSheetId="12">'AGAD|0330-13'!$G$11</definedName>
    <definedName name="GroupSalary" localSheetId="13">'AGAD|0332-04'!$G$11</definedName>
    <definedName name="GroupSalary" localSheetId="14">'AGAD|0332-08'!$G$11</definedName>
    <definedName name="GroupSalary" localSheetId="15">'AGAE|0001-00'!$G$11</definedName>
    <definedName name="GroupSalary" localSheetId="16">'AGAE|0330-12'!$G$11</definedName>
    <definedName name="GroupSalary" localSheetId="17">'AGAE|0332-10'!$G$11</definedName>
    <definedName name="GroupSalary" localSheetId="18">'AGAF|0001-00'!$G$11</definedName>
    <definedName name="GroupSalary" localSheetId="19">'AGAF|0330-00'!$G$11</definedName>
    <definedName name="GroupSalary" localSheetId="20">'AGAF|0490-00'!$G$11</definedName>
    <definedName name="GroupSalary" localSheetId="21">'AGAH|0001-00'!$G$11</definedName>
    <definedName name="GroupSalary" localSheetId="22">'AGAH|0332-03'!$G$11</definedName>
    <definedName name="GroupSalary" localSheetId="23">'AGAL|0486-00'!$G$11</definedName>
    <definedName name="GroupSalary" localSheetId="24">'AGAM|0348-00'!$G$11</definedName>
    <definedName name="GroupSalary" localSheetId="25">'AGAM|0403-03'!$G$11</definedName>
    <definedName name="GroupSalary" localSheetId="26">'AGAO|0330-00'!$G$11</definedName>
    <definedName name="GroupSalary" localSheetId="27">'AGAO|0332-11'!$G$11</definedName>
    <definedName name="GroupSalary" localSheetId="28">'AGAO|0332-12'!$G$11</definedName>
    <definedName name="GroupSalary" localSheetId="29">'AGAO|0348-00'!$G$11</definedName>
    <definedName name="GroupSalary" localSheetId="30">'AGAP|0348-00'!$G$11</definedName>
    <definedName name="GroupSalary" localSheetId="31">'AGAP|0402-00'!$G$11</definedName>
    <definedName name="GroupSalary">'B6'!$G$11</definedName>
    <definedName name="GroupVarBen" localSheetId="0">'AGAA|0001-00'!$I$11</definedName>
    <definedName name="GroupVarBen" localSheetId="1">'AGAA|0125-01'!$I$11</definedName>
    <definedName name="GroupVarBen" localSheetId="2">'AGAA|0125-02'!$I$11</definedName>
    <definedName name="GroupVarBen" localSheetId="3">'AGAB|0001-00'!$I$11</definedName>
    <definedName name="GroupVarBen" localSheetId="4">'AGAB|0332-06'!$I$11</definedName>
    <definedName name="GroupVarBen" localSheetId="5">'AGAB|0332-07'!$I$11</definedName>
    <definedName name="GroupVarBen" localSheetId="6">'AGAB|0332-09'!$I$11</definedName>
    <definedName name="GroupVarBen" localSheetId="7">'AGAC|0001-00'!$I$11</definedName>
    <definedName name="GroupVarBen" localSheetId="8">'AGAC|0332-05'!$I$11</definedName>
    <definedName name="GroupVarBen" localSheetId="9">'AGAC|0348-00'!$I$11</definedName>
    <definedName name="GroupVarBen" localSheetId="10">'AGAD|0001-00'!$I$11</definedName>
    <definedName name="GroupVarBen" localSheetId="11">'AGAD|0330-00'!$I$11</definedName>
    <definedName name="GroupVarBen" localSheetId="12">'AGAD|0330-13'!$I$11</definedName>
    <definedName name="GroupVarBen" localSheetId="13">'AGAD|0332-04'!$I$11</definedName>
    <definedName name="GroupVarBen" localSheetId="14">'AGAD|0332-08'!$I$11</definedName>
    <definedName name="GroupVarBen" localSheetId="15">'AGAE|0001-00'!$I$11</definedName>
    <definedName name="GroupVarBen" localSheetId="16">'AGAE|0330-12'!$I$11</definedName>
    <definedName name="GroupVarBen" localSheetId="17">'AGAE|0332-10'!$I$11</definedName>
    <definedName name="GroupVarBen" localSheetId="18">'AGAF|0001-00'!$I$11</definedName>
    <definedName name="GroupVarBen" localSheetId="19">'AGAF|0330-00'!$I$11</definedName>
    <definedName name="GroupVarBen" localSheetId="20">'AGAF|0490-00'!$I$11</definedName>
    <definedName name="GroupVarBen" localSheetId="21">'AGAH|0001-00'!$I$11</definedName>
    <definedName name="GroupVarBen" localSheetId="22">'AGAH|0332-03'!$I$11</definedName>
    <definedName name="GroupVarBen" localSheetId="23">'AGAL|0486-00'!$I$11</definedName>
    <definedName name="GroupVarBen" localSheetId="24">'AGAM|0348-00'!$I$11</definedName>
    <definedName name="GroupVarBen" localSheetId="25">'AGAM|0403-03'!$I$11</definedName>
    <definedName name="GroupVarBen" localSheetId="26">'AGAO|0330-00'!$I$11</definedName>
    <definedName name="GroupVarBen" localSheetId="27">'AGAO|0332-11'!$I$11</definedName>
    <definedName name="GroupVarBen" localSheetId="28">'AGAO|0332-12'!$I$11</definedName>
    <definedName name="GroupVarBen" localSheetId="29">'AGAO|0348-00'!$I$11</definedName>
    <definedName name="GroupVarBen" localSheetId="30">'AGAP|0348-00'!$I$11</definedName>
    <definedName name="GroupVarBen" localSheetId="31">'AGAP|0402-00'!$I$11</definedName>
    <definedName name="GroupVarBen">'B6'!$I$11</definedName>
    <definedName name="GroupVB">Benefits!$C$13</definedName>
    <definedName name="GroupVBBY">Benefits!$D$13</definedName>
    <definedName name="GroupVBCHG">Benefits!$E$13</definedName>
    <definedName name="Health">Benefits!$C$15</definedName>
    <definedName name="HealthBY">Benefits!$D$15</definedName>
    <definedName name="HealthCHG">Benefits!$E$15</definedName>
    <definedName name="Life">Benefits!$C$9</definedName>
    <definedName name="LifeBY">Benefits!$D$9</definedName>
    <definedName name="LifeCHG">Benefits!$E$9</definedName>
    <definedName name="LUMAFund" localSheetId="0">'AGAA|0001-00'!$M$2</definedName>
    <definedName name="LUMAFund" localSheetId="1">'AGAA|0125-01'!$M$2</definedName>
    <definedName name="LUMAFund" localSheetId="2">'AGAA|0125-02'!$M$2</definedName>
    <definedName name="LUMAFund" localSheetId="3">'AGAB|0001-00'!$M$2</definedName>
    <definedName name="LUMAFund" localSheetId="4">'AGAB|0332-06'!$M$2</definedName>
    <definedName name="LUMAFund" localSheetId="5">'AGAB|0332-07'!$M$2</definedName>
    <definedName name="LUMAFund" localSheetId="6">'AGAB|0332-09'!$M$2</definedName>
    <definedName name="LUMAFund" localSheetId="7">'AGAC|0001-00'!$M$2</definedName>
    <definedName name="LUMAFund" localSheetId="8">'AGAC|0332-05'!$M$2</definedName>
    <definedName name="LUMAFund" localSheetId="9">'AGAC|0348-00'!$M$2</definedName>
    <definedName name="LUMAFund" localSheetId="10">'AGAD|0001-00'!$M$2</definedName>
    <definedName name="LUMAFund" localSheetId="11">'AGAD|0330-00'!$M$2</definedName>
    <definedName name="LUMAFund" localSheetId="12">'AGAD|0330-13'!$M$2</definedName>
    <definedName name="LUMAFund" localSheetId="13">'AGAD|0332-04'!$M$2</definedName>
    <definedName name="LUMAFund" localSheetId="14">'AGAD|0332-08'!$M$2</definedName>
    <definedName name="LUMAFund" localSheetId="15">'AGAE|0001-00'!$M$2</definedName>
    <definedName name="LUMAFund" localSheetId="16">'AGAE|0330-12'!$M$2</definedName>
    <definedName name="LUMAFund" localSheetId="17">'AGAE|0332-10'!$M$2</definedName>
    <definedName name="LUMAFund" localSheetId="18">'AGAF|0001-00'!$M$2</definedName>
    <definedName name="LUMAFund" localSheetId="19">'AGAF|0330-00'!$M$2</definedName>
    <definedName name="LUMAFund" localSheetId="20">'AGAF|0490-00'!$M$2</definedName>
    <definedName name="LUMAFund" localSheetId="21">'AGAH|0001-00'!$M$2</definedName>
    <definedName name="LUMAFund" localSheetId="22">'AGAH|0332-03'!$M$2</definedName>
    <definedName name="LUMAFund" localSheetId="23">'AGAL|0486-00'!$M$2</definedName>
    <definedName name="LUMAFund" localSheetId="24">'AGAM|0348-00'!$M$2</definedName>
    <definedName name="LUMAFund" localSheetId="25">'AGAM|0403-03'!$M$2</definedName>
    <definedName name="LUMAFund" localSheetId="26">'AGAO|0330-00'!$M$2</definedName>
    <definedName name="LUMAFund" localSheetId="27">'AGAO|0332-11'!$M$2</definedName>
    <definedName name="LUMAFund" localSheetId="28">'AGAO|0332-12'!$M$2</definedName>
    <definedName name="LUMAFund" localSheetId="29">'AGAO|0348-00'!$M$2</definedName>
    <definedName name="LUMAFund" localSheetId="30">'AGAP|0348-00'!$M$2</definedName>
    <definedName name="LUMAFund" localSheetId="31">'AGAP|0402-00'!$M$2</definedName>
    <definedName name="LUMAFund">'B6'!$M$2</definedName>
    <definedName name="MAXSSDI">Benefits!$F$5</definedName>
    <definedName name="MAXSSDIBY">Benefits!$G$5</definedName>
    <definedName name="NEW_AdjGroup" localSheetId="0">'AGAA|0001-00'!$AC$39</definedName>
    <definedName name="NEW_AdjGroup" localSheetId="1">'AGAA|0125-01'!$AC$39</definedName>
    <definedName name="NEW_AdjGroup" localSheetId="2">'AGAA|0125-02'!$AC$39</definedName>
    <definedName name="NEW_AdjGroup" localSheetId="3">'AGAB|0001-00'!$AC$39</definedName>
    <definedName name="NEW_AdjGroup" localSheetId="4">'AGAB|0332-06'!$AC$39</definedName>
    <definedName name="NEW_AdjGroup" localSheetId="5">'AGAB|0332-07'!$AC$39</definedName>
    <definedName name="NEW_AdjGroup" localSheetId="6">'AGAB|0332-09'!$AC$39</definedName>
    <definedName name="NEW_AdjGroup" localSheetId="7">'AGAC|0001-00'!$AC$39</definedName>
    <definedName name="NEW_AdjGroup" localSheetId="8">'AGAC|0332-05'!$AC$39</definedName>
    <definedName name="NEW_AdjGroup" localSheetId="9">'AGAC|0348-00'!$AC$39</definedName>
    <definedName name="NEW_AdjGroup" localSheetId="10">'AGAD|0001-00'!$AC$39</definedName>
    <definedName name="NEW_AdjGroup" localSheetId="11">'AGAD|0330-00'!$AC$39</definedName>
    <definedName name="NEW_AdjGroup" localSheetId="12">'AGAD|0330-13'!$AC$39</definedName>
    <definedName name="NEW_AdjGroup" localSheetId="13">'AGAD|0332-04'!$AC$39</definedName>
    <definedName name="NEW_AdjGroup" localSheetId="14">'AGAD|0332-08'!$AC$39</definedName>
    <definedName name="NEW_AdjGroup" localSheetId="15">'AGAE|0001-00'!$AC$39</definedName>
    <definedName name="NEW_AdjGroup" localSheetId="16">'AGAE|0330-12'!$AC$39</definedName>
    <definedName name="NEW_AdjGroup" localSheetId="17">'AGAE|0332-10'!$AC$39</definedName>
    <definedName name="NEW_AdjGroup" localSheetId="18">'AGAF|0001-00'!$AC$39</definedName>
    <definedName name="NEW_AdjGroup" localSheetId="19">'AGAF|0330-00'!$AC$39</definedName>
    <definedName name="NEW_AdjGroup" localSheetId="20">'AGAF|0490-00'!$AC$39</definedName>
    <definedName name="NEW_AdjGroup" localSheetId="21">'AGAH|0001-00'!$AC$39</definedName>
    <definedName name="NEW_AdjGroup" localSheetId="22">'AGAH|0332-03'!$AC$39</definedName>
    <definedName name="NEW_AdjGroup" localSheetId="23">'AGAL|0486-00'!$AC$39</definedName>
    <definedName name="NEW_AdjGroup" localSheetId="24">'AGAM|0348-00'!$AC$39</definedName>
    <definedName name="NEW_AdjGroup" localSheetId="25">'AGAM|0403-03'!$AC$39</definedName>
    <definedName name="NEW_AdjGroup" localSheetId="26">'AGAO|0330-00'!$AC$39</definedName>
    <definedName name="NEW_AdjGroup" localSheetId="27">'AGAO|0332-11'!$AC$39</definedName>
    <definedName name="NEW_AdjGroup" localSheetId="28">'AGAO|0332-12'!$AC$39</definedName>
    <definedName name="NEW_AdjGroup" localSheetId="29">'AGAO|0348-00'!$AC$39</definedName>
    <definedName name="NEW_AdjGroup" localSheetId="30">'AGAP|0348-00'!$AC$39</definedName>
    <definedName name="NEW_AdjGroup" localSheetId="31">'AGAP|0402-00'!$AC$39</definedName>
    <definedName name="NEW_AdjGroup">'B6'!$AC$39</definedName>
    <definedName name="NEW_AdjGroupSalary" localSheetId="0">'AGAA|0001-00'!$AA$39</definedName>
    <definedName name="NEW_AdjGroupSalary" localSheetId="1">'AGAA|0125-01'!$AA$39</definedName>
    <definedName name="NEW_AdjGroupSalary" localSheetId="2">'AGAA|0125-02'!$AA$39</definedName>
    <definedName name="NEW_AdjGroupSalary" localSheetId="3">'AGAB|0001-00'!$AA$39</definedName>
    <definedName name="NEW_AdjGroupSalary" localSheetId="4">'AGAB|0332-06'!$AA$39</definedName>
    <definedName name="NEW_AdjGroupSalary" localSheetId="5">'AGAB|0332-07'!$AA$39</definedName>
    <definedName name="NEW_AdjGroupSalary" localSheetId="6">'AGAB|0332-09'!$AA$39</definedName>
    <definedName name="NEW_AdjGroupSalary" localSheetId="7">'AGAC|0001-00'!$AA$39</definedName>
    <definedName name="NEW_AdjGroupSalary" localSheetId="8">'AGAC|0332-05'!$AA$39</definedName>
    <definedName name="NEW_AdjGroupSalary" localSheetId="9">'AGAC|0348-00'!$AA$39</definedName>
    <definedName name="NEW_AdjGroupSalary" localSheetId="10">'AGAD|0001-00'!$AA$39</definedName>
    <definedName name="NEW_AdjGroupSalary" localSheetId="11">'AGAD|0330-00'!$AA$39</definedName>
    <definedName name="NEW_AdjGroupSalary" localSheetId="12">'AGAD|0330-13'!$AA$39</definedName>
    <definedName name="NEW_AdjGroupSalary" localSheetId="13">'AGAD|0332-04'!$AA$39</definedName>
    <definedName name="NEW_AdjGroupSalary" localSheetId="14">'AGAD|0332-08'!$AA$39</definedName>
    <definedName name="NEW_AdjGroupSalary" localSheetId="15">'AGAE|0001-00'!$AA$39</definedName>
    <definedName name="NEW_AdjGroupSalary" localSheetId="16">'AGAE|0330-12'!$AA$39</definedName>
    <definedName name="NEW_AdjGroupSalary" localSheetId="17">'AGAE|0332-10'!$AA$39</definedName>
    <definedName name="NEW_AdjGroupSalary" localSheetId="18">'AGAF|0001-00'!$AA$39</definedName>
    <definedName name="NEW_AdjGroupSalary" localSheetId="19">'AGAF|0330-00'!$AA$39</definedName>
    <definedName name="NEW_AdjGroupSalary" localSheetId="20">'AGAF|0490-00'!$AA$39</definedName>
    <definedName name="NEW_AdjGroupSalary" localSheetId="21">'AGAH|0001-00'!$AA$39</definedName>
    <definedName name="NEW_AdjGroupSalary" localSheetId="22">'AGAH|0332-03'!$AA$39</definedName>
    <definedName name="NEW_AdjGroupSalary" localSheetId="23">'AGAL|0486-00'!$AA$39</definedName>
    <definedName name="NEW_AdjGroupSalary" localSheetId="24">'AGAM|0348-00'!$AA$39</definedName>
    <definedName name="NEW_AdjGroupSalary" localSheetId="25">'AGAM|0403-03'!$AA$39</definedName>
    <definedName name="NEW_AdjGroupSalary" localSheetId="26">'AGAO|0330-00'!$AA$39</definedName>
    <definedName name="NEW_AdjGroupSalary" localSheetId="27">'AGAO|0332-11'!$AA$39</definedName>
    <definedName name="NEW_AdjGroupSalary" localSheetId="28">'AGAO|0332-12'!$AA$39</definedName>
    <definedName name="NEW_AdjGroupSalary" localSheetId="29">'AGAO|0348-00'!$AA$39</definedName>
    <definedName name="NEW_AdjGroupSalary" localSheetId="30">'AGAP|0348-00'!$AA$39</definedName>
    <definedName name="NEW_AdjGroupSalary" localSheetId="31">'AGAP|0402-00'!$AA$39</definedName>
    <definedName name="NEW_AdjGroupSalary">'B6'!$AA$39</definedName>
    <definedName name="NEW_AdjGroupVB" localSheetId="0">'AGAA|0001-00'!$AB$39</definedName>
    <definedName name="NEW_AdjGroupVB" localSheetId="1">'AGAA|0125-01'!$AB$39</definedName>
    <definedName name="NEW_AdjGroupVB" localSheetId="2">'AGAA|0125-02'!$AB$39</definedName>
    <definedName name="NEW_AdjGroupVB" localSheetId="3">'AGAB|0001-00'!$AB$39</definedName>
    <definedName name="NEW_AdjGroupVB" localSheetId="4">'AGAB|0332-06'!$AB$39</definedName>
    <definedName name="NEW_AdjGroupVB" localSheetId="5">'AGAB|0332-07'!$AB$39</definedName>
    <definedName name="NEW_AdjGroupVB" localSheetId="6">'AGAB|0332-09'!$AB$39</definedName>
    <definedName name="NEW_AdjGroupVB" localSheetId="7">'AGAC|0001-00'!$AB$39</definedName>
    <definedName name="NEW_AdjGroupVB" localSheetId="8">'AGAC|0332-05'!$AB$39</definedName>
    <definedName name="NEW_AdjGroupVB" localSheetId="9">'AGAC|0348-00'!$AB$39</definedName>
    <definedName name="NEW_AdjGroupVB" localSheetId="10">'AGAD|0001-00'!$AB$39</definedName>
    <definedName name="NEW_AdjGroupVB" localSheetId="11">'AGAD|0330-00'!$AB$39</definedName>
    <definedName name="NEW_AdjGroupVB" localSheetId="12">'AGAD|0330-13'!$AB$39</definedName>
    <definedName name="NEW_AdjGroupVB" localSheetId="13">'AGAD|0332-04'!$AB$39</definedName>
    <definedName name="NEW_AdjGroupVB" localSheetId="14">'AGAD|0332-08'!$AB$39</definedName>
    <definedName name="NEW_AdjGroupVB" localSheetId="15">'AGAE|0001-00'!$AB$39</definedName>
    <definedName name="NEW_AdjGroupVB" localSheetId="16">'AGAE|0330-12'!$AB$39</definedName>
    <definedName name="NEW_AdjGroupVB" localSheetId="17">'AGAE|0332-10'!$AB$39</definedName>
    <definedName name="NEW_AdjGroupVB" localSheetId="18">'AGAF|0001-00'!$AB$39</definedName>
    <definedName name="NEW_AdjGroupVB" localSheetId="19">'AGAF|0330-00'!$AB$39</definedName>
    <definedName name="NEW_AdjGroupVB" localSheetId="20">'AGAF|0490-00'!$AB$39</definedName>
    <definedName name="NEW_AdjGroupVB" localSheetId="21">'AGAH|0001-00'!$AB$39</definedName>
    <definedName name="NEW_AdjGroupVB" localSheetId="22">'AGAH|0332-03'!$AB$39</definedName>
    <definedName name="NEW_AdjGroupVB" localSheetId="23">'AGAL|0486-00'!$AB$39</definedName>
    <definedName name="NEW_AdjGroupVB" localSheetId="24">'AGAM|0348-00'!$AB$39</definedName>
    <definedName name="NEW_AdjGroupVB" localSheetId="25">'AGAM|0403-03'!$AB$39</definedName>
    <definedName name="NEW_AdjGroupVB" localSheetId="26">'AGAO|0330-00'!$AB$39</definedName>
    <definedName name="NEW_AdjGroupVB" localSheetId="27">'AGAO|0332-11'!$AB$39</definedName>
    <definedName name="NEW_AdjGroupVB" localSheetId="28">'AGAO|0332-12'!$AB$39</definedName>
    <definedName name="NEW_AdjGroupVB" localSheetId="29">'AGAO|0348-00'!$AB$39</definedName>
    <definedName name="NEW_AdjGroupVB" localSheetId="30">'AGAP|0348-00'!$AB$39</definedName>
    <definedName name="NEW_AdjGroupVB" localSheetId="31">'AGAP|0402-00'!$AB$39</definedName>
    <definedName name="NEW_AdjGroupVB">'B6'!$AB$39</definedName>
    <definedName name="NEW_AdjONLYGroup" localSheetId="0">'AGAA|0001-00'!$AC$45</definedName>
    <definedName name="NEW_AdjONLYGroup" localSheetId="1">'AGAA|0125-01'!$AC$45</definedName>
    <definedName name="NEW_AdjONLYGroup" localSheetId="2">'AGAA|0125-02'!$AC$45</definedName>
    <definedName name="NEW_AdjONLYGroup" localSheetId="3">'AGAB|0001-00'!$AC$45</definedName>
    <definedName name="NEW_AdjONLYGroup" localSheetId="4">'AGAB|0332-06'!$AC$45</definedName>
    <definedName name="NEW_AdjONLYGroup" localSheetId="5">'AGAB|0332-07'!$AC$45</definedName>
    <definedName name="NEW_AdjONLYGroup" localSheetId="6">'AGAB|0332-09'!$AC$45</definedName>
    <definedName name="NEW_AdjONLYGroup" localSheetId="7">'AGAC|0001-00'!$AC$45</definedName>
    <definedName name="NEW_AdjONLYGroup" localSheetId="8">'AGAC|0332-05'!$AC$45</definedName>
    <definedName name="NEW_AdjONLYGroup" localSheetId="9">'AGAC|0348-00'!$AC$45</definedName>
    <definedName name="NEW_AdjONLYGroup" localSheetId="10">'AGAD|0001-00'!$AC$45</definedName>
    <definedName name="NEW_AdjONLYGroup" localSheetId="11">'AGAD|0330-00'!$AC$45</definedName>
    <definedName name="NEW_AdjONLYGroup" localSheetId="12">'AGAD|0330-13'!$AC$45</definedName>
    <definedName name="NEW_AdjONLYGroup" localSheetId="13">'AGAD|0332-04'!$AC$45</definedName>
    <definedName name="NEW_AdjONLYGroup" localSheetId="14">'AGAD|0332-08'!$AC$45</definedName>
    <definedName name="NEW_AdjONLYGroup" localSheetId="15">'AGAE|0001-00'!$AC$45</definedName>
    <definedName name="NEW_AdjONLYGroup" localSheetId="16">'AGAE|0330-12'!$AC$45</definedName>
    <definedName name="NEW_AdjONLYGroup" localSheetId="17">'AGAE|0332-10'!$AC$45</definedName>
    <definedName name="NEW_AdjONLYGroup" localSheetId="18">'AGAF|0001-00'!$AC$45</definedName>
    <definedName name="NEW_AdjONLYGroup" localSheetId="19">'AGAF|0330-00'!$AC$45</definedName>
    <definedName name="NEW_AdjONLYGroup" localSheetId="20">'AGAF|0490-00'!$AC$45</definedName>
    <definedName name="NEW_AdjONLYGroup" localSheetId="21">'AGAH|0001-00'!$AC$45</definedName>
    <definedName name="NEW_AdjONLYGroup" localSheetId="22">'AGAH|0332-03'!$AC$45</definedName>
    <definedName name="NEW_AdjONLYGroup" localSheetId="23">'AGAL|0486-00'!$AC$45</definedName>
    <definedName name="NEW_AdjONLYGroup" localSheetId="24">'AGAM|0348-00'!$AC$45</definedName>
    <definedName name="NEW_AdjONLYGroup" localSheetId="25">'AGAM|0403-03'!$AC$45</definedName>
    <definedName name="NEW_AdjONLYGroup" localSheetId="26">'AGAO|0330-00'!$AC$45</definedName>
    <definedName name="NEW_AdjONLYGroup" localSheetId="27">'AGAO|0332-11'!$AC$45</definedName>
    <definedName name="NEW_AdjONLYGroup" localSheetId="28">'AGAO|0332-12'!$AC$45</definedName>
    <definedName name="NEW_AdjONLYGroup" localSheetId="29">'AGAO|0348-00'!$AC$45</definedName>
    <definedName name="NEW_AdjONLYGroup" localSheetId="30">'AGAP|0348-00'!$AC$45</definedName>
    <definedName name="NEW_AdjONLYGroup" localSheetId="31">'AGAP|0402-00'!$AC$45</definedName>
    <definedName name="NEW_AdjONLYGroup">'B6'!$AC$45</definedName>
    <definedName name="NEW_AdjONLYGroupSalary" localSheetId="0">'AGAA|0001-00'!$AA$45</definedName>
    <definedName name="NEW_AdjONLYGroupSalary" localSheetId="1">'AGAA|0125-01'!$AA$45</definedName>
    <definedName name="NEW_AdjONLYGroupSalary" localSheetId="2">'AGAA|0125-02'!$AA$45</definedName>
    <definedName name="NEW_AdjONLYGroupSalary" localSheetId="3">'AGAB|0001-00'!$AA$45</definedName>
    <definedName name="NEW_AdjONLYGroupSalary" localSheetId="4">'AGAB|0332-06'!$AA$45</definedName>
    <definedName name="NEW_AdjONLYGroupSalary" localSheetId="5">'AGAB|0332-07'!$AA$45</definedName>
    <definedName name="NEW_AdjONLYGroupSalary" localSheetId="6">'AGAB|0332-09'!$AA$45</definedName>
    <definedName name="NEW_AdjONLYGroupSalary" localSheetId="7">'AGAC|0001-00'!$AA$45</definedName>
    <definedName name="NEW_AdjONLYGroupSalary" localSheetId="8">'AGAC|0332-05'!$AA$45</definedName>
    <definedName name="NEW_AdjONLYGroupSalary" localSheetId="9">'AGAC|0348-00'!$AA$45</definedName>
    <definedName name="NEW_AdjONLYGroupSalary" localSheetId="10">'AGAD|0001-00'!$AA$45</definedName>
    <definedName name="NEW_AdjONLYGroupSalary" localSheetId="11">'AGAD|0330-00'!$AA$45</definedName>
    <definedName name="NEW_AdjONLYGroupSalary" localSheetId="12">'AGAD|0330-13'!$AA$45</definedName>
    <definedName name="NEW_AdjONLYGroupSalary" localSheetId="13">'AGAD|0332-04'!$AA$45</definedName>
    <definedName name="NEW_AdjONLYGroupSalary" localSheetId="14">'AGAD|0332-08'!$AA$45</definedName>
    <definedName name="NEW_AdjONLYGroupSalary" localSheetId="15">'AGAE|0001-00'!$AA$45</definedName>
    <definedName name="NEW_AdjONLYGroupSalary" localSheetId="16">'AGAE|0330-12'!$AA$45</definedName>
    <definedName name="NEW_AdjONLYGroupSalary" localSheetId="17">'AGAE|0332-10'!$AA$45</definedName>
    <definedName name="NEW_AdjONLYGroupSalary" localSheetId="18">'AGAF|0001-00'!$AA$45</definedName>
    <definedName name="NEW_AdjONLYGroupSalary" localSheetId="19">'AGAF|0330-00'!$AA$45</definedName>
    <definedName name="NEW_AdjONLYGroupSalary" localSheetId="20">'AGAF|0490-00'!$AA$45</definedName>
    <definedName name="NEW_AdjONLYGroupSalary" localSheetId="21">'AGAH|0001-00'!$AA$45</definedName>
    <definedName name="NEW_AdjONLYGroupSalary" localSheetId="22">'AGAH|0332-03'!$AA$45</definedName>
    <definedName name="NEW_AdjONLYGroupSalary" localSheetId="23">'AGAL|0486-00'!$AA$45</definedName>
    <definedName name="NEW_AdjONLYGroupSalary" localSheetId="24">'AGAM|0348-00'!$AA$45</definedName>
    <definedName name="NEW_AdjONLYGroupSalary" localSheetId="25">'AGAM|0403-03'!$AA$45</definedName>
    <definedName name="NEW_AdjONLYGroupSalary" localSheetId="26">'AGAO|0330-00'!$AA$45</definedName>
    <definedName name="NEW_AdjONLYGroupSalary" localSheetId="27">'AGAO|0332-11'!$AA$45</definedName>
    <definedName name="NEW_AdjONLYGroupSalary" localSheetId="28">'AGAO|0332-12'!$AA$45</definedName>
    <definedName name="NEW_AdjONLYGroupSalary" localSheetId="29">'AGAO|0348-00'!$AA$45</definedName>
    <definedName name="NEW_AdjONLYGroupSalary" localSheetId="30">'AGAP|0348-00'!$AA$45</definedName>
    <definedName name="NEW_AdjONLYGroupSalary" localSheetId="31">'AGAP|0402-00'!$AA$45</definedName>
    <definedName name="NEW_AdjONLYGroupSalary">'B6'!$AA$45</definedName>
    <definedName name="NEW_AdjONLYGroupVB" localSheetId="0">'AGAA|0001-00'!$AB$45</definedName>
    <definedName name="NEW_AdjONLYGroupVB" localSheetId="1">'AGAA|0125-01'!$AB$45</definedName>
    <definedName name="NEW_AdjONLYGroupVB" localSheetId="2">'AGAA|0125-02'!$AB$45</definedName>
    <definedName name="NEW_AdjONLYGroupVB" localSheetId="3">'AGAB|0001-00'!$AB$45</definedName>
    <definedName name="NEW_AdjONLYGroupVB" localSheetId="4">'AGAB|0332-06'!$AB$45</definedName>
    <definedName name="NEW_AdjONLYGroupVB" localSheetId="5">'AGAB|0332-07'!$AB$45</definedName>
    <definedName name="NEW_AdjONLYGroupVB" localSheetId="6">'AGAB|0332-09'!$AB$45</definedName>
    <definedName name="NEW_AdjONLYGroupVB" localSheetId="7">'AGAC|0001-00'!$AB$45</definedName>
    <definedName name="NEW_AdjONLYGroupVB" localSheetId="8">'AGAC|0332-05'!$AB$45</definedName>
    <definedName name="NEW_AdjONLYGroupVB" localSheetId="9">'AGAC|0348-00'!$AB$45</definedName>
    <definedName name="NEW_AdjONLYGroupVB" localSheetId="10">'AGAD|0001-00'!$AB$45</definedName>
    <definedName name="NEW_AdjONLYGroupVB" localSheetId="11">'AGAD|0330-00'!$AB$45</definedName>
    <definedName name="NEW_AdjONLYGroupVB" localSheetId="12">'AGAD|0330-13'!$AB$45</definedName>
    <definedName name="NEW_AdjONLYGroupVB" localSheetId="13">'AGAD|0332-04'!$AB$45</definedName>
    <definedName name="NEW_AdjONLYGroupVB" localSheetId="14">'AGAD|0332-08'!$AB$45</definedName>
    <definedName name="NEW_AdjONLYGroupVB" localSheetId="15">'AGAE|0001-00'!$AB$45</definedName>
    <definedName name="NEW_AdjONLYGroupVB" localSheetId="16">'AGAE|0330-12'!$AB$45</definedName>
    <definedName name="NEW_AdjONLYGroupVB" localSheetId="17">'AGAE|0332-10'!$AB$45</definedName>
    <definedName name="NEW_AdjONLYGroupVB" localSheetId="18">'AGAF|0001-00'!$AB$45</definedName>
    <definedName name="NEW_AdjONLYGroupVB" localSheetId="19">'AGAF|0330-00'!$AB$45</definedName>
    <definedName name="NEW_AdjONLYGroupVB" localSheetId="20">'AGAF|0490-00'!$AB$45</definedName>
    <definedName name="NEW_AdjONLYGroupVB" localSheetId="21">'AGAH|0001-00'!$AB$45</definedName>
    <definedName name="NEW_AdjONLYGroupVB" localSheetId="22">'AGAH|0332-03'!$AB$45</definedName>
    <definedName name="NEW_AdjONLYGroupVB" localSheetId="23">'AGAL|0486-00'!$AB$45</definedName>
    <definedName name="NEW_AdjONLYGroupVB" localSheetId="24">'AGAM|0348-00'!$AB$45</definedName>
    <definedName name="NEW_AdjONLYGroupVB" localSheetId="25">'AGAM|0403-03'!$AB$45</definedName>
    <definedName name="NEW_AdjONLYGroupVB" localSheetId="26">'AGAO|0330-00'!$AB$45</definedName>
    <definedName name="NEW_AdjONLYGroupVB" localSheetId="27">'AGAO|0332-11'!$AB$45</definedName>
    <definedName name="NEW_AdjONLYGroupVB" localSheetId="28">'AGAO|0332-12'!$AB$45</definedName>
    <definedName name="NEW_AdjONLYGroupVB" localSheetId="29">'AGAO|0348-00'!$AB$45</definedName>
    <definedName name="NEW_AdjONLYGroupVB" localSheetId="30">'AGAP|0348-00'!$AB$45</definedName>
    <definedName name="NEW_AdjONLYGroupVB" localSheetId="31">'AGAP|0402-00'!$AB$45</definedName>
    <definedName name="NEW_AdjONLYGroupVB">'B6'!$AB$45</definedName>
    <definedName name="NEW_AdjONLYPerm" localSheetId="0">'AGAA|0001-00'!$AC$44</definedName>
    <definedName name="NEW_AdjONLYPerm" localSheetId="1">'AGAA|0125-01'!$AC$44</definedName>
    <definedName name="NEW_AdjONLYPerm" localSheetId="2">'AGAA|0125-02'!$AC$44</definedName>
    <definedName name="NEW_AdjONLYPerm" localSheetId="3">'AGAB|0001-00'!$AC$44</definedName>
    <definedName name="NEW_AdjONLYPerm" localSheetId="4">'AGAB|0332-06'!$AC$44</definedName>
    <definedName name="NEW_AdjONLYPerm" localSheetId="5">'AGAB|0332-07'!$AC$44</definedName>
    <definedName name="NEW_AdjONLYPerm" localSheetId="6">'AGAB|0332-09'!$AC$44</definedName>
    <definedName name="NEW_AdjONLYPerm" localSheetId="7">'AGAC|0001-00'!$AC$44</definedName>
    <definedName name="NEW_AdjONLYPerm" localSheetId="8">'AGAC|0332-05'!$AC$44</definedName>
    <definedName name="NEW_AdjONLYPerm" localSheetId="9">'AGAC|0348-00'!$AC$44</definedName>
    <definedName name="NEW_AdjONLYPerm" localSheetId="10">'AGAD|0001-00'!$AC$44</definedName>
    <definedName name="NEW_AdjONLYPerm" localSheetId="11">'AGAD|0330-00'!$AC$44</definedName>
    <definedName name="NEW_AdjONLYPerm" localSheetId="12">'AGAD|0330-13'!$AC$44</definedName>
    <definedName name="NEW_AdjONLYPerm" localSheetId="13">'AGAD|0332-04'!$AC$44</definedName>
    <definedName name="NEW_AdjONLYPerm" localSheetId="14">'AGAD|0332-08'!$AC$44</definedName>
    <definedName name="NEW_AdjONLYPerm" localSheetId="15">'AGAE|0001-00'!$AC$44</definedName>
    <definedName name="NEW_AdjONLYPerm" localSheetId="16">'AGAE|0330-12'!$AC$44</definedName>
    <definedName name="NEW_AdjONLYPerm" localSheetId="17">'AGAE|0332-10'!$AC$44</definedName>
    <definedName name="NEW_AdjONLYPerm" localSheetId="18">'AGAF|0001-00'!$AC$44</definedName>
    <definedName name="NEW_AdjONLYPerm" localSheetId="19">'AGAF|0330-00'!$AC$44</definedName>
    <definedName name="NEW_AdjONLYPerm" localSheetId="20">'AGAF|0490-00'!$AC$44</definedName>
    <definedName name="NEW_AdjONLYPerm" localSheetId="21">'AGAH|0001-00'!$AC$44</definedName>
    <definedName name="NEW_AdjONLYPerm" localSheetId="22">'AGAH|0332-03'!$AC$44</definedName>
    <definedName name="NEW_AdjONLYPerm" localSheetId="23">'AGAL|0486-00'!$AC$44</definedName>
    <definedName name="NEW_AdjONLYPerm" localSheetId="24">'AGAM|0348-00'!$AC$44</definedName>
    <definedName name="NEW_AdjONLYPerm" localSheetId="25">'AGAM|0403-03'!$AC$44</definedName>
    <definedName name="NEW_AdjONLYPerm" localSheetId="26">'AGAO|0330-00'!$AC$44</definedName>
    <definedName name="NEW_AdjONLYPerm" localSheetId="27">'AGAO|0332-11'!$AC$44</definedName>
    <definedName name="NEW_AdjONLYPerm" localSheetId="28">'AGAO|0332-12'!$AC$44</definedName>
    <definedName name="NEW_AdjONLYPerm" localSheetId="29">'AGAO|0348-00'!$AC$44</definedName>
    <definedName name="NEW_AdjONLYPerm" localSheetId="30">'AGAP|0348-00'!$AC$44</definedName>
    <definedName name="NEW_AdjONLYPerm" localSheetId="31">'AGAP|0402-00'!$AC$44</definedName>
    <definedName name="NEW_AdjONLYPerm">'B6'!$AC$44</definedName>
    <definedName name="NEW_AdjONLYPermSalary" localSheetId="0">'AGAA|0001-00'!$AA$44</definedName>
    <definedName name="NEW_AdjONLYPermSalary" localSheetId="1">'AGAA|0125-01'!$AA$44</definedName>
    <definedName name="NEW_AdjONLYPermSalary" localSheetId="2">'AGAA|0125-02'!$AA$44</definedName>
    <definedName name="NEW_AdjONLYPermSalary" localSheetId="3">'AGAB|0001-00'!$AA$44</definedName>
    <definedName name="NEW_AdjONLYPermSalary" localSheetId="4">'AGAB|0332-06'!$AA$44</definedName>
    <definedName name="NEW_AdjONLYPermSalary" localSheetId="5">'AGAB|0332-07'!$AA$44</definedName>
    <definedName name="NEW_AdjONLYPermSalary" localSheetId="6">'AGAB|0332-09'!$AA$44</definedName>
    <definedName name="NEW_AdjONLYPermSalary" localSheetId="7">'AGAC|0001-00'!$AA$44</definedName>
    <definedName name="NEW_AdjONLYPermSalary" localSheetId="8">'AGAC|0332-05'!$AA$44</definedName>
    <definedName name="NEW_AdjONLYPermSalary" localSheetId="9">'AGAC|0348-00'!$AA$44</definedName>
    <definedName name="NEW_AdjONLYPermSalary" localSheetId="10">'AGAD|0001-00'!$AA$44</definedName>
    <definedName name="NEW_AdjONLYPermSalary" localSheetId="11">'AGAD|0330-00'!$AA$44</definedName>
    <definedName name="NEW_AdjONLYPermSalary" localSheetId="12">'AGAD|0330-13'!$AA$44</definedName>
    <definedName name="NEW_AdjONLYPermSalary" localSheetId="13">'AGAD|0332-04'!$AA$44</definedName>
    <definedName name="NEW_AdjONLYPermSalary" localSheetId="14">'AGAD|0332-08'!$AA$44</definedName>
    <definedName name="NEW_AdjONLYPermSalary" localSheetId="15">'AGAE|0001-00'!$AA$44</definedName>
    <definedName name="NEW_AdjONLYPermSalary" localSheetId="16">'AGAE|0330-12'!$AA$44</definedName>
    <definedName name="NEW_AdjONLYPermSalary" localSheetId="17">'AGAE|0332-10'!$AA$44</definedName>
    <definedName name="NEW_AdjONLYPermSalary" localSheetId="18">'AGAF|0001-00'!$AA$44</definedName>
    <definedName name="NEW_AdjONLYPermSalary" localSheetId="19">'AGAF|0330-00'!$AA$44</definedName>
    <definedName name="NEW_AdjONLYPermSalary" localSheetId="20">'AGAF|0490-00'!$AA$44</definedName>
    <definedName name="NEW_AdjONLYPermSalary" localSheetId="21">'AGAH|0001-00'!$AA$44</definedName>
    <definedName name="NEW_AdjONLYPermSalary" localSheetId="22">'AGAH|0332-03'!$AA$44</definedName>
    <definedName name="NEW_AdjONLYPermSalary" localSheetId="23">'AGAL|0486-00'!$AA$44</definedName>
    <definedName name="NEW_AdjONLYPermSalary" localSheetId="24">'AGAM|0348-00'!$AA$44</definedName>
    <definedName name="NEW_AdjONLYPermSalary" localSheetId="25">'AGAM|0403-03'!$AA$44</definedName>
    <definedName name="NEW_AdjONLYPermSalary" localSheetId="26">'AGAO|0330-00'!$AA$44</definedName>
    <definedName name="NEW_AdjONLYPermSalary" localSheetId="27">'AGAO|0332-11'!$AA$44</definedName>
    <definedName name="NEW_AdjONLYPermSalary" localSheetId="28">'AGAO|0332-12'!$AA$44</definedName>
    <definedName name="NEW_AdjONLYPermSalary" localSheetId="29">'AGAO|0348-00'!$AA$44</definedName>
    <definedName name="NEW_AdjONLYPermSalary" localSheetId="30">'AGAP|0348-00'!$AA$44</definedName>
    <definedName name="NEW_AdjONLYPermSalary" localSheetId="31">'AGAP|0402-00'!$AA$44</definedName>
    <definedName name="NEW_AdjONLYPermSalary">'B6'!$AA$44</definedName>
    <definedName name="NEW_AdjONLYPermVB" localSheetId="0">'AGAA|0001-00'!$AB$44</definedName>
    <definedName name="NEW_AdjONLYPermVB" localSheetId="1">'AGAA|0125-01'!$AB$44</definedName>
    <definedName name="NEW_AdjONLYPermVB" localSheetId="2">'AGAA|0125-02'!$AB$44</definedName>
    <definedName name="NEW_AdjONLYPermVB" localSheetId="3">'AGAB|0001-00'!$AB$44</definedName>
    <definedName name="NEW_AdjONLYPermVB" localSheetId="4">'AGAB|0332-06'!$AB$44</definedName>
    <definedName name="NEW_AdjONLYPermVB" localSheetId="5">'AGAB|0332-07'!$AB$44</definedName>
    <definedName name="NEW_AdjONLYPermVB" localSheetId="6">'AGAB|0332-09'!$AB$44</definedName>
    <definedName name="NEW_AdjONLYPermVB" localSheetId="7">'AGAC|0001-00'!$AB$44</definedName>
    <definedName name="NEW_AdjONLYPermVB" localSheetId="8">'AGAC|0332-05'!$AB$44</definedName>
    <definedName name="NEW_AdjONLYPermVB" localSheetId="9">'AGAC|0348-00'!$AB$44</definedName>
    <definedName name="NEW_AdjONLYPermVB" localSheetId="10">'AGAD|0001-00'!$AB$44</definedName>
    <definedName name="NEW_AdjONLYPermVB" localSheetId="11">'AGAD|0330-00'!$AB$44</definedName>
    <definedName name="NEW_AdjONLYPermVB" localSheetId="12">'AGAD|0330-13'!$AB$44</definedName>
    <definedName name="NEW_AdjONLYPermVB" localSheetId="13">'AGAD|0332-04'!$AB$44</definedName>
    <definedName name="NEW_AdjONLYPermVB" localSheetId="14">'AGAD|0332-08'!$AB$44</definedName>
    <definedName name="NEW_AdjONLYPermVB" localSheetId="15">'AGAE|0001-00'!$AB$44</definedName>
    <definedName name="NEW_AdjONLYPermVB" localSheetId="16">'AGAE|0330-12'!$AB$44</definedName>
    <definedName name="NEW_AdjONLYPermVB" localSheetId="17">'AGAE|0332-10'!$AB$44</definedName>
    <definedName name="NEW_AdjONLYPermVB" localSheetId="18">'AGAF|0001-00'!$AB$44</definedName>
    <definedName name="NEW_AdjONLYPermVB" localSheetId="19">'AGAF|0330-00'!$AB$44</definedName>
    <definedName name="NEW_AdjONLYPermVB" localSheetId="20">'AGAF|0490-00'!$AB$44</definedName>
    <definedName name="NEW_AdjONLYPermVB" localSheetId="21">'AGAH|0001-00'!$AB$44</definedName>
    <definedName name="NEW_AdjONLYPermVB" localSheetId="22">'AGAH|0332-03'!$AB$44</definedName>
    <definedName name="NEW_AdjONLYPermVB" localSheetId="23">'AGAL|0486-00'!$AB$44</definedName>
    <definedName name="NEW_AdjONLYPermVB" localSheetId="24">'AGAM|0348-00'!$AB$44</definedName>
    <definedName name="NEW_AdjONLYPermVB" localSheetId="25">'AGAM|0403-03'!$AB$44</definedName>
    <definedName name="NEW_AdjONLYPermVB" localSheetId="26">'AGAO|0330-00'!$AB$44</definedName>
    <definedName name="NEW_AdjONLYPermVB" localSheetId="27">'AGAO|0332-11'!$AB$44</definedName>
    <definedName name="NEW_AdjONLYPermVB" localSheetId="28">'AGAO|0332-12'!$AB$44</definedName>
    <definedName name="NEW_AdjONLYPermVB" localSheetId="29">'AGAO|0348-00'!$AB$44</definedName>
    <definedName name="NEW_AdjONLYPermVB" localSheetId="30">'AGAP|0348-00'!$AB$44</definedName>
    <definedName name="NEW_AdjONLYPermVB" localSheetId="31">'AGAP|0402-00'!$AB$44</definedName>
    <definedName name="NEW_AdjONLYPermVB">'B6'!$AB$44</definedName>
    <definedName name="NEW_AdjPerm" localSheetId="0">'AGAA|0001-00'!$AC$38</definedName>
    <definedName name="NEW_AdjPerm" localSheetId="1">'AGAA|0125-01'!$AC$38</definedName>
    <definedName name="NEW_AdjPerm" localSheetId="2">'AGAA|0125-02'!$AC$38</definedName>
    <definedName name="NEW_AdjPerm" localSheetId="3">'AGAB|0001-00'!$AC$38</definedName>
    <definedName name="NEW_AdjPerm" localSheetId="4">'AGAB|0332-06'!$AC$38</definedName>
    <definedName name="NEW_AdjPerm" localSheetId="5">'AGAB|0332-07'!$AC$38</definedName>
    <definedName name="NEW_AdjPerm" localSheetId="6">'AGAB|0332-09'!$AC$38</definedName>
    <definedName name="NEW_AdjPerm" localSheetId="7">'AGAC|0001-00'!$AC$38</definedName>
    <definedName name="NEW_AdjPerm" localSheetId="8">'AGAC|0332-05'!$AC$38</definedName>
    <definedName name="NEW_AdjPerm" localSheetId="9">'AGAC|0348-00'!$AC$38</definedName>
    <definedName name="NEW_AdjPerm" localSheetId="10">'AGAD|0001-00'!$AC$38</definedName>
    <definedName name="NEW_AdjPerm" localSheetId="11">'AGAD|0330-00'!$AC$38</definedName>
    <definedName name="NEW_AdjPerm" localSheetId="12">'AGAD|0330-13'!$AC$38</definedName>
    <definedName name="NEW_AdjPerm" localSheetId="13">'AGAD|0332-04'!$AC$38</definedName>
    <definedName name="NEW_AdjPerm" localSheetId="14">'AGAD|0332-08'!$AC$38</definedName>
    <definedName name="NEW_AdjPerm" localSheetId="15">'AGAE|0001-00'!$AC$38</definedName>
    <definedName name="NEW_AdjPerm" localSheetId="16">'AGAE|0330-12'!$AC$38</definedName>
    <definedName name="NEW_AdjPerm" localSheetId="17">'AGAE|0332-10'!$AC$38</definedName>
    <definedName name="NEW_AdjPerm" localSheetId="18">'AGAF|0001-00'!$AC$38</definedName>
    <definedName name="NEW_AdjPerm" localSheetId="19">'AGAF|0330-00'!$AC$38</definedName>
    <definedName name="NEW_AdjPerm" localSheetId="20">'AGAF|0490-00'!$AC$38</definedName>
    <definedName name="NEW_AdjPerm" localSheetId="21">'AGAH|0001-00'!$AC$38</definedName>
    <definedName name="NEW_AdjPerm" localSheetId="22">'AGAH|0332-03'!$AC$38</definedName>
    <definedName name="NEW_AdjPerm" localSheetId="23">'AGAL|0486-00'!$AC$38</definedName>
    <definedName name="NEW_AdjPerm" localSheetId="24">'AGAM|0348-00'!$AC$38</definedName>
    <definedName name="NEW_AdjPerm" localSheetId="25">'AGAM|0403-03'!$AC$38</definedName>
    <definedName name="NEW_AdjPerm" localSheetId="26">'AGAO|0330-00'!$AC$38</definedName>
    <definedName name="NEW_AdjPerm" localSheetId="27">'AGAO|0332-11'!$AC$38</definedName>
    <definedName name="NEW_AdjPerm" localSheetId="28">'AGAO|0332-12'!$AC$38</definedName>
    <definedName name="NEW_AdjPerm" localSheetId="29">'AGAO|0348-00'!$AC$38</definedName>
    <definedName name="NEW_AdjPerm" localSheetId="30">'AGAP|0348-00'!$AC$38</definedName>
    <definedName name="NEW_AdjPerm" localSheetId="31">'AGAP|0402-00'!$AC$38</definedName>
    <definedName name="NEW_AdjPerm">'B6'!$AC$38</definedName>
    <definedName name="NEW_AdjPermSalary" localSheetId="0">'AGAA|0001-00'!$AA$38</definedName>
    <definedName name="NEW_AdjPermSalary" localSheetId="1">'AGAA|0125-01'!$AA$38</definedName>
    <definedName name="NEW_AdjPermSalary" localSheetId="2">'AGAA|0125-02'!$AA$38</definedName>
    <definedName name="NEW_AdjPermSalary" localSheetId="3">'AGAB|0001-00'!$AA$38</definedName>
    <definedName name="NEW_AdjPermSalary" localSheetId="4">'AGAB|0332-06'!$AA$38</definedName>
    <definedName name="NEW_AdjPermSalary" localSheetId="5">'AGAB|0332-07'!$AA$38</definedName>
    <definedName name="NEW_AdjPermSalary" localSheetId="6">'AGAB|0332-09'!$AA$38</definedName>
    <definedName name="NEW_AdjPermSalary" localSheetId="7">'AGAC|0001-00'!$AA$38</definedName>
    <definedName name="NEW_AdjPermSalary" localSheetId="8">'AGAC|0332-05'!$AA$38</definedName>
    <definedName name="NEW_AdjPermSalary" localSheetId="9">'AGAC|0348-00'!$AA$38</definedName>
    <definedName name="NEW_AdjPermSalary" localSheetId="10">'AGAD|0001-00'!$AA$38</definedName>
    <definedName name="NEW_AdjPermSalary" localSheetId="11">'AGAD|0330-00'!$AA$38</definedName>
    <definedName name="NEW_AdjPermSalary" localSheetId="12">'AGAD|0330-13'!$AA$38</definedName>
    <definedName name="NEW_AdjPermSalary" localSheetId="13">'AGAD|0332-04'!$AA$38</definedName>
    <definedName name="NEW_AdjPermSalary" localSheetId="14">'AGAD|0332-08'!$AA$38</definedName>
    <definedName name="NEW_AdjPermSalary" localSheetId="15">'AGAE|0001-00'!$AA$38</definedName>
    <definedName name="NEW_AdjPermSalary" localSheetId="16">'AGAE|0330-12'!$AA$38</definedName>
    <definedName name="NEW_AdjPermSalary" localSheetId="17">'AGAE|0332-10'!$AA$38</definedName>
    <definedName name="NEW_AdjPermSalary" localSheetId="18">'AGAF|0001-00'!$AA$38</definedName>
    <definedName name="NEW_AdjPermSalary" localSheetId="19">'AGAF|0330-00'!$AA$38</definedName>
    <definedName name="NEW_AdjPermSalary" localSheetId="20">'AGAF|0490-00'!$AA$38</definedName>
    <definedName name="NEW_AdjPermSalary" localSheetId="21">'AGAH|0001-00'!$AA$38</definedName>
    <definedName name="NEW_AdjPermSalary" localSheetId="22">'AGAH|0332-03'!$AA$38</definedName>
    <definedName name="NEW_AdjPermSalary" localSheetId="23">'AGAL|0486-00'!$AA$38</definedName>
    <definedName name="NEW_AdjPermSalary" localSheetId="24">'AGAM|0348-00'!$AA$38</definedName>
    <definedName name="NEW_AdjPermSalary" localSheetId="25">'AGAM|0403-03'!$AA$38</definedName>
    <definedName name="NEW_AdjPermSalary" localSheetId="26">'AGAO|0330-00'!$AA$38</definedName>
    <definedName name="NEW_AdjPermSalary" localSheetId="27">'AGAO|0332-11'!$AA$38</definedName>
    <definedName name="NEW_AdjPermSalary" localSheetId="28">'AGAO|0332-12'!$AA$38</definedName>
    <definedName name="NEW_AdjPermSalary" localSheetId="29">'AGAO|0348-00'!$AA$38</definedName>
    <definedName name="NEW_AdjPermSalary" localSheetId="30">'AGAP|0348-00'!$AA$38</definedName>
    <definedName name="NEW_AdjPermSalary" localSheetId="31">'AGAP|0402-00'!$AA$38</definedName>
    <definedName name="NEW_AdjPermSalary">'B6'!$AA$38</definedName>
    <definedName name="NEW_AdjPermVB" localSheetId="0">'AGAA|0001-00'!$AB$38</definedName>
    <definedName name="NEW_AdjPermVB" localSheetId="1">'AGAA|0125-01'!$AB$38</definedName>
    <definedName name="NEW_AdjPermVB" localSheetId="2">'AGAA|0125-02'!$AB$38</definedName>
    <definedName name="NEW_AdjPermVB" localSheetId="3">'AGAB|0001-00'!$AB$38</definedName>
    <definedName name="NEW_AdjPermVB" localSheetId="4">'AGAB|0332-06'!$AB$38</definedName>
    <definedName name="NEW_AdjPermVB" localSheetId="5">'AGAB|0332-07'!$AB$38</definedName>
    <definedName name="NEW_AdjPermVB" localSheetId="6">'AGAB|0332-09'!$AB$38</definedName>
    <definedName name="NEW_AdjPermVB" localSheetId="7">'AGAC|0001-00'!$AB$38</definedName>
    <definedName name="NEW_AdjPermVB" localSheetId="8">'AGAC|0332-05'!$AB$38</definedName>
    <definedName name="NEW_AdjPermVB" localSheetId="9">'AGAC|0348-00'!$AB$38</definedName>
    <definedName name="NEW_AdjPermVB" localSheetId="10">'AGAD|0001-00'!$AB$38</definedName>
    <definedName name="NEW_AdjPermVB" localSheetId="11">'AGAD|0330-00'!$AB$38</definedName>
    <definedName name="NEW_AdjPermVB" localSheetId="12">'AGAD|0330-13'!$AB$38</definedName>
    <definedName name="NEW_AdjPermVB" localSheetId="13">'AGAD|0332-04'!$AB$38</definedName>
    <definedName name="NEW_AdjPermVB" localSheetId="14">'AGAD|0332-08'!$AB$38</definedName>
    <definedName name="NEW_AdjPermVB" localSheetId="15">'AGAE|0001-00'!$AB$38</definedName>
    <definedName name="NEW_AdjPermVB" localSheetId="16">'AGAE|0330-12'!$AB$38</definedName>
    <definedName name="NEW_AdjPermVB" localSheetId="17">'AGAE|0332-10'!$AB$38</definedName>
    <definedName name="NEW_AdjPermVB" localSheetId="18">'AGAF|0001-00'!$AB$38</definedName>
    <definedName name="NEW_AdjPermVB" localSheetId="19">'AGAF|0330-00'!$AB$38</definedName>
    <definedName name="NEW_AdjPermVB" localSheetId="20">'AGAF|0490-00'!$AB$38</definedName>
    <definedName name="NEW_AdjPermVB" localSheetId="21">'AGAH|0001-00'!$AB$38</definedName>
    <definedName name="NEW_AdjPermVB" localSheetId="22">'AGAH|0332-03'!$AB$38</definedName>
    <definedName name="NEW_AdjPermVB" localSheetId="23">'AGAL|0486-00'!$AB$38</definedName>
    <definedName name="NEW_AdjPermVB" localSheetId="24">'AGAM|0348-00'!$AB$38</definedName>
    <definedName name="NEW_AdjPermVB" localSheetId="25">'AGAM|0403-03'!$AB$38</definedName>
    <definedName name="NEW_AdjPermVB" localSheetId="26">'AGAO|0330-00'!$AB$38</definedName>
    <definedName name="NEW_AdjPermVB" localSheetId="27">'AGAO|0332-11'!$AB$38</definedName>
    <definedName name="NEW_AdjPermVB" localSheetId="28">'AGAO|0332-12'!$AB$38</definedName>
    <definedName name="NEW_AdjPermVB" localSheetId="29">'AGAO|0348-00'!$AB$38</definedName>
    <definedName name="NEW_AdjPermVB" localSheetId="30">'AGAP|0348-00'!$AB$38</definedName>
    <definedName name="NEW_AdjPermVB" localSheetId="31">'AGAP|0402-00'!$AB$38</definedName>
    <definedName name="NEW_AdjPermVB">'B6'!$AB$38</definedName>
    <definedName name="NEW_GroupFilled" localSheetId="0">'AGAA|0001-00'!$AC$11</definedName>
    <definedName name="NEW_GroupFilled" localSheetId="1">'AGAA|0125-01'!$AC$11</definedName>
    <definedName name="NEW_GroupFilled" localSheetId="2">'AGAA|0125-02'!$AC$11</definedName>
    <definedName name="NEW_GroupFilled" localSheetId="3">'AGAB|0001-00'!$AC$11</definedName>
    <definedName name="NEW_GroupFilled" localSheetId="4">'AGAB|0332-06'!$AC$11</definedName>
    <definedName name="NEW_GroupFilled" localSheetId="5">'AGAB|0332-07'!$AC$11</definedName>
    <definedName name="NEW_GroupFilled" localSheetId="6">'AGAB|0332-09'!$AC$11</definedName>
    <definedName name="NEW_GroupFilled" localSheetId="7">'AGAC|0001-00'!$AC$11</definedName>
    <definedName name="NEW_GroupFilled" localSheetId="8">'AGAC|0332-05'!$AC$11</definedName>
    <definedName name="NEW_GroupFilled" localSheetId="9">'AGAC|0348-00'!$AC$11</definedName>
    <definedName name="NEW_GroupFilled" localSheetId="10">'AGAD|0001-00'!$AC$11</definedName>
    <definedName name="NEW_GroupFilled" localSheetId="11">'AGAD|0330-00'!$AC$11</definedName>
    <definedName name="NEW_GroupFilled" localSheetId="12">'AGAD|0330-13'!$AC$11</definedName>
    <definedName name="NEW_GroupFilled" localSheetId="13">'AGAD|0332-04'!$AC$11</definedName>
    <definedName name="NEW_GroupFilled" localSheetId="14">'AGAD|0332-08'!$AC$11</definedName>
    <definedName name="NEW_GroupFilled" localSheetId="15">'AGAE|0001-00'!$AC$11</definedName>
    <definedName name="NEW_GroupFilled" localSheetId="16">'AGAE|0330-12'!$AC$11</definedName>
    <definedName name="NEW_GroupFilled" localSheetId="17">'AGAE|0332-10'!$AC$11</definedName>
    <definedName name="NEW_GroupFilled" localSheetId="18">'AGAF|0001-00'!$AC$11</definedName>
    <definedName name="NEW_GroupFilled" localSheetId="19">'AGAF|0330-00'!$AC$11</definedName>
    <definedName name="NEW_GroupFilled" localSheetId="20">'AGAF|0490-00'!$AC$11</definedName>
    <definedName name="NEW_GroupFilled" localSheetId="21">'AGAH|0001-00'!$AC$11</definedName>
    <definedName name="NEW_GroupFilled" localSheetId="22">'AGAH|0332-03'!$AC$11</definedName>
    <definedName name="NEW_GroupFilled" localSheetId="23">'AGAL|0486-00'!$AC$11</definedName>
    <definedName name="NEW_GroupFilled" localSheetId="24">'AGAM|0348-00'!$AC$11</definedName>
    <definedName name="NEW_GroupFilled" localSheetId="25">'AGAM|0403-03'!$AC$11</definedName>
    <definedName name="NEW_GroupFilled" localSheetId="26">'AGAO|0330-00'!$AC$11</definedName>
    <definedName name="NEW_GroupFilled" localSheetId="27">'AGAO|0332-11'!$AC$11</definedName>
    <definedName name="NEW_GroupFilled" localSheetId="28">'AGAO|0332-12'!$AC$11</definedName>
    <definedName name="NEW_GroupFilled" localSheetId="29">'AGAO|0348-00'!$AC$11</definedName>
    <definedName name="NEW_GroupFilled" localSheetId="30">'AGAP|0348-00'!$AC$11</definedName>
    <definedName name="NEW_GroupFilled" localSheetId="31">'AGAP|0402-00'!$AC$11</definedName>
    <definedName name="NEW_GroupFilled">'B6'!$AC$11</definedName>
    <definedName name="NEW_GroupSalaryFilled" localSheetId="0">'AGAA|0001-00'!$AA$11</definedName>
    <definedName name="NEW_GroupSalaryFilled" localSheetId="1">'AGAA|0125-01'!$AA$11</definedName>
    <definedName name="NEW_GroupSalaryFilled" localSheetId="2">'AGAA|0125-02'!$AA$11</definedName>
    <definedName name="NEW_GroupSalaryFilled" localSheetId="3">'AGAB|0001-00'!$AA$11</definedName>
    <definedName name="NEW_GroupSalaryFilled" localSheetId="4">'AGAB|0332-06'!$AA$11</definedName>
    <definedName name="NEW_GroupSalaryFilled" localSheetId="5">'AGAB|0332-07'!$AA$11</definedName>
    <definedName name="NEW_GroupSalaryFilled" localSheetId="6">'AGAB|0332-09'!$AA$11</definedName>
    <definedName name="NEW_GroupSalaryFilled" localSheetId="7">'AGAC|0001-00'!$AA$11</definedName>
    <definedName name="NEW_GroupSalaryFilled" localSheetId="8">'AGAC|0332-05'!$AA$11</definedName>
    <definedName name="NEW_GroupSalaryFilled" localSheetId="9">'AGAC|0348-00'!$AA$11</definedName>
    <definedName name="NEW_GroupSalaryFilled" localSheetId="10">'AGAD|0001-00'!$AA$11</definedName>
    <definedName name="NEW_GroupSalaryFilled" localSheetId="11">'AGAD|0330-00'!$AA$11</definedName>
    <definedName name="NEW_GroupSalaryFilled" localSheetId="12">'AGAD|0330-13'!$AA$11</definedName>
    <definedName name="NEW_GroupSalaryFilled" localSheetId="13">'AGAD|0332-04'!$AA$11</definedName>
    <definedName name="NEW_GroupSalaryFilled" localSheetId="14">'AGAD|0332-08'!$AA$11</definedName>
    <definedName name="NEW_GroupSalaryFilled" localSheetId="15">'AGAE|0001-00'!$AA$11</definedName>
    <definedName name="NEW_GroupSalaryFilled" localSheetId="16">'AGAE|0330-12'!$AA$11</definedName>
    <definedName name="NEW_GroupSalaryFilled" localSheetId="17">'AGAE|0332-10'!$AA$11</definedName>
    <definedName name="NEW_GroupSalaryFilled" localSheetId="18">'AGAF|0001-00'!$AA$11</definedName>
    <definedName name="NEW_GroupSalaryFilled" localSheetId="19">'AGAF|0330-00'!$AA$11</definedName>
    <definedName name="NEW_GroupSalaryFilled" localSheetId="20">'AGAF|0490-00'!$AA$11</definedName>
    <definedName name="NEW_GroupSalaryFilled" localSheetId="21">'AGAH|0001-00'!$AA$11</definedName>
    <definedName name="NEW_GroupSalaryFilled" localSheetId="22">'AGAH|0332-03'!$AA$11</definedName>
    <definedName name="NEW_GroupSalaryFilled" localSheetId="23">'AGAL|0486-00'!$AA$11</definedName>
    <definedName name="NEW_GroupSalaryFilled" localSheetId="24">'AGAM|0348-00'!$AA$11</definedName>
    <definedName name="NEW_GroupSalaryFilled" localSheetId="25">'AGAM|0403-03'!$AA$11</definedName>
    <definedName name="NEW_GroupSalaryFilled" localSheetId="26">'AGAO|0330-00'!$AA$11</definedName>
    <definedName name="NEW_GroupSalaryFilled" localSheetId="27">'AGAO|0332-11'!$AA$11</definedName>
    <definedName name="NEW_GroupSalaryFilled" localSheetId="28">'AGAO|0332-12'!$AA$11</definedName>
    <definedName name="NEW_GroupSalaryFilled" localSheetId="29">'AGAO|0348-00'!$AA$11</definedName>
    <definedName name="NEW_GroupSalaryFilled" localSheetId="30">'AGAP|0348-00'!$AA$11</definedName>
    <definedName name="NEW_GroupSalaryFilled" localSheetId="31">'AGAP|0402-00'!$AA$11</definedName>
    <definedName name="NEW_GroupSalaryFilled">'B6'!$AA$11</definedName>
    <definedName name="NEW_GroupVBFilled" localSheetId="0">'AGAA|0001-00'!$AB$11</definedName>
    <definedName name="NEW_GroupVBFilled" localSheetId="1">'AGAA|0125-01'!$AB$11</definedName>
    <definedName name="NEW_GroupVBFilled" localSheetId="2">'AGAA|0125-02'!$AB$11</definedName>
    <definedName name="NEW_GroupVBFilled" localSheetId="3">'AGAB|0001-00'!$AB$11</definedName>
    <definedName name="NEW_GroupVBFilled" localSheetId="4">'AGAB|0332-06'!$AB$11</definedName>
    <definedName name="NEW_GroupVBFilled" localSheetId="5">'AGAB|0332-07'!$AB$11</definedName>
    <definedName name="NEW_GroupVBFilled" localSheetId="6">'AGAB|0332-09'!$AB$11</definedName>
    <definedName name="NEW_GroupVBFilled" localSheetId="7">'AGAC|0001-00'!$AB$11</definedName>
    <definedName name="NEW_GroupVBFilled" localSheetId="8">'AGAC|0332-05'!$AB$11</definedName>
    <definedName name="NEW_GroupVBFilled" localSheetId="9">'AGAC|0348-00'!$AB$11</definedName>
    <definedName name="NEW_GroupVBFilled" localSheetId="10">'AGAD|0001-00'!$AB$11</definedName>
    <definedName name="NEW_GroupVBFilled" localSheetId="11">'AGAD|0330-00'!$AB$11</definedName>
    <definedName name="NEW_GroupVBFilled" localSheetId="12">'AGAD|0330-13'!$AB$11</definedName>
    <definedName name="NEW_GroupVBFilled" localSheetId="13">'AGAD|0332-04'!$AB$11</definedName>
    <definedName name="NEW_GroupVBFilled" localSheetId="14">'AGAD|0332-08'!$AB$11</definedName>
    <definedName name="NEW_GroupVBFilled" localSheetId="15">'AGAE|0001-00'!$AB$11</definedName>
    <definedName name="NEW_GroupVBFilled" localSheetId="16">'AGAE|0330-12'!$AB$11</definedName>
    <definedName name="NEW_GroupVBFilled" localSheetId="17">'AGAE|0332-10'!$AB$11</definedName>
    <definedName name="NEW_GroupVBFilled" localSheetId="18">'AGAF|0001-00'!$AB$11</definedName>
    <definedName name="NEW_GroupVBFilled" localSheetId="19">'AGAF|0330-00'!$AB$11</definedName>
    <definedName name="NEW_GroupVBFilled" localSheetId="20">'AGAF|0490-00'!$AB$11</definedName>
    <definedName name="NEW_GroupVBFilled" localSheetId="21">'AGAH|0001-00'!$AB$11</definedName>
    <definedName name="NEW_GroupVBFilled" localSheetId="22">'AGAH|0332-03'!$AB$11</definedName>
    <definedName name="NEW_GroupVBFilled" localSheetId="23">'AGAL|0486-00'!$AB$11</definedName>
    <definedName name="NEW_GroupVBFilled" localSheetId="24">'AGAM|0348-00'!$AB$11</definedName>
    <definedName name="NEW_GroupVBFilled" localSheetId="25">'AGAM|0403-03'!$AB$11</definedName>
    <definedName name="NEW_GroupVBFilled" localSheetId="26">'AGAO|0330-00'!$AB$11</definedName>
    <definedName name="NEW_GroupVBFilled" localSheetId="27">'AGAO|0332-11'!$AB$11</definedName>
    <definedName name="NEW_GroupVBFilled" localSheetId="28">'AGAO|0332-12'!$AB$11</definedName>
    <definedName name="NEW_GroupVBFilled" localSheetId="29">'AGAO|0348-00'!$AB$11</definedName>
    <definedName name="NEW_GroupVBFilled" localSheetId="30">'AGAP|0348-00'!$AB$11</definedName>
    <definedName name="NEW_GroupVBFilled" localSheetId="31">'AGAP|0402-00'!$AB$11</definedName>
    <definedName name="NEW_GroupVBFilled">'B6'!$AB$11</definedName>
    <definedName name="NEW_PermFilled" localSheetId="0">'AGAA|0001-00'!$AC$10</definedName>
    <definedName name="NEW_PermFilled" localSheetId="1">'AGAA|0125-01'!$AC$10</definedName>
    <definedName name="NEW_PermFilled" localSheetId="2">'AGAA|0125-02'!$AC$10</definedName>
    <definedName name="NEW_PermFilled" localSheetId="3">'AGAB|0001-00'!$AC$10</definedName>
    <definedName name="NEW_PermFilled" localSheetId="4">'AGAB|0332-06'!$AC$10</definedName>
    <definedName name="NEW_PermFilled" localSheetId="5">'AGAB|0332-07'!$AC$10</definedName>
    <definedName name="NEW_PermFilled" localSheetId="6">'AGAB|0332-09'!$AC$10</definedName>
    <definedName name="NEW_PermFilled" localSheetId="7">'AGAC|0001-00'!$AC$10</definedName>
    <definedName name="NEW_PermFilled" localSheetId="8">'AGAC|0332-05'!$AC$10</definedName>
    <definedName name="NEW_PermFilled" localSheetId="9">'AGAC|0348-00'!$AC$10</definedName>
    <definedName name="NEW_PermFilled" localSheetId="10">'AGAD|0001-00'!$AC$10</definedName>
    <definedName name="NEW_PermFilled" localSheetId="11">'AGAD|0330-00'!$AC$10</definedName>
    <definedName name="NEW_PermFilled" localSheetId="12">'AGAD|0330-13'!$AC$10</definedName>
    <definedName name="NEW_PermFilled" localSheetId="13">'AGAD|0332-04'!$AC$10</definedName>
    <definedName name="NEW_PermFilled" localSheetId="14">'AGAD|0332-08'!$AC$10</definedName>
    <definedName name="NEW_PermFilled" localSheetId="15">'AGAE|0001-00'!$AC$10</definedName>
    <definedName name="NEW_PermFilled" localSheetId="16">'AGAE|0330-12'!$AC$10</definedName>
    <definedName name="NEW_PermFilled" localSheetId="17">'AGAE|0332-10'!$AC$10</definedName>
    <definedName name="NEW_PermFilled" localSheetId="18">'AGAF|0001-00'!$AC$10</definedName>
    <definedName name="NEW_PermFilled" localSheetId="19">'AGAF|0330-00'!$AC$10</definedName>
    <definedName name="NEW_PermFilled" localSheetId="20">'AGAF|0490-00'!$AC$10</definedName>
    <definedName name="NEW_PermFilled" localSheetId="21">'AGAH|0001-00'!$AC$10</definedName>
    <definedName name="NEW_PermFilled" localSheetId="22">'AGAH|0332-03'!$AC$10</definedName>
    <definedName name="NEW_PermFilled" localSheetId="23">'AGAL|0486-00'!$AC$10</definedName>
    <definedName name="NEW_PermFilled" localSheetId="24">'AGAM|0348-00'!$AC$10</definedName>
    <definedName name="NEW_PermFilled" localSheetId="25">'AGAM|0403-03'!$AC$10</definedName>
    <definedName name="NEW_PermFilled" localSheetId="26">'AGAO|0330-00'!$AC$10</definedName>
    <definedName name="NEW_PermFilled" localSheetId="27">'AGAO|0332-11'!$AC$10</definedName>
    <definedName name="NEW_PermFilled" localSheetId="28">'AGAO|0332-12'!$AC$10</definedName>
    <definedName name="NEW_PermFilled" localSheetId="29">'AGAO|0348-00'!$AC$10</definedName>
    <definedName name="NEW_PermFilled" localSheetId="30">'AGAP|0348-00'!$AC$10</definedName>
    <definedName name="NEW_PermFilled" localSheetId="31">'AGAP|0402-00'!$AC$10</definedName>
    <definedName name="NEW_PermFilled">'B6'!$AC$10</definedName>
    <definedName name="NEW_PermSalaryFilled" localSheetId="0">'AGAA|0001-00'!$AA$10</definedName>
    <definedName name="NEW_PermSalaryFilled" localSheetId="1">'AGAA|0125-01'!$AA$10</definedName>
    <definedName name="NEW_PermSalaryFilled" localSheetId="2">'AGAA|0125-02'!$AA$10</definedName>
    <definedName name="NEW_PermSalaryFilled" localSheetId="3">'AGAB|0001-00'!$AA$10</definedName>
    <definedName name="NEW_PermSalaryFilled" localSheetId="4">'AGAB|0332-06'!$AA$10</definedName>
    <definedName name="NEW_PermSalaryFilled" localSheetId="5">'AGAB|0332-07'!$AA$10</definedName>
    <definedName name="NEW_PermSalaryFilled" localSheetId="6">'AGAB|0332-09'!$AA$10</definedName>
    <definedName name="NEW_PermSalaryFilled" localSheetId="7">'AGAC|0001-00'!$AA$10</definedName>
    <definedName name="NEW_PermSalaryFilled" localSheetId="8">'AGAC|0332-05'!$AA$10</definedName>
    <definedName name="NEW_PermSalaryFilled" localSheetId="9">'AGAC|0348-00'!$AA$10</definedName>
    <definedName name="NEW_PermSalaryFilled" localSheetId="10">'AGAD|0001-00'!$AA$10</definedName>
    <definedName name="NEW_PermSalaryFilled" localSheetId="11">'AGAD|0330-00'!$AA$10</definedName>
    <definedName name="NEW_PermSalaryFilled" localSheetId="12">'AGAD|0330-13'!$AA$10</definedName>
    <definedName name="NEW_PermSalaryFilled" localSheetId="13">'AGAD|0332-04'!$AA$10</definedName>
    <definedName name="NEW_PermSalaryFilled" localSheetId="14">'AGAD|0332-08'!$AA$10</definedName>
    <definedName name="NEW_PermSalaryFilled" localSheetId="15">'AGAE|0001-00'!$AA$10</definedName>
    <definedName name="NEW_PermSalaryFilled" localSheetId="16">'AGAE|0330-12'!$AA$10</definedName>
    <definedName name="NEW_PermSalaryFilled" localSheetId="17">'AGAE|0332-10'!$AA$10</definedName>
    <definedName name="NEW_PermSalaryFilled" localSheetId="18">'AGAF|0001-00'!$AA$10</definedName>
    <definedName name="NEW_PermSalaryFilled" localSheetId="19">'AGAF|0330-00'!$AA$10</definedName>
    <definedName name="NEW_PermSalaryFilled" localSheetId="20">'AGAF|0490-00'!$AA$10</definedName>
    <definedName name="NEW_PermSalaryFilled" localSheetId="21">'AGAH|0001-00'!$AA$10</definedName>
    <definedName name="NEW_PermSalaryFilled" localSheetId="22">'AGAH|0332-03'!$AA$10</definedName>
    <definedName name="NEW_PermSalaryFilled" localSheetId="23">'AGAL|0486-00'!$AA$10</definedName>
    <definedName name="NEW_PermSalaryFilled" localSheetId="24">'AGAM|0348-00'!$AA$10</definedName>
    <definedName name="NEW_PermSalaryFilled" localSheetId="25">'AGAM|0403-03'!$AA$10</definedName>
    <definedName name="NEW_PermSalaryFilled" localSheetId="26">'AGAO|0330-00'!$AA$10</definedName>
    <definedName name="NEW_PermSalaryFilled" localSheetId="27">'AGAO|0332-11'!$AA$10</definedName>
    <definedName name="NEW_PermSalaryFilled" localSheetId="28">'AGAO|0332-12'!$AA$10</definedName>
    <definedName name="NEW_PermSalaryFilled" localSheetId="29">'AGAO|0348-00'!$AA$10</definedName>
    <definedName name="NEW_PermSalaryFilled" localSheetId="30">'AGAP|0348-00'!$AA$10</definedName>
    <definedName name="NEW_PermSalaryFilled" localSheetId="31">'AGAP|0402-00'!$AA$10</definedName>
    <definedName name="NEW_PermSalaryFilled">'B6'!$AA$10</definedName>
    <definedName name="NEW_PermVBFilled" localSheetId="0">'AGAA|0001-00'!$AB$10</definedName>
    <definedName name="NEW_PermVBFilled" localSheetId="1">'AGAA|0125-01'!$AB$10</definedName>
    <definedName name="NEW_PermVBFilled" localSheetId="2">'AGAA|0125-02'!$AB$10</definedName>
    <definedName name="NEW_PermVBFilled" localSheetId="3">'AGAB|0001-00'!$AB$10</definedName>
    <definedName name="NEW_PermVBFilled" localSheetId="4">'AGAB|0332-06'!$AB$10</definedName>
    <definedName name="NEW_PermVBFilled" localSheetId="5">'AGAB|0332-07'!$AB$10</definedName>
    <definedName name="NEW_PermVBFilled" localSheetId="6">'AGAB|0332-09'!$AB$10</definedName>
    <definedName name="NEW_PermVBFilled" localSheetId="7">'AGAC|0001-00'!$AB$10</definedName>
    <definedName name="NEW_PermVBFilled" localSheetId="8">'AGAC|0332-05'!$AB$10</definedName>
    <definedName name="NEW_PermVBFilled" localSheetId="9">'AGAC|0348-00'!$AB$10</definedName>
    <definedName name="NEW_PermVBFilled" localSheetId="10">'AGAD|0001-00'!$AB$10</definedName>
    <definedName name="NEW_PermVBFilled" localSheetId="11">'AGAD|0330-00'!$AB$10</definedName>
    <definedName name="NEW_PermVBFilled" localSheetId="12">'AGAD|0330-13'!$AB$10</definedName>
    <definedName name="NEW_PermVBFilled" localSheetId="13">'AGAD|0332-04'!$AB$10</definedName>
    <definedName name="NEW_PermVBFilled" localSheetId="14">'AGAD|0332-08'!$AB$10</definedName>
    <definedName name="NEW_PermVBFilled" localSheetId="15">'AGAE|0001-00'!$AB$10</definedName>
    <definedName name="NEW_PermVBFilled" localSheetId="16">'AGAE|0330-12'!$AB$10</definedName>
    <definedName name="NEW_PermVBFilled" localSheetId="17">'AGAE|0332-10'!$AB$10</definedName>
    <definedName name="NEW_PermVBFilled" localSheetId="18">'AGAF|0001-00'!$AB$10</definedName>
    <definedName name="NEW_PermVBFilled" localSheetId="19">'AGAF|0330-00'!$AB$10</definedName>
    <definedName name="NEW_PermVBFilled" localSheetId="20">'AGAF|0490-00'!$AB$10</definedName>
    <definedName name="NEW_PermVBFilled" localSheetId="21">'AGAH|0001-00'!$AB$10</definedName>
    <definedName name="NEW_PermVBFilled" localSheetId="22">'AGAH|0332-03'!$AB$10</definedName>
    <definedName name="NEW_PermVBFilled" localSheetId="23">'AGAL|0486-00'!$AB$10</definedName>
    <definedName name="NEW_PermVBFilled" localSheetId="24">'AGAM|0348-00'!$AB$10</definedName>
    <definedName name="NEW_PermVBFilled" localSheetId="25">'AGAM|0403-03'!$AB$10</definedName>
    <definedName name="NEW_PermVBFilled" localSheetId="26">'AGAO|0330-00'!$AB$10</definedName>
    <definedName name="NEW_PermVBFilled" localSheetId="27">'AGAO|0332-11'!$AB$10</definedName>
    <definedName name="NEW_PermVBFilled" localSheetId="28">'AGAO|0332-12'!$AB$10</definedName>
    <definedName name="NEW_PermVBFilled" localSheetId="29">'AGAO|0348-00'!$AB$10</definedName>
    <definedName name="NEW_PermVBFilled" localSheetId="30">'AGAP|0348-00'!$AB$10</definedName>
    <definedName name="NEW_PermVBFilled" localSheetId="31">'AGAP|0402-00'!$AB$10</definedName>
    <definedName name="NEW_PermVBFilled">'B6'!$AB$10</definedName>
    <definedName name="OneTimePC_Total" localSheetId="0">'AGAA|0001-00'!$J$63</definedName>
    <definedName name="OneTimePC_Total" localSheetId="1">'AGAA|0125-01'!$J$63</definedName>
    <definedName name="OneTimePC_Total" localSheetId="2">'AGAA|0125-02'!$J$63</definedName>
    <definedName name="OneTimePC_Total" localSheetId="3">'AGAB|0001-00'!$J$63</definedName>
    <definedName name="OneTimePC_Total" localSheetId="4">'AGAB|0332-06'!$J$63</definedName>
    <definedName name="OneTimePC_Total" localSheetId="5">'AGAB|0332-07'!$J$63</definedName>
    <definedName name="OneTimePC_Total" localSheetId="6">'AGAB|0332-09'!$J$63</definedName>
    <definedName name="OneTimePC_Total" localSheetId="7">'AGAC|0001-00'!$J$63</definedName>
    <definedName name="OneTimePC_Total" localSheetId="8">'AGAC|0332-05'!$J$63</definedName>
    <definedName name="OneTimePC_Total" localSheetId="9">'AGAC|0348-00'!$J$63</definedName>
    <definedName name="OneTimePC_Total" localSheetId="10">'AGAD|0001-00'!$J$63</definedName>
    <definedName name="OneTimePC_Total" localSheetId="11">'AGAD|0330-00'!$J$63</definedName>
    <definedName name="OneTimePC_Total" localSheetId="12">'AGAD|0330-13'!$J$63</definedName>
    <definedName name="OneTimePC_Total" localSheetId="13">'AGAD|0332-04'!$J$63</definedName>
    <definedName name="OneTimePC_Total" localSheetId="14">'AGAD|0332-08'!$J$63</definedName>
    <definedName name="OneTimePC_Total" localSheetId="15">'AGAE|0001-00'!$J$63</definedName>
    <definedName name="OneTimePC_Total" localSheetId="16">'AGAE|0330-12'!$J$63</definedName>
    <definedName name="OneTimePC_Total" localSheetId="17">'AGAE|0332-10'!$J$63</definedName>
    <definedName name="OneTimePC_Total" localSheetId="18">'AGAF|0001-00'!$J$63</definedName>
    <definedName name="OneTimePC_Total" localSheetId="19">'AGAF|0330-00'!$J$63</definedName>
    <definedName name="OneTimePC_Total" localSheetId="20">'AGAF|0490-00'!$J$63</definedName>
    <definedName name="OneTimePC_Total" localSheetId="21">'AGAH|0001-00'!$J$63</definedName>
    <definedName name="OneTimePC_Total" localSheetId="22">'AGAH|0332-03'!$J$63</definedName>
    <definedName name="OneTimePC_Total" localSheetId="23">'AGAL|0486-00'!$J$63</definedName>
    <definedName name="OneTimePC_Total" localSheetId="24">'AGAM|0348-00'!$J$63</definedName>
    <definedName name="OneTimePC_Total" localSheetId="25">'AGAM|0403-03'!$J$63</definedName>
    <definedName name="OneTimePC_Total" localSheetId="26">'AGAO|0330-00'!$J$63</definedName>
    <definedName name="OneTimePC_Total" localSheetId="27">'AGAO|0332-11'!$J$63</definedName>
    <definedName name="OneTimePC_Total" localSheetId="28">'AGAO|0332-12'!$J$63</definedName>
    <definedName name="OneTimePC_Total" localSheetId="29">'AGAO|0348-00'!$J$63</definedName>
    <definedName name="OneTimePC_Total" localSheetId="30">'AGAP|0348-00'!$J$63</definedName>
    <definedName name="OneTimePC_Total" localSheetId="31">'AGAP|0402-00'!$J$63</definedName>
    <definedName name="OneTimePC_Total">'B6'!$J$63</definedName>
    <definedName name="OrigApprop" localSheetId="0">'AGAA|0001-00'!$E$15</definedName>
    <definedName name="OrigApprop" localSheetId="1">'AGAA|0125-01'!$E$15</definedName>
    <definedName name="OrigApprop" localSheetId="2">'AGAA|0125-02'!$E$15</definedName>
    <definedName name="OrigApprop" localSheetId="3">'AGAB|0001-00'!$E$15</definedName>
    <definedName name="OrigApprop" localSheetId="4">'AGAB|0332-06'!$E$15</definedName>
    <definedName name="OrigApprop" localSheetId="5">'AGAB|0332-07'!$E$15</definedName>
    <definedName name="OrigApprop" localSheetId="6">'AGAB|0332-09'!$E$15</definedName>
    <definedName name="OrigApprop" localSheetId="7">'AGAC|0001-00'!$E$15</definedName>
    <definedName name="OrigApprop" localSheetId="8">'AGAC|0332-05'!$E$15</definedName>
    <definedName name="OrigApprop" localSheetId="9">'AGAC|0348-00'!$E$15</definedName>
    <definedName name="OrigApprop" localSheetId="10">'AGAD|0001-00'!$E$15</definedName>
    <definedName name="OrigApprop" localSheetId="11">'AGAD|0330-00'!$E$15</definedName>
    <definedName name="OrigApprop" localSheetId="12">'AGAD|0330-13'!$E$15</definedName>
    <definedName name="OrigApprop" localSheetId="13">'AGAD|0332-04'!$E$15</definedName>
    <definedName name="OrigApprop" localSheetId="14">'AGAD|0332-08'!$E$15</definedName>
    <definedName name="OrigApprop" localSheetId="15">'AGAE|0001-00'!$E$15</definedName>
    <definedName name="OrigApprop" localSheetId="16">'AGAE|0330-12'!$E$15</definedName>
    <definedName name="OrigApprop" localSheetId="17">'AGAE|0332-10'!$E$15</definedName>
    <definedName name="OrigApprop" localSheetId="18">'AGAF|0001-00'!$E$15</definedName>
    <definedName name="OrigApprop" localSheetId="19">'AGAF|0330-00'!$E$15</definedName>
    <definedName name="OrigApprop" localSheetId="20">'AGAF|0490-00'!$E$15</definedName>
    <definedName name="OrigApprop" localSheetId="21">'AGAH|0001-00'!$E$15</definedName>
    <definedName name="OrigApprop" localSheetId="22">'AGAH|0332-03'!$E$15</definedName>
    <definedName name="OrigApprop" localSheetId="23">'AGAL|0486-00'!$E$15</definedName>
    <definedName name="OrigApprop" localSheetId="24">'AGAM|0348-00'!$E$15</definedName>
    <definedName name="OrigApprop" localSheetId="25">'AGAM|0403-03'!$E$15</definedName>
    <definedName name="OrigApprop" localSheetId="26">'AGAO|0330-00'!$E$15</definedName>
    <definedName name="OrigApprop" localSheetId="27">'AGAO|0332-11'!$E$15</definedName>
    <definedName name="OrigApprop" localSheetId="28">'AGAO|0332-12'!$E$15</definedName>
    <definedName name="OrigApprop" localSheetId="29">'AGAO|0348-00'!$E$15</definedName>
    <definedName name="OrigApprop" localSheetId="30">'AGAP|0348-00'!$E$15</definedName>
    <definedName name="OrigApprop" localSheetId="31">'AGAP|0402-00'!$E$15</definedName>
    <definedName name="OrigApprop">'B6'!$E$15</definedName>
    <definedName name="perm_name" localSheetId="0">'AGAA|0001-00'!$C$10</definedName>
    <definedName name="perm_name" localSheetId="1">'AGAA|0125-01'!$C$10</definedName>
    <definedName name="perm_name" localSheetId="2">'AGAA|0125-02'!$C$10</definedName>
    <definedName name="perm_name" localSheetId="3">'AGAB|0001-00'!$C$10</definedName>
    <definedName name="perm_name" localSheetId="4">'AGAB|0332-06'!$C$10</definedName>
    <definedName name="perm_name" localSheetId="5">'AGAB|0332-07'!$C$10</definedName>
    <definedName name="perm_name" localSheetId="6">'AGAB|0332-09'!$C$10</definedName>
    <definedName name="perm_name" localSheetId="7">'AGAC|0001-00'!$C$10</definedName>
    <definedName name="perm_name" localSheetId="8">'AGAC|0332-05'!$C$10</definedName>
    <definedName name="perm_name" localSheetId="9">'AGAC|0348-00'!$C$10</definedName>
    <definedName name="perm_name" localSheetId="10">'AGAD|0001-00'!$C$10</definedName>
    <definedName name="perm_name" localSheetId="11">'AGAD|0330-00'!$C$10</definedName>
    <definedName name="perm_name" localSheetId="12">'AGAD|0330-13'!$C$10</definedName>
    <definedName name="perm_name" localSheetId="13">'AGAD|0332-04'!$C$10</definedName>
    <definedName name="perm_name" localSheetId="14">'AGAD|0332-08'!$C$10</definedName>
    <definedName name="perm_name" localSheetId="15">'AGAE|0001-00'!$C$10</definedName>
    <definedName name="perm_name" localSheetId="16">'AGAE|0330-12'!$C$10</definedName>
    <definedName name="perm_name" localSheetId="17">'AGAE|0332-10'!$C$10</definedName>
    <definedName name="perm_name" localSheetId="18">'AGAF|0001-00'!$C$10</definedName>
    <definedName name="perm_name" localSheetId="19">'AGAF|0330-00'!$C$10</definedName>
    <definedName name="perm_name" localSheetId="20">'AGAF|0490-00'!$C$10</definedName>
    <definedName name="perm_name" localSheetId="21">'AGAH|0001-00'!$C$10</definedName>
    <definedName name="perm_name" localSheetId="22">'AGAH|0332-03'!$C$10</definedName>
    <definedName name="perm_name" localSheetId="23">'AGAL|0486-00'!$C$10</definedName>
    <definedName name="perm_name" localSheetId="24">'AGAM|0348-00'!$C$10</definedName>
    <definedName name="perm_name" localSheetId="25">'AGAM|0403-03'!$C$10</definedName>
    <definedName name="perm_name" localSheetId="26">'AGAO|0330-00'!$C$10</definedName>
    <definedName name="perm_name" localSheetId="27">'AGAO|0332-11'!$C$10</definedName>
    <definedName name="perm_name" localSheetId="28">'AGAO|0332-12'!$C$10</definedName>
    <definedName name="perm_name" localSheetId="29">'AGAO|0348-00'!$C$10</definedName>
    <definedName name="perm_name" localSheetId="30">'AGAP|0348-00'!$C$10</definedName>
    <definedName name="perm_name" localSheetId="31">'AGAP|0402-00'!$C$10</definedName>
    <definedName name="perm_name">'B6'!$C$10</definedName>
    <definedName name="PermFTP" localSheetId="0">'AGAA|0001-00'!$F$10</definedName>
    <definedName name="PermFTP" localSheetId="1">'AGAA|0125-01'!$F$10</definedName>
    <definedName name="PermFTP" localSheetId="2">'AGAA|0125-02'!$F$10</definedName>
    <definedName name="PermFTP" localSheetId="3">'AGAB|0001-00'!$F$10</definedName>
    <definedName name="PermFTP" localSheetId="4">'AGAB|0332-06'!$F$10</definedName>
    <definedName name="PermFTP" localSheetId="5">'AGAB|0332-07'!$F$10</definedName>
    <definedName name="PermFTP" localSheetId="6">'AGAB|0332-09'!$F$10</definedName>
    <definedName name="PermFTP" localSheetId="7">'AGAC|0001-00'!$F$10</definedName>
    <definedName name="PermFTP" localSheetId="8">'AGAC|0332-05'!$F$10</definedName>
    <definedName name="PermFTP" localSheetId="9">'AGAC|0348-00'!$F$10</definedName>
    <definedName name="PermFTP" localSheetId="10">'AGAD|0001-00'!$F$10</definedName>
    <definedName name="PermFTP" localSheetId="11">'AGAD|0330-00'!$F$10</definedName>
    <definedName name="PermFTP" localSheetId="12">'AGAD|0330-13'!$F$10</definedName>
    <definedName name="PermFTP" localSheetId="13">'AGAD|0332-04'!$F$10</definedName>
    <definedName name="PermFTP" localSheetId="14">'AGAD|0332-08'!$F$10</definedName>
    <definedName name="PermFTP" localSheetId="15">'AGAE|0001-00'!$F$10</definedName>
    <definedName name="PermFTP" localSheetId="16">'AGAE|0330-12'!$F$10</definedName>
    <definedName name="PermFTP" localSheetId="17">'AGAE|0332-10'!$F$10</definedName>
    <definedName name="PermFTP" localSheetId="18">'AGAF|0001-00'!$F$10</definedName>
    <definedName name="PermFTP" localSheetId="19">'AGAF|0330-00'!$F$10</definedName>
    <definedName name="PermFTP" localSheetId="20">'AGAF|0490-00'!$F$10</definedName>
    <definedName name="PermFTP" localSheetId="21">'AGAH|0001-00'!$F$10</definedName>
    <definedName name="PermFTP" localSheetId="22">'AGAH|0332-03'!$F$10</definedName>
    <definedName name="PermFTP" localSheetId="23">'AGAL|0486-00'!$F$10</definedName>
    <definedName name="PermFTP" localSheetId="24">'AGAM|0348-00'!$F$10</definedName>
    <definedName name="PermFTP" localSheetId="25">'AGAM|0403-03'!$F$10</definedName>
    <definedName name="PermFTP" localSheetId="26">'AGAO|0330-00'!$F$10</definedName>
    <definedName name="PermFTP" localSheetId="27">'AGAO|0332-11'!$F$10</definedName>
    <definedName name="PermFTP" localSheetId="28">'AGAO|0332-12'!$F$10</definedName>
    <definedName name="PermFTP" localSheetId="29">'AGAO|0348-00'!$F$10</definedName>
    <definedName name="PermFTP" localSheetId="30">'AGAP|0348-00'!$F$10</definedName>
    <definedName name="PermFTP" localSheetId="31">'AGAP|0402-00'!$F$10</definedName>
    <definedName name="PermFTP">'B6'!$F$10</definedName>
    <definedName name="PermFxdBen" localSheetId="0">'AGAA|0001-00'!$H$10</definedName>
    <definedName name="PermFxdBen" localSheetId="1">'AGAA|0125-01'!$H$10</definedName>
    <definedName name="PermFxdBen" localSheetId="2">'AGAA|0125-02'!$H$10</definedName>
    <definedName name="PermFxdBen" localSheetId="3">'AGAB|0001-00'!$H$10</definedName>
    <definedName name="PermFxdBen" localSheetId="4">'AGAB|0332-06'!$H$10</definedName>
    <definedName name="PermFxdBen" localSheetId="5">'AGAB|0332-07'!$H$10</definedName>
    <definedName name="PermFxdBen" localSheetId="6">'AGAB|0332-09'!$H$10</definedName>
    <definedName name="PermFxdBen" localSheetId="7">'AGAC|0001-00'!$H$10</definedName>
    <definedName name="PermFxdBen" localSheetId="8">'AGAC|0332-05'!$H$10</definedName>
    <definedName name="PermFxdBen" localSheetId="9">'AGAC|0348-00'!$H$10</definedName>
    <definedName name="PermFxdBen" localSheetId="10">'AGAD|0001-00'!$H$10</definedName>
    <definedName name="PermFxdBen" localSheetId="11">'AGAD|0330-00'!$H$10</definedName>
    <definedName name="PermFxdBen" localSheetId="12">'AGAD|0330-13'!$H$10</definedName>
    <definedName name="PermFxdBen" localSheetId="13">'AGAD|0332-04'!$H$10</definedName>
    <definedName name="PermFxdBen" localSheetId="14">'AGAD|0332-08'!$H$10</definedName>
    <definedName name="PermFxdBen" localSheetId="15">'AGAE|0001-00'!$H$10</definedName>
    <definedName name="PermFxdBen" localSheetId="16">'AGAE|0330-12'!$H$10</definedName>
    <definedName name="PermFxdBen" localSheetId="17">'AGAE|0332-10'!$H$10</definedName>
    <definedName name="PermFxdBen" localSheetId="18">'AGAF|0001-00'!$H$10</definedName>
    <definedName name="PermFxdBen" localSheetId="19">'AGAF|0330-00'!$H$10</definedName>
    <definedName name="PermFxdBen" localSheetId="20">'AGAF|0490-00'!$H$10</definedName>
    <definedName name="PermFxdBen" localSheetId="21">'AGAH|0001-00'!$H$10</definedName>
    <definedName name="PermFxdBen" localSheetId="22">'AGAH|0332-03'!$H$10</definedName>
    <definedName name="PermFxdBen" localSheetId="23">'AGAL|0486-00'!$H$10</definedName>
    <definedName name="PermFxdBen" localSheetId="24">'AGAM|0348-00'!$H$10</definedName>
    <definedName name="PermFxdBen" localSheetId="25">'AGAM|0403-03'!$H$10</definedName>
    <definedName name="PermFxdBen" localSheetId="26">'AGAO|0330-00'!$H$10</definedName>
    <definedName name="PermFxdBen" localSheetId="27">'AGAO|0332-11'!$H$10</definedName>
    <definedName name="PermFxdBen" localSheetId="28">'AGAO|0332-12'!$H$10</definedName>
    <definedName name="PermFxdBen" localSheetId="29">'AGAO|0348-00'!$H$10</definedName>
    <definedName name="PermFxdBen" localSheetId="30">'AGAP|0348-00'!$H$10</definedName>
    <definedName name="PermFxdBen" localSheetId="31">'AGAP|0402-00'!$H$10</definedName>
    <definedName name="PermFxdBen">'B6'!$H$10</definedName>
    <definedName name="PermFxdBenChg" localSheetId="0">'AGAA|0001-00'!$L$10</definedName>
    <definedName name="PermFxdBenChg" localSheetId="1">'AGAA|0125-01'!$L$10</definedName>
    <definedName name="PermFxdBenChg" localSheetId="2">'AGAA|0125-02'!$L$10</definedName>
    <definedName name="PermFxdBenChg" localSheetId="3">'AGAB|0001-00'!$L$10</definedName>
    <definedName name="PermFxdBenChg" localSheetId="4">'AGAB|0332-06'!$L$10</definedName>
    <definedName name="PermFxdBenChg" localSheetId="5">'AGAB|0332-07'!$L$10</definedName>
    <definedName name="PermFxdBenChg" localSheetId="6">'AGAB|0332-09'!$L$10</definedName>
    <definedName name="PermFxdBenChg" localSheetId="7">'AGAC|0001-00'!$L$10</definedName>
    <definedName name="PermFxdBenChg" localSheetId="8">'AGAC|0332-05'!$L$10</definedName>
    <definedName name="PermFxdBenChg" localSheetId="9">'AGAC|0348-00'!$L$10</definedName>
    <definedName name="PermFxdBenChg" localSheetId="10">'AGAD|0001-00'!$L$10</definedName>
    <definedName name="PermFxdBenChg" localSheetId="11">'AGAD|0330-00'!$L$10</definedName>
    <definedName name="PermFxdBenChg" localSheetId="12">'AGAD|0330-13'!$L$10</definedName>
    <definedName name="PermFxdBenChg" localSheetId="13">'AGAD|0332-04'!$L$10</definedName>
    <definedName name="PermFxdBenChg" localSheetId="14">'AGAD|0332-08'!$L$10</definedName>
    <definedName name="PermFxdBenChg" localSheetId="15">'AGAE|0001-00'!$L$10</definedName>
    <definedName name="PermFxdBenChg" localSheetId="16">'AGAE|0330-12'!$L$10</definedName>
    <definedName name="PermFxdBenChg" localSheetId="17">'AGAE|0332-10'!$L$10</definedName>
    <definedName name="PermFxdBenChg" localSheetId="18">'AGAF|0001-00'!$L$10</definedName>
    <definedName name="PermFxdBenChg" localSheetId="19">'AGAF|0330-00'!$L$10</definedName>
    <definedName name="PermFxdBenChg" localSheetId="20">'AGAF|0490-00'!$L$10</definedName>
    <definedName name="PermFxdBenChg" localSheetId="21">'AGAH|0001-00'!$L$10</definedName>
    <definedName name="PermFxdBenChg" localSheetId="22">'AGAH|0332-03'!$L$10</definedName>
    <definedName name="PermFxdBenChg" localSheetId="23">'AGAL|0486-00'!$L$10</definedName>
    <definedName name="PermFxdBenChg" localSheetId="24">'AGAM|0348-00'!$L$10</definedName>
    <definedName name="PermFxdBenChg" localSheetId="25">'AGAM|0403-03'!$L$10</definedName>
    <definedName name="PermFxdBenChg" localSheetId="26">'AGAO|0330-00'!$L$10</definedName>
    <definedName name="PermFxdBenChg" localSheetId="27">'AGAO|0332-11'!$L$10</definedName>
    <definedName name="PermFxdBenChg" localSheetId="28">'AGAO|0332-12'!$L$10</definedName>
    <definedName name="PermFxdBenChg" localSheetId="29">'AGAO|0348-00'!$L$10</definedName>
    <definedName name="PermFxdBenChg" localSheetId="30">'AGAP|0348-00'!$L$10</definedName>
    <definedName name="PermFxdBenChg" localSheetId="31">'AGAP|0402-00'!$L$10</definedName>
    <definedName name="PermFxdBenChg">'B6'!$L$10</definedName>
    <definedName name="PermFxdChg" localSheetId="0">'AGAA|0001-00'!$L$10</definedName>
    <definedName name="PermFxdChg" localSheetId="1">'AGAA|0125-01'!$L$10</definedName>
    <definedName name="PermFxdChg" localSheetId="2">'AGAA|0125-02'!$L$10</definedName>
    <definedName name="PermFxdChg" localSheetId="3">'AGAB|0001-00'!$L$10</definedName>
    <definedName name="PermFxdChg" localSheetId="4">'AGAB|0332-06'!$L$10</definedName>
    <definedName name="PermFxdChg" localSheetId="5">'AGAB|0332-07'!$L$10</definedName>
    <definedName name="PermFxdChg" localSheetId="6">'AGAB|0332-09'!$L$10</definedName>
    <definedName name="PermFxdChg" localSheetId="7">'AGAC|0001-00'!$L$10</definedName>
    <definedName name="PermFxdChg" localSheetId="8">'AGAC|0332-05'!$L$10</definedName>
    <definedName name="PermFxdChg" localSheetId="9">'AGAC|0348-00'!$L$10</definedName>
    <definedName name="PermFxdChg" localSheetId="10">'AGAD|0001-00'!$L$10</definedName>
    <definedName name="PermFxdChg" localSheetId="11">'AGAD|0330-00'!$L$10</definedName>
    <definedName name="PermFxdChg" localSheetId="12">'AGAD|0330-13'!$L$10</definedName>
    <definedName name="PermFxdChg" localSheetId="13">'AGAD|0332-04'!$L$10</definedName>
    <definedName name="PermFxdChg" localSheetId="14">'AGAD|0332-08'!$L$10</definedName>
    <definedName name="PermFxdChg" localSheetId="15">'AGAE|0001-00'!$L$10</definedName>
    <definedName name="PermFxdChg" localSheetId="16">'AGAE|0330-12'!$L$10</definedName>
    <definedName name="PermFxdChg" localSheetId="17">'AGAE|0332-10'!$L$10</definedName>
    <definedName name="PermFxdChg" localSheetId="18">'AGAF|0001-00'!$L$10</definedName>
    <definedName name="PermFxdChg" localSheetId="19">'AGAF|0330-00'!$L$10</definedName>
    <definedName name="PermFxdChg" localSheetId="20">'AGAF|0490-00'!$L$10</definedName>
    <definedName name="PermFxdChg" localSheetId="21">'AGAH|0001-00'!$L$10</definedName>
    <definedName name="PermFxdChg" localSheetId="22">'AGAH|0332-03'!$L$10</definedName>
    <definedName name="PermFxdChg" localSheetId="23">'AGAL|0486-00'!$L$10</definedName>
    <definedName name="PermFxdChg" localSheetId="24">'AGAM|0348-00'!$L$10</definedName>
    <definedName name="PermFxdChg" localSheetId="25">'AGAM|0403-03'!$L$10</definedName>
    <definedName name="PermFxdChg" localSheetId="26">'AGAO|0330-00'!$L$10</definedName>
    <definedName name="PermFxdChg" localSheetId="27">'AGAO|0332-11'!$L$10</definedName>
    <definedName name="PermFxdChg" localSheetId="28">'AGAO|0332-12'!$L$10</definedName>
    <definedName name="PermFxdChg" localSheetId="29">'AGAO|0348-00'!$L$10</definedName>
    <definedName name="PermFxdChg" localSheetId="30">'AGAP|0348-00'!$L$10</definedName>
    <definedName name="PermFxdChg" localSheetId="31">'AGAP|0402-00'!$L$10</definedName>
    <definedName name="PermFxdChg">'B6'!$L$10</definedName>
    <definedName name="PermSalary" localSheetId="0">'AGAA|0001-00'!$G$10</definedName>
    <definedName name="PermSalary" localSheetId="1">'AGAA|0125-01'!$G$10</definedName>
    <definedName name="PermSalary" localSheetId="2">'AGAA|0125-02'!$G$10</definedName>
    <definedName name="PermSalary" localSheetId="3">'AGAB|0001-00'!$G$10</definedName>
    <definedName name="PermSalary" localSheetId="4">'AGAB|0332-06'!$G$10</definedName>
    <definedName name="PermSalary" localSheetId="5">'AGAB|0332-07'!$G$10</definedName>
    <definedName name="PermSalary" localSheetId="6">'AGAB|0332-09'!$G$10</definedName>
    <definedName name="PermSalary" localSheetId="7">'AGAC|0001-00'!$G$10</definedName>
    <definedName name="PermSalary" localSheetId="8">'AGAC|0332-05'!$G$10</definedName>
    <definedName name="PermSalary" localSheetId="9">'AGAC|0348-00'!$G$10</definedName>
    <definedName name="PermSalary" localSheetId="10">'AGAD|0001-00'!$G$10</definedName>
    <definedName name="PermSalary" localSheetId="11">'AGAD|0330-00'!$G$10</definedName>
    <definedName name="PermSalary" localSheetId="12">'AGAD|0330-13'!$G$10</definedName>
    <definedName name="PermSalary" localSheetId="13">'AGAD|0332-04'!$G$10</definedName>
    <definedName name="PermSalary" localSheetId="14">'AGAD|0332-08'!$G$10</definedName>
    <definedName name="PermSalary" localSheetId="15">'AGAE|0001-00'!$G$10</definedName>
    <definedName name="PermSalary" localSheetId="16">'AGAE|0330-12'!$G$10</definedName>
    <definedName name="PermSalary" localSheetId="17">'AGAE|0332-10'!$G$10</definedName>
    <definedName name="PermSalary" localSheetId="18">'AGAF|0001-00'!$G$10</definedName>
    <definedName name="PermSalary" localSheetId="19">'AGAF|0330-00'!$G$10</definedName>
    <definedName name="PermSalary" localSheetId="20">'AGAF|0490-00'!$G$10</definedName>
    <definedName name="PermSalary" localSheetId="21">'AGAH|0001-00'!$G$10</definedName>
    <definedName name="PermSalary" localSheetId="22">'AGAH|0332-03'!$G$10</definedName>
    <definedName name="PermSalary" localSheetId="23">'AGAL|0486-00'!$G$10</definedName>
    <definedName name="PermSalary" localSheetId="24">'AGAM|0348-00'!$G$10</definedName>
    <definedName name="PermSalary" localSheetId="25">'AGAM|0403-03'!$G$10</definedName>
    <definedName name="PermSalary" localSheetId="26">'AGAO|0330-00'!$G$10</definedName>
    <definedName name="PermSalary" localSheetId="27">'AGAO|0332-11'!$G$10</definedName>
    <definedName name="PermSalary" localSheetId="28">'AGAO|0332-12'!$G$10</definedName>
    <definedName name="PermSalary" localSheetId="29">'AGAO|0348-00'!$G$10</definedName>
    <definedName name="PermSalary" localSheetId="30">'AGAP|0348-00'!$G$10</definedName>
    <definedName name="PermSalary" localSheetId="31">'AGAP|0402-00'!$G$10</definedName>
    <definedName name="PermSalary">'B6'!$G$10</definedName>
    <definedName name="PermVarBen" localSheetId="0">'AGAA|0001-00'!$I$10</definedName>
    <definedName name="PermVarBen" localSheetId="1">'AGAA|0125-01'!$I$10</definedName>
    <definedName name="PermVarBen" localSheetId="2">'AGAA|0125-02'!$I$10</definedName>
    <definedName name="PermVarBen" localSheetId="3">'AGAB|0001-00'!$I$10</definedName>
    <definedName name="PermVarBen" localSheetId="4">'AGAB|0332-06'!$I$10</definedName>
    <definedName name="PermVarBen" localSheetId="5">'AGAB|0332-07'!$I$10</definedName>
    <definedName name="PermVarBen" localSheetId="6">'AGAB|0332-09'!$I$10</definedName>
    <definedName name="PermVarBen" localSheetId="7">'AGAC|0001-00'!$I$10</definedName>
    <definedName name="PermVarBen" localSheetId="8">'AGAC|0332-05'!$I$10</definedName>
    <definedName name="PermVarBen" localSheetId="9">'AGAC|0348-00'!$I$10</definedName>
    <definedName name="PermVarBen" localSheetId="10">'AGAD|0001-00'!$I$10</definedName>
    <definedName name="PermVarBen" localSheetId="11">'AGAD|0330-00'!$I$10</definedName>
    <definedName name="PermVarBen" localSheetId="12">'AGAD|0330-13'!$I$10</definedName>
    <definedName name="PermVarBen" localSheetId="13">'AGAD|0332-04'!$I$10</definedName>
    <definedName name="PermVarBen" localSheetId="14">'AGAD|0332-08'!$I$10</definedName>
    <definedName name="PermVarBen" localSheetId="15">'AGAE|0001-00'!$I$10</definedName>
    <definedName name="PermVarBen" localSheetId="16">'AGAE|0330-12'!$I$10</definedName>
    <definedName name="PermVarBen" localSheetId="17">'AGAE|0332-10'!$I$10</definedName>
    <definedName name="PermVarBen" localSheetId="18">'AGAF|0001-00'!$I$10</definedName>
    <definedName name="PermVarBen" localSheetId="19">'AGAF|0330-00'!$I$10</definedName>
    <definedName name="PermVarBen" localSheetId="20">'AGAF|0490-00'!$I$10</definedName>
    <definedName name="PermVarBen" localSheetId="21">'AGAH|0001-00'!$I$10</definedName>
    <definedName name="PermVarBen" localSheetId="22">'AGAH|0332-03'!$I$10</definedName>
    <definedName name="PermVarBen" localSheetId="23">'AGAL|0486-00'!$I$10</definedName>
    <definedName name="PermVarBen" localSheetId="24">'AGAM|0348-00'!$I$10</definedName>
    <definedName name="PermVarBen" localSheetId="25">'AGAM|0403-03'!$I$10</definedName>
    <definedName name="PermVarBen" localSheetId="26">'AGAO|0330-00'!$I$10</definedName>
    <definedName name="PermVarBen" localSheetId="27">'AGAO|0332-11'!$I$10</definedName>
    <definedName name="PermVarBen" localSheetId="28">'AGAO|0332-12'!$I$10</definedName>
    <definedName name="PermVarBen" localSheetId="29">'AGAO|0348-00'!$I$10</definedName>
    <definedName name="PermVarBen" localSheetId="30">'AGAP|0348-00'!$I$10</definedName>
    <definedName name="PermVarBen" localSheetId="31">'AGAP|0402-00'!$I$10</definedName>
    <definedName name="PermVarBen">'B6'!$I$10</definedName>
    <definedName name="PermVarBenChg" localSheetId="0">'AGAA|0001-00'!$M$10</definedName>
    <definedName name="PermVarBenChg" localSheetId="1">'AGAA|0125-01'!$M$10</definedName>
    <definedName name="PermVarBenChg" localSheetId="2">'AGAA|0125-02'!$M$10</definedName>
    <definedName name="PermVarBenChg" localSheetId="3">'AGAB|0001-00'!$M$10</definedName>
    <definedName name="PermVarBenChg" localSheetId="4">'AGAB|0332-06'!$M$10</definedName>
    <definedName name="PermVarBenChg" localSheetId="5">'AGAB|0332-07'!$M$10</definedName>
    <definedName name="PermVarBenChg" localSheetId="6">'AGAB|0332-09'!$M$10</definedName>
    <definedName name="PermVarBenChg" localSheetId="7">'AGAC|0001-00'!$M$10</definedName>
    <definedName name="PermVarBenChg" localSheetId="8">'AGAC|0332-05'!$M$10</definedName>
    <definedName name="PermVarBenChg" localSheetId="9">'AGAC|0348-00'!$M$10</definedName>
    <definedName name="PermVarBenChg" localSheetId="10">'AGAD|0001-00'!$M$10</definedName>
    <definedName name="PermVarBenChg" localSheetId="11">'AGAD|0330-00'!$M$10</definedName>
    <definedName name="PermVarBenChg" localSheetId="12">'AGAD|0330-13'!$M$10</definedName>
    <definedName name="PermVarBenChg" localSheetId="13">'AGAD|0332-04'!$M$10</definedName>
    <definedName name="PermVarBenChg" localSheetId="14">'AGAD|0332-08'!$M$10</definedName>
    <definedName name="PermVarBenChg" localSheetId="15">'AGAE|0001-00'!$M$10</definedName>
    <definedName name="PermVarBenChg" localSheetId="16">'AGAE|0330-12'!$M$10</definedName>
    <definedName name="PermVarBenChg" localSheetId="17">'AGAE|0332-10'!$M$10</definedName>
    <definedName name="PermVarBenChg" localSheetId="18">'AGAF|0001-00'!$M$10</definedName>
    <definedName name="PermVarBenChg" localSheetId="19">'AGAF|0330-00'!$M$10</definedName>
    <definedName name="PermVarBenChg" localSheetId="20">'AGAF|0490-00'!$M$10</definedName>
    <definedName name="PermVarBenChg" localSheetId="21">'AGAH|0001-00'!$M$10</definedName>
    <definedName name="PermVarBenChg" localSheetId="22">'AGAH|0332-03'!$M$10</definedName>
    <definedName name="PermVarBenChg" localSheetId="23">'AGAL|0486-00'!$M$10</definedName>
    <definedName name="PermVarBenChg" localSheetId="24">'AGAM|0348-00'!$M$10</definedName>
    <definedName name="PermVarBenChg" localSheetId="25">'AGAM|0403-03'!$M$10</definedName>
    <definedName name="PermVarBenChg" localSheetId="26">'AGAO|0330-00'!$M$10</definedName>
    <definedName name="PermVarBenChg" localSheetId="27">'AGAO|0332-11'!$M$10</definedName>
    <definedName name="PermVarBenChg" localSheetId="28">'AGAO|0332-12'!$M$10</definedName>
    <definedName name="PermVarBenChg" localSheetId="29">'AGAO|0348-00'!$M$10</definedName>
    <definedName name="PermVarBenChg" localSheetId="30">'AGAP|0348-00'!$M$10</definedName>
    <definedName name="PermVarBenChg" localSheetId="31">'AGAP|0402-00'!$M$10</definedName>
    <definedName name="PermVarBenChg">'B6'!$M$10</definedName>
    <definedName name="PermVB">Benefits!$C$12</definedName>
    <definedName name="PermVBBY">Benefits!$D$12</definedName>
    <definedName name="PermVBCHG">Benefits!$E$12</definedName>
    <definedName name="_xlnm.Print_Area" localSheetId="0">'AGAA|0001-00'!$A$1:$N$81</definedName>
    <definedName name="_xlnm.Print_Area" localSheetId="1">'AGAA|0125-01'!$A$1:$N$81</definedName>
    <definedName name="_xlnm.Print_Area" localSheetId="2">'AGAA|0125-02'!$A$1:$N$81</definedName>
    <definedName name="_xlnm.Print_Area" localSheetId="3">'AGAB|0001-00'!$A$1:$N$81</definedName>
    <definedName name="_xlnm.Print_Area" localSheetId="4">'AGAB|0332-06'!$A$1:$N$81</definedName>
    <definedName name="_xlnm.Print_Area" localSheetId="5">'AGAB|0332-07'!$A$1:$N$81</definedName>
    <definedName name="_xlnm.Print_Area" localSheetId="6">'AGAB|0332-09'!$A$1:$N$81</definedName>
    <definedName name="_xlnm.Print_Area" localSheetId="7">'AGAC|0001-00'!$A$1:$N$81</definedName>
    <definedName name="_xlnm.Print_Area" localSheetId="8">'AGAC|0332-05'!$A$1:$N$81</definedName>
    <definedName name="_xlnm.Print_Area" localSheetId="9">'AGAC|0348-00'!$A$1:$N$81</definedName>
    <definedName name="_xlnm.Print_Area" localSheetId="10">'AGAD|0001-00'!$A$1:$N$81</definedName>
    <definedName name="_xlnm.Print_Area" localSheetId="11">'AGAD|0330-00'!$A$1:$N$81</definedName>
    <definedName name="_xlnm.Print_Area" localSheetId="12">'AGAD|0330-13'!$A$1:$N$81</definedName>
    <definedName name="_xlnm.Print_Area" localSheetId="13">'AGAD|0332-04'!$A$1:$N$81</definedName>
    <definedName name="_xlnm.Print_Area" localSheetId="14">'AGAD|0332-08'!$A$1:$N$81</definedName>
    <definedName name="_xlnm.Print_Area" localSheetId="15">'AGAE|0001-00'!$A$1:$N$81</definedName>
    <definedName name="_xlnm.Print_Area" localSheetId="16">'AGAE|0330-12'!$A$1:$N$81</definedName>
    <definedName name="_xlnm.Print_Area" localSheetId="17">'AGAE|0332-10'!$A$1:$N$81</definedName>
    <definedName name="_xlnm.Print_Area" localSheetId="18">'AGAF|0001-00'!$A$1:$N$81</definedName>
    <definedName name="_xlnm.Print_Area" localSheetId="19">'AGAF|0330-00'!$A$1:$N$81</definedName>
    <definedName name="_xlnm.Print_Area" localSheetId="20">'AGAF|0490-00'!$A$1:$N$81</definedName>
    <definedName name="_xlnm.Print_Area" localSheetId="21">'AGAH|0001-00'!$A$1:$N$81</definedName>
    <definedName name="_xlnm.Print_Area" localSheetId="22">'AGAH|0332-03'!$A$1:$N$81</definedName>
    <definedName name="_xlnm.Print_Area" localSheetId="23">'AGAL|0486-00'!$A$1:$N$81</definedName>
    <definedName name="_xlnm.Print_Area" localSheetId="24">'AGAM|0348-00'!$A$1:$N$81</definedName>
    <definedName name="_xlnm.Print_Area" localSheetId="25">'AGAM|0403-03'!$A$1:$N$81</definedName>
    <definedName name="_xlnm.Print_Area" localSheetId="26">'AGAO|0330-00'!$A$1:$N$81</definedName>
    <definedName name="_xlnm.Print_Area" localSheetId="27">'AGAO|0332-11'!$A$1:$N$81</definedName>
    <definedName name="_xlnm.Print_Area" localSheetId="28">'AGAO|0332-12'!$A$1:$N$81</definedName>
    <definedName name="_xlnm.Print_Area" localSheetId="29">'AGAO|0348-00'!$A$1:$N$81</definedName>
    <definedName name="_xlnm.Print_Area" localSheetId="30">'AGAP|0348-00'!$A$1:$N$81</definedName>
    <definedName name="_xlnm.Print_Area" localSheetId="31">'AGAP|0402-00'!$A$1:$N$81</definedName>
    <definedName name="_xlnm.Print_Area" localSheetId="34">'B6'!$A$1:$N$81</definedName>
    <definedName name="_xlnm.Print_Area" localSheetId="33">Benefits!$A$1:$G$36</definedName>
    <definedName name="Prog_Unadjusted_Total" localSheetId="0">'AGAA|0001-00'!$C$8:$N$16</definedName>
    <definedName name="Prog_Unadjusted_Total" localSheetId="1">'AGAA|0125-01'!$C$8:$N$16</definedName>
    <definedName name="Prog_Unadjusted_Total" localSheetId="2">'AGAA|0125-02'!$C$8:$N$16</definedName>
    <definedName name="Prog_Unadjusted_Total" localSheetId="3">'AGAB|0001-00'!$C$8:$N$16</definedName>
    <definedName name="Prog_Unadjusted_Total" localSheetId="4">'AGAB|0332-06'!$C$8:$N$16</definedName>
    <definedName name="Prog_Unadjusted_Total" localSheetId="5">'AGAB|0332-07'!$C$8:$N$16</definedName>
    <definedName name="Prog_Unadjusted_Total" localSheetId="6">'AGAB|0332-09'!$C$8:$N$16</definedName>
    <definedName name="Prog_Unadjusted_Total" localSheetId="7">'AGAC|0001-00'!$C$8:$N$16</definedName>
    <definedName name="Prog_Unadjusted_Total" localSheetId="8">'AGAC|0332-05'!$C$8:$N$16</definedName>
    <definedName name="Prog_Unadjusted_Total" localSheetId="9">'AGAC|0348-00'!$C$8:$N$16</definedName>
    <definedName name="Prog_Unadjusted_Total" localSheetId="10">'AGAD|0001-00'!$C$8:$N$16</definedName>
    <definedName name="Prog_Unadjusted_Total" localSheetId="11">'AGAD|0330-00'!$C$8:$N$16</definedName>
    <definedName name="Prog_Unadjusted_Total" localSheetId="12">'AGAD|0330-13'!$C$8:$N$16</definedName>
    <definedName name="Prog_Unadjusted_Total" localSheetId="13">'AGAD|0332-04'!$C$8:$N$16</definedName>
    <definedName name="Prog_Unadjusted_Total" localSheetId="14">'AGAD|0332-08'!$C$8:$N$16</definedName>
    <definedName name="Prog_Unadjusted_Total" localSheetId="15">'AGAE|0001-00'!$C$8:$N$16</definedName>
    <definedName name="Prog_Unadjusted_Total" localSheetId="16">'AGAE|0330-12'!$C$8:$N$16</definedName>
    <definedName name="Prog_Unadjusted_Total" localSheetId="17">'AGAE|0332-10'!$C$8:$N$16</definedName>
    <definedName name="Prog_Unadjusted_Total" localSheetId="18">'AGAF|0001-00'!$C$8:$N$16</definedName>
    <definedName name="Prog_Unadjusted_Total" localSheetId="19">'AGAF|0330-00'!$C$8:$N$16</definedName>
    <definedName name="Prog_Unadjusted_Total" localSheetId="20">'AGAF|0490-00'!$C$8:$N$16</definedName>
    <definedName name="Prog_Unadjusted_Total" localSheetId="21">'AGAH|0001-00'!$C$8:$N$16</definedName>
    <definedName name="Prog_Unadjusted_Total" localSheetId="22">'AGAH|0332-03'!$C$8:$N$16</definedName>
    <definedName name="Prog_Unadjusted_Total" localSheetId="23">'AGAL|0486-00'!$C$8:$N$16</definedName>
    <definedName name="Prog_Unadjusted_Total" localSheetId="24">'AGAM|0348-00'!$C$8:$N$16</definedName>
    <definedName name="Prog_Unadjusted_Total" localSheetId="25">'AGAM|0403-03'!$C$8:$N$16</definedName>
    <definedName name="Prog_Unadjusted_Total" localSheetId="26">'AGAO|0330-00'!$C$8:$N$16</definedName>
    <definedName name="Prog_Unadjusted_Total" localSheetId="27">'AGAO|0332-11'!$C$8:$N$16</definedName>
    <definedName name="Prog_Unadjusted_Total" localSheetId="28">'AGAO|0332-12'!$C$8:$N$16</definedName>
    <definedName name="Prog_Unadjusted_Total" localSheetId="29">'AGAO|0348-00'!$C$8:$N$16</definedName>
    <definedName name="Prog_Unadjusted_Total" localSheetId="30">'AGAP|0348-00'!$C$8:$N$16</definedName>
    <definedName name="Prog_Unadjusted_Total" localSheetId="31">'AGAP|0402-00'!$C$8:$N$16</definedName>
    <definedName name="Prog_Unadjusted_Total">'B6'!$C$8:$N$16</definedName>
    <definedName name="Program" localSheetId="0">'AGAA|0001-00'!$D$3</definedName>
    <definedName name="Program" localSheetId="1">'AGAA|0125-01'!$D$3</definedName>
    <definedName name="Program" localSheetId="2">'AGAA|0125-02'!$D$3</definedName>
    <definedName name="Program" localSheetId="3">'AGAB|0001-00'!$D$3</definedName>
    <definedName name="Program" localSheetId="4">'AGAB|0332-06'!$D$3</definedName>
    <definedName name="Program" localSheetId="5">'AGAB|0332-07'!$D$3</definedName>
    <definedName name="Program" localSheetId="6">'AGAB|0332-09'!$D$3</definedName>
    <definedName name="Program" localSheetId="7">'AGAC|0001-00'!$D$3</definedName>
    <definedName name="Program" localSheetId="8">'AGAC|0332-05'!$D$3</definedName>
    <definedName name="Program" localSheetId="9">'AGAC|0348-00'!$D$3</definedName>
    <definedName name="Program" localSheetId="10">'AGAD|0001-00'!$D$3</definedName>
    <definedName name="Program" localSheetId="11">'AGAD|0330-00'!$D$3</definedName>
    <definedName name="Program" localSheetId="12">'AGAD|0330-13'!$D$3</definedName>
    <definedName name="Program" localSheetId="13">'AGAD|0332-04'!$D$3</definedName>
    <definedName name="Program" localSheetId="14">'AGAD|0332-08'!$D$3</definedName>
    <definedName name="Program" localSheetId="15">'AGAE|0001-00'!$D$3</definedName>
    <definedName name="Program" localSheetId="16">'AGAE|0330-12'!$D$3</definedName>
    <definedName name="Program" localSheetId="17">'AGAE|0332-10'!$D$3</definedName>
    <definedName name="Program" localSheetId="18">'AGAF|0001-00'!$D$3</definedName>
    <definedName name="Program" localSheetId="19">'AGAF|0330-00'!$D$3</definedName>
    <definedName name="Program" localSheetId="20">'AGAF|0490-00'!$D$3</definedName>
    <definedName name="Program" localSheetId="21">'AGAH|0001-00'!$D$3</definedName>
    <definedName name="Program" localSheetId="22">'AGAH|0332-03'!$D$3</definedName>
    <definedName name="Program" localSheetId="23">'AGAL|0486-00'!$D$3</definedName>
    <definedName name="Program" localSheetId="24">'AGAM|0348-00'!$D$3</definedName>
    <definedName name="Program" localSheetId="25">'AGAM|0403-03'!$D$3</definedName>
    <definedName name="Program" localSheetId="26">'AGAO|0330-00'!$D$3</definedName>
    <definedName name="Program" localSheetId="27">'AGAO|0332-11'!$D$3</definedName>
    <definedName name="Program" localSheetId="28">'AGAO|0332-12'!$D$3</definedName>
    <definedName name="Program" localSheetId="29">'AGAO|0348-00'!$D$3</definedName>
    <definedName name="Program" localSheetId="30">'AGAP|0348-00'!$D$3</definedName>
    <definedName name="Program" localSheetId="31">'AGAP|0402-00'!$D$3</definedName>
    <definedName name="Program">'B6'!$D$3</definedName>
    <definedName name="PTHealth">Benefits!$C$16</definedName>
    <definedName name="PTHealthBY">Benefits!$D$16</definedName>
    <definedName name="PTHealthChg">Benefits!$E$16</definedName>
    <definedName name="Retire1">Benefits!$C$20</definedName>
    <definedName name="Retire1BY">Benefits!$D$20</definedName>
    <definedName name="Retire1CHG">Benefits!$E$20</definedName>
    <definedName name="Retire2">Benefits!$C$21</definedName>
    <definedName name="Retire2BY">Benefits!$D$21</definedName>
    <definedName name="Retire2CHG">Benefits!$E$21</definedName>
    <definedName name="Retire4">Benefits!$C$22</definedName>
    <definedName name="Retire4BY">Benefits!$D$22</definedName>
    <definedName name="Retire4CHG">Benefits!$E$22</definedName>
    <definedName name="Retire5">Benefits!$C$23</definedName>
    <definedName name="Retire5BY">Benefits!$D$23</definedName>
    <definedName name="Retire5CHG">Benefits!$E$23</definedName>
    <definedName name="Retire6">Benefits!$C$24</definedName>
    <definedName name="Retire6BY">Benefits!$D$24</definedName>
    <definedName name="Retire6CHG">Benefits!$E$24</definedName>
    <definedName name="Retire7">Benefits!$C$25</definedName>
    <definedName name="Retire7BY">Benefits!$D$25</definedName>
    <definedName name="Retire7CHG">Benefits!$E$25</definedName>
    <definedName name="Retire8">Benefits!$C$26</definedName>
    <definedName name="Retire8BY">Benefits!$D$26</definedName>
    <definedName name="Retire8CHG">Benefits!$E$26</definedName>
    <definedName name="Retirement_Rates">Benefits!$A$19:$E$26</definedName>
    <definedName name="RoundedAppropSalary" localSheetId="0">'AGAA|0001-00'!$G$52</definedName>
    <definedName name="RoundedAppropSalary" localSheetId="1">'AGAA|0125-01'!$G$52</definedName>
    <definedName name="RoundedAppropSalary" localSheetId="2">'AGAA|0125-02'!$G$52</definedName>
    <definedName name="RoundedAppropSalary" localSheetId="3">'AGAB|0001-00'!$G$52</definedName>
    <definedName name="RoundedAppropSalary" localSheetId="4">'AGAB|0332-06'!$G$52</definedName>
    <definedName name="RoundedAppropSalary" localSheetId="5">'AGAB|0332-07'!$G$52</definedName>
    <definedName name="RoundedAppropSalary" localSheetId="6">'AGAB|0332-09'!$G$52</definedName>
    <definedName name="RoundedAppropSalary" localSheetId="7">'AGAC|0001-00'!$G$52</definedName>
    <definedName name="RoundedAppropSalary" localSheetId="8">'AGAC|0332-05'!$G$52</definedName>
    <definedName name="RoundedAppropSalary" localSheetId="9">'AGAC|0348-00'!$G$52</definedName>
    <definedName name="RoundedAppropSalary" localSheetId="10">'AGAD|0001-00'!$G$52</definedName>
    <definedName name="RoundedAppropSalary" localSheetId="11">'AGAD|0330-00'!$G$52</definedName>
    <definedName name="RoundedAppropSalary" localSheetId="12">'AGAD|0330-13'!$G$52</definedName>
    <definedName name="RoundedAppropSalary" localSheetId="13">'AGAD|0332-04'!$G$52</definedName>
    <definedName name="RoundedAppropSalary" localSheetId="14">'AGAD|0332-08'!$G$52</definedName>
    <definedName name="RoundedAppropSalary" localSheetId="15">'AGAE|0001-00'!$G$52</definedName>
    <definedName name="RoundedAppropSalary" localSheetId="16">'AGAE|0330-12'!$G$52</definedName>
    <definedName name="RoundedAppropSalary" localSheetId="17">'AGAE|0332-10'!$G$52</definedName>
    <definedName name="RoundedAppropSalary" localSheetId="18">'AGAF|0001-00'!$G$52</definedName>
    <definedName name="RoundedAppropSalary" localSheetId="19">'AGAF|0330-00'!$G$52</definedName>
    <definedName name="RoundedAppropSalary" localSheetId="20">'AGAF|0490-00'!$G$52</definedName>
    <definedName name="RoundedAppropSalary" localSheetId="21">'AGAH|0001-00'!$G$52</definedName>
    <definedName name="RoundedAppropSalary" localSheetId="22">'AGAH|0332-03'!$G$52</definedName>
    <definedName name="RoundedAppropSalary" localSheetId="23">'AGAL|0486-00'!$G$52</definedName>
    <definedName name="RoundedAppropSalary" localSheetId="24">'AGAM|0348-00'!$G$52</definedName>
    <definedName name="RoundedAppropSalary" localSheetId="25">'AGAM|0403-03'!$G$52</definedName>
    <definedName name="RoundedAppropSalary" localSheetId="26">'AGAO|0330-00'!$G$52</definedName>
    <definedName name="RoundedAppropSalary" localSheetId="27">'AGAO|0332-11'!$G$52</definedName>
    <definedName name="RoundedAppropSalary" localSheetId="28">'AGAO|0332-12'!$G$52</definedName>
    <definedName name="RoundedAppropSalary" localSheetId="29">'AGAO|0348-00'!$G$52</definedName>
    <definedName name="RoundedAppropSalary" localSheetId="30">'AGAP|0348-00'!$G$52</definedName>
    <definedName name="RoundedAppropSalary" localSheetId="31">'AGAP|0402-00'!$G$52</definedName>
    <definedName name="RoundedAppropSalary">'B6'!$G$52</definedName>
    <definedName name="SalaryChg" localSheetId="0">'AGAA|0001-00'!$K$10</definedName>
    <definedName name="SalaryChg" localSheetId="1">'AGAA|0125-01'!$K$10</definedName>
    <definedName name="SalaryChg" localSheetId="2">'AGAA|0125-02'!$K$10</definedName>
    <definedName name="SalaryChg" localSheetId="3">'AGAB|0001-00'!$K$10</definedName>
    <definedName name="SalaryChg" localSheetId="4">'AGAB|0332-06'!$K$10</definedName>
    <definedName name="SalaryChg" localSheetId="5">'AGAB|0332-07'!$K$10</definedName>
    <definedName name="SalaryChg" localSheetId="6">'AGAB|0332-09'!$K$10</definedName>
    <definedName name="SalaryChg" localSheetId="7">'AGAC|0001-00'!$K$10</definedName>
    <definedName name="SalaryChg" localSheetId="8">'AGAC|0332-05'!$K$10</definedName>
    <definedName name="SalaryChg" localSheetId="9">'AGAC|0348-00'!$K$10</definedName>
    <definedName name="SalaryChg" localSheetId="10">'AGAD|0001-00'!$K$10</definedName>
    <definedName name="SalaryChg" localSheetId="11">'AGAD|0330-00'!$K$10</definedName>
    <definedName name="SalaryChg" localSheetId="12">'AGAD|0330-13'!$K$10</definedName>
    <definedName name="SalaryChg" localSheetId="13">'AGAD|0332-04'!$K$10</definedName>
    <definedName name="SalaryChg" localSheetId="14">'AGAD|0332-08'!$K$10</definedName>
    <definedName name="SalaryChg" localSheetId="15">'AGAE|0001-00'!$K$10</definedName>
    <definedName name="SalaryChg" localSheetId="16">'AGAE|0330-12'!$K$10</definedName>
    <definedName name="SalaryChg" localSheetId="17">'AGAE|0332-10'!$K$10</definedName>
    <definedName name="SalaryChg" localSheetId="18">'AGAF|0001-00'!$K$10</definedName>
    <definedName name="SalaryChg" localSheetId="19">'AGAF|0330-00'!$K$10</definedName>
    <definedName name="SalaryChg" localSheetId="20">'AGAF|0490-00'!$K$10</definedName>
    <definedName name="SalaryChg" localSheetId="21">'AGAH|0001-00'!$K$10</definedName>
    <definedName name="SalaryChg" localSheetId="22">'AGAH|0332-03'!$K$10</definedName>
    <definedName name="SalaryChg" localSheetId="23">'AGAL|0486-00'!$K$10</definedName>
    <definedName name="SalaryChg" localSheetId="24">'AGAM|0348-00'!$K$10</definedName>
    <definedName name="SalaryChg" localSheetId="25">'AGAM|0403-03'!$K$10</definedName>
    <definedName name="SalaryChg" localSheetId="26">'AGAO|0330-00'!$K$10</definedName>
    <definedName name="SalaryChg" localSheetId="27">'AGAO|0332-11'!$K$10</definedName>
    <definedName name="SalaryChg" localSheetId="28">'AGAO|0332-12'!$K$10</definedName>
    <definedName name="SalaryChg" localSheetId="29">'AGAO|0348-00'!$K$10</definedName>
    <definedName name="SalaryChg" localSheetId="30">'AGAP|0348-00'!$K$10</definedName>
    <definedName name="SalaryChg" localSheetId="31">'AGAP|0402-00'!$K$10</definedName>
    <definedName name="SalaryChg">'B6'!$K$10</definedName>
    <definedName name="Sick">Benefits!$C$10</definedName>
    <definedName name="SickBY">Benefits!$D$10</definedName>
    <definedName name="SickCHG">Benefits!$E$10</definedName>
    <definedName name="SSDI">Benefits!$C$5</definedName>
    <definedName name="SSDIBY">Benefits!$D$5</definedName>
    <definedName name="SSDICHG">Benefits!$E$5</definedName>
    <definedName name="SSHI">Benefits!$C$6</definedName>
    <definedName name="SSHIBY">Benefits!$D$6</definedName>
    <definedName name="SSHICHG">Benefits!$E$6</definedName>
    <definedName name="SubCECBase" localSheetId="0">'AGAA|0001-00'!#REF!</definedName>
    <definedName name="SubCECBase" localSheetId="1">'AGAA|0125-01'!#REF!</definedName>
    <definedName name="SubCECBase" localSheetId="2">'AGAA|0125-02'!#REF!</definedName>
    <definedName name="SubCECBase" localSheetId="3">'AGAB|0001-00'!#REF!</definedName>
    <definedName name="SubCECBase" localSheetId="4">'AGAB|0332-06'!#REF!</definedName>
    <definedName name="SubCECBase" localSheetId="5">'AGAB|0332-07'!#REF!</definedName>
    <definedName name="SubCECBase" localSheetId="6">'AGAB|0332-09'!#REF!</definedName>
    <definedName name="SubCECBase" localSheetId="7">'AGAC|0001-00'!#REF!</definedName>
    <definedName name="SubCECBase" localSheetId="8">'AGAC|0332-05'!#REF!</definedName>
    <definedName name="SubCECBase" localSheetId="9">'AGAC|0348-00'!#REF!</definedName>
    <definedName name="SubCECBase" localSheetId="10">'AGAD|0001-00'!#REF!</definedName>
    <definedName name="SubCECBase" localSheetId="11">'AGAD|0330-00'!#REF!</definedName>
    <definedName name="SubCECBase" localSheetId="12">'AGAD|0330-13'!#REF!</definedName>
    <definedName name="SubCECBase" localSheetId="13">'AGAD|0332-04'!#REF!</definedName>
    <definedName name="SubCECBase" localSheetId="14">'AGAD|0332-08'!#REF!</definedName>
    <definedName name="SubCECBase" localSheetId="15">'AGAE|0001-00'!#REF!</definedName>
    <definedName name="SubCECBase" localSheetId="16">'AGAE|0330-12'!#REF!</definedName>
    <definedName name="SubCECBase" localSheetId="17">'AGAE|0332-10'!#REF!</definedName>
    <definedName name="SubCECBase" localSheetId="18">'AGAF|0001-00'!#REF!</definedName>
    <definedName name="SubCECBase" localSheetId="19">'AGAF|0330-00'!#REF!</definedName>
    <definedName name="SubCECBase" localSheetId="20">'AGAF|0490-00'!#REF!</definedName>
    <definedName name="SubCECBase" localSheetId="21">'AGAH|0001-00'!#REF!</definedName>
    <definedName name="SubCECBase" localSheetId="22">'AGAH|0332-03'!#REF!</definedName>
    <definedName name="SubCECBase" localSheetId="23">'AGAL|0486-00'!#REF!</definedName>
    <definedName name="SubCECBase" localSheetId="24">'AGAM|0348-00'!#REF!</definedName>
    <definedName name="SubCECBase" localSheetId="25">'AGAM|0403-03'!#REF!</definedName>
    <definedName name="SubCECBase" localSheetId="26">'AGAO|0330-00'!#REF!</definedName>
    <definedName name="SubCECBase" localSheetId="27">'AGAO|0332-11'!#REF!</definedName>
    <definedName name="SubCECBase" localSheetId="28">'AGAO|0332-12'!#REF!</definedName>
    <definedName name="SubCECBase" localSheetId="29">'AGAO|0348-00'!#REF!</definedName>
    <definedName name="SubCECBase" localSheetId="30">'AGAP|0348-00'!#REF!</definedName>
    <definedName name="SubCECBase" localSheetId="31">'AGAP|0402-00'!#REF!</definedName>
    <definedName name="SubCECBase">'B6'!#REF!</definedName>
    <definedName name="UI">Benefits!$C$7</definedName>
    <definedName name="UIBY">Benefits!$D$7</definedName>
    <definedName name="UICHG">Benefits!$E$7</definedName>
    <definedName name="WC">Benefits!$C$8</definedName>
    <definedName name="WCBY">Benefits!$D$8</definedName>
    <definedName name="WCCHG">Benefits!$E$8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8" i="11" l="1"/>
  <c r="F8" i="11"/>
  <c r="G8" i="11"/>
  <c r="H8" i="11"/>
  <c r="I8" i="11"/>
  <c r="J8" i="11"/>
  <c r="K8" i="11"/>
  <c r="L8" i="11"/>
  <c r="M8" i="11"/>
  <c r="E9" i="11"/>
  <c r="F9" i="11"/>
  <c r="G9" i="11"/>
  <c r="H9" i="11"/>
  <c r="I9" i="11"/>
  <c r="J9" i="11"/>
  <c r="K9" i="11"/>
  <c r="L9" i="11"/>
  <c r="M9" i="11"/>
  <c r="E10" i="11"/>
  <c r="F10" i="11"/>
  <c r="G10" i="11"/>
  <c r="H10" i="11"/>
  <c r="I10" i="11"/>
  <c r="J10" i="11"/>
  <c r="K10" i="11"/>
  <c r="L10" i="11"/>
  <c r="M10" i="11"/>
  <c r="E11" i="11"/>
  <c r="F11" i="11"/>
  <c r="G11" i="11"/>
  <c r="H11" i="11"/>
  <c r="I11" i="11"/>
  <c r="J11" i="11"/>
  <c r="K11" i="11"/>
  <c r="L11" i="11"/>
  <c r="M11" i="11"/>
  <c r="E12" i="11"/>
  <c r="F12" i="11"/>
  <c r="G12" i="11"/>
  <c r="H12" i="11"/>
  <c r="I12" i="11"/>
  <c r="J12" i="11"/>
  <c r="K12" i="11"/>
  <c r="L12" i="11"/>
  <c r="M12" i="11"/>
  <c r="E13" i="11"/>
  <c r="F13" i="11"/>
  <c r="G13" i="11"/>
  <c r="H13" i="11"/>
  <c r="I13" i="11"/>
  <c r="J13" i="11"/>
  <c r="K13" i="11"/>
  <c r="L13" i="11"/>
  <c r="M13" i="11"/>
  <c r="E14" i="11"/>
  <c r="F14" i="11"/>
  <c r="G14" i="11"/>
  <c r="H14" i="11"/>
  <c r="I14" i="11"/>
  <c r="J14" i="11"/>
  <c r="K14" i="11"/>
  <c r="L14" i="11"/>
  <c r="M14" i="11"/>
  <c r="E15" i="11"/>
  <c r="F15" i="11"/>
  <c r="G15" i="11"/>
  <c r="H15" i="11"/>
  <c r="I15" i="11"/>
  <c r="J15" i="11"/>
  <c r="K15" i="11"/>
  <c r="L15" i="11"/>
  <c r="M15" i="11"/>
  <c r="E16" i="11"/>
  <c r="F16" i="11"/>
  <c r="G16" i="11"/>
  <c r="H16" i="11"/>
  <c r="I16" i="11"/>
  <c r="J16" i="11"/>
  <c r="K16" i="11"/>
  <c r="L16" i="11"/>
  <c r="M16" i="11"/>
  <c r="E17" i="11"/>
  <c r="F17" i="11"/>
  <c r="G17" i="11"/>
  <c r="H17" i="11"/>
  <c r="I17" i="11"/>
  <c r="J17" i="11"/>
  <c r="K17" i="11"/>
  <c r="L17" i="11"/>
  <c r="M17" i="11"/>
  <c r="E18" i="11"/>
  <c r="F18" i="11"/>
  <c r="G18" i="11"/>
  <c r="H18" i="11"/>
  <c r="I18" i="11"/>
  <c r="J18" i="11"/>
  <c r="K18" i="11"/>
  <c r="L18" i="11"/>
  <c r="M18" i="11"/>
  <c r="E19" i="11"/>
  <c r="F19" i="11"/>
  <c r="G19" i="11"/>
  <c r="H19" i="11"/>
  <c r="I19" i="11"/>
  <c r="J19" i="11"/>
  <c r="K19" i="11"/>
  <c r="L19" i="11"/>
  <c r="M19" i="11"/>
  <c r="E20" i="11"/>
  <c r="F20" i="11"/>
  <c r="G20" i="11"/>
  <c r="H20" i="11"/>
  <c r="I20" i="11"/>
  <c r="J20" i="11"/>
  <c r="K20" i="11"/>
  <c r="L20" i="11"/>
  <c r="M20" i="11"/>
  <c r="E21" i="11"/>
  <c r="F21" i="11"/>
  <c r="G21" i="11"/>
  <c r="H21" i="11"/>
  <c r="I21" i="11"/>
  <c r="J21" i="11"/>
  <c r="K21" i="11"/>
  <c r="L21" i="11"/>
  <c r="M21" i="11"/>
  <c r="E22" i="11"/>
  <c r="F22" i="11"/>
  <c r="G22" i="11"/>
  <c r="H22" i="11"/>
  <c r="I22" i="11"/>
  <c r="J22" i="11"/>
  <c r="K22" i="11"/>
  <c r="L22" i="11"/>
  <c r="M22" i="11"/>
  <c r="E23" i="11"/>
  <c r="F23" i="11"/>
  <c r="G23" i="11"/>
  <c r="H23" i="11"/>
  <c r="I23" i="11"/>
  <c r="J23" i="11"/>
  <c r="K23" i="11"/>
  <c r="L23" i="11"/>
  <c r="M23" i="11"/>
  <c r="E24" i="11"/>
  <c r="F24" i="11"/>
  <c r="G24" i="11"/>
  <c r="H24" i="11"/>
  <c r="I24" i="11"/>
  <c r="J24" i="11"/>
  <c r="K24" i="11"/>
  <c r="L24" i="11"/>
  <c r="M24" i="11"/>
  <c r="E25" i="11"/>
  <c r="F25" i="11"/>
  <c r="G25" i="11"/>
  <c r="H25" i="11"/>
  <c r="I25" i="11"/>
  <c r="J25" i="11"/>
  <c r="K25" i="11"/>
  <c r="L25" i="11"/>
  <c r="M25" i="11"/>
  <c r="E26" i="11"/>
  <c r="F26" i="11"/>
  <c r="G26" i="11"/>
  <c r="H26" i="11"/>
  <c r="I26" i="11"/>
  <c r="J26" i="11"/>
  <c r="K26" i="11"/>
  <c r="L26" i="11"/>
  <c r="M26" i="11"/>
  <c r="E27" i="11"/>
  <c r="F27" i="11"/>
  <c r="G27" i="11"/>
  <c r="H27" i="11"/>
  <c r="I27" i="11"/>
  <c r="J27" i="11"/>
  <c r="K27" i="11"/>
  <c r="L27" i="11"/>
  <c r="M27" i="11"/>
  <c r="E28" i="11"/>
  <c r="F28" i="11"/>
  <c r="G28" i="11"/>
  <c r="H28" i="11"/>
  <c r="I28" i="11"/>
  <c r="J28" i="11"/>
  <c r="K28" i="11"/>
  <c r="L28" i="11"/>
  <c r="M28" i="11"/>
  <c r="E29" i="11"/>
  <c r="F29" i="11"/>
  <c r="G29" i="11"/>
  <c r="H29" i="11"/>
  <c r="I29" i="11"/>
  <c r="J29" i="11"/>
  <c r="K29" i="11"/>
  <c r="L29" i="11"/>
  <c r="M29" i="11"/>
  <c r="E30" i="11"/>
  <c r="F30" i="11"/>
  <c r="G30" i="11"/>
  <c r="H30" i="11"/>
  <c r="I30" i="11"/>
  <c r="J30" i="11"/>
  <c r="K30" i="11"/>
  <c r="L30" i="11"/>
  <c r="M30" i="11"/>
  <c r="E31" i="11"/>
  <c r="F31" i="11"/>
  <c r="G31" i="11"/>
  <c r="H31" i="11"/>
  <c r="I31" i="11"/>
  <c r="J31" i="11"/>
  <c r="K31" i="11"/>
  <c r="L31" i="11"/>
  <c r="M31" i="11"/>
  <c r="E32" i="11"/>
  <c r="F32" i="11"/>
  <c r="G32" i="11"/>
  <c r="H32" i="11"/>
  <c r="I32" i="11"/>
  <c r="J32" i="11"/>
  <c r="K32" i="11"/>
  <c r="L32" i="11"/>
  <c r="M32" i="11"/>
  <c r="E33" i="11"/>
  <c r="F33" i="11"/>
  <c r="G33" i="11"/>
  <c r="H33" i="11"/>
  <c r="I33" i="11"/>
  <c r="J33" i="11"/>
  <c r="K33" i="11"/>
  <c r="L33" i="11"/>
  <c r="M33" i="11"/>
  <c r="E34" i="11"/>
  <c r="F34" i="11"/>
  <c r="G34" i="11"/>
  <c r="H34" i="11"/>
  <c r="I34" i="11"/>
  <c r="J34" i="11"/>
  <c r="K34" i="11"/>
  <c r="L34" i="11"/>
  <c r="M34" i="11"/>
  <c r="E35" i="11"/>
  <c r="F35" i="11"/>
  <c r="G35" i="11"/>
  <c r="H35" i="11"/>
  <c r="I35" i="11"/>
  <c r="J35" i="11"/>
  <c r="K35" i="11"/>
  <c r="L35" i="11"/>
  <c r="M35" i="11"/>
  <c r="E36" i="11"/>
  <c r="F36" i="11"/>
  <c r="G36" i="11"/>
  <c r="H36" i="11"/>
  <c r="I36" i="11"/>
  <c r="J36" i="11"/>
  <c r="K36" i="11"/>
  <c r="L36" i="11"/>
  <c r="M36" i="11"/>
  <c r="E37" i="11"/>
  <c r="F37" i="11"/>
  <c r="G37" i="11"/>
  <c r="H37" i="11"/>
  <c r="I37" i="11"/>
  <c r="J37" i="11"/>
  <c r="K37" i="11"/>
  <c r="L37" i="11"/>
  <c r="M37" i="11"/>
  <c r="E38" i="11"/>
  <c r="F38" i="11"/>
  <c r="G38" i="11"/>
  <c r="H38" i="11"/>
  <c r="I38" i="11"/>
  <c r="J38" i="11"/>
  <c r="K38" i="11"/>
  <c r="L38" i="11"/>
  <c r="M38" i="11"/>
  <c r="E39" i="11"/>
  <c r="F39" i="11"/>
  <c r="G39" i="11"/>
  <c r="H39" i="11"/>
  <c r="I39" i="11"/>
  <c r="J39" i="11"/>
  <c r="K39" i="11"/>
  <c r="L39" i="11"/>
  <c r="M39" i="11"/>
  <c r="E40" i="11"/>
  <c r="F40" i="11"/>
  <c r="G40" i="11"/>
  <c r="H40" i="11"/>
  <c r="I40" i="11"/>
  <c r="J40" i="11"/>
  <c r="K40" i="11"/>
  <c r="L40" i="11"/>
  <c r="M40" i="11"/>
  <c r="E41" i="11"/>
  <c r="F41" i="11"/>
  <c r="G41" i="11"/>
  <c r="H41" i="11"/>
  <c r="I41" i="11"/>
  <c r="J41" i="11"/>
  <c r="K41" i="11"/>
  <c r="L41" i="11"/>
  <c r="M41" i="11"/>
  <c r="E42" i="11"/>
  <c r="F42" i="11"/>
  <c r="G42" i="11"/>
  <c r="H42" i="11"/>
  <c r="I42" i="11"/>
  <c r="J42" i="11"/>
  <c r="K42" i="11"/>
  <c r="L42" i="11"/>
  <c r="M42" i="11"/>
  <c r="E43" i="11"/>
  <c r="F43" i="11"/>
  <c r="G43" i="11"/>
  <c r="H43" i="11"/>
  <c r="I43" i="11"/>
  <c r="J43" i="11"/>
  <c r="K43" i="11"/>
  <c r="L43" i="11"/>
  <c r="M43" i="11"/>
  <c r="E44" i="11"/>
  <c r="F44" i="11"/>
  <c r="G44" i="11"/>
  <c r="H44" i="11"/>
  <c r="I44" i="11"/>
  <c r="J44" i="11"/>
  <c r="K44" i="11"/>
  <c r="L44" i="11"/>
  <c r="M44" i="11"/>
  <c r="E45" i="11"/>
  <c r="F45" i="11"/>
  <c r="G45" i="11"/>
  <c r="H45" i="11"/>
  <c r="I45" i="11"/>
  <c r="J45" i="11"/>
  <c r="K45" i="11"/>
  <c r="L45" i="11"/>
  <c r="M45" i="11"/>
  <c r="E46" i="11"/>
  <c r="F46" i="11"/>
  <c r="G46" i="11"/>
  <c r="H46" i="11"/>
  <c r="I46" i="11"/>
  <c r="J46" i="11"/>
  <c r="K46" i="11"/>
  <c r="L46" i="11"/>
  <c r="M46" i="11"/>
  <c r="E47" i="11"/>
  <c r="F47" i="11"/>
  <c r="G47" i="11"/>
  <c r="H47" i="11"/>
  <c r="I47" i="11"/>
  <c r="J47" i="11"/>
  <c r="K47" i="11"/>
  <c r="L47" i="11"/>
  <c r="M47" i="11"/>
  <c r="E48" i="11"/>
  <c r="F48" i="11"/>
  <c r="G48" i="11"/>
  <c r="H48" i="11"/>
  <c r="I48" i="11"/>
  <c r="J48" i="11"/>
  <c r="K48" i="11"/>
  <c r="L48" i="11"/>
  <c r="M48" i="11"/>
  <c r="E49" i="11"/>
  <c r="F49" i="11"/>
  <c r="G49" i="11"/>
  <c r="H49" i="11"/>
  <c r="I49" i="11"/>
  <c r="J49" i="11"/>
  <c r="K49" i="11"/>
  <c r="L49" i="11"/>
  <c r="M49" i="11"/>
  <c r="E50" i="11"/>
  <c r="F50" i="11"/>
  <c r="G50" i="11"/>
  <c r="H50" i="11"/>
  <c r="I50" i="11"/>
  <c r="J50" i="11"/>
  <c r="K50" i="11"/>
  <c r="L50" i="11"/>
  <c r="M50" i="11"/>
  <c r="E51" i="11"/>
  <c r="F51" i="11"/>
  <c r="G51" i="11"/>
  <c r="H51" i="11"/>
  <c r="I51" i="11"/>
  <c r="J51" i="11"/>
  <c r="K51" i="11"/>
  <c r="L51" i="11"/>
  <c r="M51" i="11"/>
  <c r="E52" i="11"/>
  <c r="F52" i="11"/>
  <c r="G52" i="11"/>
  <c r="H52" i="11"/>
  <c r="I52" i="11"/>
  <c r="J52" i="11"/>
  <c r="K52" i="11"/>
  <c r="L52" i="11"/>
  <c r="M52" i="11"/>
  <c r="E53" i="11"/>
  <c r="F53" i="11"/>
  <c r="G53" i="11"/>
  <c r="H53" i="11"/>
  <c r="I53" i="11"/>
  <c r="J53" i="11"/>
  <c r="K53" i="11"/>
  <c r="L53" i="11"/>
  <c r="M53" i="11"/>
  <c r="E54" i="11"/>
  <c r="F54" i="11"/>
  <c r="G54" i="11"/>
  <c r="H54" i="11"/>
  <c r="I54" i="11"/>
  <c r="J54" i="11"/>
  <c r="K54" i="11"/>
  <c r="L54" i="11"/>
  <c r="M54" i="11"/>
  <c r="E55" i="11"/>
  <c r="F55" i="11"/>
  <c r="G55" i="11"/>
  <c r="H55" i="11"/>
  <c r="I55" i="11"/>
  <c r="J55" i="11"/>
  <c r="K55" i="11"/>
  <c r="L55" i="11"/>
  <c r="M55" i="11"/>
  <c r="E56" i="11"/>
  <c r="F56" i="11"/>
  <c r="G56" i="11"/>
  <c r="H56" i="11"/>
  <c r="I56" i="11"/>
  <c r="J56" i="11"/>
  <c r="K56" i="11"/>
  <c r="L56" i="11"/>
  <c r="M56" i="11"/>
  <c r="E57" i="11"/>
  <c r="F57" i="11"/>
  <c r="G57" i="11"/>
  <c r="H57" i="11"/>
  <c r="I57" i="11"/>
  <c r="J57" i="11"/>
  <c r="K57" i="11"/>
  <c r="L57" i="11"/>
  <c r="M57" i="11"/>
  <c r="E58" i="11"/>
  <c r="F58" i="11"/>
  <c r="G58" i="11"/>
  <c r="H58" i="11"/>
  <c r="I58" i="11"/>
  <c r="J58" i="11"/>
  <c r="K58" i="11"/>
  <c r="L58" i="11"/>
  <c r="M58" i="11"/>
  <c r="E59" i="11"/>
  <c r="F59" i="11"/>
  <c r="G59" i="11"/>
  <c r="H59" i="11"/>
  <c r="I59" i="11"/>
  <c r="J59" i="11"/>
  <c r="K59" i="11"/>
  <c r="L59" i="11"/>
  <c r="M59" i="11"/>
  <c r="E60" i="11"/>
  <c r="F60" i="11"/>
  <c r="G60" i="11"/>
  <c r="H60" i="11"/>
  <c r="I60" i="11"/>
  <c r="J60" i="11"/>
  <c r="K60" i="11"/>
  <c r="L60" i="11"/>
  <c r="M60" i="11"/>
  <c r="E61" i="11"/>
  <c r="F61" i="11"/>
  <c r="G61" i="11"/>
  <c r="H61" i="11"/>
  <c r="I61" i="11"/>
  <c r="J61" i="11"/>
  <c r="K61" i="11"/>
  <c r="L61" i="11"/>
  <c r="M61" i="11"/>
  <c r="E62" i="11"/>
  <c r="F62" i="11"/>
  <c r="G62" i="11"/>
  <c r="H62" i="11"/>
  <c r="I62" i="11"/>
  <c r="J62" i="11"/>
  <c r="K62" i="11"/>
  <c r="L62" i="11"/>
  <c r="M62" i="11"/>
  <c r="E63" i="11"/>
  <c r="F63" i="11"/>
  <c r="G63" i="11"/>
  <c r="H63" i="11"/>
  <c r="I63" i="11"/>
  <c r="J63" i="11"/>
  <c r="K63" i="11"/>
  <c r="L63" i="11"/>
  <c r="M63" i="11"/>
  <c r="E64" i="11"/>
  <c r="F64" i="11"/>
  <c r="G64" i="11"/>
  <c r="H64" i="11"/>
  <c r="I64" i="11"/>
  <c r="J64" i="11"/>
  <c r="K64" i="11"/>
  <c r="L64" i="11"/>
  <c r="M64" i="11"/>
  <c r="E65" i="11"/>
  <c r="F65" i="11"/>
  <c r="G65" i="11"/>
  <c r="H65" i="11"/>
  <c r="I65" i="11"/>
  <c r="J65" i="11"/>
  <c r="K65" i="11"/>
  <c r="L65" i="11"/>
  <c r="M65" i="11"/>
  <c r="E66" i="11"/>
  <c r="F66" i="11"/>
  <c r="G66" i="11"/>
  <c r="H66" i="11"/>
  <c r="I66" i="11"/>
  <c r="J66" i="11"/>
  <c r="K66" i="11"/>
  <c r="L66" i="11"/>
  <c r="M66" i="11"/>
  <c r="BA842" i="5"/>
  <c r="AZ842" i="5"/>
  <c r="AY842" i="5"/>
  <c r="AX842" i="5"/>
  <c r="AW842" i="5"/>
  <c r="AV842" i="5"/>
  <c r="AU842" i="5"/>
  <c r="AT842" i="5"/>
  <c r="AS842" i="5"/>
  <c r="BA840" i="5"/>
  <c r="AZ840" i="5"/>
  <c r="AY840" i="5"/>
  <c r="AX840" i="5"/>
  <c r="AW840" i="5"/>
  <c r="AV840" i="5"/>
  <c r="AU840" i="5"/>
  <c r="AT840" i="5"/>
  <c r="AS840" i="5"/>
  <c r="BA814" i="5"/>
  <c r="AZ814" i="5"/>
  <c r="AY814" i="5"/>
  <c r="AX814" i="5"/>
  <c r="AW814" i="5"/>
  <c r="AV814" i="5"/>
  <c r="AU814" i="5"/>
  <c r="AT814" i="5"/>
  <c r="AS814" i="5"/>
  <c r="AZ838" i="5"/>
  <c r="AW838" i="5"/>
  <c r="AZ836" i="5"/>
  <c r="AW836" i="5"/>
  <c r="AZ834" i="5"/>
  <c r="AW834" i="5"/>
  <c r="AZ832" i="5"/>
  <c r="AW832" i="5"/>
  <c r="AZ828" i="5"/>
  <c r="AW828" i="5"/>
  <c r="AW821" i="5"/>
  <c r="AZ821" i="5"/>
  <c r="AZ818" i="5"/>
  <c r="AW818" i="5"/>
  <c r="A350" i="10"/>
  <c r="K343" i="10"/>
  <c r="J343" i="10"/>
  <c r="I343" i="10"/>
  <c r="H343" i="10"/>
  <c r="G343" i="10"/>
  <c r="F343" i="10"/>
  <c r="E343" i="10"/>
  <c r="C80" i="43"/>
  <c r="J79" i="43"/>
  <c r="J78" i="43"/>
  <c r="J77" i="43"/>
  <c r="C75" i="43"/>
  <c r="I74" i="43"/>
  <c r="J74" i="43" s="1"/>
  <c r="E73" i="43"/>
  <c r="E72" i="43"/>
  <c r="I71" i="43"/>
  <c r="J71" i="43" s="1"/>
  <c r="J70" i="43"/>
  <c r="C67" i="43"/>
  <c r="J66" i="43"/>
  <c r="I66" i="43"/>
  <c r="H66" i="43"/>
  <c r="G66" i="43"/>
  <c r="N64" i="43"/>
  <c r="J64" i="43"/>
  <c r="N63" i="43"/>
  <c r="H63" i="43"/>
  <c r="G63" i="43" s="1"/>
  <c r="I63" i="43" s="1"/>
  <c r="N62" i="43"/>
  <c r="J62" i="43"/>
  <c r="C60" i="43"/>
  <c r="N59" i="43"/>
  <c r="J59" i="43"/>
  <c r="N58" i="43"/>
  <c r="J58" i="43"/>
  <c r="C56" i="43"/>
  <c r="N55" i="43"/>
  <c r="J55" i="43"/>
  <c r="J54" i="43"/>
  <c r="F51" i="43"/>
  <c r="E51" i="43"/>
  <c r="C51" i="43"/>
  <c r="M50" i="43"/>
  <c r="L50" i="43"/>
  <c r="K50" i="43"/>
  <c r="J50" i="43"/>
  <c r="I50" i="43"/>
  <c r="H50" i="43"/>
  <c r="G50" i="43"/>
  <c r="C40" i="43"/>
  <c r="M39" i="43"/>
  <c r="L39" i="43"/>
  <c r="H39" i="43"/>
  <c r="F39" i="43"/>
  <c r="C39" i="43"/>
  <c r="C38" i="43"/>
  <c r="M35" i="43"/>
  <c r="L35" i="43"/>
  <c r="N35" i="43" s="1"/>
  <c r="J35" i="43"/>
  <c r="I35" i="43"/>
  <c r="H35" i="43"/>
  <c r="M34" i="43"/>
  <c r="L34" i="43"/>
  <c r="N34" i="43" s="1"/>
  <c r="J34" i="43"/>
  <c r="I34" i="43"/>
  <c r="H34" i="43"/>
  <c r="N33" i="43"/>
  <c r="M33" i="43"/>
  <c r="L33" i="43"/>
  <c r="J33" i="43"/>
  <c r="I33" i="43"/>
  <c r="H33" i="43"/>
  <c r="N32" i="43"/>
  <c r="M32" i="43"/>
  <c r="L32" i="43"/>
  <c r="J32" i="43"/>
  <c r="I32" i="43"/>
  <c r="H32" i="43"/>
  <c r="M30" i="43"/>
  <c r="L30" i="43"/>
  <c r="N30" i="43" s="1"/>
  <c r="J30" i="43"/>
  <c r="I30" i="43"/>
  <c r="H30" i="43"/>
  <c r="M29" i="43"/>
  <c r="L29" i="43"/>
  <c r="N29" i="43" s="1"/>
  <c r="J29" i="43"/>
  <c r="I29" i="43"/>
  <c r="H29" i="43"/>
  <c r="N28" i="43"/>
  <c r="M28" i="43"/>
  <c r="L28" i="43"/>
  <c r="J28" i="43"/>
  <c r="I28" i="43"/>
  <c r="H28" i="43"/>
  <c r="N27" i="43"/>
  <c r="M27" i="43"/>
  <c r="L27" i="43"/>
  <c r="J27" i="43"/>
  <c r="I27" i="43"/>
  <c r="H27" i="43"/>
  <c r="M26" i="43"/>
  <c r="L26" i="43"/>
  <c r="N26" i="43" s="1"/>
  <c r="J26" i="43"/>
  <c r="I26" i="43"/>
  <c r="H26" i="43"/>
  <c r="M25" i="43"/>
  <c r="L25" i="43"/>
  <c r="N25" i="43" s="1"/>
  <c r="J25" i="43"/>
  <c r="I25" i="43"/>
  <c r="H25" i="43"/>
  <c r="N24" i="43"/>
  <c r="M24" i="43"/>
  <c r="L24" i="43"/>
  <c r="J24" i="43"/>
  <c r="I24" i="43"/>
  <c r="H24" i="43"/>
  <c r="N23" i="43"/>
  <c r="M23" i="43"/>
  <c r="L23" i="43"/>
  <c r="J23" i="43"/>
  <c r="I23" i="43"/>
  <c r="H23" i="43"/>
  <c r="M22" i="43"/>
  <c r="L22" i="43"/>
  <c r="N22" i="43" s="1"/>
  <c r="J22" i="43"/>
  <c r="I22" i="43"/>
  <c r="H22" i="43"/>
  <c r="M21" i="43"/>
  <c r="L21" i="43"/>
  <c r="N21" i="43" s="1"/>
  <c r="J21" i="43"/>
  <c r="I21" i="43"/>
  <c r="H21" i="43"/>
  <c r="N20" i="43"/>
  <c r="M20" i="43"/>
  <c r="L20" i="43"/>
  <c r="J20" i="43"/>
  <c r="I20" i="43"/>
  <c r="H20" i="43"/>
  <c r="C15" i="43"/>
  <c r="AC11" i="43"/>
  <c r="M8" i="43"/>
  <c r="L8" i="43"/>
  <c r="K8" i="43"/>
  <c r="J8" i="43"/>
  <c r="I8" i="43"/>
  <c r="H8" i="43"/>
  <c r="G8" i="43"/>
  <c r="A339" i="10"/>
  <c r="K332" i="10"/>
  <c r="J332" i="10"/>
  <c r="I332" i="10"/>
  <c r="H332" i="10"/>
  <c r="G332" i="10"/>
  <c r="F332" i="10"/>
  <c r="E332" i="10"/>
  <c r="C80" i="42"/>
  <c r="J79" i="42"/>
  <c r="J78" i="42"/>
  <c r="J77" i="42"/>
  <c r="C75" i="42"/>
  <c r="I74" i="42"/>
  <c r="J74" i="42" s="1"/>
  <c r="E73" i="42"/>
  <c r="E72" i="42"/>
  <c r="J71" i="42"/>
  <c r="I71" i="42"/>
  <c r="J70" i="42"/>
  <c r="C67" i="42"/>
  <c r="J66" i="42"/>
  <c r="I66" i="42"/>
  <c r="H66" i="42"/>
  <c r="G66" i="42"/>
  <c r="N64" i="42"/>
  <c r="J64" i="42"/>
  <c r="N63" i="42"/>
  <c r="H63" i="42"/>
  <c r="G63" i="42" s="1"/>
  <c r="I63" i="42" s="1"/>
  <c r="N62" i="42"/>
  <c r="J62" i="42"/>
  <c r="C60" i="42"/>
  <c r="N59" i="42"/>
  <c r="J59" i="42"/>
  <c r="N58" i="42"/>
  <c r="J58" i="42"/>
  <c r="C56" i="42"/>
  <c r="N55" i="42"/>
  <c r="J55" i="42"/>
  <c r="J54" i="42"/>
  <c r="F51" i="42"/>
  <c r="F52" i="42" s="1"/>
  <c r="F56" i="42" s="1"/>
  <c r="F60" i="42" s="1"/>
  <c r="E51" i="42"/>
  <c r="C51" i="42"/>
  <c r="M50" i="42"/>
  <c r="L50" i="42"/>
  <c r="K50" i="42"/>
  <c r="J50" i="42"/>
  <c r="I50" i="42"/>
  <c r="H50" i="42"/>
  <c r="G50" i="42"/>
  <c r="C40" i="42"/>
  <c r="M39" i="42"/>
  <c r="L39" i="42"/>
  <c r="H39" i="42"/>
  <c r="F39" i="42"/>
  <c r="C39" i="42"/>
  <c r="C38" i="42"/>
  <c r="M35" i="42"/>
  <c r="L35" i="42"/>
  <c r="J35" i="42"/>
  <c r="I35" i="42"/>
  <c r="H35" i="42"/>
  <c r="M34" i="42"/>
  <c r="N34" i="42" s="1"/>
  <c r="L34" i="42"/>
  <c r="J34" i="42"/>
  <c r="I34" i="42"/>
  <c r="H34" i="42"/>
  <c r="M33" i="42"/>
  <c r="N33" i="42" s="1"/>
  <c r="L33" i="42"/>
  <c r="J33" i="42"/>
  <c r="I33" i="42"/>
  <c r="H33" i="42"/>
  <c r="N32" i="42"/>
  <c r="M32" i="42"/>
  <c r="L32" i="42"/>
  <c r="J32" i="42"/>
  <c r="I32" i="42"/>
  <c r="H32" i="42"/>
  <c r="M30" i="42"/>
  <c r="L30" i="42"/>
  <c r="J30" i="42"/>
  <c r="I30" i="42"/>
  <c r="H30" i="42"/>
  <c r="M29" i="42"/>
  <c r="N29" i="42" s="1"/>
  <c r="L29" i="42"/>
  <c r="J29" i="42"/>
  <c r="I29" i="42"/>
  <c r="H29" i="42"/>
  <c r="M28" i="42"/>
  <c r="N28" i="42" s="1"/>
  <c r="L28" i="42"/>
  <c r="J28" i="42"/>
  <c r="I28" i="42"/>
  <c r="H28" i="42"/>
  <c r="N27" i="42"/>
  <c r="M27" i="42"/>
  <c r="L27" i="42"/>
  <c r="J27" i="42"/>
  <c r="I27" i="42"/>
  <c r="H27" i="42"/>
  <c r="M26" i="42"/>
  <c r="L26" i="42"/>
  <c r="J26" i="42"/>
  <c r="I26" i="42"/>
  <c r="H26" i="42"/>
  <c r="M25" i="42"/>
  <c r="N25" i="42" s="1"/>
  <c r="L25" i="42"/>
  <c r="J25" i="42"/>
  <c r="I25" i="42"/>
  <c r="H25" i="42"/>
  <c r="N24" i="42"/>
  <c r="M24" i="42"/>
  <c r="L24" i="42"/>
  <c r="J24" i="42"/>
  <c r="I24" i="42"/>
  <c r="H24" i="42"/>
  <c r="N23" i="42"/>
  <c r="M23" i="42"/>
  <c r="L23" i="42"/>
  <c r="J23" i="42"/>
  <c r="I23" i="42"/>
  <c r="H23" i="42"/>
  <c r="M22" i="42"/>
  <c r="L22" i="42"/>
  <c r="J22" i="42"/>
  <c r="I22" i="42"/>
  <c r="H22" i="42"/>
  <c r="M21" i="42"/>
  <c r="N21" i="42" s="1"/>
  <c r="L21" i="42"/>
  <c r="J21" i="42"/>
  <c r="I21" i="42"/>
  <c r="H21" i="42"/>
  <c r="N20" i="42"/>
  <c r="M20" i="42"/>
  <c r="L20" i="42"/>
  <c r="J20" i="42"/>
  <c r="I20" i="42"/>
  <c r="H20" i="42"/>
  <c r="C15" i="42"/>
  <c r="AC11" i="42"/>
  <c r="M8" i="42"/>
  <c r="L8" i="42"/>
  <c r="K8" i="42"/>
  <c r="J8" i="42"/>
  <c r="I8" i="42"/>
  <c r="H8" i="42"/>
  <c r="G8" i="42"/>
  <c r="A328" i="10"/>
  <c r="K321" i="10"/>
  <c r="J321" i="10"/>
  <c r="I321" i="10"/>
  <c r="H321" i="10"/>
  <c r="G321" i="10"/>
  <c r="F321" i="10"/>
  <c r="E321" i="10"/>
  <c r="C80" i="41"/>
  <c r="J79" i="41"/>
  <c r="J78" i="41"/>
  <c r="J77" i="41"/>
  <c r="C75" i="41"/>
  <c r="I74" i="41"/>
  <c r="J74" i="41" s="1"/>
  <c r="E73" i="41"/>
  <c r="E72" i="41"/>
  <c r="I71" i="41"/>
  <c r="J71" i="41" s="1"/>
  <c r="J70" i="41"/>
  <c r="C67" i="41"/>
  <c r="J66" i="41"/>
  <c r="I66" i="41"/>
  <c r="H66" i="41"/>
  <c r="G66" i="41"/>
  <c r="N64" i="41"/>
  <c r="J64" i="41"/>
  <c r="N63" i="41"/>
  <c r="H63" i="41"/>
  <c r="G63" i="41" s="1"/>
  <c r="I63" i="41" s="1"/>
  <c r="N62" i="41"/>
  <c r="J62" i="41"/>
  <c r="C60" i="41"/>
  <c r="N59" i="41"/>
  <c r="J59" i="41"/>
  <c r="N58" i="41"/>
  <c r="J58" i="41"/>
  <c r="C56" i="41"/>
  <c r="N55" i="41"/>
  <c r="J55" i="41"/>
  <c r="J54" i="41"/>
  <c r="F51" i="41"/>
  <c r="F52" i="41" s="1"/>
  <c r="F56" i="41" s="1"/>
  <c r="F60" i="41" s="1"/>
  <c r="E51" i="41"/>
  <c r="C51" i="41"/>
  <c r="M50" i="41"/>
  <c r="L50" i="41"/>
  <c r="K50" i="41"/>
  <c r="J50" i="41"/>
  <c r="I50" i="41"/>
  <c r="H50" i="41"/>
  <c r="G50" i="41"/>
  <c r="C40" i="41"/>
  <c r="M39" i="41"/>
  <c r="L39" i="41"/>
  <c r="H39" i="41"/>
  <c r="F39" i="41"/>
  <c r="C39" i="41"/>
  <c r="C38" i="41"/>
  <c r="M35" i="41"/>
  <c r="L35" i="41"/>
  <c r="N35" i="41" s="1"/>
  <c r="J35" i="41"/>
  <c r="I35" i="41"/>
  <c r="H35" i="41"/>
  <c r="M34" i="41"/>
  <c r="N34" i="41" s="1"/>
  <c r="L34" i="41"/>
  <c r="J34" i="41"/>
  <c r="I34" i="41"/>
  <c r="H34" i="41"/>
  <c r="M33" i="41"/>
  <c r="L33" i="41"/>
  <c r="N33" i="41" s="1"/>
  <c r="J33" i="41"/>
  <c r="I33" i="41"/>
  <c r="H33" i="41"/>
  <c r="M32" i="41"/>
  <c r="L32" i="41"/>
  <c r="N32" i="41" s="1"/>
  <c r="J32" i="41"/>
  <c r="I32" i="41"/>
  <c r="H32" i="41"/>
  <c r="M30" i="41"/>
  <c r="L30" i="41"/>
  <c r="N30" i="41" s="1"/>
  <c r="J30" i="41"/>
  <c r="I30" i="41"/>
  <c r="H30" i="41"/>
  <c r="M29" i="41"/>
  <c r="L29" i="41"/>
  <c r="J29" i="41"/>
  <c r="I29" i="41"/>
  <c r="H29" i="41"/>
  <c r="M28" i="41"/>
  <c r="L28" i="41"/>
  <c r="J28" i="41"/>
  <c r="I28" i="41"/>
  <c r="H28" i="41"/>
  <c r="M27" i="41"/>
  <c r="L27" i="41"/>
  <c r="J27" i="41"/>
  <c r="I27" i="41"/>
  <c r="H27" i="41"/>
  <c r="M26" i="41"/>
  <c r="L26" i="41"/>
  <c r="J26" i="41"/>
  <c r="I26" i="41"/>
  <c r="H26" i="41"/>
  <c r="M25" i="41"/>
  <c r="N25" i="41" s="1"/>
  <c r="L25" i="41"/>
  <c r="J25" i="41"/>
  <c r="I25" i="41"/>
  <c r="H25" i="41"/>
  <c r="M24" i="41"/>
  <c r="L24" i="41"/>
  <c r="J24" i="41"/>
  <c r="I24" i="41"/>
  <c r="H24" i="41"/>
  <c r="M23" i="41"/>
  <c r="L23" i="41"/>
  <c r="J23" i="41"/>
  <c r="I23" i="41"/>
  <c r="H23" i="41"/>
  <c r="M22" i="41"/>
  <c r="L22" i="41"/>
  <c r="J22" i="41"/>
  <c r="I22" i="41"/>
  <c r="H22" i="41"/>
  <c r="M21" i="41"/>
  <c r="L21" i="41"/>
  <c r="N21" i="41" s="1"/>
  <c r="J21" i="41"/>
  <c r="I21" i="41"/>
  <c r="H21" i="41"/>
  <c r="M20" i="41"/>
  <c r="L20" i="41"/>
  <c r="J20" i="41"/>
  <c r="I20" i="41"/>
  <c r="H20" i="41"/>
  <c r="C15" i="41"/>
  <c r="AC11" i="41"/>
  <c r="M8" i="41"/>
  <c r="L8" i="41"/>
  <c r="K8" i="41"/>
  <c r="J8" i="41"/>
  <c r="I8" i="41"/>
  <c r="H8" i="41"/>
  <c r="G8" i="41"/>
  <c r="A317" i="10"/>
  <c r="K310" i="10"/>
  <c r="J310" i="10"/>
  <c r="I310" i="10"/>
  <c r="H310" i="10"/>
  <c r="G310" i="10"/>
  <c r="F310" i="10"/>
  <c r="E310" i="10"/>
  <c r="C80" i="40"/>
  <c r="J79" i="40"/>
  <c r="J78" i="40"/>
  <c r="J77" i="40"/>
  <c r="C75" i="40"/>
  <c r="I74" i="40"/>
  <c r="J74" i="40" s="1"/>
  <c r="E73" i="40"/>
  <c r="E72" i="40"/>
  <c r="I71" i="40"/>
  <c r="J71" i="40" s="1"/>
  <c r="J70" i="40"/>
  <c r="C67" i="40"/>
  <c r="J66" i="40"/>
  <c r="I66" i="40"/>
  <c r="H66" i="40"/>
  <c r="G66" i="40"/>
  <c r="N64" i="40"/>
  <c r="J64" i="40"/>
  <c r="N63" i="40"/>
  <c r="H63" i="40"/>
  <c r="G63" i="40" s="1"/>
  <c r="I63" i="40" s="1"/>
  <c r="N62" i="40"/>
  <c r="J62" i="40"/>
  <c r="C60" i="40"/>
  <c r="N59" i="40"/>
  <c r="J59" i="40"/>
  <c r="N58" i="40"/>
  <c r="J58" i="40"/>
  <c r="C56" i="40"/>
  <c r="N55" i="40"/>
  <c r="J55" i="40"/>
  <c r="J54" i="40"/>
  <c r="F51" i="40"/>
  <c r="E51" i="40"/>
  <c r="C51" i="40"/>
  <c r="M50" i="40"/>
  <c r="L50" i="40"/>
  <c r="K50" i="40"/>
  <c r="J50" i="40"/>
  <c r="I50" i="40"/>
  <c r="H50" i="40"/>
  <c r="G50" i="40"/>
  <c r="C40" i="40"/>
  <c r="M39" i="40"/>
  <c r="L39" i="40"/>
  <c r="H39" i="40"/>
  <c r="F39" i="40"/>
  <c r="C39" i="40"/>
  <c r="C38" i="40"/>
  <c r="M35" i="40"/>
  <c r="L35" i="40"/>
  <c r="J35" i="40"/>
  <c r="I35" i="40"/>
  <c r="H35" i="40"/>
  <c r="M34" i="40"/>
  <c r="L34" i="40"/>
  <c r="J34" i="40"/>
  <c r="I34" i="40"/>
  <c r="H34" i="40"/>
  <c r="M33" i="40"/>
  <c r="L33" i="40"/>
  <c r="N33" i="40" s="1"/>
  <c r="J33" i="40"/>
  <c r="I33" i="40"/>
  <c r="H33" i="40"/>
  <c r="M32" i="40"/>
  <c r="N32" i="40" s="1"/>
  <c r="L32" i="40"/>
  <c r="J32" i="40"/>
  <c r="I32" i="40"/>
  <c r="H32" i="40"/>
  <c r="M30" i="40"/>
  <c r="L30" i="40"/>
  <c r="J30" i="40"/>
  <c r="I30" i="40"/>
  <c r="H30" i="40"/>
  <c r="M29" i="40"/>
  <c r="L29" i="40"/>
  <c r="J29" i="40"/>
  <c r="I29" i="40"/>
  <c r="H29" i="40"/>
  <c r="M28" i="40"/>
  <c r="L28" i="40"/>
  <c r="J28" i="40"/>
  <c r="I28" i="40"/>
  <c r="H28" i="40"/>
  <c r="M27" i="40"/>
  <c r="L27" i="40"/>
  <c r="J27" i="40"/>
  <c r="I27" i="40"/>
  <c r="H27" i="40"/>
  <c r="M26" i="40"/>
  <c r="L26" i="40"/>
  <c r="J26" i="40"/>
  <c r="I26" i="40"/>
  <c r="H26" i="40"/>
  <c r="M25" i="40"/>
  <c r="L25" i="40"/>
  <c r="J25" i="40"/>
  <c r="I25" i="40"/>
  <c r="H25" i="40"/>
  <c r="M24" i="40"/>
  <c r="L24" i="40"/>
  <c r="N24" i="40" s="1"/>
  <c r="J24" i="40"/>
  <c r="I24" i="40"/>
  <c r="H24" i="40"/>
  <c r="M23" i="40"/>
  <c r="L23" i="40"/>
  <c r="J23" i="40"/>
  <c r="I23" i="40"/>
  <c r="H23" i="40"/>
  <c r="M22" i="40"/>
  <c r="L22" i="40"/>
  <c r="J22" i="40"/>
  <c r="I22" i="40"/>
  <c r="H22" i="40"/>
  <c r="M21" i="40"/>
  <c r="L21" i="40"/>
  <c r="J21" i="40"/>
  <c r="I21" i="40"/>
  <c r="H21" i="40"/>
  <c r="M20" i="40"/>
  <c r="L20" i="40"/>
  <c r="N20" i="40" s="1"/>
  <c r="J20" i="40"/>
  <c r="I20" i="40"/>
  <c r="H20" i="40"/>
  <c r="C15" i="40"/>
  <c r="AC11" i="40"/>
  <c r="M8" i="40"/>
  <c r="L8" i="40"/>
  <c r="K8" i="40"/>
  <c r="J8" i="40"/>
  <c r="I8" i="40"/>
  <c r="H8" i="40"/>
  <c r="G8" i="40"/>
  <c r="A306" i="10"/>
  <c r="K299" i="10"/>
  <c r="J299" i="10"/>
  <c r="I299" i="10"/>
  <c r="H299" i="10"/>
  <c r="G299" i="10"/>
  <c r="F299" i="10"/>
  <c r="E299" i="10"/>
  <c r="C80" i="39"/>
  <c r="J79" i="39"/>
  <c r="J78" i="39"/>
  <c r="J77" i="39"/>
  <c r="C75" i="39"/>
  <c r="I74" i="39"/>
  <c r="J74" i="39" s="1"/>
  <c r="E73" i="39"/>
  <c r="E72" i="39"/>
  <c r="I71" i="39"/>
  <c r="J71" i="39" s="1"/>
  <c r="J70" i="39"/>
  <c r="C67" i="39"/>
  <c r="J66" i="39"/>
  <c r="I66" i="39"/>
  <c r="H66" i="39"/>
  <c r="G66" i="39"/>
  <c r="N64" i="39"/>
  <c r="J64" i="39"/>
  <c r="N63" i="39"/>
  <c r="H63" i="39"/>
  <c r="G63" i="39" s="1"/>
  <c r="I63" i="39" s="1"/>
  <c r="N62" i="39"/>
  <c r="J62" i="39"/>
  <c r="C60" i="39"/>
  <c r="N59" i="39"/>
  <c r="J59" i="39"/>
  <c r="N58" i="39"/>
  <c r="J58" i="39"/>
  <c r="C56" i="39"/>
  <c r="N55" i="39"/>
  <c r="J55" i="39"/>
  <c r="J54" i="39"/>
  <c r="F51" i="39"/>
  <c r="F52" i="39" s="1"/>
  <c r="F56" i="39" s="1"/>
  <c r="F60" i="39" s="1"/>
  <c r="E51" i="39"/>
  <c r="C51" i="39"/>
  <c r="M50" i="39"/>
  <c r="L50" i="39"/>
  <c r="K50" i="39"/>
  <c r="J50" i="39"/>
  <c r="I50" i="39"/>
  <c r="H50" i="39"/>
  <c r="G50" i="39"/>
  <c r="C40" i="39"/>
  <c r="M39" i="39"/>
  <c r="L39" i="39"/>
  <c r="H39" i="39"/>
  <c r="F39" i="39"/>
  <c r="C39" i="39"/>
  <c r="C38" i="39"/>
  <c r="M35" i="39"/>
  <c r="L35" i="39"/>
  <c r="J35" i="39"/>
  <c r="I35" i="39"/>
  <c r="H35" i="39"/>
  <c r="M34" i="39"/>
  <c r="L34" i="39"/>
  <c r="J34" i="39"/>
  <c r="I34" i="39"/>
  <c r="H34" i="39"/>
  <c r="M33" i="39"/>
  <c r="L33" i="39"/>
  <c r="J33" i="39"/>
  <c r="I33" i="39"/>
  <c r="H33" i="39"/>
  <c r="M32" i="39"/>
  <c r="L32" i="39"/>
  <c r="J32" i="39"/>
  <c r="I32" i="39"/>
  <c r="H32" i="39"/>
  <c r="M30" i="39"/>
  <c r="L30" i="39"/>
  <c r="J30" i="39"/>
  <c r="I30" i="39"/>
  <c r="H30" i="39"/>
  <c r="M29" i="39"/>
  <c r="L29" i="39"/>
  <c r="J29" i="39"/>
  <c r="I29" i="39"/>
  <c r="H29" i="39"/>
  <c r="M28" i="39"/>
  <c r="L28" i="39"/>
  <c r="J28" i="39"/>
  <c r="I28" i="39"/>
  <c r="H28" i="39"/>
  <c r="M27" i="39"/>
  <c r="L27" i="39"/>
  <c r="J27" i="39"/>
  <c r="I27" i="39"/>
  <c r="H27" i="39"/>
  <c r="M26" i="39"/>
  <c r="L26" i="39"/>
  <c r="J26" i="39"/>
  <c r="I26" i="39"/>
  <c r="H26" i="39"/>
  <c r="M25" i="39"/>
  <c r="L25" i="39"/>
  <c r="J25" i="39"/>
  <c r="I25" i="39"/>
  <c r="H25" i="39"/>
  <c r="M24" i="39"/>
  <c r="L24" i="39"/>
  <c r="J24" i="39"/>
  <c r="I24" i="39"/>
  <c r="H24" i="39"/>
  <c r="M23" i="39"/>
  <c r="L23" i="39"/>
  <c r="N23" i="39" s="1"/>
  <c r="J23" i="39"/>
  <c r="I23" i="39"/>
  <c r="H23" i="39"/>
  <c r="M22" i="39"/>
  <c r="L22" i="39"/>
  <c r="J22" i="39"/>
  <c r="I22" i="39"/>
  <c r="H22" i="39"/>
  <c r="M21" i="39"/>
  <c r="L21" i="39"/>
  <c r="J21" i="39"/>
  <c r="I21" i="39"/>
  <c r="H21" i="39"/>
  <c r="M20" i="39"/>
  <c r="L20" i="39"/>
  <c r="J20" i="39"/>
  <c r="I20" i="39"/>
  <c r="H20" i="39"/>
  <c r="C15" i="39"/>
  <c r="AC11" i="39"/>
  <c r="M8" i="39"/>
  <c r="L8" i="39"/>
  <c r="K8" i="39"/>
  <c r="J8" i="39"/>
  <c r="I8" i="39"/>
  <c r="H8" i="39"/>
  <c r="G8" i="39"/>
  <c r="CM767" i="5"/>
  <c r="CM768" i="5" s="1"/>
  <c r="CL767" i="5"/>
  <c r="CL768" i="5" s="1"/>
  <c r="CK767" i="5"/>
  <c r="CK768" i="5" s="1"/>
  <c r="M12" i="39" s="1"/>
  <c r="M40" i="39" s="1"/>
  <c r="CJ767" i="5"/>
  <c r="CJ768" i="5" s="1"/>
  <c r="CI767" i="5"/>
  <c r="CI768" i="5" s="1"/>
  <c r="CH767" i="5"/>
  <c r="CH768" i="5" s="1"/>
  <c r="CG767" i="5"/>
  <c r="CG768" i="5" s="1"/>
  <c r="CF767" i="5"/>
  <c r="CF768" i="5" s="1"/>
  <c r="CE767" i="5"/>
  <c r="CE768" i="5" s="1"/>
  <c r="CD767" i="5"/>
  <c r="CD768" i="5" s="1"/>
  <c r="CC767" i="5"/>
  <c r="CC768" i="5" s="1"/>
  <c r="CB767" i="5"/>
  <c r="CB768" i="5" s="1"/>
  <c r="CA767" i="5"/>
  <c r="CA768" i="5" s="1"/>
  <c r="J303" i="10" s="1"/>
  <c r="BZ767" i="5"/>
  <c r="BZ768" i="5" s="1"/>
  <c r="J301" i="10" s="1"/>
  <c r="BY767" i="5"/>
  <c r="BY768" i="5" s="1"/>
  <c r="BX767" i="5"/>
  <c r="BX768" i="5" s="1"/>
  <c r="BW767" i="5"/>
  <c r="BW768" i="5" s="1"/>
  <c r="BV767" i="5"/>
  <c r="BV768" i="5" s="1"/>
  <c r="BU767" i="5"/>
  <c r="BU768" i="5" s="1"/>
  <c r="BT767" i="5"/>
  <c r="BT768" i="5" s="1"/>
  <c r="BS767" i="5"/>
  <c r="BS768" i="5" s="1"/>
  <c r="BR767" i="5"/>
  <c r="BR768" i="5" s="1"/>
  <c r="BQ767" i="5"/>
  <c r="BQ768" i="5" s="1"/>
  <c r="BP767" i="5"/>
  <c r="BP768" i="5" s="1"/>
  <c r="BO767" i="5"/>
  <c r="BO768" i="5" s="1"/>
  <c r="BN767" i="5"/>
  <c r="BN768" i="5" s="1"/>
  <c r="BM767" i="5"/>
  <c r="BM768" i="5" s="1"/>
  <c r="G303" i="10" s="1"/>
  <c r="BL767" i="5"/>
  <c r="BL768" i="5" s="1"/>
  <c r="BK767" i="5"/>
  <c r="BK768" i="5" s="1"/>
  <c r="BJ767" i="5"/>
  <c r="BJ768" i="5" s="1"/>
  <c r="BI767" i="5"/>
  <c r="BI768" i="5" s="1"/>
  <c r="BH767" i="5"/>
  <c r="BH768" i="5" s="1"/>
  <c r="BG767" i="5"/>
  <c r="BG768" i="5" s="1"/>
  <c r="BF767" i="5"/>
  <c r="BF768" i="5" s="1"/>
  <c r="BE767" i="5"/>
  <c r="BE768" i="5" s="1"/>
  <c r="BD767" i="5"/>
  <c r="BD768" i="5" s="1"/>
  <c r="BC767" i="5"/>
  <c r="BC768" i="5" s="1"/>
  <c r="H12" i="39" s="1"/>
  <c r="H40" i="39" s="1"/>
  <c r="BB767" i="5"/>
  <c r="BB768" i="5" s="1"/>
  <c r="H10" i="39" s="1"/>
  <c r="BA767" i="5"/>
  <c r="BA768" i="5" s="1"/>
  <c r="AZ767" i="5"/>
  <c r="AZ768" i="5" s="1"/>
  <c r="AY767" i="5"/>
  <c r="AY768" i="5" s="1"/>
  <c r="AX767" i="5"/>
  <c r="AX768" i="5" s="1"/>
  <c r="AW767" i="5"/>
  <c r="AW768" i="5" s="1"/>
  <c r="AV767" i="5"/>
  <c r="AV768" i="5" s="1"/>
  <c r="AU767" i="5"/>
  <c r="AU768" i="5" s="1"/>
  <c r="AT767" i="5"/>
  <c r="AT768" i="5" s="1"/>
  <c r="AS767" i="5"/>
  <c r="AS768" i="5" s="1"/>
  <c r="A295" i="10"/>
  <c r="K288" i="10"/>
  <c r="J288" i="10"/>
  <c r="I288" i="10"/>
  <c r="H288" i="10"/>
  <c r="G288" i="10"/>
  <c r="F288" i="10"/>
  <c r="E288" i="10"/>
  <c r="C80" i="38"/>
  <c r="J79" i="38"/>
  <c r="J78" i="38"/>
  <c r="J77" i="38"/>
  <c r="C75" i="38"/>
  <c r="I74" i="38"/>
  <c r="J74" i="38" s="1"/>
  <c r="E73" i="38"/>
  <c r="E72" i="38"/>
  <c r="I71" i="38"/>
  <c r="J71" i="38" s="1"/>
  <c r="J70" i="38"/>
  <c r="C67" i="38"/>
  <c r="J66" i="38"/>
  <c r="I66" i="38"/>
  <c r="H66" i="38"/>
  <c r="G66" i="38"/>
  <c r="N64" i="38"/>
  <c r="J64" i="38"/>
  <c r="N63" i="38"/>
  <c r="H63" i="38"/>
  <c r="G63" i="38" s="1"/>
  <c r="I63" i="38" s="1"/>
  <c r="N62" i="38"/>
  <c r="J62" i="38"/>
  <c r="C60" i="38"/>
  <c r="N59" i="38"/>
  <c r="J59" i="38"/>
  <c r="N58" i="38"/>
  <c r="J58" i="38"/>
  <c r="C56" i="38"/>
  <c r="N55" i="38"/>
  <c r="J55" i="38"/>
  <c r="J54" i="38"/>
  <c r="F51" i="38"/>
  <c r="E51" i="38"/>
  <c r="C51" i="38"/>
  <c r="M50" i="38"/>
  <c r="L50" i="38"/>
  <c r="K50" i="38"/>
  <c r="J50" i="38"/>
  <c r="I50" i="38"/>
  <c r="H50" i="38"/>
  <c r="G50" i="38"/>
  <c r="C40" i="38"/>
  <c r="M39" i="38"/>
  <c r="L39" i="38"/>
  <c r="H39" i="38"/>
  <c r="F39" i="38"/>
  <c r="C39" i="38"/>
  <c r="C38" i="38"/>
  <c r="M35" i="38"/>
  <c r="L35" i="38"/>
  <c r="J35" i="38"/>
  <c r="I35" i="38"/>
  <c r="H35" i="38"/>
  <c r="M34" i="38"/>
  <c r="L34" i="38"/>
  <c r="N34" i="38" s="1"/>
  <c r="J34" i="38"/>
  <c r="I34" i="38"/>
  <c r="H34" i="38"/>
  <c r="M33" i="38"/>
  <c r="L33" i="38"/>
  <c r="J33" i="38"/>
  <c r="I33" i="38"/>
  <c r="H33" i="38"/>
  <c r="M32" i="38"/>
  <c r="L32" i="38"/>
  <c r="J32" i="38"/>
  <c r="I32" i="38"/>
  <c r="H32" i="38"/>
  <c r="M30" i="38"/>
  <c r="L30" i="38"/>
  <c r="J30" i="38"/>
  <c r="I30" i="38"/>
  <c r="H30" i="38"/>
  <c r="M29" i="38"/>
  <c r="L29" i="38"/>
  <c r="J29" i="38"/>
  <c r="I29" i="38"/>
  <c r="H29" i="38"/>
  <c r="M28" i="38"/>
  <c r="L28" i="38"/>
  <c r="J28" i="38"/>
  <c r="I28" i="38"/>
  <c r="H28" i="38"/>
  <c r="M27" i="38"/>
  <c r="L27" i="38"/>
  <c r="J27" i="38"/>
  <c r="I27" i="38"/>
  <c r="H27" i="38"/>
  <c r="M26" i="38"/>
  <c r="L26" i="38"/>
  <c r="J26" i="38"/>
  <c r="I26" i="38"/>
  <c r="H26" i="38"/>
  <c r="M25" i="38"/>
  <c r="L25" i="38"/>
  <c r="N25" i="38" s="1"/>
  <c r="J25" i="38"/>
  <c r="I25" i="38"/>
  <c r="H25" i="38"/>
  <c r="M24" i="38"/>
  <c r="L24" i="38"/>
  <c r="J24" i="38"/>
  <c r="I24" i="38"/>
  <c r="H24" i="38"/>
  <c r="M23" i="38"/>
  <c r="L23" i="38"/>
  <c r="J23" i="38"/>
  <c r="I23" i="38"/>
  <c r="H23" i="38"/>
  <c r="M22" i="38"/>
  <c r="L22" i="38"/>
  <c r="J22" i="38"/>
  <c r="I22" i="38"/>
  <c r="H22" i="38"/>
  <c r="M21" i="38"/>
  <c r="L21" i="38"/>
  <c r="J21" i="38"/>
  <c r="I21" i="38"/>
  <c r="H21" i="38"/>
  <c r="M20" i="38"/>
  <c r="L20" i="38"/>
  <c r="J20" i="38"/>
  <c r="I20" i="38"/>
  <c r="H20" i="38"/>
  <c r="C15" i="38"/>
  <c r="AC11" i="38"/>
  <c r="M8" i="38"/>
  <c r="L8" i="38"/>
  <c r="K8" i="38"/>
  <c r="J8" i="38"/>
  <c r="I8" i="38"/>
  <c r="H8" i="38"/>
  <c r="G8" i="38"/>
  <c r="CM764" i="5"/>
  <c r="CL764" i="5"/>
  <c r="CK764" i="5"/>
  <c r="CJ764" i="5"/>
  <c r="CI764" i="5"/>
  <c r="CH764" i="5"/>
  <c r="CG764" i="5"/>
  <c r="CF764" i="5"/>
  <c r="CE764" i="5"/>
  <c r="CD764" i="5"/>
  <c r="CC764" i="5"/>
  <c r="CB764" i="5"/>
  <c r="CA764" i="5"/>
  <c r="BZ764" i="5"/>
  <c r="BY764" i="5"/>
  <c r="BX764" i="5"/>
  <c r="BW764" i="5"/>
  <c r="BV764" i="5"/>
  <c r="BU764" i="5"/>
  <c r="BT764" i="5"/>
  <c r="BS764" i="5"/>
  <c r="BR764" i="5"/>
  <c r="BQ764" i="5"/>
  <c r="BP764" i="5"/>
  <c r="BO764" i="5"/>
  <c r="BN764" i="5"/>
  <c r="BM764" i="5"/>
  <c r="BL764" i="5"/>
  <c r="BK764" i="5"/>
  <c r="BJ764" i="5"/>
  <c r="BI764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284" i="10"/>
  <c r="K277" i="10"/>
  <c r="J277" i="10"/>
  <c r="I277" i="10"/>
  <c r="H277" i="10"/>
  <c r="G277" i="10"/>
  <c r="F277" i="10"/>
  <c r="E277" i="10"/>
  <c r="C80" i="37"/>
  <c r="J79" i="37"/>
  <c r="J78" i="37"/>
  <c r="J77" i="37"/>
  <c r="C75" i="37"/>
  <c r="I74" i="37"/>
  <c r="J74" i="37" s="1"/>
  <c r="E73" i="37"/>
  <c r="E72" i="37"/>
  <c r="I71" i="37"/>
  <c r="J71" i="37" s="1"/>
  <c r="J70" i="37"/>
  <c r="C67" i="37"/>
  <c r="J66" i="37"/>
  <c r="I66" i="37"/>
  <c r="H66" i="37"/>
  <c r="G66" i="37"/>
  <c r="N64" i="37"/>
  <c r="J64" i="37"/>
  <c r="N63" i="37"/>
  <c r="H63" i="37"/>
  <c r="G63" i="37" s="1"/>
  <c r="I63" i="37" s="1"/>
  <c r="N62" i="37"/>
  <c r="J62" i="37"/>
  <c r="C60" i="37"/>
  <c r="N59" i="37"/>
  <c r="J59" i="37"/>
  <c r="N58" i="37"/>
  <c r="J58" i="37"/>
  <c r="C56" i="37"/>
  <c r="N55" i="37"/>
  <c r="J55" i="37"/>
  <c r="J54" i="37"/>
  <c r="F51" i="37"/>
  <c r="E51" i="37"/>
  <c r="C51" i="37"/>
  <c r="M50" i="37"/>
  <c r="L50" i="37"/>
  <c r="K50" i="37"/>
  <c r="J50" i="37"/>
  <c r="I50" i="37"/>
  <c r="H50" i="37"/>
  <c r="G50" i="37"/>
  <c r="C40" i="37"/>
  <c r="M39" i="37"/>
  <c r="L39" i="37"/>
  <c r="H39" i="37"/>
  <c r="F39" i="37"/>
  <c r="C39" i="37"/>
  <c r="C38" i="37"/>
  <c r="M35" i="37"/>
  <c r="L35" i="37"/>
  <c r="J35" i="37"/>
  <c r="I35" i="37"/>
  <c r="H35" i="37"/>
  <c r="M34" i="37"/>
  <c r="L34" i="37"/>
  <c r="J34" i="37"/>
  <c r="I34" i="37"/>
  <c r="H34" i="37"/>
  <c r="M33" i="37"/>
  <c r="L33" i="37"/>
  <c r="J33" i="37"/>
  <c r="I33" i="37"/>
  <c r="H33" i="37"/>
  <c r="M32" i="37"/>
  <c r="L32" i="37"/>
  <c r="J32" i="37"/>
  <c r="I32" i="37"/>
  <c r="H32" i="37"/>
  <c r="M30" i="37"/>
  <c r="L30" i="37"/>
  <c r="J30" i="37"/>
  <c r="I30" i="37"/>
  <c r="H30" i="37"/>
  <c r="M29" i="37"/>
  <c r="L29" i="37"/>
  <c r="J29" i="37"/>
  <c r="I29" i="37"/>
  <c r="H29" i="37"/>
  <c r="M28" i="37"/>
  <c r="L28" i="37"/>
  <c r="J28" i="37"/>
  <c r="I28" i="37"/>
  <c r="H28" i="37"/>
  <c r="M27" i="37"/>
  <c r="L27" i="37"/>
  <c r="J27" i="37"/>
  <c r="I27" i="37"/>
  <c r="H27" i="37"/>
  <c r="M26" i="37"/>
  <c r="L26" i="37"/>
  <c r="J26" i="37"/>
  <c r="I26" i="37"/>
  <c r="H26" i="37"/>
  <c r="M25" i="37"/>
  <c r="L25" i="37"/>
  <c r="J25" i="37"/>
  <c r="I25" i="37"/>
  <c r="H25" i="37"/>
  <c r="M24" i="37"/>
  <c r="L24" i="37"/>
  <c r="J24" i="37"/>
  <c r="I24" i="37"/>
  <c r="H24" i="37"/>
  <c r="M23" i="37"/>
  <c r="L23" i="37"/>
  <c r="J23" i="37"/>
  <c r="I23" i="37"/>
  <c r="H23" i="37"/>
  <c r="M22" i="37"/>
  <c r="L22" i="37"/>
  <c r="J22" i="37"/>
  <c r="I22" i="37"/>
  <c r="H22" i="37"/>
  <c r="M21" i="37"/>
  <c r="L21" i="37"/>
  <c r="J21" i="37"/>
  <c r="I21" i="37"/>
  <c r="H21" i="37"/>
  <c r="M20" i="37"/>
  <c r="L20" i="37"/>
  <c r="J20" i="37"/>
  <c r="I20" i="37"/>
  <c r="H20" i="37"/>
  <c r="C15" i="37"/>
  <c r="AC11" i="37"/>
  <c r="M8" i="37"/>
  <c r="L8" i="37"/>
  <c r="K8" i="37"/>
  <c r="J8" i="37"/>
  <c r="I8" i="37"/>
  <c r="H8" i="37"/>
  <c r="G8" i="37"/>
  <c r="CM758" i="5"/>
  <c r="CM759" i="5" s="1"/>
  <c r="CL758" i="5"/>
  <c r="CL759" i="5" s="1"/>
  <c r="CK758" i="5"/>
  <c r="CK759" i="5" s="1"/>
  <c r="M12" i="37" s="1"/>
  <c r="CJ758" i="5"/>
  <c r="CJ759" i="5" s="1"/>
  <c r="CI758" i="5"/>
  <c r="CI759" i="5" s="1"/>
  <c r="CH758" i="5"/>
  <c r="CH759" i="5" s="1"/>
  <c r="CG758" i="5"/>
  <c r="CG759" i="5" s="1"/>
  <c r="CF758" i="5"/>
  <c r="CF759" i="5" s="1"/>
  <c r="CE758" i="5"/>
  <c r="CE759" i="5" s="1"/>
  <c r="CD758" i="5"/>
  <c r="CD759" i="5" s="1"/>
  <c r="CC758" i="5"/>
  <c r="CC759" i="5" s="1"/>
  <c r="CB758" i="5"/>
  <c r="CB759" i="5" s="1"/>
  <c r="CA758" i="5"/>
  <c r="CA759" i="5" s="1"/>
  <c r="L12" i="37" s="1"/>
  <c r="BZ758" i="5"/>
  <c r="BZ759" i="5" s="1"/>
  <c r="L10" i="37" s="1"/>
  <c r="BY758" i="5"/>
  <c r="BY759" i="5" s="1"/>
  <c r="BX758" i="5"/>
  <c r="BX759" i="5" s="1"/>
  <c r="BW758" i="5"/>
  <c r="BW759" i="5" s="1"/>
  <c r="BV758" i="5"/>
  <c r="BV759" i="5" s="1"/>
  <c r="BU758" i="5"/>
  <c r="BU759" i="5" s="1"/>
  <c r="BT758" i="5"/>
  <c r="BT759" i="5" s="1"/>
  <c r="BS758" i="5"/>
  <c r="BS759" i="5" s="1"/>
  <c r="BR758" i="5"/>
  <c r="BR759" i="5" s="1"/>
  <c r="BQ758" i="5"/>
  <c r="BQ759" i="5" s="1"/>
  <c r="BP758" i="5"/>
  <c r="BP759" i="5" s="1"/>
  <c r="BO758" i="5"/>
  <c r="BO759" i="5" s="1"/>
  <c r="BN758" i="5"/>
  <c r="BN759" i="5" s="1"/>
  <c r="BM758" i="5"/>
  <c r="BM759" i="5" s="1"/>
  <c r="I12" i="37" s="1"/>
  <c r="BL758" i="5"/>
  <c r="BL759" i="5" s="1"/>
  <c r="BK758" i="5"/>
  <c r="BK759" i="5" s="1"/>
  <c r="BJ758" i="5"/>
  <c r="BJ759" i="5" s="1"/>
  <c r="BI758" i="5"/>
  <c r="BI759" i="5" s="1"/>
  <c r="BH758" i="5"/>
  <c r="BH759" i="5" s="1"/>
  <c r="BG758" i="5"/>
  <c r="BG759" i="5" s="1"/>
  <c r="BF758" i="5"/>
  <c r="BF759" i="5" s="1"/>
  <c r="BE758" i="5"/>
  <c r="BE759" i="5" s="1"/>
  <c r="BD758" i="5"/>
  <c r="BD759" i="5" s="1"/>
  <c r="BC758" i="5"/>
  <c r="BC759" i="5" s="1"/>
  <c r="F281" i="10" s="1"/>
  <c r="BB758" i="5"/>
  <c r="BB759" i="5" s="1"/>
  <c r="F279" i="10" s="1"/>
  <c r="BA758" i="5"/>
  <c r="BA759" i="5" s="1"/>
  <c r="AZ758" i="5"/>
  <c r="AZ759" i="5" s="1"/>
  <c r="AY758" i="5"/>
  <c r="AY759" i="5" s="1"/>
  <c r="AX758" i="5"/>
  <c r="AX759" i="5" s="1"/>
  <c r="AW758" i="5"/>
  <c r="AW759" i="5" s="1"/>
  <c r="AV758" i="5"/>
  <c r="AV759" i="5" s="1"/>
  <c r="AU758" i="5"/>
  <c r="AU759" i="5" s="1"/>
  <c r="AT758" i="5"/>
  <c r="AT759" i="5" s="1"/>
  <c r="AS758" i="5"/>
  <c r="AS759" i="5" s="1"/>
  <c r="A273" i="10"/>
  <c r="K266" i="10"/>
  <c r="J266" i="10"/>
  <c r="I266" i="10"/>
  <c r="H266" i="10"/>
  <c r="G266" i="10"/>
  <c r="F266" i="10"/>
  <c r="E266" i="10"/>
  <c r="C80" i="36"/>
  <c r="J79" i="36"/>
  <c r="J78" i="36"/>
  <c r="J77" i="36"/>
  <c r="C75" i="36"/>
  <c r="I74" i="36"/>
  <c r="J74" i="36" s="1"/>
  <c r="E73" i="36"/>
  <c r="E72" i="36"/>
  <c r="I71" i="36"/>
  <c r="J71" i="36" s="1"/>
  <c r="J70" i="36"/>
  <c r="C67" i="36"/>
  <c r="J66" i="36"/>
  <c r="I66" i="36"/>
  <c r="H66" i="36"/>
  <c r="G66" i="36"/>
  <c r="N64" i="36"/>
  <c r="J64" i="36"/>
  <c r="N63" i="36"/>
  <c r="H63" i="36"/>
  <c r="G63" i="36" s="1"/>
  <c r="I63" i="36" s="1"/>
  <c r="N62" i="36"/>
  <c r="J62" i="36"/>
  <c r="C60" i="36"/>
  <c r="N59" i="36"/>
  <c r="J59" i="36"/>
  <c r="N58" i="36"/>
  <c r="J58" i="36"/>
  <c r="C56" i="36"/>
  <c r="N55" i="36"/>
  <c r="J55" i="36"/>
  <c r="J54" i="36"/>
  <c r="F51" i="36"/>
  <c r="E51" i="36"/>
  <c r="C51" i="36"/>
  <c r="M50" i="36"/>
  <c r="L50" i="36"/>
  <c r="K50" i="36"/>
  <c r="J50" i="36"/>
  <c r="I50" i="36"/>
  <c r="H50" i="36"/>
  <c r="G50" i="36"/>
  <c r="C40" i="36"/>
  <c r="M39" i="36"/>
  <c r="L39" i="36"/>
  <c r="H39" i="36"/>
  <c r="F39" i="36"/>
  <c r="C39" i="36"/>
  <c r="C38" i="36"/>
  <c r="M35" i="36"/>
  <c r="L35" i="36"/>
  <c r="J35" i="36"/>
  <c r="I35" i="36"/>
  <c r="H35" i="36"/>
  <c r="M34" i="36"/>
  <c r="L34" i="36"/>
  <c r="J34" i="36"/>
  <c r="I34" i="36"/>
  <c r="H34" i="36"/>
  <c r="M33" i="36"/>
  <c r="L33" i="36"/>
  <c r="J33" i="36"/>
  <c r="I33" i="36"/>
  <c r="H33" i="36"/>
  <c r="M32" i="36"/>
  <c r="L32" i="36"/>
  <c r="J32" i="36"/>
  <c r="I32" i="36"/>
  <c r="H32" i="36"/>
  <c r="M30" i="36"/>
  <c r="L30" i="36"/>
  <c r="J30" i="36"/>
  <c r="I30" i="36"/>
  <c r="H30" i="36"/>
  <c r="M29" i="36"/>
  <c r="L29" i="36"/>
  <c r="J29" i="36"/>
  <c r="I29" i="36"/>
  <c r="H29" i="36"/>
  <c r="M28" i="36"/>
  <c r="L28" i="36"/>
  <c r="J28" i="36"/>
  <c r="I28" i="36"/>
  <c r="H28" i="36"/>
  <c r="M27" i="36"/>
  <c r="L27" i="36"/>
  <c r="J27" i="36"/>
  <c r="I27" i="36"/>
  <c r="H27" i="36"/>
  <c r="M26" i="36"/>
  <c r="L26" i="36"/>
  <c r="J26" i="36"/>
  <c r="I26" i="36"/>
  <c r="H26" i="36"/>
  <c r="M25" i="36"/>
  <c r="L25" i="36"/>
  <c r="J25" i="36"/>
  <c r="I25" i="36"/>
  <c r="H25" i="36"/>
  <c r="M24" i="36"/>
  <c r="L24" i="36"/>
  <c r="J24" i="36"/>
  <c r="I24" i="36"/>
  <c r="H24" i="36"/>
  <c r="M23" i="36"/>
  <c r="L23" i="36"/>
  <c r="J23" i="36"/>
  <c r="I23" i="36"/>
  <c r="H23" i="36"/>
  <c r="M22" i="36"/>
  <c r="L22" i="36"/>
  <c r="J22" i="36"/>
  <c r="I22" i="36"/>
  <c r="H22" i="36"/>
  <c r="M21" i="36"/>
  <c r="L21" i="36"/>
  <c r="J21" i="36"/>
  <c r="I21" i="36"/>
  <c r="H21" i="36"/>
  <c r="M20" i="36"/>
  <c r="L20" i="36"/>
  <c r="J20" i="36"/>
  <c r="I20" i="36"/>
  <c r="H20" i="36"/>
  <c r="C15" i="36"/>
  <c r="AC11" i="36"/>
  <c r="M8" i="36"/>
  <c r="L8" i="36"/>
  <c r="K8" i="36"/>
  <c r="J8" i="36"/>
  <c r="I8" i="36"/>
  <c r="H8" i="36"/>
  <c r="G8" i="36"/>
  <c r="A262" i="10"/>
  <c r="K255" i="10"/>
  <c r="J255" i="10"/>
  <c r="I255" i="10"/>
  <c r="H255" i="10"/>
  <c r="G255" i="10"/>
  <c r="F255" i="10"/>
  <c r="E255" i="10"/>
  <c r="C80" i="35"/>
  <c r="J79" i="35"/>
  <c r="J78" i="35"/>
  <c r="J77" i="35"/>
  <c r="C75" i="35"/>
  <c r="I74" i="35"/>
  <c r="J74" i="35" s="1"/>
  <c r="E73" i="35"/>
  <c r="E72" i="35"/>
  <c r="I71" i="35"/>
  <c r="J71" i="35" s="1"/>
  <c r="J70" i="35"/>
  <c r="C67" i="35"/>
  <c r="J66" i="35"/>
  <c r="I66" i="35"/>
  <c r="H66" i="35"/>
  <c r="G66" i="35"/>
  <c r="N64" i="35"/>
  <c r="J64" i="35"/>
  <c r="N63" i="35"/>
  <c r="H63" i="35"/>
  <c r="G63" i="35" s="1"/>
  <c r="I63" i="35" s="1"/>
  <c r="N62" i="35"/>
  <c r="J62" i="35"/>
  <c r="C60" i="35"/>
  <c r="N59" i="35"/>
  <c r="J59" i="35"/>
  <c r="N58" i="35"/>
  <c r="J58" i="35"/>
  <c r="C56" i="35"/>
  <c r="N55" i="35"/>
  <c r="J55" i="35"/>
  <c r="J54" i="35"/>
  <c r="F51" i="35"/>
  <c r="F52" i="35" s="1"/>
  <c r="F56" i="35" s="1"/>
  <c r="F60" i="35" s="1"/>
  <c r="E51" i="35"/>
  <c r="C51" i="35"/>
  <c r="M50" i="35"/>
  <c r="L50" i="35"/>
  <c r="K50" i="35"/>
  <c r="J50" i="35"/>
  <c r="I50" i="35"/>
  <c r="H50" i="35"/>
  <c r="G50" i="35"/>
  <c r="C40" i="35"/>
  <c r="M39" i="35"/>
  <c r="L39" i="35"/>
  <c r="H39" i="35"/>
  <c r="F39" i="35"/>
  <c r="C39" i="35"/>
  <c r="C38" i="35"/>
  <c r="M35" i="35"/>
  <c r="L35" i="35"/>
  <c r="J35" i="35"/>
  <c r="I35" i="35"/>
  <c r="H35" i="35"/>
  <c r="M34" i="35"/>
  <c r="L34" i="35"/>
  <c r="J34" i="35"/>
  <c r="I34" i="35"/>
  <c r="H34" i="35"/>
  <c r="M33" i="35"/>
  <c r="L33" i="35"/>
  <c r="J33" i="35"/>
  <c r="I33" i="35"/>
  <c r="H33" i="35"/>
  <c r="M32" i="35"/>
  <c r="L32" i="35"/>
  <c r="J32" i="35"/>
  <c r="I32" i="35"/>
  <c r="H32" i="35"/>
  <c r="M30" i="35"/>
  <c r="L30" i="35"/>
  <c r="J30" i="35"/>
  <c r="I30" i="35"/>
  <c r="H30" i="35"/>
  <c r="M29" i="35"/>
  <c r="L29" i="35"/>
  <c r="J29" i="35"/>
  <c r="I29" i="35"/>
  <c r="H29" i="35"/>
  <c r="M28" i="35"/>
  <c r="L28" i="35"/>
  <c r="J28" i="35"/>
  <c r="I28" i="35"/>
  <c r="H28" i="35"/>
  <c r="M27" i="35"/>
  <c r="L27" i="35"/>
  <c r="J27" i="35"/>
  <c r="I27" i="35"/>
  <c r="H27" i="35"/>
  <c r="M26" i="35"/>
  <c r="L26" i="35"/>
  <c r="J26" i="35"/>
  <c r="I26" i="35"/>
  <c r="H26" i="35"/>
  <c r="M25" i="35"/>
  <c r="L25" i="35"/>
  <c r="J25" i="35"/>
  <c r="I25" i="35"/>
  <c r="H25" i="35"/>
  <c r="M24" i="35"/>
  <c r="L24" i="35"/>
  <c r="J24" i="35"/>
  <c r="I24" i="35"/>
  <c r="H24" i="35"/>
  <c r="M23" i="35"/>
  <c r="L23" i="35"/>
  <c r="J23" i="35"/>
  <c r="I23" i="35"/>
  <c r="H23" i="35"/>
  <c r="M22" i="35"/>
  <c r="L22" i="35"/>
  <c r="J22" i="35"/>
  <c r="I22" i="35"/>
  <c r="H22" i="35"/>
  <c r="M21" i="35"/>
  <c r="L21" i="35"/>
  <c r="J21" i="35"/>
  <c r="I21" i="35"/>
  <c r="H21" i="35"/>
  <c r="M20" i="35"/>
  <c r="L20" i="35"/>
  <c r="J20" i="35"/>
  <c r="I20" i="35"/>
  <c r="H20" i="35"/>
  <c r="C15" i="35"/>
  <c r="AC11" i="35"/>
  <c r="M8" i="35"/>
  <c r="L8" i="35"/>
  <c r="K8" i="35"/>
  <c r="J8" i="35"/>
  <c r="I8" i="35"/>
  <c r="H8" i="35"/>
  <c r="G8" i="35"/>
  <c r="A251" i="10"/>
  <c r="K244" i="10"/>
  <c r="J244" i="10"/>
  <c r="I244" i="10"/>
  <c r="H244" i="10"/>
  <c r="G244" i="10"/>
  <c r="F244" i="10"/>
  <c r="E244" i="10"/>
  <c r="C80" i="34"/>
  <c r="J79" i="34"/>
  <c r="J78" i="34"/>
  <c r="J77" i="34"/>
  <c r="C75" i="34"/>
  <c r="I74" i="34"/>
  <c r="J74" i="34" s="1"/>
  <c r="E73" i="34"/>
  <c r="E72" i="34"/>
  <c r="I71" i="34"/>
  <c r="J71" i="34" s="1"/>
  <c r="J70" i="34"/>
  <c r="C67" i="34"/>
  <c r="J66" i="34"/>
  <c r="I66" i="34"/>
  <c r="H66" i="34"/>
  <c r="G66" i="34"/>
  <c r="N64" i="34"/>
  <c r="J64" i="34"/>
  <c r="N63" i="34"/>
  <c r="H63" i="34"/>
  <c r="G63" i="34" s="1"/>
  <c r="I63" i="34" s="1"/>
  <c r="N62" i="34"/>
  <c r="J62" i="34"/>
  <c r="C60" i="34"/>
  <c r="N59" i="34"/>
  <c r="J59" i="34"/>
  <c r="N58" i="34"/>
  <c r="J58" i="34"/>
  <c r="C56" i="34"/>
  <c r="N55" i="34"/>
  <c r="J55" i="34"/>
  <c r="J54" i="34"/>
  <c r="F51" i="34"/>
  <c r="E51" i="34"/>
  <c r="C51" i="34"/>
  <c r="M50" i="34"/>
  <c r="L50" i="34"/>
  <c r="K50" i="34"/>
  <c r="J50" i="34"/>
  <c r="I50" i="34"/>
  <c r="H50" i="34"/>
  <c r="G50" i="34"/>
  <c r="C40" i="34"/>
  <c r="M39" i="34"/>
  <c r="L39" i="34"/>
  <c r="H39" i="34"/>
  <c r="F39" i="34"/>
  <c r="C39" i="34"/>
  <c r="C38" i="34"/>
  <c r="M35" i="34"/>
  <c r="L35" i="34"/>
  <c r="J35" i="34"/>
  <c r="I35" i="34"/>
  <c r="H35" i="34"/>
  <c r="M34" i="34"/>
  <c r="L34" i="34"/>
  <c r="J34" i="34"/>
  <c r="I34" i="34"/>
  <c r="H34" i="34"/>
  <c r="M33" i="34"/>
  <c r="L33" i="34"/>
  <c r="J33" i="34"/>
  <c r="I33" i="34"/>
  <c r="H33" i="34"/>
  <c r="M32" i="34"/>
  <c r="L32" i="34"/>
  <c r="J32" i="34"/>
  <c r="I32" i="34"/>
  <c r="H32" i="34"/>
  <c r="M30" i="34"/>
  <c r="L30" i="34"/>
  <c r="J30" i="34"/>
  <c r="I30" i="34"/>
  <c r="H30" i="34"/>
  <c r="M29" i="34"/>
  <c r="L29" i="34"/>
  <c r="J29" i="34"/>
  <c r="I29" i="34"/>
  <c r="H29" i="34"/>
  <c r="M28" i="34"/>
  <c r="L28" i="34"/>
  <c r="J28" i="34"/>
  <c r="I28" i="34"/>
  <c r="H28" i="34"/>
  <c r="M27" i="34"/>
  <c r="L27" i="34"/>
  <c r="J27" i="34"/>
  <c r="I27" i="34"/>
  <c r="H27" i="34"/>
  <c r="M26" i="34"/>
  <c r="L26" i="34"/>
  <c r="J26" i="34"/>
  <c r="I26" i="34"/>
  <c r="H26" i="34"/>
  <c r="M25" i="34"/>
  <c r="L25" i="34"/>
  <c r="J25" i="34"/>
  <c r="I25" i="34"/>
  <c r="H25" i="34"/>
  <c r="M24" i="34"/>
  <c r="L24" i="34"/>
  <c r="J24" i="34"/>
  <c r="I24" i="34"/>
  <c r="H24" i="34"/>
  <c r="M23" i="34"/>
  <c r="L23" i="34"/>
  <c r="J23" i="34"/>
  <c r="I23" i="34"/>
  <c r="H23" i="34"/>
  <c r="M22" i="34"/>
  <c r="L22" i="34"/>
  <c r="J22" i="34"/>
  <c r="I22" i="34"/>
  <c r="H22" i="34"/>
  <c r="M21" i="34"/>
  <c r="L21" i="34"/>
  <c r="J21" i="34"/>
  <c r="I21" i="34"/>
  <c r="H21" i="34"/>
  <c r="M20" i="34"/>
  <c r="L20" i="34"/>
  <c r="J20" i="34"/>
  <c r="I20" i="34"/>
  <c r="H20" i="34"/>
  <c r="C15" i="34"/>
  <c r="AC11" i="34"/>
  <c r="M8" i="34"/>
  <c r="L8" i="34"/>
  <c r="K8" i="34"/>
  <c r="J8" i="34"/>
  <c r="I8" i="34"/>
  <c r="H8" i="34"/>
  <c r="G8" i="34"/>
  <c r="A240" i="10"/>
  <c r="K233" i="10"/>
  <c r="J233" i="10"/>
  <c r="I233" i="10"/>
  <c r="H233" i="10"/>
  <c r="G233" i="10"/>
  <c r="F233" i="10"/>
  <c r="E233" i="10"/>
  <c r="C80" i="33"/>
  <c r="J79" i="33"/>
  <c r="J78" i="33"/>
  <c r="J77" i="33"/>
  <c r="C75" i="33"/>
  <c r="I74" i="33"/>
  <c r="J74" i="33" s="1"/>
  <c r="E73" i="33"/>
  <c r="E72" i="33"/>
  <c r="I71" i="33"/>
  <c r="J71" i="33" s="1"/>
  <c r="J70" i="33"/>
  <c r="C67" i="33"/>
  <c r="J66" i="33"/>
  <c r="I66" i="33"/>
  <c r="H66" i="33"/>
  <c r="G66" i="33"/>
  <c r="N64" i="33"/>
  <c r="J64" i="33"/>
  <c r="N63" i="33"/>
  <c r="H63" i="33"/>
  <c r="G63" i="33" s="1"/>
  <c r="I63" i="33" s="1"/>
  <c r="N62" i="33"/>
  <c r="J62" i="33"/>
  <c r="C60" i="33"/>
  <c r="N59" i="33"/>
  <c r="J59" i="33"/>
  <c r="N58" i="33"/>
  <c r="J58" i="33"/>
  <c r="C56" i="33"/>
  <c r="N55" i="33"/>
  <c r="J55" i="33"/>
  <c r="J54" i="33"/>
  <c r="F51" i="33"/>
  <c r="E51" i="33"/>
  <c r="C51" i="33"/>
  <c r="M50" i="33"/>
  <c r="L50" i="33"/>
  <c r="K50" i="33"/>
  <c r="J50" i="33"/>
  <c r="I50" i="33"/>
  <c r="H50" i="33"/>
  <c r="G50" i="33"/>
  <c r="C40" i="33"/>
  <c r="M39" i="33"/>
  <c r="L39" i="33"/>
  <c r="H39" i="33"/>
  <c r="F39" i="33"/>
  <c r="C39" i="33"/>
  <c r="C38" i="33"/>
  <c r="M35" i="33"/>
  <c r="L35" i="33"/>
  <c r="J35" i="33"/>
  <c r="I35" i="33"/>
  <c r="H35" i="33"/>
  <c r="M34" i="33"/>
  <c r="L34" i="33"/>
  <c r="J34" i="33"/>
  <c r="I34" i="33"/>
  <c r="H34" i="33"/>
  <c r="M33" i="33"/>
  <c r="L33" i="33"/>
  <c r="J33" i="33"/>
  <c r="I33" i="33"/>
  <c r="H33" i="33"/>
  <c r="M32" i="33"/>
  <c r="L32" i="33"/>
  <c r="J32" i="33"/>
  <c r="I32" i="33"/>
  <c r="H32" i="33"/>
  <c r="M30" i="33"/>
  <c r="L30" i="33"/>
  <c r="J30" i="33"/>
  <c r="I30" i="33"/>
  <c r="H30" i="33"/>
  <c r="M29" i="33"/>
  <c r="L29" i="33"/>
  <c r="J29" i="33"/>
  <c r="I29" i="33"/>
  <c r="H29" i="33"/>
  <c r="M28" i="33"/>
  <c r="L28" i="33"/>
  <c r="J28" i="33"/>
  <c r="I28" i="33"/>
  <c r="H28" i="33"/>
  <c r="M27" i="33"/>
  <c r="L27" i="33"/>
  <c r="J27" i="33"/>
  <c r="I27" i="33"/>
  <c r="H27" i="33"/>
  <c r="M26" i="33"/>
  <c r="L26" i="33"/>
  <c r="J26" i="33"/>
  <c r="I26" i="33"/>
  <c r="H26" i="33"/>
  <c r="M25" i="33"/>
  <c r="L25" i="33"/>
  <c r="J25" i="33"/>
  <c r="I25" i="33"/>
  <c r="H25" i="33"/>
  <c r="M24" i="33"/>
  <c r="L24" i="33"/>
  <c r="J24" i="33"/>
  <c r="I24" i="33"/>
  <c r="H24" i="33"/>
  <c r="M23" i="33"/>
  <c r="L23" i="33"/>
  <c r="J23" i="33"/>
  <c r="I23" i="33"/>
  <c r="H23" i="33"/>
  <c r="M22" i="33"/>
  <c r="L22" i="33"/>
  <c r="J22" i="33"/>
  <c r="I22" i="33"/>
  <c r="H22" i="33"/>
  <c r="M21" i="33"/>
  <c r="L21" i="33"/>
  <c r="J21" i="33"/>
  <c r="I21" i="33"/>
  <c r="H21" i="33"/>
  <c r="M20" i="33"/>
  <c r="L20" i="33"/>
  <c r="J20" i="33"/>
  <c r="I20" i="33"/>
  <c r="H20" i="33"/>
  <c r="C15" i="33"/>
  <c r="AC11" i="33"/>
  <c r="M8" i="33"/>
  <c r="L8" i="33"/>
  <c r="K8" i="33"/>
  <c r="J8" i="33"/>
  <c r="I8" i="33"/>
  <c r="H8" i="33"/>
  <c r="G8" i="33"/>
  <c r="A229" i="10"/>
  <c r="K222" i="10"/>
  <c r="J222" i="10"/>
  <c r="I222" i="10"/>
  <c r="H222" i="10"/>
  <c r="G222" i="10"/>
  <c r="F222" i="10"/>
  <c r="E222" i="10"/>
  <c r="C80" i="32"/>
  <c r="J79" i="32"/>
  <c r="J78" i="32"/>
  <c r="J77" i="32"/>
  <c r="C75" i="32"/>
  <c r="I74" i="32"/>
  <c r="J74" i="32" s="1"/>
  <c r="E73" i="32"/>
  <c r="E72" i="32"/>
  <c r="I71" i="32"/>
  <c r="J71" i="32" s="1"/>
  <c r="J70" i="32"/>
  <c r="C67" i="32"/>
  <c r="J66" i="32"/>
  <c r="I66" i="32"/>
  <c r="H66" i="32"/>
  <c r="G66" i="32"/>
  <c r="N64" i="32"/>
  <c r="J64" i="32"/>
  <c r="N63" i="32"/>
  <c r="H63" i="32"/>
  <c r="G63" i="32" s="1"/>
  <c r="I63" i="32" s="1"/>
  <c r="N62" i="32"/>
  <c r="J62" i="32"/>
  <c r="C60" i="32"/>
  <c r="N59" i="32"/>
  <c r="J59" i="32"/>
  <c r="N58" i="32"/>
  <c r="J58" i="32"/>
  <c r="C56" i="32"/>
  <c r="N55" i="32"/>
  <c r="J55" i="32"/>
  <c r="J54" i="32"/>
  <c r="F51" i="32"/>
  <c r="E51" i="32"/>
  <c r="C51" i="32"/>
  <c r="M50" i="32"/>
  <c r="L50" i="32"/>
  <c r="K50" i="32"/>
  <c r="J50" i="32"/>
  <c r="I50" i="32"/>
  <c r="H50" i="32"/>
  <c r="G50" i="32"/>
  <c r="C40" i="32"/>
  <c r="M39" i="32"/>
  <c r="L39" i="32"/>
  <c r="H39" i="32"/>
  <c r="F39" i="32"/>
  <c r="C39" i="32"/>
  <c r="C38" i="32"/>
  <c r="M35" i="32"/>
  <c r="L35" i="32"/>
  <c r="J35" i="32"/>
  <c r="I35" i="32"/>
  <c r="H35" i="32"/>
  <c r="M34" i="32"/>
  <c r="L34" i="32"/>
  <c r="J34" i="32"/>
  <c r="I34" i="32"/>
  <c r="H34" i="32"/>
  <c r="M33" i="32"/>
  <c r="L33" i="32"/>
  <c r="J33" i="32"/>
  <c r="I33" i="32"/>
  <c r="H33" i="32"/>
  <c r="M32" i="32"/>
  <c r="L32" i="32"/>
  <c r="J32" i="32"/>
  <c r="I32" i="32"/>
  <c r="H32" i="32"/>
  <c r="M30" i="32"/>
  <c r="L30" i="32"/>
  <c r="J30" i="32"/>
  <c r="I30" i="32"/>
  <c r="H30" i="32"/>
  <c r="M29" i="32"/>
  <c r="L29" i="32"/>
  <c r="J29" i="32"/>
  <c r="I29" i="32"/>
  <c r="H29" i="32"/>
  <c r="M28" i="32"/>
  <c r="L28" i="32"/>
  <c r="J28" i="32"/>
  <c r="I28" i="32"/>
  <c r="H28" i="32"/>
  <c r="M27" i="32"/>
  <c r="L27" i="32"/>
  <c r="J27" i="32"/>
  <c r="I27" i="32"/>
  <c r="H27" i="32"/>
  <c r="M26" i="32"/>
  <c r="L26" i="32"/>
  <c r="J26" i="32"/>
  <c r="I26" i="32"/>
  <c r="H26" i="32"/>
  <c r="M25" i="32"/>
  <c r="L25" i="32"/>
  <c r="J25" i="32"/>
  <c r="I25" i="32"/>
  <c r="H25" i="32"/>
  <c r="M24" i="32"/>
  <c r="L24" i="32"/>
  <c r="J24" i="32"/>
  <c r="I24" i="32"/>
  <c r="H24" i="32"/>
  <c r="M23" i="32"/>
  <c r="L23" i="32"/>
  <c r="J23" i="32"/>
  <c r="I23" i="32"/>
  <c r="H23" i="32"/>
  <c r="M22" i="32"/>
  <c r="L22" i="32"/>
  <c r="J22" i="32"/>
  <c r="I22" i="32"/>
  <c r="H22" i="32"/>
  <c r="M21" i="32"/>
  <c r="L21" i="32"/>
  <c r="J21" i="32"/>
  <c r="I21" i="32"/>
  <c r="H21" i="32"/>
  <c r="M20" i="32"/>
  <c r="L20" i="32"/>
  <c r="J20" i="32"/>
  <c r="I20" i="32"/>
  <c r="H20" i="32"/>
  <c r="C15" i="32"/>
  <c r="AC11" i="32"/>
  <c r="M8" i="32"/>
  <c r="L8" i="32"/>
  <c r="K8" i="32"/>
  <c r="J8" i="32"/>
  <c r="I8" i="32"/>
  <c r="H8" i="32"/>
  <c r="G8" i="32"/>
  <c r="CM746" i="5"/>
  <c r="CM747" i="5" s="1"/>
  <c r="CL746" i="5"/>
  <c r="CL747" i="5" s="1"/>
  <c r="CK746" i="5"/>
  <c r="CK747" i="5" s="1"/>
  <c r="K226" i="10" s="1"/>
  <c r="CJ746" i="5"/>
  <c r="CJ747" i="5" s="1"/>
  <c r="M10" i="32" s="1"/>
  <c r="CI746" i="5"/>
  <c r="CI747" i="5" s="1"/>
  <c r="CH746" i="5"/>
  <c r="CH747" i="5" s="1"/>
  <c r="CG746" i="5"/>
  <c r="CG747" i="5" s="1"/>
  <c r="CF746" i="5"/>
  <c r="CF747" i="5" s="1"/>
  <c r="CE746" i="5"/>
  <c r="CE747" i="5" s="1"/>
  <c r="CD746" i="5"/>
  <c r="CD747" i="5" s="1"/>
  <c r="CC746" i="5"/>
  <c r="CC747" i="5" s="1"/>
  <c r="CB746" i="5"/>
  <c r="CB747" i="5" s="1"/>
  <c r="CA746" i="5"/>
  <c r="CA747" i="5" s="1"/>
  <c r="J226" i="10" s="1"/>
  <c r="BZ746" i="5"/>
  <c r="BZ747" i="5" s="1"/>
  <c r="J224" i="10" s="1"/>
  <c r="BY746" i="5"/>
  <c r="BY747" i="5" s="1"/>
  <c r="BX746" i="5"/>
  <c r="BX747" i="5" s="1"/>
  <c r="BW746" i="5"/>
  <c r="BW747" i="5" s="1"/>
  <c r="BV746" i="5"/>
  <c r="BV747" i="5" s="1"/>
  <c r="BU746" i="5"/>
  <c r="BU747" i="5" s="1"/>
  <c r="BT746" i="5"/>
  <c r="BT747" i="5" s="1"/>
  <c r="BS746" i="5"/>
  <c r="BS747" i="5" s="1"/>
  <c r="BR746" i="5"/>
  <c r="BR747" i="5" s="1"/>
  <c r="BQ746" i="5"/>
  <c r="BQ747" i="5" s="1"/>
  <c r="BP746" i="5"/>
  <c r="BP747" i="5" s="1"/>
  <c r="BO746" i="5"/>
  <c r="BO747" i="5" s="1"/>
  <c r="BN746" i="5"/>
  <c r="BN747" i="5" s="1"/>
  <c r="BM746" i="5"/>
  <c r="BM747" i="5" s="1"/>
  <c r="G226" i="10" s="1"/>
  <c r="BL746" i="5"/>
  <c r="BL747" i="5" s="1"/>
  <c r="G224" i="10" s="1"/>
  <c r="BK746" i="5"/>
  <c r="BK747" i="5" s="1"/>
  <c r="BJ746" i="5"/>
  <c r="BJ747" i="5" s="1"/>
  <c r="BI746" i="5"/>
  <c r="BI747" i="5" s="1"/>
  <c r="BH746" i="5"/>
  <c r="BH747" i="5" s="1"/>
  <c r="BG746" i="5"/>
  <c r="BG747" i="5" s="1"/>
  <c r="BF746" i="5"/>
  <c r="BF747" i="5" s="1"/>
  <c r="BE746" i="5"/>
  <c r="BE747" i="5" s="1"/>
  <c r="BD746" i="5"/>
  <c r="BD747" i="5" s="1"/>
  <c r="BC746" i="5"/>
  <c r="BC747" i="5" s="1"/>
  <c r="H12" i="32" s="1"/>
  <c r="H40" i="32" s="1"/>
  <c r="BB746" i="5"/>
  <c r="BB747" i="5" s="1"/>
  <c r="H10" i="32" s="1"/>
  <c r="BA746" i="5"/>
  <c r="BA747" i="5" s="1"/>
  <c r="AZ746" i="5"/>
  <c r="AZ747" i="5" s="1"/>
  <c r="AY746" i="5"/>
  <c r="AY747" i="5" s="1"/>
  <c r="AX746" i="5"/>
  <c r="AX747" i="5" s="1"/>
  <c r="AW746" i="5"/>
  <c r="AW747" i="5" s="1"/>
  <c r="AV746" i="5"/>
  <c r="AV747" i="5" s="1"/>
  <c r="AU746" i="5"/>
  <c r="AU747" i="5" s="1"/>
  <c r="AT746" i="5"/>
  <c r="AT747" i="5" s="1"/>
  <c r="AS746" i="5"/>
  <c r="AS747" i="5" s="1"/>
  <c r="A218" i="10"/>
  <c r="K211" i="10"/>
  <c r="J211" i="10"/>
  <c r="I211" i="10"/>
  <c r="H211" i="10"/>
  <c r="G211" i="10"/>
  <c r="F211" i="10"/>
  <c r="E211" i="10"/>
  <c r="C80" i="31"/>
  <c r="J79" i="31"/>
  <c r="J78" i="31"/>
  <c r="J77" i="31"/>
  <c r="C75" i="31"/>
  <c r="I74" i="31"/>
  <c r="J74" i="31" s="1"/>
  <c r="E73" i="31"/>
  <c r="E72" i="31"/>
  <c r="I71" i="31"/>
  <c r="J71" i="31" s="1"/>
  <c r="J70" i="31"/>
  <c r="C67" i="31"/>
  <c r="J66" i="31"/>
  <c r="I66" i="31"/>
  <c r="H66" i="31"/>
  <c r="G66" i="31"/>
  <c r="N64" i="31"/>
  <c r="J64" i="31"/>
  <c r="N63" i="31"/>
  <c r="H63" i="31"/>
  <c r="G63" i="31" s="1"/>
  <c r="I63" i="31" s="1"/>
  <c r="N62" i="31"/>
  <c r="J62" i="31"/>
  <c r="C60" i="31"/>
  <c r="N59" i="31"/>
  <c r="J59" i="31"/>
  <c r="N58" i="31"/>
  <c r="J58" i="31"/>
  <c r="C56" i="31"/>
  <c r="N55" i="31"/>
  <c r="J55" i="31"/>
  <c r="J54" i="31"/>
  <c r="F51" i="31"/>
  <c r="E51" i="31"/>
  <c r="C51" i="31"/>
  <c r="M50" i="31"/>
  <c r="L50" i="31"/>
  <c r="K50" i="31"/>
  <c r="J50" i="31"/>
  <c r="I50" i="31"/>
  <c r="H50" i="31"/>
  <c r="G50" i="31"/>
  <c r="C40" i="31"/>
  <c r="M39" i="31"/>
  <c r="L39" i="31"/>
  <c r="H39" i="31"/>
  <c r="F39" i="31"/>
  <c r="C39" i="31"/>
  <c r="C38" i="31"/>
  <c r="M35" i="31"/>
  <c r="L35" i="31"/>
  <c r="J35" i="31"/>
  <c r="I35" i="31"/>
  <c r="H35" i="31"/>
  <c r="M34" i="31"/>
  <c r="L34" i="31"/>
  <c r="J34" i="31"/>
  <c r="I34" i="31"/>
  <c r="H34" i="31"/>
  <c r="M33" i="31"/>
  <c r="L33" i="31"/>
  <c r="J33" i="31"/>
  <c r="I33" i="31"/>
  <c r="H33" i="31"/>
  <c r="M32" i="31"/>
  <c r="L32" i="31"/>
  <c r="J32" i="31"/>
  <c r="I32" i="31"/>
  <c r="H32" i="31"/>
  <c r="M30" i="31"/>
  <c r="L30" i="31"/>
  <c r="J30" i="31"/>
  <c r="I30" i="31"/>
  <c r="H30" i="31"/>
  <c r="M29" i="31"/>
  <c r="L29" i="31"/>
  <c r="J29" i="31"/>
  <c r="I29" i="31"/>
  <c r="H29" i="31"/>
  <c r="M28" i="31"/>
  <c r="L28" i="31"/>
  <c r="J28" i="31"/>
  <c r="I28" i="31"/>
  <c r="H28" i="31"/>
  <c r="M27" i="31"/>
  <c r="L27" i="31"/>
  <c r="J27" i="31"/>
  <c r="I27" i="31"/>
  <c r="H27" i="31"/>
  <c r="M26" i="31"/>
  <c r="L26" i="31"/>
  <c r="J26" i="31"/>
  <c r="I26" i="31"/>
  <c r="H26" i="31"/>
  <c r="M25" i="31"/>
  <c r="L25" i="31"/>
  <c r="J25" i="31"/>
  <c r="I25" i="31"/>
  <c r="H25" i="31"/>
  <c r="M24" i="31"/>
  <c r="L24" i="31"/>
  <c r="J24" i="31"/>
  <c r="I24" i="31"/>
  <c r="H24" i="31"/>
  <c r="M23" i="31"/>
  <c r="L23" i="31"/>
  <c r="J23" i="31"/>
  <c r="I23" i="31"/>
  <c r="H23" i="31"/>
  <c r="M22" i="31"/>
  <c r="L22" i="31"/>
  <c r="J22" i="31"/>
  <c r="I22" i="31"/>
  <c r="H22" i="31"/>
  <c r="M21" i="31"/>
  <c r="L21" i="31"/>
  <c r="J21" i="31"/>
  <c r="I21" i="31"/>
  <c r="H21" i="31"/>
  <c r="M20" i="31"/>
  <c r="L20" i="31"/>
  <c r="J20" i="31"/>
  <c r="I20" i="31"/>
  <c r="H20" i="31"/>
  <c r="C15" i="31"/>
  <c r="AC11" i="31"/>
  <c r="M8" i="31"/>
  <c r="L8" i="31"/>
  <c r="K8" i="31"/>
  <c r="J8" i="31"/>
  <c r="I8" i="31"/>
  <c r="H8" i="31"/>
  <c r="G8" i="31"/>
  <c r="CM743" i="5"/>
  <c r="CL743" i="5"/>
  <c r="CK743" i="5"/>
  <c r="CJ743" i="5"/>
  <c r="CI743" i="5"/>
  <c r="CH743" i="5"/>
  <c r="CG743" i="5"/>
  <c r="CF743" i="5"/>
  <c r="CE743" i="5"/>
  <c r="CD743" i="5"/>
  <c r="CC743" i="5"/>
  <c r="CB743" i="5"/>
  <c r="CA743" i="5"/>
  <c r="BZ743" i="5"/>
  <c r="BY743" i="5"/>
  <c r="BX743" i="5"/>
  <c r="BW743" i="5"/>
  <c r="BV743" i="5"/>
  <c r="BU743" i="5"/>
  <c r="BT743" i="5"/>
  <c r="BS743" i="5"/>
  <c r="BR743" i="5"/>
  <c r="BQ743" i="5"/>
  <c r="BP743" i="5"/>
  <c r="BO743" i="5"/>
  <c r="BN743" i="5"/>
  <c r="BM743" i="5"/>
  <c r="BL743" i="5"/>
  <c r="BK743" i="5"/>
  <c r="BJ743" i="5"/>
  <c r="BI743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207" i="10"/>
  <c r="K200" i="10"/>
  <c r="J200" i="10"/>
  <c r="I200" i="10"/>
  <c r="H200" i="10"/>
  <c r="G200" i="10"/>
  <c r="F200" i="10"/>
  <c r="E200" i="10"/>
  <c r="C80" i="30"/>
  <c r="J79" i="30"/>
  <c r="J78" i="30"/>
  <c r="J77" i="30"/>
  <c r="C75" i="30"/>
  <c r="I74" i="30"/>
  <c r="J74" i="30" s="1"/>
  <c r="E73" i="30"/>
  <c r="E72" i="30"/>
  <c r="I71" i="30"/>
  <c r="J71" i="30" s="1"/>
  <c r="J70" i="30"/>
  <c r="C67" i="30"/>
  <c r="J66" i="30"/>
  <c r="I66" i="30"/>
  <c r="H66" i="30"/>
  <c r="G66" i="30"/>
  <c r="N64" i="30"/>
  <c r="J64" i="30"/>
  <c r="N63" i="30"/>
  <c r="H63" i="30"/>
  <c r="G63" i="30" s="1"/>
  <c r="I63" i="30" s="1"/>
  <c r="N62" i="30"/>
  <c r="J62" i="30"/>
  <c r="C60" i="30"/>
  <c r="N59" i="30"/>
  <c r="J59" i="30"/>
  <c r="N58" i="30"/>
  <c r="J58" i="30"/>
  <c r="C56" i="30"/>
  <c r="N55" i="30"/>
  <c r="J55" i="30"/>
  <c r="J54" i="30"/>
  <c r="F51" i="30"/>
  <c r="F52" i="30" s="1"/>
  <c r="F56" i="30" s="1"/>
  <c r="F60" i="30" s="1"/>
  <c r="E51" i="30"/>
  <c r="C51" i="30"/>
  <c r="M50" i="30"/>
  <c r="L50" i="30"/>
  <c r="K50" i="30"/>
  <c r="J50" i="30"/>
  <c r="I50" i="30"/>
  <c r="H50" i="30"/>
  <c r="G50" i="30"/>
  <c r="C40" i="30"/>
  <c r="M39" i="30"/>
  <c r="L39" i="30"/>
  <c r="H39" i="30"/>
  <c r="F39" i="30"/>
  <c r="C39" i="30"/>
  <c r="C38" i="30"/>
  <c r="M35" i="30"/>
  <c r="L35" i="30"/>
  <c r="J35" i="30"/>
  <c r="I35" i="30"/>
  <c r="H35" i="30"/>
  <c r="M34" i="30"/>
  <c r="L34" i="30"/>
  <c r="J34" i="30"/>
  <c r="I34" i="30"/>
  <c r="H34" i="30"/>
  <c r="M33" i="30"/>
  <c r="L33" i="30"/>
  <c r="J33" i="30"/>
  <c r="I33" i="30"/>
  <c r="H33" i="30"/>
  <c r="M32" i="30"/>
  <c r="L32" i="30"/>
  <c r="J32" i="30"/>
  <c r="I32" i="30"/>
  <c r="H32" i="30"/>
  <c r="M30" i="30"/>
  <c r="L30" i="30"/>
  <c r="J30" i="30"/>
  <c r="I30" i="30"/>
  <c r="H30" i="30"/>
  <c r="M29" i="30"/>
  <c r="L29" i="30"/>
  <c r="J29" i="30"/>
  <c r="I29" i="30"/>
  <c r="H29" i="30"/>
  <c r="M28" i="30"/>
  <c r="L28" i="30"/>
  <c r="J28" i="30"/>
  <c r="I28" i="30"/>
  <c r="H28" i="30"/>
  <c r="M27" i="30"/>
  <c r="L27" i="30"/>
  <c r="J27" i="30"/>
  <c r="I27" i="30"/>
  <c r="H27" i="30"/>
  <c r="M26" i="30"/>
  <c r="L26" i="30"/>
  <c r="J26" i="30"/>
  <c r="I26" i="30"/>
  <c r="H26" i="30"/>
  <c r="M25" i="30"/>
  <c r="L25" i="30"/>
  <c r="J25" i="30"/>
  <c r="I25" i="30"/>
  <c r="H25" i="30"/>
  <c r="M24" i="30"/>
  <c r="L24" i="30"/>
  <c r="J24" i="30"/>
  <c r="I24" i="30"/>
  <c r="H24" i="30"/>
  <c r="M23" i="30"/>
  <c r="L23" i="30"/>
  <c r="J23" i="30"/>
  <c r="I23" i="30"/>
  <c r="H23" i="30"/>
  <c r="M22" i="30"/>
  <c r="L22" i="30"/>
  <c r="J22" i="30"/>
  <c r="I22" i="30"/>
  <c r="H22" i="30"/>
  <c r="M21" i="30"/>
  <c r="L21" i="30"/>
  <c r="J21" i="30"/>
  <c r="I21" i="30"/>
  <c r="H21" i="30"/>
  <c r="M20" i="30"/>
  <c r="L20" i="30"/>
  <c r="J20" i="30"/>
  <c r="I20" i="30"/>
  <c r="H20" i="30"/>
  <c r="C15" i="30"/>
  <c r="AC11" i="30"/>
  <c r="M8" i="30"/>
  <c r="L8" i="30"/>
  <c r="K8" i="30"/>
  <c r="J8" i="30"/>
  <c r="I8" i="30"/>
  <c r="H8" i="30"/>
  <c r="G8" i="30"/>
  <c r="A196" i="10"/>
  <c r="K189" i="10"/>
  <c r="J189" i="10"/>
  <c r="I189" i="10"/>
  <c r="H189" i="10"/>
  <c r="G189" i="10"/>
  <c r="F189" i="10"/>
  <c r="E189" i="10"/>
  <c r="C80" i="29"/>
  <c r="J79" i="29"/>
  <c r="J78" i="29"/>
  <c r="J77" i="29"/>
  <c r="C75" i="29"/>
  <c r="I74" i="29"/>
  <c r="J74" i="29" s="1"/>
  <c r="E73" i="29"/>
  <c r="E72" i="29"/>
  <c r="I71" i="29"/>
  <c r="J71" i="29" s="1"/>
  <c r="J70" i="29"/>
  <c r="C67" i="29"/>
  <c r="J66" i="29"/>
  <c r="I66" i="29"/>
  <c r="H66" i="29"/>
  <c r="G66" i="29"/>
  <c r="N64" i="29"/>
  <c r="J64" i="29"/>
  <c r="N63" i="29"/>
  <c r="H63" i="29"/>
  <c r="G63" i="29" s="1"/>
  <c r="I63" i="29" s="1"/>
  <c r="N62" i="29"/>
  <c r="J62" i="29"/>
  <c r="C60" i="29"/>
  <c r="N59" i="29"/>
  <c r="J59" i="29"/>
  <c r="N58" i="29"/>
  <c r="J58" i="29"/>
  <c r="C56" i="29"/>
  <c r="N55" i="29"/>
  <c r="J55" i="29"/>
  <c r="J54" i="29"/>
  <c r="F51" i="29"/>
  <c r="E51" i="29"/>
  <c r="C51" i="29"/>
  <c r="M50" i="29"/>
  <c r="L50" i="29"/>
  <c r="K50" i="29"/>
  <c r="J50" i="29"/>
  <c r="I50" i="29"/>
  <c r="H50" i="29"/>
  <c r="G50" i="29"/>
  <c r="C40" i="29"/>
  <c r="M39" i="29"/>
  <c r="L39" i="29"/>
  <c r="H39" i="29"/>
  <c r="F39" i="29"/>
  <c r="C39" i="29"/>
  <c r="C38" i="29"/>
  <c r="M35" i="29"/>
  <c r="L35" i="29"/>
  <c r="J35" i="29"/>
  <c r="I35" i="29"/>
  <c r="H35" i="29"/>
  <c r="M34" i="29"/>
  <c r="L34" i="29"/>
  <c r="J34" i="29"/>
  <c r="I34" i="29"/>
  <c r="H34" i="29"/>
  <c r="M33" i="29"/>
  <c r="L33" i="29"/>
  <c r="J33" i="29"/>
  <c r="I33" i="29"/>
  <c r="H33" i="29"/>
  <c r="M32" i="29"/>
  <c r="L32" i="29"/>
  <c r="J32" i="29"/>
  <c r="I32" i="29"/>
  <c r="H32" i="29"/>
  <c r="M30" i="29"/>
  <c r="L30" i="29"/>
  <c r="J30" i="29"/>
  <c r="I30" i="29"/>
  <c r="H30" i="29"/>
  <c r="M29" i="29"/>
  <c r="L29" i="29"/>
  <c r="J29" i="29"/>
  <c r="I29" i="29"/>
  <c r="H29" i="29"/>
  <c r="M28" i="29"/>
  <c r="L28" i="29"/>
  <c r="J28" i="29"/>
  <c r="I28" i="29"/>
  <c r="H28" i="29"/>
  <c r="M27" i="29"/>
  <c r="L27" i="29"/>
  <c r="J27" i="29"/>
  <c r="I27" i="29"/>
  <c r="H27" i="29"/>
  <c r="M26" i="29"/>
  <c r="L26" i="29"/>
  <c r="J26" i="29"/>
  <c r="I26" i="29"/>
  <c r="H26" i="29"/>
  <c r="M25" i="29"/>
  <c r="L25" i="29"/>
  <c r="J25" i="29"/>
  <c r="I25" i="29"/>
  <c r="H25" i="29"/>
  <c r="M24" i="29"/>
  <c r="L24" i="29"/>
  <c r="J24" i="29"/>
  <c r="I24" i="29"/>
  <c r="H24" i="29"/>
  <c r="M23" i="29"/>
  <c r="L23" i="29"/>
  <c r="J23" i="29"/>
  <c r="I23" i="29"/>
  <c r="H23" i="29"/>
  <c r="M22" i="29"/>
  <c r="L22" i="29"/>
  <c r="J22" i="29"/>
  <c r="I22" i="29"/>
  <c r="H22" i="29"/>
  <c r="M21" i="29"/>
  <c r="L21" i="29"/>
  <c r="J21" i="29"/>
  <c r="I21" i="29"/>
  <c r="H21" i="29"/>
  <c r="M20" i="29"/>
  <c r="L20" i="29"/>
  <c r="J20" i="29"/>
  <c r="I20" i="29"/>
  <c r="H20" i="29"/>
  <c r="C15" i="29"/>
  <c r="AC11" i="29"/>
  <c r="M8" i="29"/>
  <c r="L8" i="29"/>
  <c r="K8" i="29"/>
  <c r="J8" i="29"/>
  <c r="I8" i="29"/>
  <c r="H8" i="29"/>
  <c r="G8" i="29"/>
  <c r="A185" i="10"/>
  <c r="K178" i="10"/>
  <c r="J178" i="10"/>
  <c r="I178" i="10"/>
  <c r="H178" i="10"/>
  <c r="G178" i="10"/>
  <c r="F178" i="10"/>
  <c r="E178" i="10"/>
  <c r="C80" i="28"/>
  <c r="J79" i="28"/>
  <c r="J78" i="28"/>
  <c r="J77" i="28"/>
  <c r="C75" i="28"/>
  <c r="I74" i="28"/>
  <c r="J74" i="28" s="1"/>
  <c r="E73" i="28"/>
  <c r="E72" i="28"/>
  <c r="I71" i="28"/>
  <c r="J71" i="28" s="1"/>
  <c r="J70" i="28"/>
  <c r="C67" i="28"/>
  <c r="J66" i="28"/>
  <c r="I66" i="28"/>
  <c r="H66" i="28"/>
  <c r="G66" i="28"/>
  <c r="N64" i="28"/>
  <c r="J64" i="28"/>
  <c r="N63" i="28"/>
  <c r="H63" i="28"/>
  <c r="G63" i="28" s="1"/>
  <c r="I63" i="28" s="1"/>
  <c r="N62" i="28"/>
  <c r="J62" i="28"/>
  <c r="C60" i="28"/>
  <c r="N59" i="28"/>
  <c r="J59" i="28"/>
  <c r="N58" i="28"/>
  <c r="J58" i="28"/>
  <c r="C56" i="28"/>
  <c r="N55" i="28"/>
  <c r="J55" i="28"/>
  <c r="J54" i="28"/>
  <c r="F51" i="28"/>
  <c r="E51" i="28"/>
  <c r="C51" i="28"/>
  <c r="M50" i="28"/>
  <c r="L50" i="28"/>
  <c r="K50" i="28"/>
  <c r="J50" i="28"/>
  <c r="I50" i="28"/>
  <c r="H50" i="28"/>
  <c r="G50" i="28"/>
  <c r="C40" i="28"/>
  <c r="M39" i="28"/>
  <c r="L39" i="28"/>
  <c r="H39" i="28"/>
  <c r="F39" i="28"/>
  <c r="C39" i="28"/>
  <c r="C38" i="28"/>
  <c r="M35" i="28"/>
  <c r="L35" i="28"/>
  <c r="J35" i="28"/>
  <c r="I35" i="28"/>
  <c r="H35" i="28"/>
  <c r="M34" i="28"/>
  <c r="L34" i="28"/>
  <c r="J34" i="28"/>
  <c r="I34" i="28"/>
  <c r="H34" i="28"/>
  <c r="M33" i="28"/>
  <c r="L33" i="28"/>
  <c r="J33" i="28"/>
  <c r="I33" i="28"/>
  <c r="H33" i="28"/>
  <c r="M32" i="28"/>
  <c r="L32" i="28"/>
  <c r="J32" i="28"/>
  <c r="I32" i="28"/>
  <c r="H32" i="28"/>
  <c r="M30" i="28"/>
  <c r="L30" i="28"/>
  <c r="J30" i="28"/>
  <c r="I30" i="28"/>
  <c r="H30" i="28"/>
  <c r="M29" i="28"/>
  <c r="L29" i="28"/>
  <c r="J29" i="28"/>
  <c r="I29" i="28"/>
  <c r="H29" i="28"/>
  <c r="M28" i="28"/>
  <c r="L28" i="28"/>
  <c r="J28" i="28"/>
  <c r="I28" i="28"/>
  <c r="H28" i="28"/>
  <c r="M27" i="28"/>
  <c r="L27" i="28"/>
  <c r="J27" i="28"/>
  <c r="I27" i="28"/>
  <c r="H27" i="28"/>
  <c r="M26" i="28"/>
  <c r="L26" i="28"/>
  <c r="J26" i="28"/>
  <c r="I26" i="28"/>
  <c r="H26" i="28"/>
  <c r="M25" i="28"/>
  <c r="L25" i="28"/>
  <c r="J25" i="28"/>
  <c r="I25" i="28"/>
  <c r="H25" i="28"/>
  <c r="M24" i="28"/>
  <c r="L24" i="28"/>
  <c r="J24" i="28"/>
  <c r="I24" i="28"/>
  <c r="H24" i="28"/>
  <c r="M23" i="28"/>
  <c r="L23" i="28"/>
  <c r="J23" i="28"/>
  <c r="I23" i="28"/>
  <c r="H23" i="28"/>
  <c r="M22" i="28"/>
  <c r="L22" i="28"/>
  <c r="J22" i="28"/>
  <c r="I22" i="28"/>
  <c r="H22" i="28"/>
  <c r="M21" i="28"/>
  <c r="L21" i="28"/>
  <c r="J21" i="28"/>
  <c r="I21" i="28"/>
  <c r="H21" i="28"/>
  <c r="M20" i="28"/>
  <c r="L20" i="28"/>
  <c r="J20" i="28"/>
  <c r="I20" i="28"/>
  <c r="H20" i="28"/>
  <c r="C15" i="28"/>
  <c r="AC11" i="28"/>
  <c r="M8" i="28"/>
  <c r="L8" i="28"/>
  <c r="K8" i="28"/>
  <c r="J8" i="28"/>
  <c r="I8" i="28"/>
  <c r="H8" i="28"/>
  <c r="G8" i="28"/>
  <c r="A174" i="10"/>
  <c r="K167" i="10"/>
  <c r="J167" i="10"/>
  <c r="I167" i="10"/>
  <c r="H167" i="10"/>
  <c r="G167" i="10"/>
  <c r="F167" i="10"/>
  <c r="E167" i="10"/>
  <c r="C80" i="27"/>
  <c r="J79" i="27"/>
  <c r="J78" i="27"/>
  <c r="J77" i="27"/>
  <c r="C75" i="27"/>
  <c r="I74" i="27"/>
  <c r="J74" i="27" s="1"/>
  <c r="E73" i="27"/>
  <c r="E72" i="27"/>
  <c r="I71" i="27"/>
  <c r="J71" i="27" s="1"/>
  <c r="J70" i="27"/>
  <c r="C67" i="27"/>
  <c r="J66" i="27"/>
  <c r="I66" i="27"/>
  <c r="H66" i="27"/>
  <c r="G66" i="27"/>
  <c r="N64" i="27"/>
  <c r="J64" i="27"/>
  <c r="N63" i="27"/>
  <c r="H63" i="27"/>
  <c r="G63" i="27" s="1"/>
  <c r="I63" i="27" s="1"/>
  <c r="N62" i="27"/>
  <c r="J62" i="27"/>
  <c r="C60" i="27"/>
  <c r="N59" i="27"/>
  <c r="J59" i="27"/>
  <c r="N58" i="27"/>
  <c r="J58" i="27"/>
  <c r="C56" i="27"/>
  <c r="N55" i="27"/>
  <c r="J55" i="27"/>
  <c r="J54" i="27"/>
  <c r="F51" i="27"/>
  <c r="F52" i="27" s="1"/>
  <c r="F56" i="27" s="1"/>
  <c r="F60" i="27" s="1"/>
  <c r="E51" i="27"/>
  <c r="C51" i="27"/>
  <c r="M50" i="27"/>
  <c r="L50" i="27"/>
  <c r="K50" i="27"/>
  <c r="J50" i="27"/>
  <c r="I50" i="27"/>
  <c r="H50" i="27"/>
  <c r="G50" i="27"/>
  <c r="C40" i="27"/>
  <c r="M39" i="27"/>
  <c r="L39" i="27"/>
  <c r="H39" i="27"/>
  <c r="F39" i="27"/>
  <c r="C39" i="27"/>
  <c r="C38" i="27"/>
  <c r="M35" i="27"/>
  <c r="L35" i="27"/>
  <c r="J35" i="27"/>
  <c r="I35" i="27"/>
  <c r="H35" i="27"/>
  <c r="M34" i="27"/>
  <c r="L34" i="27"/>
  <c r="J34" i="27"/>
  <c r="I34" i="27"/>
  <c r="H34" i="27"/>
  <c r="M33" i="27"/>
  <c r="L33" i="27"/>
  <c r="J33" i="27"/>
  <c r="I33" i="27"/>
  <c r="H33" i="27"/>
  <c r="M32" i="27"/>
  <c r="L32" i="27"/>
  <c r="J32" i="27"/>
  <c r="I32" i="27"/>
  <c r="H32" i="27"/>
  <c r="M30" i="27"/>
  <c r="L30" i="27"/>
  <c r="J30" i="27"/>
  <c r="I30" i="27"/>
  <c r="H30" i="27"/>
  <c r="M29" i="27"/>
  <c r="L29" i="27"/>
  <c r="J29" i="27"/>
  <c r="I29" i="27"/>
  <c r="H29" i="27"/>
  <c r="M28" i="27"/>
  <c r="L28" i="27"/>
  <c r="J28" i="27"/>
  <c r="I28" i="27"/>
  <c r="H28" i="27"/>
  <c r="M27" i="27"/>
  <c r="L27" i="27"/>
  <c r="J27" i="27"/>
  <c r="I27" i="27"/>
  <c r="H27" i="27"/>
  <c r="M26" i="27"/>
  <c r="L26" i="27"/>
  <c r="J26" i="27"/>
  <c r="I26" i="27"/>
  <c r="H26" i="27"/>
  <c r="M25" i="27"/>
  <c r="L25" i="27"/>
  <c r="J25" i="27"/>
  <c r="I25" i="27"/>
  <c r="H25" i="27"/>
  <c r="M24" i="27"/>
  <c r="L24" i="27"/>
  <c r="J24" i="27"/>
  <c r="I24" i="27"/>
  <c r="H24" i="27"/>
  <c r="M23" i="27"/>
  <c r="L23" i="27"/>
  <c r="J23" i="27"/>
  <c r="I23" i="27"/>
  <c r="H23" i="27"/>
  <c r="M22" i="27"/>
  <c r="L22" i="27"/>
  <c r="J22" i="27"/>
  <c r="I22" i="27"/>
  <c r="H22" i="27"/>
  <c r="M21" i="27"/>
  <c r="L21" i="27"/>
  <c r="J21" i="27"/>
  <c r="I21" i="27"/>
  <c r="H21" i="27"/>
  <c r="M20" i="27"/>
  <c r="L20" i="27"/>
  <c r="J20" i="27"/>
  <c r="I20" i="27"/>
  <c r="H20" i="27"/>
  <c r="C15" i="27"/>
  <c r="AC11" i="27"/>
  <c r="M8" i="27"/>
  <c r="L8" i="27"/>
  <c r="K8" i="27"/>
  <c r="J8" i="27"/>
  <c r="I8" i="27"/>
  <c r="H8" i="27"/>
  <c r="G8" i="27"/>
  <c r="A163" i="10"/>
  <c r="K156" i="10"/>
  <c r="J156" i="10"/>
  <c r="I156" i="10"/>
  <c r="H156" i="10"/>
  <c r="G156" i="10"/>
  <c r="F156" i="10"/>
  <c r="E156" i="10"/>
  <c r="C80" i="26"/>
  <c r="J79" i="26"/>
  <c r="J78" i="26"/>
  <c r="J77" i="26"/>
  <c r="C75" i="26"/>
  <c r="I74" i="26"/>
  <c r="J74" i="26" s="1"/>
  <c r="E73" i="26"/>
  <c r="E72" i="26"/>
  <c r="I71" i="26"/>
  <c r="J71" i="26" s="1"/>
  <c r="J70" i="26"/>
  <c r="C67" i="26"/>
  <c r="J66" i="26"/>
  <c r="I66" i="26"/>
  <c r="H66" i="26"/>
  <c r="G66" i="26"/>
  <c r="N64" i="26"/>
  <c r="J64" i="26"/>
  <c r="N63" i="26"/>
  <c r="H63" i="26"/>
  <c r="G63" i="26" s="1"/>
  <c r="I63" i="26" s="1"/>
  <c r="N62" i="26"/>
  <c r="J62" i="26"/>
  <c r="C60" i="26"/>
  <c r="N59" i="26"/>
  <c r="J59" i="26"/>
  <c r="N58" i="26"/>
  <c r="J58" i="26"/>
  <c r="C56" i="26"/>
  <c r="N55" i="26"/>
  <c r="J55" i="26"/>
  <c r="J54" i="26"/>
  <c r="F51" i="26"/>
  <c r="E51" i="26"/>
  <c r="C51" i="26"/>
  <c r="M50" i="26"/>
  <c r="L50" i="26"/>
  <c r="K50" i="26"/>
  <c r="J50" i="26"/>
  <c r="I50" i="26"/>
  <c r="H50" i="26"/>
  <c r="G50" i="26"/>
  <c r="C40" i="26"/>
  <c r="M39" i="26"/>
  <c r="L39" i="26"/>
  <c r="H39" i="26"/>
  <c r="F39" i="26"/>
  <c r="C39" i="26"/>
  <c r="C38" i="26"/>
  <c r="M35" i="26"/>
  <c r="L35" i="26"/>
  <c r="J35" i="26"/>
  <c r="I35" i="26"/>
  <c r="H35" i="26"/>
  <c r="M34" i="26"/>
  <c r="L34" i="26"/>
  <c r="J34" i="26"/>
  <c r="I34" i="26"/>
  <c r="H34" i="26"/>
  <c r="M33" i="26"/>
  <c r="L33" i="26"/>
  <c r="J33" i="26"/>
  <c r="I33" i="26"/>
  <c r="H33" i="26"/>
  <c r="M32" i="26"/>
  <c r="L32" i="26"/>
  <c r="J32" i="26"/>
  <c r="I32" i="26"/>
  <c r="H32" i="26"/>
  <c r="M30" i="26"/>
  <c r="L30" i="26"/>
  <c r="J30" i="26"/>
  <c r="I30" i="26"/>
  <c r="H30" i="26"/>
  <c r="M29" i="26"/>
  <c r="L29" i="26"/>
  <c r="J29" i="26"/>
  <c r="I29" i="26"/>
  <c r="H29" i="26"/>
  <c r="M28" i="26"/>
  <c r="L28" i="26"/>
  <c r="J28" i="26"/>
  <c r="I28" i="26"/>
  <c r="H28" i="26"/>
  <c r="M27" i="26"/>
  <c r="L27" i="26"/>
  <c r="J27" i="26"/>
  <c r="I27" i="26"/>
  <c r="H27" i="26"/>
  <c r="M26" i="26"/>
  <c r="L26" i="26"/>
  <c r="J26" i="26"/>
  <c r="I26" i="26"/>
  <c r="H26" i="26"/>
  <c r="M25" i="26"/>
  <c r="L25" i="26"/>
  <c r="J25" i="26"/>
  <c r="I25" i="26"/>
  <c r="H25" i="26"/>
  <c r="M24" i="26"/>
  <c r="L24" i="26"/>
  <c r="J24" i="26"/>
  <c r="I24" i="26"/>
  <c r="H24" i="26"/>
  <c r="M23" i="26"/>
  <c r="L23" i="26"/>
  <c r="J23" i="26"/>
  <c r="I23" i="26"/>
  <c r="H23" i="26"/>
  <c r="M22" i="26"/>
  <c r="L22" i="26"/>
  <c r="J22" i="26"/>
  <c r="I22" i="26"/>
  <c r="H22" i="26"/>
  <c r="M21" i="26"/>
  <c r="L21" i="26"/>
  <c r="J21" i="26"/>
  <c r="I21" i="26"/>
  <c r="H21" i="26"/>
  <c r="M20" i="26"/>
  <c r="L20" i="26"/>
  <c r="J20" i="26"/>
  <c r="I20" i="26"/>
  <c r="H20" i="26"/>
  <c r="C15" i="26"/>
  <c r="AC11" i="26"/>
  <c r="M8" i="26"/>
  <c r="L8" i="26"/>
  <c r="K8" i="26"/>
  <c r="J8" i="26"/>
  <c r="I8" i="26"/>
  <c r="H8" i="26"/>
  <c r="G8" i="26"/>
  <c r="CM733" i="5"/>
  <c r="CM734" i="5" s="1"/>
  <c r="CL733" i="5"/>
  <c r="CL734" i="5" s="1"/>
  <c r="CK733" i="5"/>
  <c r="CK734" i="5" s="1"/>
  <c r="M12" i="26" s="1"/>
  <c r="CJ733" i="5"/>
  <c r="CJ734" i="5" s="1"/>
  <c r="M10" i="26" s="1"/>
  <c r="CI733" i="5"/>
  <c r="CI734" i="5" s="1"/>
  <c r="CH733" i="5"/>
  <c r="CH734" i="5" s="1"/>
  <c r="CG733" i="5"/>
  <c r="CG734" i="5" s="1"/>
  <c r="CF733" i="5"/>
  <c r="CF734" i="5" s="1"/>
  <c r="CE733" i="5"/>
  <c r="CE734" i="5" s="1"/>
  <c r="CD733" i="5"/>
  <c r="CD734" i="5" s="1"/>
  <c r="CC733" i="5"/>
  <c r="CC734" i="5" s="1"/>
  <c r="CB733" i="5"/>
  <c r="CB734" i="5" s="1"/>
  <c r="CA733" i="5"/>
  <c r="CA734" i="5" s="1"/>
  <c r="BZ733" i="5"/>
  <c r="BZ734" i="5" s="1"/>
  <c r="L10" i="26" s="1"/>
  <c r="BY733" i="5"/>
  <c r="BY734" i="5" s="1"/>
  <c r="BX733" i="5"/>
  <c r="BX734" i="5" s="1"/>
  <c r="BW733" i="5"/>
  <c r="BW734" i="5" s="1"/>
  <c r="BV733" i="5"/>
  <c r="BV734" i="5" s="1"/>
  <c r="BU733" i="5"/>
  <c r="BU734" i="5" s="1"/>
  <c r="BT733" i="5"/>
  <c r="BT734" i="5" s="1"/>
  <c r="BS733" i="5"/>
  <c r="BS734" i="5" s="1"/>
  <c r="BR733" i="5"/>
  <c r="BR734" i="5" s="1"/>
  <c r="BQ733" i="5"/>
  <c r="BQ734" i="5" s="1"/>
  <c r="BP733" i="5"/>
  <c r="BP734" i="5" s="1"/>
  <c r="BO733" i="5"/>
  <c r="BO734" i="5" s="1"/>
  <c r="BN733" i="5"/>
  <c r="BN734" i="5" s="1"/>
  <c r="BM733" i="5"/>
  <c r="BM734" i="5" s="1"/>
  <c r="I12" i="26" s="1"/>
  <c r="I40" i="26" s="1"/>
  <c r="BL733" i="5"/>
  <c r="BL734" i="5" s="1"/>
  <c r="G158" i="10" s="1"/>
  <c r="BK733" i="5"/>
  <c r="BK734" i="5" s="1"/>
  <c r="BJ733" i="5"/>
  <c r="BJ734" i="5" s="1"/>
  <c r="BI733" i="5"/>
  <c r="BI734" i="5" s="1"/>
  <c r="BH733" i="5"/>
  <c r="BH734" i="5" s="1"/>
  <c r="BG733" i="5"/>
  <c r="BG734" i="5" s="1"/>
  <c r="BF733" i="5"/>
  <c r="BF734" i="5" s="1"/>
  <c r="BE733" i="5"/>
  <c r="BE734" i="5" s="1"/>
  <c r="BD733" i="5"/>
  <c r="BD734" i="5" s="1"/>
  <c r="BC733" i="5"/>
  <c r="BC734" i="5" s="1"/>
  <c r="H12" i="26" s="1"/>
  <c r="H40" i="26" s="1"/>
  <c r="BB733" i="5"/>
  <c r="BB734" i="5" s="1"/>
  <c r="F158" i="10" s="1"/>
  <c r="BA733" i="5"/>
  <c r="BA734" i="5" s="1"/>
  <c r="AZ733" i="5"/>
  <c r="AZ734" i="5" s="1"/>
  <c r="AY733" i="5"/>
  <c r="AY734" i="5" s="1"/>
  <c r="AX733" i="5"/>
  <c r="AX734" i="5" s="1"/>
  <c r="AW733" i="5"/>
  <c r="AW734" i="5" s="1"/>
  <c r="AV733" i="5"/>
  <c r="AV734" i="5" s="1"/>
  <c r="AU733" i="5"/>
  <c r="AU734" i="5" s="1"/>
  <c r="AT733" i="5"/>
  <c r="AT734" i="5" s="1"/>
  <c r="AS733" i="5"/>
  <c r="AS734" i="5" s="1"/>
  <c r="A152" i="10"/>
  <c r="K145" i="10"/>
  <c r="J145" i="10"/>
  <c r="I145" i="10"/>
  <c r="H145" i="10"/>
  <c r="G145" i="10"/>
  <c r="F145" i="10"/>
  <c r="E145" i="10"/>
  <c r="C80" i="25"/>
  <c r="J79" i="25"/>
  <c r="J78" i="25"/>
  <c r="J77" i="25"/>
  <c r="C75" i="25"/>
  <c r="I74" i="25"/>
  <c r="J74" i="25" s="1"/>
  <c r="E73" i="25"/>
  <c r="E72" i="25"/>
  <c r="I71" i="25"/>
  <c r="J71" i="25" s="1"/>
  <c r="J70" i="25"/>
  <c r="C67" i="25"/>
  <c r="J66" i="25"/>
  <c r="I66" i="25"/>
  <c r="H66" i="25"/>
  <c r="G66" i="25"/>
  <c r="N64" i="25"/>
  <c r="J64" i="25"/>
  <c r="N63" i="25"/>
  <c r="H63" i="25"/>
  <c r="G63" i="25" s="1"/>
  <c r="I63" i="25" s="1"/>
  <c r="N62" i="25"/>
  <c r="J62" i="25"/>
  <c r="C60" i="25"/>
  <c r="N59" i="25"/>
  <c r="J59" i="25"/>
  <c r="N58" i="25"/>
  <c r="J58" i="25"/>
  <c r="C56" i="25"/>
  <c r="N55" i="25"/>
  <c r="J55" i="25"/>
  <c r="J54" i="25"/>
  <c r="F51" i="25"/>
  <c r="E51" i="25"/>
  <c r="C51" i="25"/>
  <c r="M50" i="25"/>
  <c r="L50" i="25"/>
  <c r="K50" i="25"/>
  <c r="J50" i="25"/>
  <c r="I50" i="25"/>
  <c r="H50" i="25"/>
  <c r="G50" i="25"/>
  <c r="C40" i="25"/>
  <c r="M39" i="25"/>
  <c r="L39" i="25"/>
  <c r="H39" i="25"/>
  <c r="F39" i="25"/>
  <c r="C39" i="25"/>
  <c r="C38" i="25"/>
  <c r="M35" i="25"/>
  <c r="L35" i="25"/>
  <c r="J35" i="25"/>
  <c r="I35" i="25"/>
  <c r="H35" i="25"/>
  <c r="M34" i="25"/>
  <c r="L34" i="25"/>
  <c r="J34" i="25"/>
  <c r="I34" i="25"/>
  <c r="H34" i="25"/>
  <c r="M33" i="25"/>
  <c r="L33" i="25"/>
  <c r="J33" i="25"/>
  <c r="I33" i="25"/>
  <c r="H33" i="25"/>
  <c r="M32" i="25"/>
  <c r="L32" i="25"/>
  <c r="J32" i="25"/>
  <c r="I32" i="25"/>
  <c r="H32" i="25"/>
  <c r="M30" i="25"/>
  <c r="L30" i="25"/>
  <c r="J30" i="25"/>
  <c r="I30" i="25"/>
  <c r="H30" i="25"/>
  <c r="M29" i="25"/>
  <c r="L29" i="25"/>
  <c r="J29" i="25"/>
  <c r="I29" i="25"/>
  <c r="H29" i="25"/>
  <c r="M28" i="25"/>
  <c r="L28" i="25"/>
  <c r="J28" i="25"/>
  <c r="I28" i="25"/>
  <c r="H28" i="25"/>
  <c r="M27" i="25"/>
  <c r="L27" i="25"/>
  <c r="J27" i="25"/>
  <c r="I27" i="25"/>
  <c r="H27" i="25"/>
  <c r="M26" i="25"/>
  <c r="L26" i="25"/>
  <c r="J26" i="25"/>
  <c r="I26" i="25"/>
  <c r="H26" i="25"/>
  <c r="M25" i="25"/>
  <c r="L25" i="25"/>
  <c r="J25" i="25"/>
  <c r="I25" i="25"/>
  <c r="H25" i="25"/>
  <c r="M24" i="25"/>
  <c r="L24" i="25"/>
  <c r="J24" i="25"/>
  <c r="I24" i="25"/>
  <c r="H24" i="25"/>
  <c r="M23" i="25"/>
  <c r="L23" i="25"/>
  <c r="J23" i="25"/>
  <c r="I23" i="25"/>
  <c r="H23" i="25"/>
  <c r="M22" i="25"/>
  <c r="L22" i="25"/>
  <c r="J22" i="25"/>
  <c r="I22" i="25"/>
  <c r="H22" i="25"/>
  <c r="M21" i="25"/>
  <c r="L21" i="25"/>
  <c r="J21" i="25"/>
  <c r="I21" i="25"/>
  <c r="H21" i="25"/>
  <c r="M20" i="25"/>
  <c r="L20" i="25"/>
  <c r="J20" i="25"/>
  <c r="I20" i="25"/>
  <c r="H20" i="25"/>
  <c r="C15" i="25"/>
  <c r="AC11" i="25"/>
  <c r="M8" i="25"/>
  <c r="L8" i="25"/>
  <c r="K8" i="25"/>
  <c r="J8" i="25"/>
  <c r="I8" i="25"/>
  <c r="H8" i="25"/>
  <c r="G8" i="25"/>
  <c r="A141" i="10"/>
  <c r="K134" i="10"/>
  <c r="J134" i="10"/>
  <c r="I134" i="10"/>
  <c r="H134" i="10"/>
  <c r="G134" i="10"/>
  <c r="F134" i="10"/>
  <c r="E134" i="10"/>
  <c r="C80" i="24"/>
  <c r="J79" i="24"/>
  <c r="J78" i="24"/>
  <c r="J77" i="24"/>
  <c r="C75" i="24"/>
  <c r="I74" i="24"/>
  <c r="J74" i="24" s="1"/>
  <c r="E73" i="24"/>
  <c r="E72" i="24"/>
  <c r="I71" i="24"/>
  <c r="J71" i="24" s="1"/>
  <c r="J70" i="24"/>
  <c r="C67" i="24"/>
  <c r="J66" i="24"/>
  <c r="I66" i="24"/>
  <c r="H66" i="24"/>
  <c r="G66" i="24"/>
  <c r="N64" i="24"/>
  <c r="J64" i="24"/>
  <c r="N63" i="24"/>
  <c r="H63" i="24"/>
  <c r="G63" i="24" s="1"/>
  <c r="I63" i="24" s="1"/>
  <c r="N62" i="24"/>
  <c r="J62" i="24"/>
  <c r="C60" i="24"/>
  <c r="N59" i="24"/>
  <c r="J59" i="24"/>
  <c r="N58" i="24"/>
  <c r="J58" i="24"/>
  <c r="C56" i="24"/>
  <c r="N55" i="24"/>
  <c r="J55" i="24"/>
  <c r="J54" i="24"/>
  <c r="F51" i="24"/>
  <c r="F52" i="24" s="1"/>
  <c r="F56" i="24" s="1"/>
  <c r="F60" i="24" s="1"/>
  <c r="E51" i="24"/>
  <c r="C51" i="24"/>
  <c r="M50" i="24"/>
  <c r="L50" i="24"/>
  <c r="K50" i="24"/>
  <c r="J50" i="24"/>
  <c r="I50" i="24"/>
  <c r="H50" i="24"/>
  <c r="G50" i="24"/>
  <c r="C40" i="24"/>
  <c r="M39" i="24"/>
  <c r="L39" i="24"/>
  <c r="H39" i="24"/>
  <c r="F39" i="24"/>
  <c r="C39" i="24"/>
  <c r="C38" i="24"/>
  <c r="M35" i="24"/>
  <c r="L35" i="24"/>
  <c r="J35" i="24"/>
  <c r="I35" i="24"/>
  <c r="H35" i="24"/>
  <c r="M34" i="24"/>
  <c r="L34" i="24"/>
  <c r="J34" i="24"/>
  <c r="I34" i="24"/>
  <c r="H34" i="24"/>
  <c r="M33" i="24"/>
  <c r="L33" i="24"/>
  <c r="J33" i="24"/>
  <c r="I33" i="24"/>
  <c r="H33" i="24"/>
  <c r="M32" i="24"/>
  <c r="L32" i="24"/>
  <c r="J32" i="24"/>
  <c r="I32" i="24"/>
  <c r="H32" i="24"/>
  <c r="M30" i="24"/>
  <c r="L30" i="24"/>
  <c r="J30" i="24"/>
  <c r="I30" i="24"/>
  <c r="H30" i="24"/>
  <c r="M29" i="24"/>
  <c r="L29" i="24"/>
  <c r="J29" i="24"/>
  <c r="I29" i="24"/>
  <c r="H29" i="24"/>
  <c r="M28" i="24"/>
  <c r="L28" i="24"/>
  <c r="J28" i="24"/>
  <c r="I28" i="24"/>
  <c r="H28" i="24"/>
  <c r="M27" i="24"/>
  <c r="L27" i="24"/>
  <c r="J27" i="24"/>
  <c r="I27" i="24"/>
  <c r="H27" i="24"/>
  <c r="M26" i="24"/>
  <c r="L26" i="24"/>
  <c r="J26" i="24"/>
  <c r="I26" i="24"/>
  <c r="H26" i="24"/>
  <c r="M25" i="24"/>
  <c r="L25" i="24"/>
  <c r="J25" i="24"/>
  <c r="I25" i="24"/>
  <c r="H25" i="24"/>
  <c r="M24" i="24"/>
  <c r="L24" i="24"/>
  <c r="J24" i="24"/>
  <c r="I24" i="24"/>
  <c r="H24" i="24"/>
  <c r="M23" i="24"/>
  <c r="L23" i="24"/>
  <c r="J23" i="24"/>
  <c r="I23" i="24"/>
  <c r="H23" i="24"/>
  <c r="M22" i="24"/>
  <c r="L22" i="24"/>
  <c r="J22" i="24"/>
  <c r="I22" i="24"/>
  <c r="H22" i="24"/>
  <c r="M21" i="24"/>
  <c r="L21" i="24"/>
  <c r="J21" i="24"/>
  <c r="I21" i="24"/>
  <c r="H21" i="24"/>
  <c r="M20" i="24"/>
  <c r="L20" i="24"/>
  <c r="J20" i="24"/>
  <c r="I20" i="24"/>
  <c r="H20" i="24"/>
  <c r="C15" i="24"/>
  <c r="AC11" i="24"/>
  <c r="M8" i="24"/>
  <c r="L8" i="24"/>
  <c r="K8" i="24"/>
  <c r="J8" i="24"/>
  <c r="I8" i="24"/>
  <c r="H8" i="24"/>
  <c r="G8" i="24"/>
  <c r="A130" i="10"/>
  <c r="K123" i="10"/>
  <c r="J123" i="10"/>
  <c r="I123" i="10"/>
  <c r="H123" i="10"/>
  <c r="G123" i="10"/>
  <c r="F123" i="10"/>
  <c r="E123" i="10"/>
  <c r="C80" i="23"/>
  <c r="J79" i="23"/>
  <c r="J78" i="23"/>
  <c r="J77" i="23"/>
  <c r="C75" i="23"/>
  <c r="I74" i="23"/>
  <c r="J74" i="23" s="1"/>
  <c r="E73" i="23"/>
  <c r="E72" i="23"/>
  <c r="I71" i="23"/>
  <c r="J71" i="23" s="1"/>
  <c r="J70" i="23"/>
  <c r="C67" i="23"/>
  <c r="J66" i="23"/>
  <c r="I66" i="23"/>
  <c r="H66" i="23"/>
  <c r="G66" i="23"/>
  <c r="N64" i="23"/>
  <c r="J64" i="23"/>
  <c r="N63" i="23"/>
  <c r="H63" i="23"/>
  <c r="G63" i="23" s="1"/>
  <c r="I63" i="23" s="1"/>
  <c r="N62" i="23"/>
  <c r="J62" i="23"/>
  <c r="C60" i="23"/>
  <c r="N59" i="23"/>
  <c r="J59" i="23"/>
  <c r="N58" i="23"/>
  <c r="J58" i="23"/>
  <c r="C56" i="23"/>
  <c r="N55" i="23"/>
  <c r="J55" i="23"/>
  <c r="J54" i="23"/>
  <c r="F51" i="23"/>
  <c r="E51" i="23"/>
  <c r="C51" i="23"/>
  <c r="M50" i="23"/>
  <c r="L50" i="23"/>
  <c r="K50" i="23"/>
  <c r="J50" i="23"/>
  <c r="I50" i="23"/>
  <c r="H50" i="23"/>
  <c r="G50" i="23"/>
  <c r="C40" i="23"/>
  <c r="M39" i="23"/>
  <c r="L39" i="23"/>
  <c r="H39" i="23"/>
  <c r="F39" i="23"/>
  <c r="C39" i="23"/>
  <c r="C38" i="23"/>
  <c r="M35" i="23"/>
  <c r="L35" i="23"/>
  <c r="J35" i="23"/>
  <c r="I35" i="23"/>
  <c r="H35" i="23"/>
  <c r="M34" i="23"/>
  <c r="L34" i="23"/>
  <c r="J34" i="23"/>
  <c r="I34" i="23"/>
  <c r="H34" i="23"/>
  <c r="M33" i="23"/>
  <c r="L33" i="23"/>
  <c r="J33" i="23"/>
  <c r="I33" i="23"/>
  <c r="H33" i="23"/>
  <c r="M32" i="23"/>
  <c r="L32" i="23"/>
  <c r="J32" i="23"/>
  <c r="I32" i="23"/>
  <c r="H32" i="23"/>
  <c r="M30" i="23"/>
  <c r="L30" i="23"/>
  <c r="J30" i="23"/>
  <c r="I30" i="23"/>
  <c r="H30" i="23"/>
  <c r="M29" i="23"/>
  <c r="L29" i="23"/>
  <c r="J29" i="23"/>
  <c r="I29" i="23"/>
  <c r="H29" i="23"/>
  <c r="M28" i="23"/>
  <c r="L28" i="23"/>
  <c r="J28" i="23"/>
  <c r="I28" i="23"/>
  <c r="H28" i="23"/>
  <c r="M27" i="23"/>
  <c r="L27" i="23"/>
  <c r="J27" i="23"/>
  <c r="I27" i="23"/>
  <c r="H27" i="23"/>
  <c r="M26" i="23"/>
  <c r="L26" i="23"/>
  <c r="J26" i="23"/>
  <c r="I26" i="23"/>
  <c r="H26" i="23"/>
  <c r="M25" i="23"/>
  <c r="L25" i="23"/>
  <c r="J25" i="23"/>
  <c r="I25" i="23"/>
  <c r="H25" i="23"/>
  <c r="M24" i="23"/>
  <c r="L24" i="23"/>
  <c r="J24" i="23"/>
  <c r="I24" i="23"/>
  <c r="H24" i="23"/>
  <c r="M23" i="23"/>
  <c r="L23" i="23"/>
  <c r="J23" i="23"/>
  <c r="I23" i="23"/>
  <c r="H23" i="23"/>
  <c r="M22" i="23"/>
  <c r="L22" i="23"/>
  <c r="J22" i="23"/>
  <c r="I22" i="23"/>
  <c r="H22" i="23"/>
  <c r="M21" i="23"/>
  <c r="L21" i="23"/>
  <c r="J21" i="23"/>
  <c r="I21" i="23"/>
  <c r="H21" i="23"/>
  <c r="M20" i="23"/>
  <c r="L20" i="23"/>
  <c r="J20" i="23"/>
  <c r="I20" i="23"/>
  <c r="H20" i="23"/>
  <c r="C15" i="23"/>
  <c r="AC11" i="23"/>
  <c r="M8" i="23"/>
  <c r="L8" i="23"/>
  <c r="K8" i="23"/>
  <c r="J8" i="23"/>
  <c r="I8" i="23"/>
  <c r="H8" i="23"/>
  <c r="G8" i="23"/>
  <c r="CM723" i="5"/>
  <c r="CL723" i="5"/>
  <c r="CK723" i="5"/>
  <c r="CJ723" i="5"/>
  <c r="CI723" i="5"/>
  <c r="CH723" i="5"/>
  <c r="CG723" i="5"/>
  <c r="CF723" i="5"/>
  <c r="CE723" i="5"/>
  <c r="CD723" i="5"/>
  <c r="CC723" i="5"/>
  <c r="CB723" i="5"/>
  <c r="CA723" i="5"/>
  <c r="BZ723" i="5"/>
  <c r="BY723" i="5"/>
  <c r="BX723" i="5"/>
  <c r="BW723" i="5"/>
  <c r="BV723" i="5"/>
  <c r="BU723" i="5"/>
  <c r="BT723" i="5"/>
  <c r="BS723" i="5"/>
  <c r="BR723" i="5"/>
  <c r="BQ723" i="5"/>
  <c r="BP723" i="5"/>
  <c r="BO723" i="5"/>
  <c r="BN723" i="5"/>
  <c r="BM723" i="5"/>
  <c r="BL723" i="5"/>
  <c r="BK723" i="5"/>
  <c r="BJ723" i="5"/>
  <c r="BI723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119" i="10"/>
  <c r="K112" i="10"/>
  <c r="J112" i="10"/>
  <c r="I112" i="10"/>
  <c r="H112" i="10"/>
  <c r="G112" i="10"/>
  <c r="F112" i="10"/>
  <c r="E112" i="10"/>
  <c r="C80" i="22"/>
  <c r="J79" i="22"/>
  <c r="J78" i="22"/>
  <c r="J77" i="22"/>
  <c r="C75" i="22"/>
  <c r="I74" i="22"/>
  <c r="J74" i="22" s="1"/>
  <c r="E73" i="22"/>
  <c r="E72" i="22"/>
  <c r="I71" i="22"/>
  <c r="J71" i="22" s="1"/>
  <c r="J70" i="22"/>
  <c r="C67" i="22"/>
  <c r="J66" i="22"/>
  <c r="I66" i="22"/>
  <c r="H66" i="22"/>
  <c r="G66" i="22"/>
  <c r="N64" i="22"/>
  <c r="J64" i="22"/>
  <c r="N63" i="22"/>
  <c r="H63" i="22"/>
  <c r="G63" i="22" s="1"/>
  <c r="I63" i="22" s="1"/>
  <c r="N62" i="22"/>
  <c r="J62" i="22"/>
  <c r="C60" i="22"/>
  <c r="N59" i="22"/>
  <c r="J59" i="22"/>
  <c r="N58" i="22"/>
  <c r="J58" i="22"/>
  <c r="C56" i="22"/>
  <c r="N55" i="22"/>
  <c r="J55" i="22"/>
  <c r="J54" i="22"/>
  <c r="F51" i="22"/>
  <c r="E51" i="22"/>
  <c r="C51" i="22"/>
  <c r="M50" i="22"/>
  <c r="L50" i="22"/>
  <c r="K50" i="22"/>
  <c r="J50" i="22"/>
  <c r="I50" i="22"/>
  <c r="H50" i="22"/>
  <c r="G50" i="22"/>
  <c r="C40" i="22"/>
  <c r="M39" i="22"/>
  <c r="L39" i="22"/>
  <c r="H39" i="22"/>
  <c r="F39" i="22"/>
  <c r="C39" i="22"/>
  <c r="C38" i="22"/>
  <c r="M35" i="22"/>
  <c r="L35" i="22"/>
  <c r="J35" i="22"/>
  <c r="I35" i="22"/>
  <c r="H35" i="22"/>
  <c r="M34" i="22"/>
  <c r="L34" i="22"/>
  <c r="J34" i="22"/>
  <c r="I34" i="22"/>
  <c r="H34" i="22"/>
  <c r="M33" i="22"/>
  <c r="L33" i="22"/>
  <c r="J33" i="22"/>
  <c r="I33" i="22"/>
  <c r="H33" i="22"/>
  <c r="M32" i="22"/>
  <c r="L32" i="22"/>
  <c r="J32" i="22"/>
  <c r="I32" i="22"/>
  <c r="H32" i="22"/>
  <c r="M30" i="22"/>
  <c r="L30" i="22"/>
  <c r="J30" i="22"/>
  <c r="I30" i="22"/>
  <c r="H30" i="22"/>
  <c r="M29" i="22"/>
  <c r="L29" i="22"/>
  <c r="J29" i="22"/>
  <c r="I29" i="22"/>
  <c r="H29" i="22"/>
  <c r="M28" i="22"/>
  <c r="L28" i="22"/>
  <c r="J28" i="22"/>
  <c r="I28" i="22"/>
  <c r="H28" i="22"/>
  <c r="M27" i="22"/>
  <c r="L27" i="22"/>
  <c r="J27" i="22"/>
  <c r="I27" i="22"/>
  <c r="H27" i="22"/>
  <c r="M26" i="22"/>
  <c r="L26" i="22"/>
  <c r="J26" i="22"/>
  <c r="I26" i="22"/>
  <c r="H26" i="22"/>
  <c r="M25" i="22"/>
  <c r="L25" i="22"/>
  <c r="J25" i="22"/>
  <c r="I25" i="22"/>
  <c r="H25" i="22"/>
  <c r="M24" i="22"/>
  <c r="L24" i="22"/>
  <c r="J24" i="22"/>
  <c r="I24" i="22"/>
  <c r="H24" i="22"/>
  <c r="M23" i="22"/>
  <c r="L23" i="22"/>
  <c r="J23" i="22"/>
  <c r="I23" i="22"/>
  <c r="H23" i="22"/>
  <c r="M22" i="22"/>
  <c r="L22" i="22"/>
  <c r="J22" i="22"/>
  <c r="I22" i="22"/>
  <c r="H22" i="22"/>
  <c r="M21" i="22"/>
  <c r="L21" i="22"/>
  <c r="J21" i="22"/>
  <c r="I21" i="22"/>
  <c r="H21" i="22"/>
  <c r="M20" i="22"/>
  <c r="L20" i="22"/>
  <c r="J20" i="22"/>
  <c r="I20" i="22"/>
  <c r="H20" i="22"/>
  <c r="C15" i="22"/>
  <c r="AC11" i="22"/>
  <c r="M8" i="22"/>
  <c r="L8" i="22"/>
  <c r="K8" i="22"/>
  <c r="J8" i="22"/>
  <c r="I8" i="22"/>
  <c r="H8" i="22"/>
  <c r="G8" i="22"/>
  <c r="A108" i="10"/>
  <c r="K101" i="10"/>
  <c r="J101" i="10"/>
  <c r="I101" i="10"/>
  <c r="H101" i="10"/>
  <c r="G101" i="10"/>
  <c r="F101" i="10"/>
  <c r="E101" i="10"/>
  <c r="C80" i="21"/>
  <c r="J79" i="21"/>
  <c r="J78" i="21"/>
  <c r="J77" i="21"/>
  <c r="C75" i="21"/>
  <c r="I74" i="21"/>
  <c r="J74" i="21" s="1"/>
  <c r="E73" i="21"/>
  <c r="E72" i="21"/>
  <c r="I71" i="21"/>
  <c r="J71" i="21" s="1"/>
  <c r="J70" i="21"/>
  <c r="C67" i="21"/>
  <c r="J66" i="21"/>
  <c r="I66" i="21"/>
  <c r="H66" i="21"/>
  <c r="G66" i="21"/>
  <c r="N64" i="21"/>
  <c r="J64" i="21"/>
  <c r="N63" i="21"/>
  <c r="H63" i="21"/>
  <c r="G63" i="21" s="1"/>
  <c r="I63" i="21" s="1"/>
  <c r="N62" i="21"/>
  <c r="J62" i="21"/>
  <c r="C60" i="21"/>
  <c r="N59" i="21"/>
  <c r="J59" i="21"/>
  <c r="N58" i="21"/>
  <c r="J58" i="21"/>
  <c r="C56" i="21"/>
  <c r="N55" i="21"/>
  <c r="J55" i="21"/>
  <c r="J54" i="21"/>
  <c r="F51" i="21"/>
  <c r="E51" i="21"/>
  <c r="C51" i="21"/>
  <c r="M50" i="21"/>
  <c r="L50" i="21"/>
  <c r="K50" i="21"/>
  <c r="J50" i="21"/>
  <c r="I50" i="21"/>
  <c r="H50" i="21"/>
  <c r="G50" i="21"/>
  <c r="C40" i="21"/>
  <c r="M39" i="21"/>
  <c r="L39" i="21"/>
  <c r="H39" i="21"/>
  <c r="F39" i="21"/>
  <c r="C39" i="21"/>
  <c r="C38" i="21"/>
  <c r="M35" i="21"/>
  <c r="L35" i="21"/>
  <c r="J35" i="21"/>
  <c r="I35" i="21"/>
  <c r="H35" i="21"/>
  <c r="M34" i="21"/>
  <c r="L34" i="21"/>
  <c r="J34" i="21"/>
  <c r="I34" i="21"/>
  <c r="H34" i="21"/>
  <c r="M33" i="21"/>
  <c r="L33" i="21"/>
  <c r="J33" i="21"/>
  <c r="I33" i="21"/>
  <c r="H33" i="21"/>
  <c r="M32" i="21"/>
  <c r="L32" i="21"/>
  <c r="J32" i="21"/>
  <c r="I32" i="21"/>
  <c r="H32" i="21"/>
  <c r="M30" i="21"/>
  <c r="L30" i="21"/>
  <c r="J30" i="21"/>
  <c r="I30" i="21"/>
  <c r="H30" i="21"/>
  <c r="M29" i="21"/>
  <c r="L29" i="21"/>
  <c r="J29" i="21"/>
  <c r="I29" i="21"/>
  <c r="H29" i="21"/>
  <c r="M28" i="21"/>
  <c r="L28" i="21"/>
  <c r="J28" i="21"/>
  <c r="I28" i="21"/>
  <c r="H28" i="21"/>
  <c r="M27" i="21"/>
  <c r="L27" i="21"/>
  <c r="J27" i="21"/>
  <c r="I27" i="21"/>
  <c r="H27" i="21"/>
  <c r="M26" i="21"/>
  <c r="L26" i="21"/>
  <c r="J26" i="21"/>
  <c r="I26" i="21"/>
  <c r="H26" i="21"/>
  <c r="M25" i="21"/>
  <c r="L25" i="21"/>
  <c r="J25" i="21"/>
  <c r="I25" i="21"/>
  <c r="H25" i="21"/>
  <c r="M24" i="21"/>
  <c r="L24" i="21"/>
  <c r="J24" i="21"/>
  <c r="I24" i="21"/>
  <c r="H24" i="21"/>
  <c r="M23" i="21"/>
  <c r="L23" i="21"/>
  <c r="J23" i="21"/>
  <c r="I23" i="21"/>
  <c r="H23" i="21"/>
  <c r="M22" i="21"/>
  <c r="L22" i="21"/>
  <c r="J22" i="21"/>
  <c r="I22" i="21"/>
  <c r="H22" i="21"/>
  <c r="M21" i="21"/>
  <c r="L21" i="21"/>
  <c r="J21" i="21"/>
  <c r="I21" i="21"/>
  <c r="H21" i="21"/>
  <c r="M20" i="21"/>
  <c r="L20" i="21"/>
  <c r="J20" i="21"/>
  <c r="I20" i="21"/>
  <c r="H20" i="21"/>
  <c r="C15" i="21"/>
  <c r="AC11" i="21"/>
  <c r="M8" i="21"/>
  <c r="L8" i="21"/>
  <c r="K8" i="21"/>
  <c r="J8" i="21"/>
  <c r="I8" i="21"/>
  <c r="H8" i="21"/>
  <c r="G8" i="21"/>
  <c r="A97" i="10"/>
  <c r="K90" i="10"/>
  <c r="J90" i="10"/>
  <c r="I90" i="10"/>
  <c r="H90" i="10"/>
  <c r="G90" i="10"/>
  <c r="F90" i="10"/>
  <c r="E90" i="10"/>
  <c r="C80" i="20"/>
  <c r="J79" i="20"/>
  <c r="J78" i="20"/>
  <c r="J77" i="20"/>
  <c r="C75" i="20"/>
  <c r="I74" i="20"/>
  <c r="J74" i="20" s="1"/>
  <c r="E73" i="20"/>
  <c r="E72" i="20"/>
  <c r="I71" i="20"/>
  <c r="J71" i="20" s="1"/>
  <c r="J70" i="20"/>
  <c r="C67" i="20"/>
  <c r="J66" i="20"/>
  <c r="I66" i="20"/>
  <c r="H66" i="20"/>
  <c r="G66" i="20"/>
  <c r="N64" i="20"/>
  <c r="J64" i="20"/>
  <c r="N63" i="20"/>
  <c r="H63" i="20"/>
  <c r="G63" i="20" s="1"/>
  <c r="I63" i="20" s="1"/>
  <c r="N62" i="20"/>
  <c r="J62" i="20"/>
  <c r="C60" i="20"/>
  <c r="N59" i="20"/>
  <c r="J59" i="20"/>
  <c r="N58" i="20"/>
  <c r="J58" i="20"/>
  <c r="C56" i="20"/>
  <c r="N55" i="20"/>
  <c r="J55" i="20"/>
  <c r="J54" i="20"/>
  <c r="F51" i="20"/>
  <c r="E51" i="20"/>
  <c r="C51" i="20"/>
  <c r="M50" i="20"/>
  <c r="L50" i="20"/>
  <c r="K50" i="20"/>
  <c r="J50" i="20"/>
  <c r="I50" i="20"/>
  <c r="H50" i="20"/>
  <c r="G50" i="20"/>
  <c r="C40" i="20"/>
  <c r="M39" i="20"/>
  <c r="L39" i="20"/>
  <c r="H39" i="20"/>
  <c r="F39" i="20"/>
  <c r="C39" i="20"/>
  <c r="C38" i="20"/>
  <c r="M35" i="20"/>
  <c r="L35" i="20"/>
  <c r="J35" i="20"/>
  <c r="I35" i="20"/>
  <c r="H35" i="20"/>
  <c r="M34" i="20"/>
  <c r="L34" i="20"/>
  <c r="J34" i="20"/>
  <c r="I34" i="20"/>
  <c r="H34" i="20"/>
  <c r="M33" i="20"/>
  <c r="L33" i="20"/>
  <c r="J33" i="20"/>
  <c r="I33" i="20"/>
  <c r="H33" i="20"/>
  <c r="M32" i="20"/>
  <c r="L32" i="20"/>
  <c r="J32" i="20"/>
  <c r="I32" i="20"/>
  <c r="H32" i="20"/>
  <c r="M30" i="20"/>
  <c r="L30" i="20"/>
  <c r="J30" i="20"/>
  <c r="I30" i="20"/>
  <c r="H30" i="20"/>
  <c r="M29" i="20"/>
  <c r="L29" i="20"/>
  <c r="J29" i="20"/>
  <c r="I29" i="20"/>
  <c r="H29" i="20"/>
  <c r="M28" i="20"/>
  <c r="L28" i="20"/>
  <c r="J28" i="20"/>
  <c r="I28" i="20"/>
  <c r="H28" i="20"/>
  <c r="M27" i="20"/>
  <c r="L27" i="20"/>
  <c r="J27" i="20"/>
  <c r="I27" i="20"/>
  <c r="H27" i="20"/>
  <c r="M26" i="20"/>
  <c r="L26" i="20"/>
  <c r="J26" i="20"/>
  <c r="I26" i="20"/>
  <c r="H26" i="20"/>
  <c r="M25" i="20"/>
  <c r="L25" i="20"/>
  <c r="J25" i="20"/>
  <c r="I25" i="20"/>
  <c r="H25" i="20"/>
  <c r="M24" i="20"/>
  <c r="L24" i="20"/>
  <c r="J24" i="20"/>
  <c r="I24" i="20"/>
  <c r="H24" i="20"/>
  <c r="M23" i="20"/>
  <c r="L23" i="20"/>
  <c r="J23" i="20"/>
  <c r="I23" i="20"/>
  <c r="H23" i="20"/>
  <c r="M22" i="20"/>
  <c r="L22" i="20"/>
  <c r="J22" i="20"/>
  <c r="I22" i="20"/>
  <c r="H22" i="20"/>
  <c r="M21" i="20"/>
  <c r="L21" i="20"/>
  <c r="J21" i="20"/>
  <c r="I21" i="20"/>
  <c r="H21" i="20"/>
  <c r="M20" i="20"/>
  <c r="L20" i="20"/>
  <c r="J20" i="20"/>
  <c r="I20" i="20"/>
  <c r="H20" i="20"/>
  <c r="C15" i="20"/>
  <c r="AC11" i="20"/>
  <c r="M8" i="20"/>
  <c r="L8" i="20"/>
  <c r="K8" i="20"/>
  <c r="J8" i="20"/>
  <c r="I8" i="20"/>
  <c r="H8" i="20"/>
  <c r="G8" i="20"/>
  <c r="A86" i="10"/>
  <c r="K79" i="10"/>
  <c r="J79" i="10"/>
  <c r="I79" i="10"/>
  <c r="H79" i="10"/>
  <c r="G79" i="10"/>
  <c r="F79" i="10"/>
  <c r="E79" i="10"/>
  <c r="C80" i="19"/>
  <c r="J79" i="19"/>
  <c r="J78" i="19"/>
  <c r="J77" i="19"/>
  <c r="C75" i="19"/>
  <c r="I74" i="19"/>
  <c r="J74" i="19" s="1"/>
  <c r="E73" i="19"/>
  <c r="E72" i="19"/>
  <c r="I71" i="19"/>
  <c r="J71" i="19" s="1"/>
  <c r="J70" i="19"/>
  <c r="C67" i="19"/>
  <c r="J66" i="19"/>
  <c r="I66" i="19"/>
  <c r="H66" i="19"/>
  <c r="G66" i="19"/>
  <c r="N64" i="19"/>
  <c r="J64" i="19"/>
  <c r="N63" i="19"/>
  <c r="H63" i="19"/>
  <c r="G63" i="19" s="1"/>
  <c r="I63" i="19" s="1"/>
  <c r="N62" i="19"/>
  <c r="J62" i="19"/>
  <c r="C60" i="19"/>
  <c r="N59" i="19"/>
  <c r="J59" i="19"/>
  <c r="N58" i="19"/>
  <c r="J58" i="19"/>
  <c r="C56" i="19"/>
  <c r="N55" i="19"/>
  <c r="J55" i="19"/>
  <c r="J54" i="19"/>
  <c r="F51" i="19"/>
  <c r="E51" i="19"/>
  <c r="C51" i="19"/>
  <c r="M50" i="19"/>
  <c r="L50" i="19"/>
  <c r="K50" i="19"/>
  <c r="J50" i="19"/>
  <c r="I50" i="19"/>
  <c r="H50" i="19"/>
  <c r="G50" i="19"/>
  <c r="C40" i="19"/>
  <c r="M39" i="19"/>
  <c r="L39" i="19"/>
  <c r="H39" i="19"/>
  <c r="F39" i="19"/>
  <c r="C39" i="19"/>
  <c r="C38" i="19"/>
  <c r="M35" i="19"/>
  <c r="L35" i="19"/>
  <c r="J35" i="19"/>
  <c r="I35" i="19"/>
  <c r="H35" i="19"/>
  <c r="M34" i="19"/>
  <c r="L34" i="19"/>
  <c r="J34" i="19"/>
  <c r="I34" i="19"/>
  <c r="H34" i="19"/>
  <c r="M33" i="19"/>
  <c r="L33" i="19"/>
  <c r="J33" i="19"/>
  <c r="I33" i="19"/>
  <c r="H33" i="19"/>
  <c r="M32" i="19"/>
  <c r="L32" i="19"/>
  <c r="J32" i="19"/>
  <c r="I32" i="19"/>
  <c r="H32" i="19"/>
  <c r="M30" i="19"/>
  <c r="L30" i="19"/>
  <c r="J30" i="19"/>
  <c r="I30" i="19"/>
  <c r="H30" i="19"/>
  <c r="M29" i="19"/>
  <c r="L29" i="19"/>
  <c r="J29" i="19"/>
  <c r="I29" i="19"/>
  <c r="H29" i="19"/>
  <c r="M28" i="19"/>
  <c r="L28" i="19"/>
  <c r="J28" i="19"/>
  <c r="I28" i="19"/>
  <c r="H28" i="19"/>
  <c r="M27" i="19"/>
  <c r="L27" i="19"/>
  <c r="J27" i="19"/>
  <c r="I27" i="19"/>
  <c r="H27" i="19"/>
  <c r="M26" i="19"/>
  <c r="L26" i="19"/>
  <c r="J26" i="19"/>
  <c r="I26" i="19"/>
  <c r="H26" i="19"/>
  <c r="M25" i="19"/>
  <c r="L25" i="19"/>
  <c r="J25" i="19"/>
  <c r="I25" i="19"/>
  <c r="H25" i="19"/>
  <c r="M24" i="19"/>
  <c r="L24" i="19"/>
  <c r="J24" i="19"/>
  <c r="I24" i="19"/>
  <c r="H24" i="19"/>
  <c r="M23" i="19"/>
  <c r="L23" i="19"/>
  <c r="J23" i="19"/>
  <c r="I23" i="19"/>
  <c r="H23" i="19"/>
  <c r="M22" i="19"/>
  <c r="L22" i="19"/>
  <c r="J22" i="19"/>
  <c r="I22" i="19"/>
  <c r="H22" i="19"/>
  <c r="M21" i="19"/>
  <c r="L21" i="19"/>
  <c r="J21" i="19"/>
  <c r="I21" i="19"/>
  <c r="H21" i="19"/>
  <c r="M20" i="19"/>
  <c r="L20" i="19"/>
  <c r="J20" i="19"/>
  <c r="I20" i="19"/>
  <c r="H20" i="19"/>
  <c r="C15" i="19"/>
  <c r="AC11" i="19"/>
  <c r="M8" i="19"/>
  <c r="L8" i="19"/>
  <c r="K8" i="19"/>
  <c r="J8" i="19"/>
  <c r="I8" i="19"/>
  <c r="H8" i="19"/>
  <c r="G8" i="19"/>
  <c r="A75" i="10"/>
  <c r="K68" i="10"/>
  <c r="J68" i="10"/>
  <c r="I68" i="10"/>
  <c r="H68" i="10"/>
  <c r="G68" i="10"/>
  <c r="F68" i="10"/>
  <c r="E68" i="10"/>
  <c r="C80" i="18"/>
  <c r="J79" i="18"/>
  <c r="J78" i="18"/>
  <c r="J77" i="18"/>
  <c r="C75" i="18"/>
  <c r="I74" i="18"/>
  <c r="J74" i="18" s="1"/>
  <c r="E73" i="18"/>
  <c r="E72" i="18"/>
  <c r="I71" i="18"/>
  <c r="J71" i="18" s="1"/>
  <c r="J70" i="18"/>
  <c r="C67" i="18"/>
  <c r="J66" i="18"/>
  <c r="I66" i="18"/>
  <c r="H66" i="18"/>
  <c r="G66" i="18"/>
  <c r="N64" i="18"/>
  <c r="J64" i="18"/>
  <c r="N63" i="18"/>
  <c r="H63" i="18"/>
  <c r="G63" i="18" s="1"/>
  <c r="I63" i="18" s="1"/>
  <c r="N62" i="18"/>
  <c r="J62" i="18"/>
  <c r="C60" i="18"/>
  <c r="N59" i="18"/>
  <c r="J59" i="18"/>
  <c r="N58" i="18"/>
  <c r="J58" i="18"/>
  <c r="C56" i="18"/>
  <c r="N55" i="18"/>
  <c r="J55" i="18"/>
  <c r="J54" i="18"/>
  <c r="F51" i="18"/>
  <c r="E51" i="18"/>
  <c r="C51" i="18"/>
  <c r="M50" i="18"/>
  <c r="L50" i="18"/>
  <c r="K50" i="18"/>
  <c r="J50" i="18"/>
  <c r="I50" i="18"/>
  <c r="H50" i="18"/>
  <c r="G50" i="18"/>
  <c r="C40" i="18"/>
  <c r="M39" i="18"/>
  <c r="L39" i="18"/>
  <c r="H39" i="18"/>
  <c r="F39" i="18"/>
  <c r="C39" i="18"/>
  <c r="C38" i="18"/>
  <c r="M35" i="18"/>
  <c r="L35" i="18"/>
  <c r="J35" i="18"/>
  <c r="I35" i="18"/>
  <c r="H35" i="18"/>
  <c r="M34" i="18"/>
  <c r="L34" i="18"/>
  <c r="J34" i="18"/>
  <c r="I34" i="18"/>
  <c r="H34" i="18"/>
  <c r="M33" i="18"/>
  <c r="L33" i="18"/>
  <c r="J33" i="18"/>
  <c r="I33" i="18"/>
  <c r="H33" i="18"/>
  <c r="M32" i="18"/>
  <c r="L32" i="18"/>
  <c r="J32" i="18"/>
  <c r="I32" i="18"/>
  <c r="H32" i="18"/>
  <c r="M30" i="18"/>
  <c r="L30" i="18"/>
  <c r="J30" i="18"/>
  <c r="I30" i="18"/>
  <c r="H30" i="18"/>
  <c r="M29" i="18"/>
  <c r="L29" i="18"/>
  <c r="J29" i="18"/>
  <c r="I29" i="18"/>
  <c r="H29" i="18"/>
  <c r="M28" i="18"/>
  <c r="L28" i="18"/>
  <c r="J28" i="18"/>
  <c r="I28" i="18"/>
  <c r="H28" i="18"/>
  <c r="M27" i="18"/>
  <c r="L27" i="18"/>
  <c r="J27" i="18"/>
  <c r="I27" i="18"/>
  <c r="H27" i="18"/>
  <c r="M26" i="18"/>
  <c r="L26" i="18"/>
  <c r="J26" i="18"/>
  <c r="I26" i="18"/>
  <c r="H26" i="18"/>
  <c r="M25" i="18"/>
  <c r="L25" i="18"/>
  <c r="J25" i="18"/>
  <c r="I25" i="18"/>
  <c r="H25" i="18"/>
  <c r="M24" i="18"/>
  <c r="L24" i="18"/>
  <c r="J24" i="18"/>
  <c r="I24" i="18"/>
  <c r="H24" i="18"/>
  <c r="M23" i="18"/>
  <c r="L23" i="18"/>
  <c r="J23" i="18"/>
  <c r="I23" i="18"/>
  <c r="H23" i="18"/>
  <c r="M22" i="18"/>
  <c r="L22" i="18"/>
  <c r="J22" i="18"/>
  <c r="I22" i="18"/>
  <c r="H22" i="18"/>
  <c r="M21" i="18"/>
  <c r="L21" i="18"/>
  <c r="J21" i="18"/>
  <c r="I21" i="18"/>
  <c r="H21" i="18"/>
  <c r="M20" i="18"/>
  <c r="L20" i="18"/>
  <c r="J20" i="18"/>
  <c r="I20" i="18"/>
  <c r="H20" i="18"/>
  <c r="C15" i="18"/>
  <c r="AC11" i="18"/>
  <c r="M8" i="18"/>
  <c r="L8" i="18"/>
  <c r="K8" i="18"/>
  <c r="J8" i="18"/>
  <c r="I8" i="18"/>
  <c r="H8" i="18"/>
  <c r="G8" i="18"/>
  <c r="A64" i="10"/>
  <c r="K57" i="10"/>
  <c r="J57" i="10"/>
  <c r="I57" i="10"/>
  <c r="H57" i="10"/>
  <c r="G57" i="10"/>
  <c r="F57" i="10"/>
  <c r="E57" i="10"/>
  <c r="C80" i="17"/>
  <c r="J79" i="17"/>
  <c r="J78" i="17"/>
  <c r="J77" i="17"/>
  <c r="C75" i="17"/>
  <c r="I74" i="17"/>
  <c r="J74" i="17" s="1"/>
  <c r="E73" i="17"/>
  <c r="E72" i="17"/>
  <c r="I71" i="17"/>
  <c r="J71" i="17" s="1"/>
  <c r="J70" i="17"/>
  <c r="C67" i="17"/>
  <c r="J66" i="17"/>
  <c r="I66" i="17"/>
  <c r="H66" i="17"/>
  <c r="G66" i="17"/>
  <c r="N64" i="17"/>
  <c r="J64" i="17"/>
  <c r="N63" i="17"/>
  <c r="H63" i="17"/>
  <c r="G63" i="17" s="1"/>
  <c r="I63" i="17" s="1"/>
  <c r="N62" i="17"/>
  <c r="J62" i="17"/>
  <c r="C60" i="17"/>
  <c r="N59" i="17"/>
  <c r="J59" i="17"/>
  <c r="N58" i="17"/>
  <c r="J58" i="17"/>
  <c r="C56" i="17"/>
  <c r="N55" i="17"/>
  <c r="J55" i="17"/>
  <c r="J54" i="17"/>
  <c r="F51" i="17"/>
  <c r="E51" i="17"/>
  <c r="C51" i="17"/>
  <c r="M50" i="17"/>
  <c r="L50" i="17"/>
  <c r="K50" i="17"/>
  <c r="J50" i="17"/>
  <c r="I50" i="17"/>
  <c r="H50" i="17"/>
  <c r="G50" i="17"/>
  <c r="C40" i="17"/>
  <c r="M39" i="17"/>
  <c r="L39" i="17"/>
  <c r="H39" i="17"/>
  <c r="F39" i="17"/>
  <c r="C39" i="17"/>
  <c r="C38" i="17"/>
  <c r="M35" i="17"/>
  <c r="L35" i="17"/>
  <c r="J35" i="17"/>
  <c r="I35" i="17"/>
  <c r="H35" i="17"/>
  <c r="M34" i="17"/>
  <c r="L34" i="17"/>
  <c r="J34" i="17"/>
  <c r="I34" i="17"/>
  <c r="H34" i="17"/>
  <c r="M33" i="17"/>
  <c r="L33" i="17"/>
  <c r="J33" i="17"/>
  <c r="I33" i="17"/>
  <c r="H33" i="17"/>
  <c r="M32" i="17"/>
  <c r="L32" i="17"/>
  <c r="J32" i="17"/>
  <c r="I32" i="17"/>
  <c r="H32" i="17"/>
  <c r="M30" i="17"/>
  <c r="L30" i="17"/>
  <c r="J30" i="17"/>
  <c r="I30" i="17"/>
  <c r="H30" i="17"/>
  <c r="M29" i="17"/>
  <c r="L29" i="17"/>
  <c r="J29" i="17"/>
  <c r="I29" i="17"/>
  <c r="H29" i="17"/>
  <c r="M28" i="17"/>
  <c r="L28" i="17"/>
  <c r="J28" i="17"/>
  <c r="I28" i="17"/>
  <c r="H28" i="17"/>
  <c r="M27" i="17"/>
  <c r="L27" i="17"/>
  <c r="J27" i="17"/>
  <c r="I27" i="17"/>
  <c r="H27" i="17"/>
  <c r="M26" i="17"/>
  <c r="L26" i="17"/>
  <c r="J26" i="17"/>
  <c r="I26" i="17"/>
  <c r="H26" i="17"/>
  <c r="M25" i="17"/>
  <c r="L25" i="17"/>
  <c r="J25" i="17"/>
  <c r="I25" i="17"/>
  <c r="H25" i="17"/>
  <c r="M24" i="17"/>
  <c r="L24" i="17"/>
  <c r="J24" i="17"/>
  <c r="I24" i="17"/>
  <c r="H24" i="17"/>
  <c r="M23" i="17"/>
  <c r="L23" i="17"/>
  <c r="J23" i="17"/>
  <c r="I23" i="17"/>
  <c r="H23" i="17"/>
  <c r="M22" i="17"/>
  <c r="L22" i="17"/>
  <c r="J22" i="17"/>
  <c r="I22" i="17"/>
  <c r="H22" i="17"/>
  <c r="M21" i="17"/>
  <c r="L21" i="17"/>
  <c r="J21" i="17"/>
  <c r="I21" i="17"/>
  <c r="H21" i="17"/>
  <c r="M20" i="17"/>
  <c r="L20" i="17"/>
  <c r="J20" i="17"/>
  <c r="I20" i="17"/>
  <c r="H20" i="17"/>
  <c r="C15" i="17"/>
  <c r="AC11" i="17"/>
  <c r="M8" i="17"/>
  <c r="L8" i="17"/>
  <c r="K8" i="17"/>
  <c r="J8" i="17"/>
  <c r="I8" i="17"/>
  <c r="H8" i="17"/>
  <c r="G8" i="17"/>
  <c r="A53" i="10"/>
  <c r="K46" i="10"/>
  <c r="J46" i="10"/>
  <c r="I46" i="10"/>
  <c r="H46" i="10"/>
  <c r="G46" i="10"/>
  <c r="F46" i="10"/>
  <c r="E46" i="10"/>
  <c r="C80" i="16"/>
  <c r="J79" i="16"/>
  <c r="J78" i="16"/>
  <c r="J77" i="16"/>
  <c r="C75" i="16"/>
  <c r="I74" i="16"/>
  <c r="J74" i="16" s="1"/>
  <c r="E73" i="16"/>
  <c r="E72" i="16"/>
  <c r="I71" i="16"/>
  <c r="J71" i="16" s="1"/>
  <c r="J70" i="16"/>
  <c r="C67" i="16"/>
  <c r="J66" i="16"/>
  <c r="I66" i="16"/>
  <c r="H66" i="16"/>
  <c r="G66" i="16"/>
  <c r="N64" i="16"/>
  <c r="J64" i="16"/>
  <c r="N63" i="16"/>
  <c r="H63" i="16"/>
  <c r="G63" i="16" s="1"/>
  <c r="I63" i="16" s="1"/>
  <c r="N62" i="16"/>
  <c r="J62" i="16"/>
  <c r="C60" i="16"/>
  <c r="N59" i="16"/>
  <c r="J59" i="16"/>
  <c r="N58" i="16"/>
  <c r="J58" i="16"/>
  <c r="C56" i="16"/>
  <c r="N55" i="16"/>
  <c r="J55" i="16"/>
  <c r="J54" i="16"/>
  <c r="F51" i="16"/>
  <c r="E51" i="16"/>
  <c r="C51" i="16"/>
  <c r="M50" i="16"/>
  <c r="L50" i="16"/>
  <c r="K50" i="16"/>
  <c r="J50" i="16"/>
  <c r="I50" i="16"/>
  <c r="H50" i="16"/>
  <c r="G50" i="16"/>
  <c r="C40" i="16"/>
  <c r="M39" i="16"/>
  <c r="L39" i="16"/>
  <c r="H39" i="16"/>
  <c r="F39" i="16"/>
  <c r="C39" i="16"/>
  <c r="C38" i="16"/>
  <c r="M35" i="16"/>
  <c r="L35" i="16"/>
  <c r="J35" i="16"/>
  <c r="I35" i="16"/>
  <c r="H35" i="16"/>
  <c r="M34" i="16"/>
  <c r="L34" i="16"/>
  <c r="J34" i="16"/>
  <c r="I34" i="16"/>
  <c r="H34" i="16"/>
  <c r="M33" i="16"/>
  <c r="L33" i="16"/>
  <c r="J33" i="16"/>
  <c r="I33" i="16"/>
  <c r="H33" i="16"/>
  <c r="M32" i="16"/>
  <c r="L32" i="16"/>
  <c r="J32" i="16"/>
  <c r="I32" i="16"/>
  <c r="H32" i="16"/>
  <c r="M30" i="16"/>
  <c r="L30" i="16"/>
  <c r="J30" i="16"/>
  <c r="I30" i="16"/>
  <c r="H30" i="16"/>
  <c r="M29" i="16"/>
  <c r="L29" i="16"/>
  <c r="J29" i="16"/>
  <c r="I29" i="16"/>
  <c r="H29" i="16"/>
  <c r="M28" i="16"/>
  <c r="L28" i="16"/>
  <c r="J28" i="16"/>
  <c r="I28" i="16"/>
  <c r="H28" i="16"/>
  <c r="M27" i="16"/>
  <c r="L27" i="16"/>
  <c r="J27" i="16"/>
  <c r="I27" i="16"/>
  <c r="H27" i="16"/>
  <c r="M26" i="16"/>
  <c r="L26" i="16"/>
  <c r="J26" i="16"/>
  <c r="I26" i="16"/>
  <c r="H26" i="16"/>
  <c r="M25" i="16"/>
  <c r="L25" i="16"/>
  <c r="J25" i="16"/>
  <c r="I25" i="16"/>
  <c r="H25" i="16"/>
  <c r="M24" i="16"/>
  <c r="L24" i="16"/>
  <c r="J24" i="16"/>
  <c r="I24" i="16"/>
  <c r="H24" i="16"/>
  <c r="M23" i="16"/>
  <c r="L23" i="16"/>
  <c r="J23" i="16"/>
  <c r="I23" i="16"/>
  <c r="H23" i="16"/>
  <c r="M22" i="16"/>
  <c r="L22" i="16"/>
  <c r="J22" i="16"/>
  <c r="I22" i="16"/>
  <c r="H22" i="16"/>
  <c r="M21" i="16"/>
  <c r="L21" i="16"/>
  <c r="J21" i="16"/>
  <c r="I21" i="16"/>
  <c r="H21" i="16"/>
  <c r="M20" i="16"/>
  <c r="L20" i="16"/>
  <c r="J20" i="16"/>
  <c r="I20" i="16"/>
  <c r="H20" i="16"/>
  <c r="C15" i="16"/>
  <c r="AC11" i="16"/>
  <c r="M8" i="16"/>
  <c r="L8" i="16"/>
  <c r="K8" i="16"/>
  <c r="J8" i="16"/>
  <c r="I8" i="16"/>
  <c r="H8" i="16"/>
  <c r="G8" i="16"/>
  <c r="A42" i="10"/>
  <c r="K35" i="10"/>
  <c r="J35" i="10"/>
  <c r="I35" i="10"/>
  <c r="H35" i="10"/>
  <c r="G35" i="10"/>
  <c r="F35" i="10"/>
  <c r="E35" i="10"/>
  <c r="C80" i="15"/>
  <c r="J79" i="15"/>
  <c r="J78" i="15"/>
  <c r="J77" i="15"/>
  <c r="C75" i="15"/>
  <c r="I74" i="15"/>
  <c r="J74" i="15" s="1"/>
  <c r="E73" i="15"/>
  <c r="E72" i="15"/>
  <c r="I71" i="15"/>
  <c r="J71" i="15" s="1"/>
  <c r="J70" i="15"/>
  <c r="C67" i="15"/>
  <c r="J66" i="15"/>
  <c r="I66" i="15"/>
  <c r="H66" i="15"/>
  <c r="G66" i="15"/>
  <c r="N64" i="15"/>
  <c r="J64" i="15"/>
  <c r="N63" i="15"/>
  <c r="H63" i="15"/>
  <c r="G63" i="15" s="1"/>
  <c r="I63" i="15" s="1"/>
  <c r="N62" i="15"/>
  <c r="J62" i="15"/>
  <c r="C60" i="15"/>
  <c r="N59" i="15"/>
  <c r="J59" i="15"/>
  <c r="N58" i="15"/>
  <c r="J58" i="15"/>
  <c r="C56" i="15"/>
  <c r="N55" i="15"/>
  <c r="J55" i="15"/>
  <c r="J54" i="15"/>
  <c r="F51" i="15"/>
  <c r="E51" i="15"/>
  <c r="C51" i="15"/>
  <c r="M50" i="15"/>
  <c r="L50" i="15"/>
  <c r="K50" i="15"/>
  <c r="J50" i="15"/>
  <c r="I50" i="15"/>
  <c r="H50" i="15"/>
  <c r="G50" i="15"/>
  <c r="C40" i="15"/>
  <c r="M39" i="15"/>
  <c r="L39" i="15"/>
  <c r="H39" i="15"/>
  <c r="F39" i="15"/>
  <c r="C39" i="15"/>
  <c r="C38" i="15"/>
  <c r="M35" i="15"/>
  <c r="L35" i="15"/>
  <c r="J35" i="15"/>
  <c r="I35" i="15"/>
  <c r="H35" i="15"/>
  <c r="M34" i="15"/>
  <c r="L34" i="15"/>
  <c r="J34" i="15"/>
  <c r="I34" i="15"/>
  <c r="H34" i="15"/>
  <c r="M33" i="15"/>
  <c r="L33" i="15"/>
  <c r="J33" i="15"/>
  <c r="I33" i="15"/>
  <c r="H33" i="15"/>
  <c r="M32" i="15"/>
  <c r="L32" i="15"/>
  <c r="J32" i="15"/>
  <c r="I32" i="15"/>
  <c r="H32" i="15"/>
  <c r="M30" i="15"/>
  <c r="L30" i="15"/>
  <c r="J30" i="15"/>
  <c r="I30" i="15"/>
  <c r="H30" i="15"/>
  <c r="M29" i="15"/>
  <c r="L29" i="15"/>
  <c r="J29" i="15"/>
  <c r="I29" i="15"/>
  <c r="H29" i="15"/>
  <c r="M28" i="15"/>
  <c r="L28" i="15"/>
  <c r="J28" i="15"/>
  <c r="I28" i="15"/>
  <c r="H28" i="15"/>
  <c r="M27" i="15"/>
  <c r="L27" i="15"/>
  <c r="J27" i="15"/>
  <c r="I27" i="15"/>
  <c r="H27" i="15"/>
  <c r="M26" i="15"/>
  <c r="L26" i="15"/>
  <c r="J26" i="15"/>
  <c r="I26" i="15"/>
  <c r="H26" i="15"/>
  <c r="M25" i="15"/>
  <c r="L25" i="15"/>
  <c r="J25" i="15"/>
  <c r="I25" i="15"/>
  <c r="H25" i="15"/>
  <c r="M24" i="15"/>
  <c r="L24" i="15"/>
  <c r="J24" i="15"/>
  <c r="I24" i="15"/>
  <c r="H24" i="15"/>
  <c r="M23" i="15"/>
  <c r="L23" i="15"/>
  <c r="J23" i="15"/>
  <c r="I23" i="15"/>
  <c r="H23" i="15"/>
  <c r="M22" i="15"/>
  <c r="L22" i="15"/>
  <c r="J22" i="15"/>
  <c r="I22" i="15"/>
  <c r="H22" i="15"/>
  <c r="M21" i="15"/>
  <c r="L21" i="15"/>
  <c r="J21" i="15"/>
  <c r="I21" i="15"/>
  <c r="H21" i="15"/>
  <c r="M20" i="15"/>
  <c r="L20" i="15"/>
  <c r="J20" i="15"/>
  <c r="I20" i="15"/>
  <c r="H20" i="15"/>
  <c r="C15" i="15"/>
  <c r="AC11" i="15"/>
  <c r="M8" i="15"/>
  <c r="L8" i="15"/>
  <c r="K8" i="15"/>
  <c r="J8" i="15"/>
  <c r="I8" i="15"/>
  <c r="H8" i="15"/>
  <c r="G8" i="15"/>
  <c r="A31" i="10"/>
  <c r="K24" i="10"/>
  <c r="J24" i="10"/>
  <c r="I24" i="10"/>
  <c r="H24" i="10"/>
  <c r="G24" i="10"/>
  <c r="F24" i="10"/>
  <c r="E24" i="10"/>
  <c r="C80" i="14"/>
  <c r="J79" i="14"/>
  <c r="J78" i="14"/>
  <c r="J77" i="14"/>
  <c r="C75" i="14"/>
  <c r="I74" i="14"/>
  <c r="J74" i="14" s="1"/>
  <c r="E73" i="14"/>
  <c r="E72" i="14"/>
  <c r="I71" i="14"/>
  <c r="J71" i="14" s="1"/>
  <c r="J70" i="14"/>
  <c r="C67" i="14"/>
  <c r="J66" i="14"/>
  <c r="I66" i="14"/>
  <c r="H66" i="14"/>
  <c r="G66" i="14"/>
  <c r="N64" i="14"/>
  <c r="J64" i="14"/>
  <c r="N63" i="14"/>
  <c r="H63" i="14"/>
  <c r="G63" i="14" s="1"/>
  <c r="I63" i="14" s="1"/>
  <c r="N62" i="14"/>
  <c r="J62" i="14"/>
  <c r="C60" i="14"/>
  <c r="N59" i="14"/>
  <c r="J59" i="14"/>
  <c r="N58" i="14"/>
  <c r="J58" i="14"/>
  <c r="C56" i="14"/>
  <c r="N55" i="14"/>
  <c r="J55" i="14"/>
  <c r="J54" i="14"/>
  <c r="F51" i="14"/>
  <c r="E51" i="14"/>
  <c r="C51" i="14"/>
  <c r="M50" i="14"/>
  <c r="L50" i="14"/>
  <c r="K50" i="14"/>
  <c r="J50" i="14"/>
  <c r="I50" i="14"/>
  <c r="H50" i="14"/>
  <c r="G50" i="14"/>
  <c r="C40" i="14"/>
  <c r="M39" i="14"/>
  <c r="L39" i="14"/>
  <c r="H39" i="14"/>
  <c r="F39" i="14"/>
  <c r="C39" i="14"/>
  <c r="C38" i="14"/>
  <c r="M35" i="14"/>
  <c r="L35" i="14"/>
  <c r="J35" i="14"/>
  <c r="I35" i="14"/>
  <c r="H35" i="14"/>
  <c r="M34" i="14"/>
  <c r="L34" i="14"/>
  <c r="J34" i="14"/>
  <c r="I34" i="14"/>
  <c r="H34" i="14"/>
  <c r="M33" i="14"/>
  <c r="L33" i="14"/>
  <c r="J33" i="14"/>
  <c r="I33" i="14"/>
  <c r="H33" i="14"/>
  <c r="M32" i="14"/>
  <c r="L32" i="14"/>
  <c r="J32" i="14"/>
  <c r="I32" i="14"/>
  <c r="H32" i="14"/>
  <c r="M30" i="14"/>
  <c r="L30" i="14"/>
  <c r="J30" i="14"/>
  <c r="I30" i="14"/>
  <c r="H30" i="14"/>
  <c r="M29" i="14"/>
  <c r="L29" i="14"/>
  <c r="J29" i="14"/>
  <c r="I29" i="14"/>
  <c r="H29" i="14"/>
  <c r="M28" i="14"/>
  <c r="L28" i="14"/>
  <c r="J28" i="14"/>
  <c r="I28" i="14"/>
  <c r="H28" i="14"/>
  <c r="M27" i="14"/>
  <c r="L27" i="14"/>
  <c r="J27" i="14"/>
  <c r="I27" i="14"/>
  <c r="H27" i="14"/>
  <c r="M26" i="14"/>
  <c r="L26" i="14"/>
  <c r="J26" i="14"/>
  <c r="I26" i="14"/>
  <c r="H26" i="14"/>
  <c r="M25" i="14"/>
  <c r="L25" i="14"/>
  <c r="J25" i="14"/>
  <c r="I25" i="14"/>
  <c r="H25" i="14"/>
  <c r="M24" i="14"/>
  <c r="L24" i="14"/>
  <c r="J24" i="14"/>
  <c r="I24" i="14"/>
  <c r="H24" i="14"/>
  <c r="M23" i="14"/>
  <c r="L23" i="14"/>
  <c r="J23" i="14"/>
  <c r="I23" i="14"/>
  <c r="H23" i="14"/>
  <c r="M22" i="14"/>
  <c r="L22" i="14"/>
  <c r="J22" i="14"/>
  <c r="I22" i="14"/>
  <c r="H22" i="14"/>
  <c r="M21" i="14"/>
  <c r="L21" i="14"/>
  <c r="J21" i="14"/>
  <c r="I21" i="14"/>
  <c r="H21" i="14"/>
  <c r="M20" i="14"/>
  <c r="L20" i="14"/>
  <c r="J20" i="14"/>
  <c r="I20" i="14"/>
  <c r="H20" i="14"/>
  <c r="C15" i="14"/>
  <c r="AC11" i="14"/>
  <c r="M8" i="14"/>
  <c r="L8" i="14"/>
  <c r="K8" i="14"/>
  <c r="J8" i="14"/>
  <c r="I8" i="14"/>
  <c r="H8" i="14"/>
  <c r="G8" i="14"/>
  <c r="A20" i="10"/>
  <c r="K13" i="10"/>
  <c r="J13" i="10"/>
  <c r="I13" i="10"/>
  <c r="H13" i="10"/>
  <c r="G13" i="10"/>
  <c r="F13" i="10"/>
  <c r="E13" i="10"/>
  <c r="C80" i="13"/>
  <c r="J79" i="13"/>
  <c r="J78" i="13"/>
  <c r="J77" i="13"/>
  <c r="C75" i="13"/>
  <c r="I74" i="13"/>
  <c r="J74" i="13" s="1"/>
  <c r="E73" i="13"/>
  <c r="E72" i="13"/>
  <c r="I71" i="13"/>
  <c r="J71" i="13" s="1"/>
  <c r="J70" i="13"/>
  <c r="C67" i="13"/>
  <c r="J66" i="13"/>
  <c r="I66" i="13"/>
  <c r="H66" i="13"/>
  <c r="G66" i="13"/>
  <c r="N64" i="13"/>
  <c r="J64" i="13"/>
  <c r="N63" i="13"/>
  <c r="H63" i="13"/>
  <c r="G63" i="13" s="1"/>
  <c r="I63" i="13" s="1"/>
  <c r="N62" i="13"/>
  <c r="J62" i="13"/>
  <c r="C60" i="13"/>
  <c r="N59" i="13"/>
  <c r="J59" i="13"/>
  <c r="N58" i="13"/>
  <c r="J58" i="13"/>
  <c r="C56" i="13"/>
  <c r="N55" i="13"/>
  <c r="J55" i="13"/>
  <c r="J54" i="13"/>
  <c r="F51" i="13"/>
  <c r="E51" i="13"/>
  <c r="C51" i="13"/>
  <c r="M50" i="13"/>
  <c r="L50" i="13"/>
  <c r="K50" i="13"/>
  <c r="J50" i="13"/>
  <c r="I50" i="13"/>
  <c r="H50" i="13"/>
  <c r="G50" i="13"/>
  <c r="C40" i="13"/>
  <c r="M39" i="13"/>
  <c r="L39" i="13"/>
  <c r="H39" i="13"/>
  <c r="F39" i="13"/>
  <c r="C39" i="13"/>
  <c r="C38" i="13"/>
  <c r="M35" i="13"/>
  <c r="L35" i="13"/>
  <c r="J35" i="13"/>
  <c r="I35" i="13"/>
  <c r="H35" i="13"/>
  <c r="M34" i="13"/>
  <c r="L34" i="13"/>
  <c r="J34" i="13"/>
  <c r="I34" i="13"/>
  <c r="H34" i="13"/>
  <c r="M33" i="13"/>
  <c r="L33" i="13"/>
  <c r="J33" i="13"/>
  <c r="I33" i="13"/>
  <c r="H33" i="13"/>
  <c r="M32" i="13"/>
  <c r="L32" i="13"/>
  <c r="J32" i="13"/>
  <c r="I32" i="13"/>
  <c r="H32" i="13"/>
  <c r="M30" i="13"/>
  <c r="L30" i="13"/>
  <c r="J30" i="13"/>
  <c r="I30" i="13"/>
  <c r="H30" i="13"/>
  <c r="M29" i="13"/>
  <c r="L29" i="13"/>
  <c r="J29" i="13"/>
  <c r="I29" i="13"/>
  <c r="H29" i="13"/>
  <c r="M28" i="13"/>
  <c r="L28" i="13"/>
  <c r="J28" i="13"/>
  <c r="I28" i="13"/>
  <c r="H28" i="13"/>
  <c r="M27" i="13"/>
  <c r="L27" i="13"/>
  <c r="J27" i="13"/>
  <c r="I27" i="13"/>
  <c r="H27" i="13"/>
  <c r="M26" i="13"/>
  <c r="L26" i="13"/>
  <c r="J26" i="13"/>
  <c r="I26" i="13"/>
  <c r="H26" i="13"/>
  <c r="M25" i="13"/>
  <c r="L25" i="13"/>
  <c r="J25" i="13"/>
  <c r="I25" i="13"/>
  <c r="H25" i="13"/>
  <c r="M24" i="13"/>
  <c r="L24" i="13"/>
  <c r="J24" i="13"/>
  <c r="I24" i="13"/>
  <c r="H24" i="13"/>
  <c r="M23" i="13"/>
  <c r="L23" i="13"/>
  <c r="J23" i="13"/>
  <c r="I23" i="13"/>
  <c r="H23" i="13"/>
  <c r="M22" i="13"/>
  <c r="L22" i="13"/>
  <c r="J22" i="13"/>
  <c r="I22" i="13"/>
  <c r="H22" i="13"/>
  <c r="M21" i="13"/>
  <c r="L21" i="13"/>
  <c r="J21" i="13"/>
  <c r="I21" i="13"/>
  <c r="H21" i="13"/>
  <c r="M20" i="13"/>
  <c r="L20" i="13"/>
  <c r="J20" i="13"/>
  <c r="I20" i="13"/>
  <c r="H20" i="13"/>
  <c r="C15" i="13"/>
  <c r="AC11" i="13"/>
  <c r="M8" i="13"/>
  <c r="L8" i="13"/>
  <c r="K8" i="13"/>
  <c r="J8" i="13"/>
  <c r="I8" i="13"/>
  <c r="H8" i="13"/>
  <c r="G8" i="13"/>
  <c r="A9" i="10"/>
  <c r="K2" i="10"/>
  <c r="J2" i="10"/>
  <c r="I2" i="10"/>
  <c r="H2" i="10"/>
  <c r="G2" i="10"/>
  <c r="F2" i="10"/>
  <c r="E2" i="10"/>
  <c r="C80" i="12"/>
  <c r="J79" i="12"/>
  <c r="J78" i="12"/>
  <c r="J77" i="12"/>
  <c r="C75" i="12"/>
  <c r="I74" i="12"/>
  <c r="J74" i="12" s="1"/>
  <c r="E73" i="12"/>
  <c r="E72" i="12"/>
  <c r="I71" i="12"/>
  <c r="J71" i="12" s="1"/>
  <c r="J70" i="12"/>
  <c r="C67" i="12"/>
  <c r="J66" i="12"/>
  <c r="I66" i="12"/>
  <c r="H66" i="12"/>
  <c r="G66" i="12"/>
  <c r="N64" i="12"/>
  <c r="J64" i="12"/>
  <c r="N63" i="12"/>
  <c r="H63" i="12"/>
  <c r="G63" i="12" s="1"/>
  <c r="I63" i="12" s="1"/>
  <c r="N62" i="12"/>
  <c r="J62" i="12"/>
  <c r="C60" i="12"/>
  <c r="N59" i="12"/>
  <c r="J59" i="12"/>
  <c r="N58" i="12"/>
  <c r="J58" i="12"/>
  <c r="C56" i="12"/>
  <c r="N55" i="12"/>
  <c r="J55" i="12"/>
  <c r="J54" i="12"/>
  <c r="F51" i="12"/>
  <c r="E51" i="12"/>
  <c r="C51" i="12"/>
  <c r="M50" i="12"/>
  <c r="L50" i="12"/>
  <c r="K50" i="12"/>
  <c r="J50" i="12"/>
  <c r="I50" i="12"/>
  <c r="H50" i="12"/>
  <c r="G50" i="12"/>
  <c r="C40" i="12"/>
  <c r="M39" i="12"/>
  <c r="L39" i="12"/>
  <c r="H39" i="12"/>
  <c r="F39" i="12"/>
  <c r="C39" i="12"/>
  <c r="C38" i="12"/>
  <c r="M35" i="12"/>
  <c r="L35" i="12"/>
  <c r="J35" i="12"/>
  <c r="I35" i="12"/>
  <c r="H35" i="12"/>
  <c r="M34" i="12"/>
  <c r="L34" i="12"/>
  <c r="J34" i="12"/>
  <c r="I34" i="12"/>
  <c r="H34" i="12"/>
  <c r="M33" i="12"/>
  <c r="L33" i="12"/>
  <c r="J33" i="12"/>
  <c r="I33" i="12"/>
  <c r="H33" i="12"/>
  <c r="M32" i="12"/>
  <c r="L32" i="12"/>
  <c r="J32" i="12"/>
  <c r="I32" i="12"/>
  <c r="H32" i="12"/>
  <c r="M30" i="12"/>
  <c r="L30" i="12"/>
  <c r="J30" i="12"/>
  <c r="I30" i="12"/>
  <c r="H30" i="12"/>
  <c r="M29" i="12"/>
  <c r="L29" i="12"/>
  <c r="J29" i="12"/>
  <c r="I29" i="12"/>
  <c r="H29" i="12"/>
  <c r="M28" i="12"/>
  <c r="L28" i="12"/>
  <c r="J28" i="12"/>
  <c r="I28" i="12"/>
  <c r="H28" i="12"/>
  <c r="M27" i="12"/>
  <c r="L27" i="12"/>
  <c r="J27" i="12"/>
  <c r="I27" i="12"/>
  <c r="H27" i="12"/>
  <c r="M26" i="12"/>
  <c r="L26" i="12"/>
  <c r="J26" i="12"/>
  <c r="I26" i="12"/>
  <c r="H26" i="12"/>
  <c r="M25" i="12"/>
  <c r="L25" i="12"/>
  <c r="J25" i="12"/>
  <c r="I25" i="12"/>
  <c r="H25" i="12"/>
  <c r="M24" i="12"/>
  <c r="L24" i="12"/>
  <c r="J24" i="12"/>
  <c r="I24" i="12"/>
  <c r="H24" i="12"/>
  <c r="M23" i="12"/>
  <c r="L23" i="12"/>
  <c r="J23" i="12"/>
  <c r="I23" i="12"/>
  <c r="H23" i="12"/>
  <c r="M22" i="12"/>
  <c r="L22" i="12"/>
  <c r="J22" i="12"/>
  <c r="I22" i="12"/>
  <c r="H22" i="12"/>
  <c r="M21" i="12"/>
  <c r="L21" i="12"/>
  <c r="J21" i="12"/>
  <c r="I21" i="12"/>
  <c r="H21" i="12"/>
  <c r="M20" i="12"/>
  <c r="L20" i="12"/>
  <c r="J20" i="12"/>
  <c r="I20" i="12"/>
  <c r="H20" i="12"/>
  <c r="C15" i="12"/>
  <c r="AC11" i="12"/>
  <c r="M8" i="12"/>
  <c r="L8" i="12"/>
  <c r="K8" i="12"/>
  <c r="J8" i="12"/>
  <c r="I8" i="12"/>
  <c r="H8" i="12"/>
  <c r="G8" i="12"/>
  <c r="CN3" i="5"/>
  <c r="CN4" i="5"/>
  <c r="CN5" i="5"/>
  <c r="CN6" i="5"/>
  <c r="CN7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N62" i="5"/>
  <c r="CN63" i="5"/>
  <c r="CN64" i="5"/>
  <c r="CN65" i="5"/>
  <c r="CN66" i="5"/>
  <c r="CN67" i="5"/>
  <c r="CN68" i="5"/>
  <c r="CN69" i="5"/>
  <c r="CN70" i="5"/>
  <c r="CN71" i="5"/>
  <c r="CN72" i="5"/>
  <c r="CN73" i="5"/>
  <c r="CN74" i="5"/>
  <c r="CN75" i="5"/>
  <c r="CN76" i="5"/>
  <c r="CN77" i="5"/>
  <c r="CN78" i="5"/>
  <c r="CN79" i="5"/>
  <c r="CN80" i="5"/>
  <c r="CN81" i="5"/>
  <c r="CN82" i="5"/>
  <c r="CN83" i="5"/>
  <c r="CN84" i="5"/>
  <c r="CN85" i="5"/>
  <c r="CN86" i="5"/>
  <c r="CN87" i="5"/>
  <c r="CN88" i="5"/>
  <c r="CN89" i="5"/>
  <c r="CN90" i="5"/>
  <c r="CN91" i="5"/>
  <c r="CN92" i="5"/>
  <c r="CN93" i="5"/>
  <c r="CN94" i="5"/>
  <c r="CN95" i="5"/>
  <c r="CN96" i="5"/>
  <c r="CN97" i="5"/>
  <c r="CN98" i="5"/>
  <c r="CN99" i="5"/>
  <c r="CN100" i="5"/>
  <c r="CN101" i="5"/>
  <c r="CN102" i="5"/>
  <c r="CN103" i="5"/>
  <c r="CN104" i="5"/>
  <c r="CN105" i="5"/>
  <c r="CN106" i="5"/>
  <c r="CN107" i="5"/>
  <c r="CN108" i="5"/>
  <c r="CN109" i="5"/>
  <c r="CN110" i="5"/>
  <c r="CN111" i="5"/>
  <c r="CN112" i="5"/>
  <c r="CN113" i="5"/>
  <c r="CN114" i="5"/>
  <c r="CN115" i="5"/>
  <c r="CN116" i="5"/>
  <c r="CN117" i="5"/>
  <c r="CN118" i="5"/>
  <c r="CN119" i="5"/>
  <c r="CN120" i="5"/>
  <c r="CN121" i="5"/>
  <c r="CN122" i="5"/>
  <c r="CN123" i="5"/>
  <c r="CN124" i="5"/>
  <c r="CN125" i="5"/>
  <c r="CN126" i="5"/>
  <c r="CN127" i="5"/>
  <c r="CN128" i="5"/>
  <c r="CN129" i="5"/>
  <c r="CN130" i="5"/>
  <c r="CN131" i="5"/>
  <c r="CN132" i="5"/>
  <c r="CN133" i="5"/>
  <c r="CN134" i="5"/>
  <c r="CN135" i="5"/>
  <c r="CN136" i="5"/>
  <c r="CN137" i="5"/>
  <c r="CN138" i="5"/>
  <c r="CN139" i="5"/>
  <c r="CN140" i="5"/>
  <c r="CN141" i="5"/>
  <c r="CN142" i="5"/>
  <c r="CN143" i="5"/>
  <c r="CN144" i="5"/>
  <c r="CN145" i="5"/>
  <c r="CN146" i="5"/>
  <c r="CN147" i="5"/>
  <c r="CN148" i="5"/>
  <c r="CN149" i="5"/>
  <c r="CN150" i="5"/>
  <c r="CN151" i="5"/>
  <c r="CN152" i="5"/>
  <c r="CN153" i="5"/>
  <c r="CN154" i="5"/>
  <c r="CN155" i="5"/>
  <c r="CN156" i="5"/>
  <c r="CN157" i="5"/>
  <c r="CN158" i="5"/>
  <c r="CN159" i="5"/>
  <c r="CN160" i="5"/>
  <c r="CN161" i="5"/>
  <c r="CN162" i="5"/>
  <c r="CN163" i="5"/>
  <c r="CN164" i="5"/>
  <c r="CN165" i="5"/>
  <c r="CN166" i="5"/>
  <c r="CN167" i="5"/>
  <c r="CN168" i="5"/>
  <c r="CN169" i="5"/>
  <c r="CN170" i="5"/>
  <c r="CN171" i="5"/>
  <c r="CN172" i="5"/>
  <c r="CN173" i="5"/>
  <c r="CN174" i="5"/>
  <c r="CN175" i="5"/>
  <c r="CN176" i="5"/>
  <c r="CN177" i="5"/>
  <c r="CN178" i="5"/>
  <c r="CN179" i="5"/>
  <c r="CN180" i="5"/>
  <c r="CN181" i="5"/>
  <c r="CN182" i="5"/>
  <c r="CN183" i="5"/>
  <c r="CN184" i="5"/>
  <c r="CN185" i="5"/>
  <c r="CN186" i="5"/>
  <c r="CN187" i="5"/>
  <c r="CN188" i="5"/>
  <c r="CN189" i="5"/>
  <c r="CN190" i="5"/>
  <c r="CN191" i="5"/>
  <c r="CN192" i="5"/>
  <c r="CN193" i="5"/>
  <c r="CN194" i="5"/>
  <c r="CN195" i="5"/>
  <c r="CN196" i="5"/>
  <c r="CN197" i="5"/>
  <c r="CN198" i="5"/>
  <c r="CN199" i="5"/>
  <c r="CN200" i="5"/>
  <c r="CN201" i="5"/>
  <c r="CN202" i="5"/>
  <c r="CN203" i="5"/>
  <c r="CN204" i="5"/>
  <c r="CN205" i="5"/>
  <c r="CN206" i="5"/>
  <c r="CN207" i="5"/>
  <c r="CN208" i="5"/>
  <c r="CN209" i="5"/>
  <c r="CN210" i="5"/>
  <c r="CN211" i="5"/>
  <c r="CN212" i="5"/>
  <c r="CN213" i="5"/>
  <c r="CN214" i="5"/>
  <c r="CN215" i="5"/>
  <c r="CN216" i="5"/>
  <c r="CN217" i="5"/>
  <c r="CN218" i="5"/>
  <c r="CN219" i="5"/>
  <c r="CN220" i="5"/>
  <c r="CN221" i="5"/>
  <c r="CN222" i="5"/>
  <c r="CN223" i="5"/>
  <c r="CN224" i="5"/>
  <c r="CN225" i="5"/>
  <c r="CN226" i="5"/>
  <c r="CN227" i="5"/>
  <c r="CN228" i="5"/>
  <c r="CN229" i="5"/>
  <c r="CN230" i="5"/>
  <c r="CN231" i="5"/>
  <c r="CN232" i="5"/>
  <c r="CN233" i="5"/>
  <c r="CN234" i="5"/>
  <c r="CN235" i="5"/>
  <c r="CN236" i="5"/>
  <c r="CN237" i="5"/>
  <c r="CN238" i="5"/>
  <c r="CN239" i="5"/>
  <c r="CN240" i="5"/>
  <c r="CN241" i="5"/>
  <c r="CN242" i="5"/>
  <c r="CN243" i="5"/>
  <c r="CN244" i="5"/>
  <c r="CN245" i="5"/>
  <c r="CN246" i="5"/>
  <c r="CN247" i="5"/>
  <c r="CN248" i="5"/>
  <c r="CN249" i="5"/>
  <c r="CN250" i="5"/>
  <c r="CN251" i="5"/>
  <c r="CN252" i="5"/>
  <c r="CN253" i="5"/>
  <c r="CN254" i="5"/>
  <c r="CN255" i="5"/>
  <c r="CN256" i="5"/>
  <c r="CN257" i="5"/>
  <c r="CN258" i="5"/>
  <c r="CN259" i="5"/>
  <c r="CN260" i="5"/>
  <c r="CN261" i="5"/>
  <c r="CN262" i="5"/>
  <c r="CN263" i="5"/>
  <c r="CN264" i="5"/>
  <c r="CN265" i="5"/>
  <c r="CN266" i="5"/>
  <c r="CN267" i="5"/>
  <c r="CN268" i="5"/>
  <c r="CN269" i="5"/>
  <c r="CN270" i="5"/>
  <c r="CN271" i="5"/>
  <c r="CN272" i="5"/>
  <c r="CN273" i="5"/>
  <c r="CN274" i="5"/>
  <c r="CN275" i="5"/>
  <c r="CN276" i="5"/>
  <c r="CN277" i="5"/>
  <c r="CN278" i="5"/>
  <c r="CN279" i="5"/>
  <c r="CN280" i="5"/>
  <c r="CN281" i="5"/>
  <c r="CN282" i="5"/>
  <c r="CN283" i="5"/>
  <c r="CN284" i="5"/>
  <c r="CN285" i="5"/>
  <c r="CN286" i="5"/>
  <c r="CN287" i="5"/>
  <c r="CN288" i="5"/>
  <c r="CN289" i="5"/>
  <c r="CN290" i="5"/>
  <c r="CN291" i="5"/>
  <c r="CN292" i="5"/>
  <c r="CN293" i="5"/>
  <c r="CN294" i="5"/>
  <c r="CN295" i="5"/>
  <c r="CN296" i="5"/>
  <c r="CN297" i="5"/>
  <c r="CN298" i="5"/>
  <c r="CN299" i="5"/>
  <c r="CN300" i="5"/>
  <c r="CN301" i="5"/>
  <c r="CN302" i="5"/>
  <c r="CN303" i="5"/>
  <c r="CN304" i="5"/>
  <c r="CN305" i="5"/>
  <c r="CN306" i="5"/>
  <c r="CN307" i="5"/>
  <c r="CN308" i="5"/>
  <c r="CN309" i="5"/>
  <c r="CN310" i="5"/>
  <c r="CN311" i="5"/>
  <c r="CN312" i="5"/>
  <c r="CN313" i="5"/>
  <c r="CN314" i="5"/>
  <c r="CN315" i="5"/>
  <c r="CN316" i="5"/>
  <c r="CN317" i="5"/>
  <c r="CN318" i="5"/>
  <c r="CN319" i="5"/>
  <c r="CN320" i="5"/>
  <c r="CN321" i="5"/>
  <c r="CN322" i="5"/>
  <c r="CN323" i="5"/>
  <c r="CN324" i="5"/>
  <c r="CN325" i="5"/>
  <c r="CN326" i="5"/>
  <c r="CN327" i="5"/>
  <c r="CN328" i="5"/>
  <c r="CN329" i="5"/>
  <c r="CN330" i="5"/>
  <c r="CN331" i="5"/>
  <c r="CN332" i="5"/>
  <c r="CN333" i="5"/>
  <c r="CN334" i="5"/>
  <c r="CN335" i="5"/>
  <c r="CN336" i="5"/>
  <c r="CN337" i="5"/>
  <c r="CN338" i="5"/>
  <c r="CN339" i="5"/>
  <c r="CN340" i="5"/>
  <c r="CN341" i="5"/>
  <c r="CN342" i="5"/>
  <c r="CN343" i="5"/>
  <c r="CN344" i="5"/>
  <c r="CN345" i="5"/>
  <c r="CN346" i="5"/>
  <c r="CN347" i="5"/>
  <c r="CN348" i="5"/>
  <c r="CN349" i="5"/>
  <c r="CN350" i="5"/>
  <c r="CN351" i="5"/>
  <c r="CN352" i="5"/>
  <c r="CN353" i="5"/>
  <c r="CN354" i="5"/>
  <c r="CN355" i="5"/>
  <c r="CN356" i="5"/>
  <c r="CN357" i="5"/>
  <c r="CN358" i="5"/>
  <c r="CN359" i="5"/>
  <c r="CN360" i="5"/>
  <c r="CN361" i="5"/>
  <c r="CN362" i="5"/>
  <c r="CN363" i="5"/>
  <c r="CN364" i="5"/>
  <c r="CN365" i="5"/>
  <c r="CN366" i="5"/>
  <c r="CN367" i="5"/>
  <c r="CN368" i="5"/>
  <c r="CN369" i="5"/>
  <c r="CN370" i="5"/>
  <c r="CN371" i="5"/>
  <c r="CN372" i="5"/>
  <c r="CN373" i="5"/>
  <c r="CN374" i="5"/>
  <c r="CN375" i="5"/>
  <c r="CN376" i="5"/>
  <c r="CN377" i="5"/>
  <c r="CN378" i="5"/>
  <c r="CN379" i="5"/>
  <c r="CN380" i="5"/>
  <c r="CN381" i="5"/>
  <c r="CN382" i="5"/>
  <c r="CN383" i="5"/>
  <c r="CN384" i="5"/>
  <c r="CN385" i="5"/>
  <c r="CN386" i="5"/>
  <c r="CN387" i="5"/>
  <c r="CN388" i="5"/>
  <c r="CN389" i="5"/>
  <c r="CN390" i="5"/>
  <c r="CN391" i="5"/>
  <c r="CN392" i="5"/>
  <c r="CN393" i="5"/>
  <c r="CN394" i="5"/>
  <c r="CN395" i="5"/>
  <c r="CN396" i="5"/>
  <c r="CN397" i="5"/>
  <c r="CN398" i="5"/>
  <c r="CN399" i="5"/>
  <c r="CN400" i="5"/>
  <c r="CN401" i="5"/>
  <c r="CN402" i="5"/>
  <c r="CN403" i="5"/>
  <c r="CN404" i="5"/>
  <c r="CN405" i="5"/>
  <c r="CN406" i="5"/>
  <c r="CN407" i="5"/>
  <c r="CN408" i="5"/>
  <c r="CN409" i="5"/>
  <c r="CN410" i="5"/>
  <c r="CN411" i="5"/>
  <c r="CN412" i="5"/>
  <c r="CN413" i="5"/>
  <c r="CN414" i="5"/>
  <c r="CN415" i="5"/>
  <c r="CN416" i="5"/>
  <c r="CN417" i="5"/>
  <c r="CN418" i="5"/>
  <c r="CN419" i="5"/>
  <c r="CN420" i="5"/>
  <c r="CN421" i="5"/>
  <c r="CN422" i="5"/>
  <c r="CN423" i="5"/>
  <c r="CN424" i="5"/>
  <c r="CN425" i="5"/>
  <c r="CN426" i="5"/>
  <c r="CN427" i="5"/>
  <c r="CN428" i="5"/>
  <c r="CN429" i="5"/>
  <c r="CN430" i="5"/>
  <c r="CN431" i="5"/>
  <c r="CN432" i="5"/>
  <c r="CN433" i="5"/>
  <c r="CN434" i="5"/>
  <c r="CN435" i="5"/>
  <c r="CN436" i="5"/>
  <c r="CN437" i="5"/>
  <c r="CN438" i="5"/>
  <c r="CN439" i="5"/>
  <c r="CN440" i="5"/>
  <c r="CN441" i="5"/>
  <c r="CN442" i="5"/>
  <c r="CN443" i="5"/>
  <c r="CN444" i="5"/>
  <c r="CN445" i="5"/>
  <c r="CN446" i="5"/>
  <c r="CN447" i="5"/>
  <c r="CN448" i="5"/>
  <c r="CN449" i="5"/>
  <c r="CN450" i="5"/>
  <c r="CN451" i="5"/>
  <c r="CN452" i="5"/>
  <c r="CN453" i="5"/>
  <c r="CN454" i="5"/>
  <c r="CN455" i="5"/>
  <c r="CN456" i="5"/>
  <c r="CN457" i="5"/>
  <c r="CN458" i="5"/>
  <c r="CN459" i="5"/>
  <c r="CN460" i="5"/>
  <c r="CN461" i="5"/>
  <c r="CN462" i="5"/>
  <c r="CN463" i="5"/>
  <c r="CN464" i="5"/>
  <c r="CN465" i="5"/>
  <c r="CN466" i="5"/>
  <c r="CN467" i="5"/>
  <c r="CN468" i="5"/>
  <c r="CN469" i="5"/>
  <c r="CN470" i="5"/>
  <c r="CN471" i="5"/>
  <c r="CN472" i="5"/>
  <c r="CN473" i="5"/>
  <c r="CN474" i="5"/>
  <c r="CN475" i="5"/>
  <c r="CN476" i="5"/>
  <c r="CN477" i="5"/>
  <c r="CN478" i="5"/>
  <c r="CN479" i="5"/>
  <c r="CN480" i="5"/>
  <c r="CN481" i="5"/>
  <c r="CN482" i="5"/>
  <c r="CN483" i="5"/>
  <c r="CN484" i="5"/>
  <c r="CN485" i="5"/>
  <c r="CN486" i="5"/>
  <c r="CN487" i="5"/>
  <c r="CN488" i="5"/>
  <c r="CN489" i="5"/>
  <c r="CN490" i="5"/>
  <c r="CN491" i="5"/>
  <c r="CN492" i="5"/>
  <c r="CN493" i="5"/>
  <c r="CN494" i="5"/>
  <c r="CN495" i="5"/>
  <c r="CN496" i="5"/>
  <c r="CN497" i="5"/>
  <c r="CN498" i="5"/>
  <c r="CN499" i="5"/>
  <c r="CN500" i="5"/>
  <c r="CN501" i="5"/>
  <c r="CN502" i="5"/>
  <c r="CN503" i="5"/>
  <c r="CN504" i="5"/>
  <c r="CN505" i="5"/>
  <c r="CN506" i="5"/>
  <c r="CN507" i="5"/>
  <c r="CN508" i="5"/>
  <c r="CN509" i="5"/>
  <c r="CN510" i="5"/>
  <c r="CN511" i="5"/>
  <c r="CN512" i="5"/>
  <c r="CN513" i="5"/>
  <c r="CN514" i="5"/>
  <c r="CN515" i="5"/>
  <c r="CN516" i="5"/>
  <c r="CN517" i="5"/>
  <c r="CN518" i="5"/>
  <c r="CN519" i="5"/>
  <c r="CN520" i="5"/>
  <c r="CN521" i="5"/>
  <c r="CN522" i="5"/>
  <c r="CN523" i="5"/>
  <c r="CN524" i="5"/>
  <c r="CN525" i="5"/>
  <c r="CN526" i="5"/>
  <c r="CN527" i="5"/>
  <c r="CN528" i="5"/>
  <c r="CN529" i="5"/>
  <c r="CN530" i="5"/>
  <c r="CN531" i="5"/>
  <c r="CN532" i="5"/>
  <c r="CN533" i="5"/>
  <c r="CN534" i="5"/>
  <c r="CN535" i="5"/>
  <c r="CN536" i="5"/>
  <c r="CN537" i="5"/>
  <c r="CN538" i="5"/>
  <c r="CN539" i="5"/>
  <c r="CN540" i="5"/>
  <c r="CN541" i="5"/>
  <c r="CN542" i="5"/>
  <c r="CN543" i="5"/>
  <c r="CN544" i="5"/>
  <c r="CN545" i="5"/>
  <c r="CN546" i="5"/>
  <c r="CN547" i="5"/>
  <c r="CN548" i="5"/>
  <c r="CN549" i="5"/>
  <c r="CN550" i="5"/>
  <c r="CN551" i="5"/>
  <c r="CN552" i="5"/>
  <c r="CN553" i="5"/>
  <c r="CN554" i="5"/>
  <c r="CN555" i="5"/>
  <c r="CN556" i="5"/>
  <c r="CN557" i="5"/>
  <c r="CN558" i="5"/>
  <c r="CN559" i="5"/>
  <c r="CN560" i="5"/>
  <c r="CN561" i="5"/>
  <c r="CN562" i="5"/>
  <c r="CN563" i="5"/>
  <c r="CN564" i="5"/>
  <c r="CN565" i="5"/>
  <c r="CN566" i="5"/>
  <c r="CN567" i="5"/>
  <c r="CN568" i="5"/>
  <c r="CN569" i="5"/>
  <c r="CN570" i="5"/>
  <c r="CN571" i="5"/>
  <c r="CN572" i="5"/>
  <c r="CN573" i="5"/>
  <c r="CN574" i="5"/>
  <c r="CN575" i="5"/>
  <c r="CN576" i="5"/>
  <c r="CN577" i="5"/>
  <c r="CN578" i="5"/>
  <c r="CN579" i="5"/>
  <c r="CN580" i="5"/>
  <c r="CN581" i="5"/>
  <c r="CN582" i="5"/>
  <c r="CN583" i="5"/>
  <c r="CN584" i="5"/>
  <c r="CN585" i="5"/>
  <c r="CN586" i="5"/>
  <c r="CN587" i="5"/>
  <c r="CN588" i="5"/>
  <c r="CN589" i="5"/>
  <c r="CN590" i="5"/>
  <c r="CN591" i="5"/>
  <c r="CN592" i="5"/>
  <c r="CN593" i="5"/>
  <c r="CN594" i="5"/>
  <c r="CN595" i="5"/>
  <c r="CN596" i="5"/>
  <c r="CN597" i="5"/>
  <c r="CN598" i="5"/>
  <c r="CN599" i="5"/>
  <c r="CN600" i="5"/>
  <c r="CN601" i="5"/>
  <c r="CN602" i="5"/>
  <c r="CN603" i="5"/>
  <c r="CN604" i="5"/>
  <c r="CN605" i="5"/>
  <c r="CN606" i="5"/>
  <c r="CN607" i="5"/>
  <c r="CN608" i="5"/>
  <c r="CN609" i="5"/>
  <c r="CN610" i="5"/>
  <c r="CN611" i="5"/>
  <c r="CN612" i="5"/>
  <c r="CN613" i="5"/>
  <c r="CN614" i="5"/>
  <c r="CN615" i="5"/>
  <c r="CN616" i="5"/>
  <c r="CN617" i="5"/>
  <c r="CN618" i="5"/>
  <c r="CN619" i="5"/>
  <c r="CN620" i="5"/>
  <c r="CN621" i="5"/>
  <c r="CN622" i="5"/>
  <c r="CN623" i="5"/>
  <c r="CN624" i="5"/>
  <c r="CN625" i="5"/>
  <c r="CN626" i="5"/>
  <c r="CN627" i="5"/>
  <c r="CN628" i="5"/>
  <c r="CN629" i="5"/>
  <c r="CN630" i="5"/>
  <c r="CN631" i="5"/>
  <c r="CN632" i="5"/>
  <c r="CN633" i="5"/>
  <c r="CN634" i="5"/>
  <c r="CN635" i="5"/>
  <c r="CN636" i="5"/>
  <c r="CN637" i="5"/>
  <c r="CN638" i="5"/>
  <c r="CN639" i="5"/>
  <c r="CN640" i="5"/>
  <c r="CN641" i="5"/>
  <c r="CN642" i="5"/>
  <c r="CN643" i="5"/>
  <c r="CN644" i="5"/>
  <c r="CN645" i="5"/>
  <c r="CN646" i="5"/>
  <c r="CN647" i="5"/>
  <c r="CN648" i="5"/>
  <c r="CN649" i="5"/>
  <c r="CN650" i="5"/>
  <c r="CN651" i="5"/>
  <c r="CN652" i="5"/>
  <c r="CN653" i="5"/>
  <c r="CN654" i="5"/>
  <c r="CN655" i="5"/>
  <c r="CN656" i="5"/>
  <c r="CN657" i="5"/>
  <c r="CN658" i="5"/>
  <c r="CN659" i="5"/>
  <c r="CN660" i="5"/>
  <c r="CN661" i="5"/>
  <c r="CN662" i="5"/>
  <c r="CN663" i="5"/>
  <c r="CN664" i="5"/>
  <c r="CN665" i="5"/>
  <c r="CN666" i="5"/>
  <c r="CN667" i="5"/>
  <c r="CN668" i="5"/>
  <c r="CN669" i="5"/>
  <c r="CN670" i="5"/>
  <c r="CN671" i="5"/>
  <c r="CN672" i="5"/>
  <c r="CN673" i="5"/>
  <c r="CN674" i="5"/>
  <c r="CN675" i="5"/>
  <c r="CN676" i="5"/>
  <c r="CN677" i="5"/>
  <c r="CN678" i="5"/>
  <c r="CN679" i="5"/>
  <c r="CN680" i="5"/>
  <c r="CN681" i="5"/>
  <c r="CN682" i="5"/>
  <c r="CN683" i="5"/>
  <c r="CN684" i="5"/>
  <c r="CN685" i="5"/>
  <c r="CN686" i="5"/>
  <c r="CN687" i="5"/>
  <c r="CN688" i="5"/>
  <c r="CN689" i="5"/>
  <c r="CN690" i="5"/>
  <c r="CN691" i="5"/>
  <c r="CN692" i="5"/>
  <c r="CN693" i="5"/>
  <c r="CN694" i="5"/>
  <c r="CN695" i="5"/>
  <c r="CN696" i="5"/>
  <c r="CN697" i="5"/>
  <c r="CN698" i="5"/>
  <c r="CN2" i="5"/>
  <c r="CM3" i="5"/>
  <c r="CM4" i="5"/>
  <c r="CM5" i="5"/>
  <c r="CM6" i="5"/>
  <c r="CM7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M51" i="5"/>
  <c r="CM52" i="5"/>
  <c r="CM53" i="5"/>
  <c r="CM54" i="5"/>
  <c r="CM55" i="5"/>
  <c r="CM56" i="5"/>
  <c r="CM57" i="5"/>
  <c r="CM58" i="5"/>
  <c r="CM59" i="5"/>
  <c r="CM60" i="5"/>
  <c r="CM61" i="5"/>
  <c r="CM62" i="5"/>
  <c r="CM63" i="5"/>
  <c r="CM64" i="5"/>
  <c r="CM65" i="5"/>
  <c r="CM66" i="5"/>
  <c r="CM67" i="5"/>
  <c r="CM68" i="5"/>
  <c r="CM69" i="5"/>
  <c r="CM70" i="5"/>
  <c r="CM71" i="5"/>
  <c r="CM72" i="5"/>
  <c r="CM73" i="5"/>
  <c r="CM74" i="5"/>
  <c r="CM75" i="5"/>
  <c r="CM76" i="5"/>
  <c r="CM77" i="5"/>
  <c r="CM78" i="5"/>
  <c r="CM79" i="5"/>
  <c r="CM80" i="5"/>
  <c r="CM81" i="5"/>
  <c r="CM82" i="5"/>
  <c r="CM83" i="5"/>
  <c r="CM84" i="5"/>
  <c r="CM85" i="5"/>
  <c r="CM86" i="5"/>
  <c r="CM87" i="5"/>
  <c r="CM88" i="5"/>
  <c r="CM89" i="5"/>
  <c r="CM90" i="5"/>
  <c r="CM91" i="5"/>
  <c r="CM92" i="5"/>
  <c r="CM93" i="5"/>
  <c r="CM94" i="5"/>
  <c r="CM95" i="5"/>
  <c r="CM96" i="5"/>
  <c r="CM97" i="5"/>
  <c r="CM98" i="5"/>
  <c r="CM99" i="5"/>
  <c r="CM100" i="5"/>
  <c r="CM101" i="5"/>
  <c r="CM102" i="5"/>
  <c r="CM103" i="5"/>
  <c r="CM104" i="5"/>
  <c r="CM105" i="5"/>
  <c r="CM106" i="5"/>
  <c r="CM107" i="5"/>
  <c r="CM108" i="5"/>
  <c r="CM109" i="5"/>
  <c r="CM110" i="5"/>
  <c r="CM111" i="5"/>
  <c r="CM112" i="5"/>
  <c r="CM113" i="5"/>
  <c r="CM114" i="5"/>
  <c r="CM115" i="5"/>
  <c r="CM116" i="5"/>
  <c r="CM117" i="5"/>
  <c r="CM118" i="5"/>
  <c r="CM119" i="5"/>
  <c r="CM120" i="5"/>
  <c r="CM121" i="5"/>
  <c r="CM122" i="5"/>
  <c r="CM123" i="5"/>
  <c r="CM124" i="5"/>
  <c r="CM125" i="5"/>
  <c r="CM126" i="5"/>
  <c r="CM127" i="5"/>
  <c r="CM128" i="5"/>
  <c r="CM129" i="5"/>
  <c r="CM130" i="5"/>
  <c r="CM131" i="5"/>
  <c r="CM132" i="5"/>
  <c r="CM133" i="5"/>
  <c r="CM134" i="5"/>
  <c r="CM135" i="5"/>
  <c r="CM136" i="5"/>
  <c r="CM137" i="5"/>
  <c r="CM138" i="5"/>
  <c r="CM139" i="5"/>
  <c r="CM140" i="5"/>
  <c r="CM141" i="5"/>
  <c r="CM142" i="5"/>
  <c r="CM143" i="5"/>
  <c r="CM144" i="5"/>
  <c r="CM145" i="5"/>
  <c r="CM146" i="5"/>
  <c r="CM147" i="5"/>
  <c r="CM148" i="5"/>
  <c r="CM149" i="5"/>
  <c r="CM150" i="5"/>
  <c r="CM151" i="5"/>
  <c r="CM152" i="5"/>
  <c r="CM153" i="5"/>
  <c r="CM154" i="5"/>
  <c r="CM155" i="5"/>
  <c r="CM156" i="5"/>
  <c r="CM157" i="5"/>
  <c r="CM158" i="5"/>
  <c r="CM159" i="5"/>
  <c r="CM160" i="5"/>
  <c r="CM161" i="5"/>
  <c r="CM162" i="5"/>
  <c r="CM163" i="5"/>
  <c r="CM164" i="5"/>
  <c r="CM165" i="5"/>
  <c r="CM166" i="5"/>
  <c r="CM167" i="5"/>
  <c r="CM168" i="5"/>
  <c r="CM169" i="5"/>
  <c r="CM170" i="5"/>
  <c r="CM171" i="5"/>
  <c r="CM172" i="5"/>
  <c r="CM173" i="5"/>
  <c r="CM174" i="5"/>
  <c r="CM175" i="5"/>
  <c r="CM176" i="5"/>
  <c r="CM177" i="5"/>
  <c r="CM178" i="5"/>
  <c r="CM179" i="5"/>
  <c r="CM180" i="5"/>
  <c r="CM181" i="5"/>
  <c r="CM182" i="5"/>
  <c r="CM183" i="5"/>
  <c r="CM184" i="5"/>
  <c r="CM185" i="5"/>
  <c r="CM186" i="5"/>
  <c r="CM187" i="5"/>
  <c r="CM188" i="5"/>
  <c r="CM189" i="5"/>
  <c r="CM190" i="5"/>
  <c r="CM191" i="5"/>
  <c r="CM192" i="5"/>
  <c r="CM193" i="5"/>
  <c r="CM194" i="5"/>
  <c r="CM195" i="5"/>
  <c r="CM196" i="5"/>
  <c r="CM197" i="5"/>
  <c r="CM198" i="5"/>
  <c r="CM199" i="5"/>
  <c r="CM200" i="5"/>
  <c r="CM201" i="5"/>
  <c r="CM202" i="5"/>
  <c r="CM203" i="5"/>
  <c r="CM204" i="5"/>
  <c r="CM205" i="5"/>
  <c r="CM206" i="5"/>
  <c r="CM207" i="5"/>
  <c r="CM208" i="5"/>
  <c r="CM209" i="5"/>
  <c r="CM210" i="5"/>
  <c r="CM211" i="5"/>
  <c r="CM212" i="5"/>
  <c r="CM213" i="5"/>
  <c r="CM214" i="5"/>
  <c r="CM215" i="5"/>
  <c r="CM216" i="5"/>
  <c r="CM217" i="5"/>
  <c r="CM218" i="5"/>
  <c r="CM219" i="5"/>
  <c r="CM220" i="5"/>
  <c r="CM221" i="5"/>
  <c r="CM222" i="5"/>
  <c r="CM223" i="5"/>
  <c r="CM224" i="5"/>
  <c r="CM225" i="5"/>
  <c r="CM226" i="5"/>
  <c r="CM227" i="5"/>
  <c r="CM228" i="5"/>
  <c r="CM229" i="5"/>
  <c r="CM230" i="5"/>
  <c r="CM231" i="5"/>
  <c r="CM232" i="5"/>
  <c r="CM233" i="5"/>
  <c r="CM234" i="5"/>
  <c r="CM235" i="5"/>
  <c r="CM236" i="5"/>
  <c r="CM237" i="5"/>
  <c r="CM238" i="5"/>
  <c r="CM239" i="5"/>
  <c r="CM240" i="5"/>
  <c r="CM241" i="5"/>
  <c r="CM242" i="5"/>
  <c r="CM243" i="5"/>
  <c r="CM244" i="5"/>
  <c r="CM245" i="5"/>
  <c r="CM246" i="5"/>
  <c r="CM247" i="5"/>
  <c r="CM248" i="5"/>
  <c r="CM249" i="5"/>
  <c r="CM250" i="5"/>
  <c r="CM251" i="5"/>
  <c r="CM252" i="5"/>
  <c r="CM253" i="5"/>
  <c r="CM254" i="5"/>
  <c r="CM255" i="5"/>
  <c r="CM256" i="5"/>
  <c r="CM257" i="5"/>
  <c r="CM258" i="5"/>
  <c r="CM259" i="5"/>
  <c r="CM260" i="5"/>
  <c r="CM261" i="5"/>
  <c r="CM262" i="5"/>
  <c r="CM263" i="5"/>
  <c r="CM264" i="5"/>
  <c r="CM265" i="5"/>
  <c r="CM266" i="5"/>
  <c r="CM267" i="5"/>
  <c r="CM268" i="5"/>
  <c r="CM269" i="5"/>
  <c r="CM270" i="5"/>
  <c r="CM271" i="5"/>
  <c r="CM272" i="5"/>
  <c r="CM273" i="5"/>
  <c r="CM274" i="5"/>
  <c r="CM275" i="5"/>
  <c r="CM276" i="5"/>
  <c r="CM277" i="5"/>
  <c r="CM278" i="5"/>
  <c r="CM279" i="5"/>
  <c r="CM280" i="5"/>
  <c r="CM281" i="5"/>
  <c r="CM282" i="5"/>
  <c r="CM283" i="5"/>
  <c r="CM284" i="5"/>
  <c r="CM285" i="5"/>
  <c r="CM286" i="5"/>
  <c r="CM287" i="5"/>
  <c r="CM288" i="5"/>
  <c r="CM289" i="5"/>
  <c r="CM290" i="5"/>
  <c r="CM291" i="5"/>
  <c r="CM292" i="5"/>
  <c r="CM293" i="5"/>
  <c r="CM294" i="5"/>
  <c r="CM295" i="5"/>
  <c r="CM296" i="5"/>
  <c r="CM297" i="5"/>
  <c r="CM298" i="5"/>
  <c r="CM299" i="5"/>
  <c r="CM300" i="5"/>
  <c r="CM301" i="5"/>
  <c r="CM302" i="5"/>
  <c r="CM303" i="5"/>
  <c r="CM304" i="5"/>
  <c r="CM305" i="5"/>
  <c r="CM306" i="5"/>
  <c r="CM307" i="5"/>
  <c r="CM308" i="5"/>
  <c r="CM309" i="5"/>
  <c r="CM310" i="5"/>
  <c r="CM311" i="5"/>
  <c r="CM312" i="5"/>
  <c r="CM313" i="5"/>
  <c r="CM314" i="5"/>
  <c r="CM315" i="5"/>
  <c r="CM316" i="5"/>
  <c r="CM317" i="5"/>
  <c r="CM318" i="5"/>
  <c r="CM319" i="5"/>
  <c r="CM320" i="5"/>
  <c r="CM321" i="5"/>
  <c r="CM322" i="5"/>
  <c r="CM323" i="5"/>
  <c r="CM324" i="5"/>
  <c r="CM325" i="5"/>
  <c r="CM326" i="5"/>
  <c r="CM327" i="5"/>
  <c r="CM328" i="5"/>
  <c r="CM329" i="5"/>
  <c r="CM330" i="5"/>
  <c r="CM331" i="5"/>
  <c r="CM332" i="5"/>
  <c r="CM333" i="5"/>
  <c r="CM334" i="5"/>
  <c r="CM335" i="5"/>
  <c r="CM336" i="5"/>
  <c r="CM337" i="5"/>
  <c r="CM338" i="5"/>
  <c r="CM339" i="5"/>
  <c r="CM340" i="5"/>
  <c r="CM341" i="5"/>
  <c r="CM342" i="5"/>
  <c r="CM343" i="5"/>
  <c r="CM344" i="5"/>
  <c r="CM345" i="5"/>
  <c r="CM346" i="5"/>
  <c r="CM347" i="5"/>
  <c r="CM348" i="5"/>
  <c r="CM349" i="5"/>
  <c r="CM350" i="5"/>
  <c r="CM351" i="5"/>
  <c r="CM352" i="5"/>
  <c r="CM353" i="5"/>
  <c r="CM354" i="5"/>
  <c r="CM355" i="5"/>
  <c r="CM356" i="5"/>
  <c r="CM357" i="5"/>
  <c r="CM358" i="5"/>
  <c r="CM359" i="5"/>
  <c r="CM360" i="5"/>
  <c r="CM361" i="5"/>
  <c r="CM362" i="5"/>
  <c r="CM363" i="5"/>
  <c r="CM364" i="5"/>
  <c r="CM365" i="5"/>
  <c r="CM366" i="5"/>
  <c r="CM367" i="5"/>
  <c r="CM368" i="5"/>
  <c r="CM369" i="5"/>
  <c r="CM370" i="5"/>
  <c r="CM371" i="5"/>
  <c r="CM372" i="5"/>
  <c r="CM373" i="5"/>
  <c r="CM374" i="5"/>
  <c r="CM375" i="5"/>
  <c r="CM376" i="5"/>
  <c r="CM377" i="5"/>
  <c r="CM378" i="5"/>
  <c r="CM379" i="5"/>
  <c r="CM380" i="5"/>
  <c r="CM381" i="5"/>
  <c r="CM382" i="5"/>
  <c r="CM383" i="5"/>
  <c r="CM384" i="5"/>
  <c r="CM385" i="5"/>
  <c r="CM386" i="5"/>
  <c r="CM387" i="5"/>
  <c r="CM388" i="5"/>
  <c r="CM389" i="5"/>
  <c r="CM390" i="5"/>
  <c r="CM391" i="5"/>
  <c r="CM392" i="5"/>
  <c r="CM393" i="5"/>
  <c r="CM394" i="5"/>
  <c r="CM395" i="5"/>
  <c r="CM396" i="5"/>
  <c r="CM397" i="5"/>
  <c r="CM398" i="5"/>
  <c r="CM399" i="5"/>
  <c r="CM400" i="5"/>
  <c r="CM401" i="5"/>
  <c r="CM402" i="5"/>
  <c r="CM403" i="5"/>
  <c r="CM404" i="5"/>
  <c r="CM405" i="5"/>
  <c r="CM406" i="5"/>
  <c r="CM407" i="5"/>
  <c r="CM408" i="5"/>
  <c r="CM409" i="5"/>
  <c r="CM410" i="5"/>
  <c r="CM411" i="5"/>
  <c r="CM412" i="5"/>
  <c r="CM413" i="5"/>
  <c r="CM414" i="5"/>
  <c r="CM415" i="5"/>
  <c r="CM416" i="5"/>
  <c r="CM417" i="5"/>
  <c r="CM418" i="5"/>
  <c r="CM419" i="5"/>
  <c r="CM420" i="5"/>
  <c r="CM421" i="5"/>
  <c r="CM422" i="5"/>
  <c r="CM423" i="5"/>
  <c r="CM424" i="5"/>
  <c r="CM425" i="5"/>
  <c r="CM426" i="5"/>
  <c r="CM427" i="5"/>
  <c r="CM428" i="5"/>
  <c r="CM429" i="5"/>
  <c r="CM430" i="5"/>
  <c r="CM431" i="5"/>
  <c r="CM432" i="5"/>
  <c r="CM433" i="5"/>
  <c r="CM434" i="5"/>
  <c r="CM435" i="5"/>
  <c r="CM436" i="5"/>
  <c r="CM437" i="5"/>
  <c r="CM438" i="5"/>
  <c r="CM439" i="5"/>
  <c r="CM440" i="5"/>
  <c r="CM441" i="5"/>
  <c r="CM442" i="5"/>
  <c r="CM443" i="5"/>
  <c r="CM444" i="5"/>
  <c r="CM445" i="5"/>
  <c r="CM446" i="5"/>
  <c r="CM447" i="5"/>
  <c r="CM448" i="5"/>
  <c r="CM449" i="5"/>
  <c r="CM450" i="5"/>
  <c r="CM451" i="5"/>
  <c r="CM452" i="5"/>
  <c r="CM453" i="5"/>
  <c r="CM454" i="5"/>
  <c r="CM455" i="5"/>
  <c r="CM456" i="5"/>
  <c r="CM457" i="5"/>
  <c r="CM458" i="5"/>
  <c r="CM459" i="5"/>
  <c r="CM460" i="5"/>
  <c r="CM461" i="5"/>
  <c r="CM462" i="5"/>
  <c r="CM463" i="5"/>
  <c r="CM464" i="5"/>
  <c r="CM465" i="5"/>
  <c r="CM466" i="5"/>
  <c r="CM467" i="5"/>
  <c r="CM468" i="5"/>
  <c r="CM469" i="5"/>
  <c r="CM470" i="5"/>
  <c r="CM471" i="5"/>
  <c r="CM472" i="5"/>
  <c r="CM473" i="5"/>
  <c r="CM474" i="5"/>
  <c r="CM475" i="5"/>
  <c r="CM476" i="5"/>
  <c r="CM477" i="5"/>
  <c r="CM478" i="5"/>
  <c r="CM479" i="5"/>
  <c r="CM480" i="5"/>
  <c r="CM481" i="5"/>
  <c r="CM482" i="5"/>
  <c r="CM483" i="5"/>
  <c r="CM484" i="5"/>
  <c r="CM485" i="5"/>
  <c r="CM486" i="5"/>
  <c r="CM487" i="5"/>
  <c r="CM488" i="5"/>
  <c r="CM489" i="5"/>
  <c r="CM490" i="5"/>
  <c r="CM491" i="5"/>
  <c r="CM492" i="5"/>
  <c r="CM493" i="5"/>
  <c r="CM494" i="5"/>
  <c r="CM495" i="5"/>
  <c r="CM496" i="5"/>
  <c r="CM497" i="5"/>
  <c r="CM498" i="5"/>
  <c r="CM499" i="5"/>
  <c r="CM500" i="5"/>
  <c r="CM501" i="5"/>
  <c r="CM502" i="5"/>
  <c r="CM503" i="5"/>
  <c r="CM504" i="5"/>
  <c r="CM505" i="5"/>
  <c r="CM506" i="5"/>
  <c r="CM507" i="5"/>
  <c r="CM508" i="5"/>
  <c r="CM509" i="5"/>
  <c r="CM510" i="5"/>
  <c r="CM511" i="5"/>
  <c r="CM512" i="5"/>
  <c r="CM513" i="5"/>
  <c r="CM514" i="5"/>
  <c r="CM515" i="5"/>
  <c r="CM516" i="5"/>
  <c r="CM517" i="5"/>
  <c r="CM518" i="5"/>
  <c r="CM519" i="5"/>
  <c r="CM520" i="5"/>
  <c r="CM521" i="5"/>
  <c r="CM522" i="5"/>
  <c r="CM523" i="5"/>
  <c r="CM524" i="5"/>
  <c r="CM525" i="5"/>
  <c r="CM526" i="5"/>
  <c r="CM527" i="5"/>
  <c r="CM528" i="5"/>
  <c r="CM529" i="5"/>
  <c r="CM530" i="5"/>
  <c r="CM531" i="5"/>
  <c r="CM532" i="5"/>
  <c r="CM533" i="5"/>
  <c r="CM534" i="5"/>
  <c r="CM535" i="5"/>
  <c r="CM536" i="5"/>
  <c r="CM537" i="5"/>
  <c r="CM538" i="5"/>
  <c r="CM539" i="5"/>
  <c r="CM540" i="5"/>
  <c r="CM541" i="5"/>
  <c r="CM542" i="5"/>
  <c r="CM543" i="5"/>
  <c r="CM544" i="5"/>
  <c r="CM545" i="5"/>
  <c r="CM546" i="5"/>
  <c r="CM547" i="5"/>
  <c r="CM548" i="5"/>
  <c r="CM549" i="5"/>
  <c r="CM550" i="5"/>
  <c r="CM551" i="5"/>
  <c r="CM552" i="5"/>
  <c r="CM553" i="5"/>
  <c r="CM554" i="5"/>
  <c r="CM555" i="5"/>
  <c r="CM556" i="5"/>
  <c r="CM557" i="5"/>
  <c r="CM558" i="5"/>
  <c r="CM559" i="5"/>
  <c r="CM560" i="5"/>
  <c r="CM561" i="5"/>
  <c r="CM562" i="5"/>
  <c r="CM563" i="5"/>
  <c r="CM564" i="5"/>
  <c r="CM565" i="5"/>
  <c r="CM566" i="5"/>
  <c r="CM567" i="5"/>
  <c r="CM568" i="5"/>
  <c r="CM569" i="5"/>
  <c r="CM570" i="5"/>
  <c r="CM571" i="5"/>
  <c r="CM572" i="5"/>
  <c r="CM573" i="5"/>
  <c r="CM574" i="5"/>
  <c r="CM575" i="5"/>
  <c r="CM576" i="5"/>
  <c r="CM577" i="5"/>
  <c r="CM578" i="5"/>
  <c r="CM579" i="5"/>
  <c r="CM580" i="5"/>
  <c r="CM581" i="5"/>
  <c r="CM582" i="5"/>
  <c r="CM583" i="5"/>
  <c r="CM584" i="5"/>
  <c r="CM585" i="5"/>
  <c r="CM586" i="5"/>
  <c r="CM587" i="5"/>
  <c r="CM588" i="5"/>
  <c r="CM589" i="5"/>
  <c r="CM590" i="5"/>
  <c r="CM591" i="5"/>
  <c r="CM592" i="5"/>
  <c r="CM593" i="5"/>
  <c r="CM594" i="5"/>
  <c r="CM595" i="5"/>
  <c r="CM596" i="5"/>
  <c r="CM597" i="5"/>
  <c r="CM598" i="5"/>
  <c r="CM599" i="5"/>
  <c r="CM600" i="5"/>
  <c r="CM601" i="5"/>
  <c r="CM602" i="5"/>
  <c r="CM603" i="5"/>
  <c r="CM604" i="5"/>
  <c r="CM605" i="5"/>
  <c r="CM606" i="5"/>
  <c r="CM607" i="5"/>
  <c r="CM608" i="5"/>
  <c r="CM609" i="5"/>
  <c r="CM610" i="5"/>
  <c r="CM611" i="5"/>
  <c r="CM612" i="5"/>
  <c r="CM613" i="5"/>
  <c r="CM614" i="5"/>
  <c r="CM615" i="5"/>
  <c r="CM616" i="5"/>
  <c r="CM617" i="5"/>
  <c r="CM618" i="5"/>
  <c r="CM619" i="5"/>
  <c r="CM620" i="5"/>
  <c r="CM621" i="5"/>
  <c r="CM622" i="5"/>
  <c r="CM623" i="5"/>
  <c r="CM624" i="5"/>
  <c r="CM625" i="5"/>
  <c r="CM626" i="5"/>
  <c r="CM627" i="5"/>
  <c r="CM628" i="5"/>
  <c r="CM629" i="5"/>
  <c r="CM630" i="5"/>
  <c r="CM631" i="5"/>
  <c r="CM632" i="5"/>
  <c r="CM633" i="5"/>
  <c r="CM765" i="5" s="1"/>
  <c r="CM634" i="5"/>
  <c r="CM769" i="5" s="1"/>
  <c r="CM770" i="5" s="1"/>
  <c r="CM635" i="5"/>
  <c r="CM636" i="5"/>
  <c r="CM637" i="5"/>
  <c r="CM638" i="5"/>
  <c r="CM639" i="5"/>
  <c r="CM640" i="5"/>
  <c r="CM641" i="5"/>
  <c r="CM642" i="5"/>
  <c r="CM643" i="5"/>
  <c r="CM644" i="5"/>
  <c r="CM645" i="5"/>
  <c r="CM646" i="5"/>
  <c r="CM647" i="5"/>
  <c r="CM648" i="5"/>
  <c r="CM649" i="5"/>
  <c r="CM650" i="5"/>
  <c r="CM651" i="5"/>
  <c r="CM652" i="5"/>
  <c r="CM653" i="5"/>
  <c r="CM654" i="5"/>
  <c r="CM655" i="5"/>
  <c r="CM656" i="5"/>
  <c r="CM657" i="5"/>
  <c r="CM658" i="5"/>
  <c r="CM659" i="5"/>
  <c r="CM660" i="5"/>
  <c r="CM661" i="5"/>
  <c r="CM662" i="5"/>
  <c r="CM663" i="5"/>
  <c r="CM664" i="5"/>
  <c r="CM665" i="5"/>
  <c r="CM666" i="5"/>
  <c r="CM667" i="5"/>
  <c r="CM668" i="5"/>
  <c r="CM669" i="5"/>
  <c r="CM670" i="5"/>
  <c r="CM671" i="5"/>
  <c r="CM672" i="5"/>
  <c r="CM673" i="5"/>
  <c r="CM674" i="5"/>
  <c r="CM675" i="5"/>
  <c r="CM676" i="5"/>
  <c r="CM677" i="5"/>
  <c r="CM678" i="5"/>
  <c r="CM679" i="5"/>
  <c r="CM680" i="5"/>
  <c r="CM681" i="5"/>
  <c r="CM682" i="5"/>
  <c r="CM683" i="5"/>
  <c r="CM684" i="5"/>
  <c r="CM685" i="5"/>
  <c r="CM686" i="5"/>
  <c r="CM687" i="5"/>
  <c r="CM688" i="5"/>
  <c r="CM689" i="5"/>
  <c r="CM690" i="5"/>
  <c r="CM691" i="5"/>
  <c r="CM692" i="5"/>
  <c r="CM693" i="5"/>
  <c r="CM694" i="5"/>
  <c r="CM695" i="5"/>
  <c r="CM696" i="5"/>
  <c r="CM697" i="5"/>
  <c r="CM698" i="5"/>
  <c r="CM2" i="5"/>
  <c r="CL3" i="5"/>
  <c r="CL4" i="5"/>
  <c r="CL5" i="5"/>
  <c r="CL6" i="5"/>
  <c r="CL7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L53" i="5"/>
  <c r="CL54" i="5"/>
  <c r="CL55" i="5"/>
  <c r="CL56" i="5"/>
  <c r="CL57" i="5"/>
  <c r="CL58" i="5"/>
  <c r="CL59" i="5"/>
  <c r="CL60" i="5"/>
  <c r="CL61" i="5"/>
  <c r="CL62" i="5"/>
  <c r="CL63" i="5"/>
  <c r="CL64" i="5"/>
  <c r="CL65" i="5"/>
  <c r="CL66" i="5"/>
  <c r="CL67" i="5"/>
  <c r="CL68" i="5"/>
  <c r="CL69" i="5"/>
  <c r="CL70" i="5"/>
  <c r="CL71" i="5"/>
  <c r="CL72" i="5"/>
  <c r="CL73" i="5"/>
  <c r="CL74" i="5"/>
  <c r="CL75" i="5"/>
  <c r="CL76" i="5"/>
  <c r="CL77" i="5"/>
  <c r="CL78" i="5"/>
  <c r="CL79" i="5"/>
  <c r="CL80" i="5"/>
  <c r="CL81" i="5"/>
  <c r="CL82" i="5"/>
  <c r="CL83" i="5"/>
  <c r="CL84" i="5"/>
  <c r="CL85" i="5"/>
  <c r="CL86" i="5"/>
  <c r="CL87" i="5"/>
  <c r="CL88" i="5"/>
  <c r="CL89" i="5"/>
  <c r="CL90" i="5"/>
  <c r="CL91" i="5"/>
  <c r="CL92" i="5"/>
  <c r="CL93" i="5"/>
  <c r="CL94" i="5"/>
  <c r="CL95" i="5"/>
  <c r="CL96" i="5"/>
  <c r="CL97" i="5"/>
  <c r="CL98" i="5"/>
  <c r="CL99" i="5"/>
  <c r="CL100" i="5"/>
  <c r="CL101" i="5"/>
  <c r="CL102" i="5"/>
  <c r="CL103" i="5"/>
  <c r="CL104" i="5"/>
  <c r="CL105" i="5"/>
  <c r="CL106" i="5"/>
  <c r="CL107" i="5"/>
  <c r="CL108" i="5"/>
  <c r="CL109" i="5"/>
  <c r="CL110" i="5"/>
  <c r="CL111" i="5"/>
  <c r="CL112" i="5"/>
  <c r="CL113" i="5"/>
  <c r="CL114" i="5"/>
  <c r="CL115" i="5"/>
  <c r="CL116" i="5"/>
  <c r="CL117" i="5"/>
  <c r="CL118" i="5"/>
  <c r="CL119" i="5"/>
  <c r="CL120" i="5"/>
  <c r="CL121" i="5"/>
  <c r="CL122" i="5"/>
  <c r="CL123" i="5"/>
  <c r="CL124" i="5"/>
  <c r="CL125" i="5"/>
  <c r="CL126" i="5"/>
  <c r="CL127" i="5"/>
  <c r="CL128" i="5"/>
  <c r="CL129" i="5"/>
  <c r="CL130" i="5"/>
  <c r="CL131" i="5"/>
  <c r="CL132" i="5"/>
  <c r="CL133" i="5"/>
  <c r="CL134" i="5"/>
  <c r="CL135" i="5"/>
  <c r="CL136" i="5"/>
  <c r="CL137" i="5"/>
  <c r="CL138" i="5"/>
  <c r="CL139" i="5"/>
  <c r="CL140" i="5"/>
  <c r="CL141" i="5"/>
  <c r="CL142" i="5"/>
  <c r="CL143" i="5"/>
  <c r="CL144" i="5"/>
  <c r="CL145" i="5"/>
  <c r="CL146" i="5"/>
  <c r="CL147" i="5"/>
  <c r="CL148" i="5"/>
  <c r="CL149" i="5"/>
  <c r="CL150" i="5"/>
  <c r="CL151" i="5"/>
  <c r="CL152" i="5"/>
  <c r="CL153" i="5"/>
  <c r="CL154" i="5"/>
  <c r="CL155" i="5"/>
  <c r="CL156" i="5"/>
  <c r="CL157" i="5"/>
  <c r="CL158" i="5"/>
  <c r="CL159" i="5"/>
  <c r="CL160" i="5"/>
  <c r="CL161" i="5"/>
  <c r="CL162" i="5"/>
  <c r="CL163" i="5"/>
  <c r="CL164" i="5"/>
  <c r="CL165" i="5"/>
  <c r="CL166" i="5"/>
  <c r="CL167" i="5"/>
  <c r="CL168" i="5"/>
  <c r="CL169" i="5"/>
  <c r="CL170" i="5"/>
  <c r="CL171" i="5"/>
  <c r="CL172" i="5"/>
  <c r="CL173" i="5"/>
  <c r="CL174" i="5"/>
  <c r="CL175" i="5"/>
  <c r="CL176" i="5"/>
  <c r="CL177" i="5"/>
  <c r="CL178" i="5"/>
  <c r="CL179" i="5"/>
  <c r="CL180" i="5"/>
  <c r="CL181" i="5"/>
  <c r="CL182" i="5"/>
  <c r="CL183" i="5"/>
  <c r="CL184" i="5"/>
  <c r="CL185" i="5"/>
  <c r="CL186" i="5"/>
  <c r="CL187" i="5"/>
  <c r="CL188" i="5"/>
  <c r="CL189" i="5"/>
  <c r="CL190" i="5"/>
  <c r="CL191" i="5"/>
  <c r="CL192" i="5"/>
  <c r="CL193" i="5"/>
  <c r="CL194" i="5"/>
  <c r="CL195" i="5"/>
  <c r="CL196" i="5"/>
  <c r="CL197" i="5"/>
  <c r="CL198" i="5"/>
  <c r="CL199" i="5"/>
  <c r="CL200" i="5"/>
  <c r="CL201" i="5"/>
  <c r="CL202" i="5"/>
  <c r="CL203" i="5"/>
  <c r="CL204" i="5"/>
  <c r="CL205" i="5"/>
  <c r="CL206" i="5"/>
  <c r="CL207" i="5"/>
  <c r="CL208" i="5"/>
  <c r="CL209" i="5"/>
  <c r="CL210" i="5"/>
  <c r="CL211" i="5"/>
  <c r="CL212" i="5"/>
  <c r="CL213" i="5"/>
  <c r="CL214" i="5"/>
  <c r="CL215" i="5"/>
  <c r="CL216" i="5"/>
  <c r="CL217" i="5"/>
  <c r="CL218" i="5"/>
  <c r="CL219" i="5"/>
  <c r="CL220" i="5"/>
  <c r="CL221" i="5"/>
  <c r="CL222" i="5"/>
  <c r="CL223" i="5"/>
  <c r="CL224" i="5"/>
  <c r="CL225" i="5"/>
  <c r="CL226" i="5"/>
  <c r="CL227" i="5"/>
  <c r="CL228" i="5"/>
  <c r="CL229" i="5"/>
  <c r="CL230" i="5"/>
  <c r="CL231" i="5"/>
  <c r="CL232" i="5"/>
  <c r="CL233" i="5"/>
  <c r="CL234" i="5"/>
  <c r="CL235" i="5"/>
  <c r="CL236" i="5"/>
  <c r="CL237" i="5"/>
  <c r="CL238" i="5"/>
  <c r="CL239" i="5"/>
  <c r="CL240" i="5"/>
  <c r="CL241" i="5"/>
  <c r="CL242" i="5"/>
  <c r="CL243" i="5"/>
  <c r="CL244" i="5"/>
  <c r="CL245" i="5"/>
  <c r="CL246" i="5"/>
  <c r="CL247" i="5"/>
  <c r="CL248" i="5"/>
  <c r="CL249" i="5"/>
  <c r="CL250" i="5"/>
  <c r="CL251" i="5"/>
  <c r="CL252" i="5"/>
  <c r="CL253" i="5"/>
  <c r="CL254" i="5"/>
  <c r="CL255" i="5"/>
  <c r="CL256" i="5"/>
  <c r="CL257" i="5"/>
  <c r="CL258" i="5"/>
  <c r="CL259" i="5"/>
  <c r="CL260" i="5"/>
  <c r="CL261" i="5"/>
  <c r="CL262" i="5"/>
  <c r="CL263" i="5"/>
  <c r="CL264" i="5"/>
  <c r="CL265" i="5"/>
  <c r="CL266" i="5"/>
  <c r="CL267" i="5"/>
  <c r="CL268" i="5"/>
  <c r="CL269" i="5"/>
  <c r="CL270" i="5"/>
  <c r="CL271" i="5"/>
  <c r="CL272" i="5"/>
  <c r="CL273" i="5"/>
  <c r="CL274" i="5"/>
  <c r="CL275" i="5"/>
  <c r="CL276" i="5"/>
  <c r="CL277" i="5"/>
  <c r="CL278" i="5"/>
  <c r="CL279" i="5"/>
  <c r="CL280" i="5"/>
  <c r="CL281" i="5"/>
  <c r="CL282" i="5"/>
  <c r="CL283" i="5"/>
  <c r="CL284" i="5"/>
  <c r="CL285" i="5"/>
  <c r="CL286" i="5"/>
  <c r="CL287" i="5"/>
  <c r="CL288" i="5"/>
  <c r="CL289" i="5"/>
  <c r="CL290" i="5"/>
  <c r="CL291" i="5"/>
  <c r="CL292" i="5"/>
  <c r="CL293" i="5"/>
  <c r="CL294" i="5"/>
  <c r="CL295" i="5"/>
  <c r="CL296" i="5"/>
  <c r="CL297" i="5"/>
  <c r="CL298" i="5"/>
  <c r="CL299" i="5"/>
  <c r="CL300" i="5"/>
  <c r="CL301" i="5"/>
  <c r="CL302" i="5"/>
  <c r="CL303" i="5"/>
  <c r="CL304" i="5"/>
  <c r="CL305" i="5"/>
  <c r="CL306" i="5"/>
  <c r="CL307" i="5"/>
  <c r="CL308" i="5"/>
  <c r="CL309" i="5"/>
  <c r="CL310" i="5"/>
  <c r="CL311" i="5"/>
  <c r="CL312" i="5"/>
  <c r="CL313" i="5"/>
  <c r="CL314" i="5"/>
  <c r="CL315" i="5"/>
  <c r="CL316" i="5"/>
  <c r="CL317" i="5"/>
  <c r="CL318" i="5"/>
  <c r="CL319" i="5"/>
  <c r="CL320" i="5"/>
  <c r="CL321" i="5"/>
  <c r="CL322" i="5"/>
  <c r="CL323" i="5"/>
  <c r="CL324" i="5"/>
  <c r="CL325" i="5"/>
  <c r="CL326" i="5"/>
  <c r="CL327" i="5"/>
  <c r="CL328" i="5"/>
  <c r="CL329" i="5"/>
  <c r="CL330" i="5"/>
  <c r="CL331" i="5"/>
  <c r="CL332" i="5"/>
  <c r="CL333" i="5"/>
  <c r="CL334" i="5"/>
  <c r="CL335" i="5"/>
  <c r="CL336" i="5"/>
  <c r="CL337" i="5"/>
  <c r="CL338" i="5"/>
  <c r="CL339" i="5"/>
  <c r="CL340" i="5"/>
  <c r="CL341" i="5"/>
  <c r="CL342" i="5"/>
  <c r="CL343" i="5"/>
  <c r="CL344" i="5"/>
  <c r="CL345" i="5"/>
  <c r="CL346" i="5"/>
  <c r="CL347" i="5"/>
  <c r="CL348" i="5"/>
  <c r="CL349" i="5"/>
  <c r="CL350" i="5"/>
  <c r="CL351" i="5"/>
  <c r="CL352" i="5"/>
  <c r="CL353" i="5"/>
  <c r="CL354" i="5"/>
  <c r="CL355" i="5"/>
  <c r="CL356" i="5"/>
  <c r="CL357" i="5"/>
  <c r="CL358" i="5"/>
  <c r="CL359" i="5"/>
  <c r="CL360" i="5"/>
  <c r="CL361" i="5"/>
  <c r="CL362" i="5"/>
  <c r="CL363" i="5"/>
  <c r="CL364" i="5"/>
  <c r="CL365" i="5"/>
  <c r="CL366" i="5"/>
  <c r="CL367" i="5"/>
  <c r="CL368" i="5"/>
  <c r="CL369" i="5"/>
  <c r="CL370" i="5"/>
  <c r="CL371" i="5"/>
  <c r="CL372" i="5"/>
  <c r="CL373" i="5"/>
  <c r="CL374" i="5"/>
  <c r="CL375" i="5"/>
  <c r="CL376" i="5"/>
  <c r="CL377" i="5"/>
  <c r="CL378" i="5"/>
  <c r="CL379" i="5"/>
  <c r="CL380" i="5"/>
  <c r="CL381" i="5"/>
  <c r="CL382" i="5"/>
  <c r="CL383" i="5"/>
  <c r="CL384" i="5"/>
  <c r="CL385" i="5"/>
  <c r="CL386" i="5"/>
  <c r="CL387" i="5"/>
  <c r="CL388" i="5"/>
  <c r="CL389" i="5"/>
  <c r="CL390" i="5"/>
  <c r="CL391" i="5"/>
  <c r="CL392" i="5"/>
  <c r="CL393" i="5"/>
  <c r="CL394" i="5"/>
  <c r="CL395" i="5"/>
  <c r="CL396" i="5"/>
  <c r="CL397" i="5"/>
  <c r="CL398" i="5"/>
  <c r="CL399" i="5"/>
  <c r="CL400" i="5"/>
  <c r="CL401" i="5"/>
  <c r="CL402" i="5"/>
  <c r="CL403" i="5"/>
  <c r="CL404" i="5"/>
  <c r="CL405" i="5"/>
  <c r="CL406" i="5"/>
  <c r="CL407" i="5"/>
  <c r="CL408" i="5"/>
  <c r="CL409" i="5"/>
  <c r="CL410" i="5"/>
  <c r="CL411" i="5"/>
  <c r="CL412" i="5"/>
  <c r="CL413" i="5"/>
  <c r="CL414" i="5"/>
  <c r="CL415" i="5"/>
  <c r="CL416" i="5"/>
  <c r="CL417" i="5"/>
  <c r="CL418" i="5"/>
  <c r="CL419" i="5"/>
  <c r="CL420" i="5"/>
  <c r="CL421" i="5"/>
  <c r="CL422" i="5"/>
  <c r="CL423" i="5"/>
  <c r="CL424" i="5"/>
  <c r="CL425" i="5"/>
  <c r="CL426" i="5"/>
  <c r="CL427" i="5"/>
  <c r="CL428" i="5"/>
  <c r="CL429" i="5"/>
  <c r="CL430" i="5"/>
  <c r="CL431" i="5"/>
  <c r="CL432" i="5"/>
  <c r="CL433" i="5"/>
  <c r="CL434" i="5"/>
  <c r="CL435" i="5"/>
  <c r="CL436" i="5"/>
  <c r="CL437" i="5"/>
  <c r="CL438" i="5"/>
  <c r="CL439" i="5"/>
  <c r="CL440" i="5"/>
  <c r="CL441" i="5"/>
  <c r="CL442" i="5"/>
  <c r="CL443" i="5"/>
  <c r="CL444" i="5"/>
  <c r="CL445" i="5"/>
  <c r="CL446" i="5"/>
  <c r="CL447" i="5"/>
  <c r="CL448" i="5"/>
  <c r="CL449" i="5"/>
  <c r="CL450" i="5"/>
  <c r="CL451" i="5"/>
  <c r="CL452" i="5"/>
  <c r="CL453" i="5"/>
  <c r="CL454" i="5"/>
  <c r="CL455" i="5"/>
  <c r="CL456" i="5"/>
  <c r="CL457" i="5"/>
  <c r="CL458" i="5"/>
  <c r="CL459" i="5"/>
  <c r="CL460" i="5"/>
  <c r="CL461" i="5"/>
  <c r="CL462" i="5"/>
  <c r="CL463" i="5"/>
  <c r="CL464" i="5"/>
  <c r="CL465" i="5"/>
  <c r="CL466" i="5"/>
  <c r="CL467" i="5"/>
  <c r="CL468" i="5"/>
  <c r="CL469" i="5"/>
  <c r="CL470" i="5"/>
  <c r="CL471" i="5"/>
  <c r="CL472" i="5"/>
  <c r="CL473" i="5"/>
  <c r="CL474" i="5"/>
  <c r="CL475" i="5"/>
  <c r="CL476" i="5"/>
  <c r="CL477" i="5"/>
  <c r="CL478" i="5"/>
  <c r="CL479" i="5"/>
  <c r="CL480" i="5"/>
  <c r="CL481" i="5"/>
  <c r="CL482" i="5"/>
  <c r="CL483" i="5"/>
  <c r="CL484" i="5"/>
  <c r="CL485" i="5"/>
  <c r="CL486" i="5"/>
  <c r="CL487" i="5"/>
  <c r="CL488" i="5"/>
  <c r="CL489" i="5"/>
  <c r="CL490" i="5"/>
  <c r="CL491" i="5"/>
  <c r="CL492" i="5"/>
  <c r="CL493" i="5"/>
  <c r="CL494" i="5"/>
  <c r="CL495" i="5"/>
  <c r="CL496" i="5"/>
  <c r="CL497" i="5"/>
  <c r="CL498" i="5"/>
  <c r="CL499" i="5"/>
  <c r="CL500" i="5"/>
  <c r="CL501" i="5"/>
  <c r="CL502" i="5"/>
  <c r="CL503" i="5"/>
  <c r="CL504" i="5"/>
  <c r="CL505" i="5"/>
  <c r="CL506" i="5"/>
  <c r="CL507" i="5"/>
  <c r="CL508" i="5"/>
  <c r="CL509" i="5"/>
  <c r="CL510" i="5"/>
  <c r="CL511" i="5"/>
  <c r="CL512" i="5"/>
  <c r="CL513" i="5"/>
  <c r="CL514" i="5"/>
  <c r="CL515" i="5"/>
  <c r="CL516" i="5"/>
  <c r="CL517" i="5"/>
  <c r="CL518" i="5"/>
  <c r="CL519" i="5"/>
  <c r="CL520" i="5"/>
  <c r="CL521" i="5"/>
  <c r="CL522" i="5"/>
  <c r="CL523" i="5"/>
  <c r="CL524" i="5"/>
  <c r="CL525" i="5"/>
  <c r="CL526" i="5"/>
  <c r="CL527" i="5"/>
  <c r="CL528" i="5"/>
  <c r="CL529" i="5"/>
  <c r="CL530" i="5"/>
  <c r="CL531" i="5"/>
  <c r="CL532" i="5"/>
  <c r="CL533" i="5"/>
  <c r="CL534" i="5"/>
  <c r="CL535" i="5"/>
  <c r="CL536" i="5"/>
  <c r="CL537" i="5"/>
  <c r="CL538" i="5"/>
  <c r="CL539" i="5"/>
  <c r="CL540" i="5"/>
  <c r="CL541" i="5"/>
  <c r="CL542" i="5"/>
  <c r="CL543" i="5"/>
  <c r="CL544" i="5"/>
  <c r="CL545" i="5"/>
  <c r="CL546" i="5"/>
  <c r="CL547" i="5"/>
  <c r="CL548" i="5"/>
  <c r="CL549" i="5"/>
  <c r="CL550" i="5"/>
  <c r="CL551" i="5"/>
  <c r="CL552" i="5"/>
  <c r="CL553" i="5"/>
  <c r="CL554" i="5"/>
  <c r="CL555" i="5"/>
  <c r="CL556" i="5"/>
  <c r="CL557" i="5"/>
  <c r="CL558" i="5"/>
  <c r="CL559" i="5"/>
  <c r="CL560" i="5"/>
  <c r="CL561" i="5"/>
  <c r="CL562" i="5"/>
  <c r="CL563" i="5"/>
  <c r="CL564" i="5"/>
  <c r="CL565" i="5"/>
  <c r="CL566" i="5"/>
  <c r="CL567" i="5"/>
  <c r="CL568" i="5"/>
  <c r="CL569" i="5"/>
  <c r="CL570" i="5"/>
  <c r="CL571" i="5"/>
  <c r="CL572" i="5"/>
  <c r="CL573" i="5"/>
  <c r="CL574" i="5"/>
  <c r="CL575" i="5"/>
  <c r="CL576" i="5"/>
  <c r="CL577" i="5"/>
  <c r="CL578" i="5"/>
  <c r="CL579" i="5"/>
  <c r="CL580" i="5"/>
  <c r="CL581" i="5"/>
  <c r="CL582" i="5"/>
  <c r="CL583" i="5"/>
  <c r="CL584" i="5"/>
  <c r="CL585" i="5"/>
  <c r="CL586" i="5"/>
  <c r="CL587" i="5"/>
  <c r="CL588" i="5"/>
  <c r="CL589" i="5"/>
  <c r="CL590" i="5"/>
  <c r="CL591" i="5"/>
  <c r="CL592" i="5"/>
  <c r="CL593" i="5"/>
  <c r="CL594" i="5"/>
  <c r="CL595" i="5"/>
  <c r="CL596" i="5"/>
  <c r="CL597" i="5"/>
  <c r="CL598" i="5"/>
  <c r="CL599" i="5"/>
  <c r="CL600" i="5"/>
  <c r="CL601" i="5"/>
  <c r="CL602" i="5"/>
  <c r="CL603" i="5"/>
  <c r="CL604" i="5"/>
  <c r="CL605" i="5"/>
  <c r="CL606" i="5"/>
  <c r="CL607" i="5"/>
  <c r="CL608" i="5"/>
  <c r="CL609" i="5"/>
  <c r="CL610" i="5"/>
  <c r="CL611" i="5"/>
  <c r="CL612" i="5"/>
  <c r="CL613" i="5"/>
  <c r="CL614" i="5"/>
  <c r="CL615" i="5"/>
  <c r="CL616" i="5"/>
  <c r="CL617" i="5"/>
  <c r="CL618" i="5"/>
  <c r="CL619" i="5"/>
  <c r="CL620" i="5"/>
  <c r="CL621" i="5"/>
  <c r="CL622" i="5"/>
  <c r="CL623" i="5"/>
  <c r="CL624" i="5"/>
  <c r="CL625" i="5"/>
  <c r="CL626" i="5"/>
  <c r="CL627" i="5"/>
  <c r="CL628" i="5"/>
  <c r="CL629" i="5"/>
  <c r="CL630" i="5"/>
  <c r="CL631" i="5"/>
  <c r="CL632" i="5"/>
  <c r="CL633" i="5"/>
  <c r="CL765" i="5" s="1"/>
  <c r="CL766" i="5" s="1"/>
  <c r="CL634" i="5"/>
  <c r="CL769" i="5" s="1"/>
  <c r="CL770" i="5" s="1"/>
  <c r="CL635" i="5"/>
  <c r="CL636" i="5"/>
  <c r="CL637" i="5"/>
  <c r="CL638" i="5"/>
  <c r="CL639" i="5"/>
  <c r="CL640" i="5"/>
  <c r="CL641" i="5"/>
  <c r="CL642" i="5"/>
  <c r="CL643" i="5"/>
  <c r="CL644" i="5"/>
  <c r="CL645" i="5"/>
  <c r="CL646" i="5"/>
  <c r="CL647" i="5"/>
  <c r="CL648" i="5"/>
  <c r="CL649" i="5"/>
  <c r="CL650" i="5"/>
  <c r="CL651" i="5"/>
  <c r="CL652" i="5"/>
  <c r="CL653" i="5"/>
  <c r="CL654" i="5"/>
  <c r="CL655" i="5"/>
  <c r="CL656" i="5"/>
  <c r="CL657" i="5"/>
  <c r="CL658" i="5"/>
  <c r="CL659" i="5"/>
  <c r="CL660" i="5"/>
  <c r="CL661" i="5"/>
  <c r="CL662" i="5"/>
  <c r="CL663" i="5"/>
  <c r="CL664" i="5"/>
  <c r="CL665" i="5"/>
  <c r="CL666" i="5"/>
  <c r="CL667" i="5"/>
  <c r="CL668" i="5"/>
  <c r="CL669" i="5"/>
  <c r="CL670" i="5"/>
  <c r="CL671" i="5"/>
  <c r="CL672" i="5"/>
  <c r="CL673" i="5"/>
  <c r="CL674" i="5"/>
  <c r="CL675" i="5"/>
  <c r="CL676" i="5"/>
  <c r="CL677" i="5"/>
  <c r="CL678" i="5"/>
  <c r="CL679" i="5"/>
  <c r="CL680" i="5"/>
  <c r="CL681" i="5"/>
  <c r="CL682" i="5"/>
  <c r="CL683" i="5"/>
  <c r="CL684" i="5"/>
  <c r="CL685" i="5"/>
  <c r="CL686" i="5"/>
  <c r="CL687" i="5"/>
  <c r="CL688" i="5"/>
  <c r="CL689" i="5"/>
  <c r="CL690" i="5"/>
  <c r="CL691" i="5"/>
  <c r="CL692" i="5"/>
  <c r="CL693" i="5"/>
  <c r="CL694" i="5"/>
  <c r="CL695" i="5"/>
  <c r="CL696" i="5"/>
  <c r="CL697" i="5"/>
  <c r="CL698" i="5"/>
  <c r="CL2" i="5"/>
  <c r="AW698" i="5"/>
  <c r="AW697" i="5"/>
  <c r="AW696" i="5"/>
  <c r="AW695" i="5"/>
  <c r="AW694" i="5"/>
  <c r="AW693" i="5"/>
  <c r="AW692" i="5"/>
  <c r="AW691" i="5"/>
  <c r="AW690" i="5"/>
  <c r="AW689" i="5"/>
  <c r="AW688" i="5"/>
  <c r="AW687" i="5"/>
  <c r="AW686" i="5"/>
  <c r="AW685" i="5"/>
  <c r="AW684" i="5"/>
  <c r="AW683" i="5"/>
  <c r="AW682" i="5"/>
  <c r="AW681" i="5"/>
  <c r="AW680" i="5"/>
  <c r="AW679" i="5"/>
  <c r="AW678" i="5"/>
  <c r="AW677" i="5"/>
  <c r="AW676" i="5"/>
  <c r="AW675" i="5"/>
  <c r="AW674" i="5"/>
  <c r="AW673" i="5"/>
  <c r="AW672" i="5"/>
  <c r="AW671" i="5"/>
  <c r="AW670" i="5"/>
  <c r="AW669" i="5"/>
  <c r="AW668" i="5"/>
  <c r="AW667" i="5"/>
  <c r="AW666" i="5"/>
  <c r="AW665" i="5"/>
  <c r="AW664" i="5"/>
  <c r="AW663" i="5"/>
  <c r="AW662" i="5"/>
  <c r="AW661" i="5"/>
  <c r="AW660" i="5"/>
  <c r="AW659" i="5"/>
  <c r="AW658" i="5"/>
  <c r="AW657" i="5"/>
  <c r="AW656" i="5"/>
  <c r="AW655" i="5"/>
  <c r="AW654" i="5"/>
  <c r="AW653" i="5"/>
  <c r="AW652" i="5"/>
  <c r="AW651" i="5"/>
  <c r="AW650" i="5"/>
  <c r="AW649" i="5"/>
  <c r="AW648" i="5"/>
  <c r="AW647" i="5"/>
  <c r="AW646" i="5"/>
  <c r="AW645" i="5"/>
  <c r="AW644" i="5"/>
  <c r="AW643" i="5"/>
  <c r="AW642" i="5"/>
  <c r="AW641" i="5"/>
  <c r="AW640" i="5"/>
  <c r="AW639" i="5"/>
  <c r="AW638" i="5"/>
  <c r="AW637" i="5"/>
  <c r="AW636" i="5"/>
  <c r="AW635" i="5"/>
  <c r="AW634" i="5"/>
  <c r="AW769" i="5" s="1"/>
  <c r="AW770" i="5" s="1"/>
  <c r="AW633" i="5"/>
  <c r="AW765" i="5" s="1"/>
  <c r="AW632" i="5"/>
  <c r="AW631" i="5"/>
  <c r="AW630" i="5"/>
  <c r="AW629" i="5"/>
  <c r="AW628" i="5"/>
  <c r="AW627" i="5"/>
  <c r="AW626" i="5"/>
  <c r="AW625" i="5"/>
  <c r="AW624" i="5"/>
  <c r="AW623" i="5"/>
  <c r="AW622" i="5"/>
  <c r="AW621" i="5"/>
  <c r="AW620" i="5"/>
  <c r="AW619" i="5"/>
  <c r="AW618" i="5"/>
  <c r="AW617" i="5"/>
  <c r="AW616" i="5"/>
  <c r="AW615" i="5"/>
  <c r="AW614" i="5"/>
  <c r="AW613" i="5"/>
  <c r="AW612" i="5"/>
  <c r="AW611" i="5"/>
  <c r="AW610" i="5"/>
  <c r="AW609" i="5"/>
  <c r="AW608" i="5"/>
  <c r="AW607" i="5"/>
  <c r="AW606" i="5"/>
  <c r="AW605" i="5"/>
  <c r="AW604" i="5"/>
  <c r="AW603" i="5"/>
  <c r="AW602" i="5"/>
  <c r="AW601" i="5"/>
  <c r="AW600" i="5"/>
  <c r="AW599" i="5"/>
  <c r="AW598" i="5"/>
  <c r="AW597" i="5"/>
  <c r="AW596" i="5"/>
  <c r="AW595" i="5"/>
  <c r="AW594" i="5"/>
  <c r="AW593" i="5"/>
  <c r="AW592" i="5"/>
  <c r="AW591" i="5"/>
  <c r="AW590" i="5"/>
  <c r="AW589" i="5"/>
  <c r="AW588" i="5"/>
  <c r="AW587" i="5"/>
  <c r="AW586" i="5"/>
  <c r="AW585" i="5"/>
  <c r="AW584" i="5"/>
  <c r="AW583" i="5"/>
  <c r="AW582" i="5"/>
  <c r="AW581" i="5"/>
  <c r="AW580" i="5"/>
  <c r="AW579" i="5"/>
  <c r="AW578" i="5"/>
  <c r="AW577" i="5"/>
  <c r="AW576" i="5"/>
  <c r="AW575" i="5"/>
  <c r="AW574" i="5"/>
  <c r="AW573" i="5"/>
  <c r="AW572" i="5"/>
  <c r="AW571" i="5"/>
  <c r="AW570" i="5"/>
  <c r="AW569" i="5"/>
  <c r="AW568" i="5"/>
  <c r="AW567" i="5"/>
  <c r="AW566" i="5"/>
  <c r="AW565" i="5"/>
  <c r="AW564" i="5"/>
  <c r="AW563" i="5"/>
  <c r="AW562" i="5"/>
  <c r="AW561" i="5"/>
  <c r="AW560" i="5"/>
  <c r="AW559" i="5"/>
  <c r="AW558" i="5"/>
  <c r="AW557" i="5"/>
  <c r="AW556" i="5"/>
  <c r="AW555" i="5"/>
  <c r="AW554" i="5"/>
  <c r="AW553" i="5"/>
  <c r="AW552" i="5"/>
  <c r="AW551" i="5"/>
  <c r="AW550" i="5"/>
  <c r="AW549" i="5"/>
  <c r="AW548" i="5"/>
  <c r="AW547" i="5"/>
  <c r="AW546" i="5"/>
  <c r="AW545" i="5"/>
  <c r="AW544" i="5"/>
  <c r="AW543" i="5"/>
  <c r="AW542" i="5"/>
  <c r="AW541" i="5"/>
  <c r="AW540" i="5"/>
  <c r="AW539" i="5"/>
  <c r="AW538" i="5"/>
  <c r="AW537" i="5"/>
  <c r="AW536" i="5"/>
  <c r="AW535" i="5"/>
  <c r="AW534" i="5"/>
  <c r="AW533" i="5"/>
  <c r="AW532" i="5"/>
  <c r="AW531" i="5"/>
  <c r="AW530" i="5"/>
  <c r="AW529" i="5"/>
  <c r="AW528" i="5"/>
  <c r="AW527" i="5"/>
  <c r="AW526" i="5"/>
  <c r="AW525" i="5"/>
  <c r="AW524" i="5"/>
  <c r="AW523" i="5"/>
  <c r="AW522" i="5"/>
  <c r="AW521" i="5"/>
  <c r="AW520" i="5"/>
  <c r="AW519" i="5"/>
  <c r="AW518" i="5"/>
  <c r="AW517" i="5"/>
  <c r="AW516" i="5"/>
  <c r="AW515" i="5"/>
  <c r="AW514" i="5"/>
  <c r="AW513" i="5"/>
  <c r="AW512" i="5"/>
  <c r="AW511" i="5"/>
  <c r="AW510" i="5"/>
  <c r="AW509" i="5"/>
  <c r="AW508" i="5"/>
  <c r="AW507" i="5"/>
  <c r="AW506" i="5"/>
  <c r="AW505" i="5"/>
  <c r="AW504" i="5"/>
  <c r="AW503" i="5"/>
  <c r="AW502" i="5"/>
  <c r="AW501" i="5"/>
  <c r="AW500" i="5"/>
  <c r="AW499" i="5"/>
  <c r="AW498" i="5"/>
  <c r="AW497" i="5"/>
  <c r="AW496" i="5"/>
  <c r="AW495" i="5"/>
  <c r="AW494" i="5"/>
  <c r="AW493" i="5"/>
  <c r="AW492" i="5"/>
  <c r="AW491" i="5"/>
  <c r="AW490" i="5"/>
  <c r="AW489" i="5"/>
  <c r="AW488" i="5"/>
  <c r="AW487" i="5"/>
  <c r="AW486" i="5"/>
  <c r="AW485" i="5"/>
  <c r="AW484" i="5"/>
  <c r="AW483" i="5"/>
  <c r="AW482" i="5"/>
  <c r="AW481" i="5"/>
  <c r="AW480" i="5"/>
  <c r="AW479" i="5"/>
  <c r="AW478" i="5"/>
  <c r="AW477" i="5"/>
  <c r="AW476" i="5"/>
  <c r="AW475" i="5"/>
  <c r="AW474" i="5"/>
  <c r="AW473" i="5"/>
  <c r="AW472" i="5"/>
  <c r="AW471" i="5"/>
  <c r="AW470" i="5"/>
  <c r="AW469" i="5"/>
  <c r="AW468" i="5"/>
  <c r="AW467" i="5"/>
  <c r="AW466" i="5"/>
  <c r="AW465" i="5"/>
  <c r="AW464" i="5"/>
  <c r="AW463" i="5"/>
  <c r="AW462" i="5"/>
  <c r="AW461" i="5"/>
  <c r="AW460" i="5"/>
  <c r="AW459" i="5"/>
  <c r="AW458" i="5"/>
  <c r="AW457" i="5"/>
  <c r="AW456" i="5"/>
  <c r="AW455" i="5"/>
  <c r="AW454" i="5"/>
  <c r="AW453" i="5"/>
  <c r="AW452" i="5"/>
  <c r="AW451" i="5"/>
  <c r="AW450" i="5"/>
  <c r="AW449" i="5"/>
  <c r="AW448" i="5"/>
  <c r="AW447" i="5"/>
  <c r="AW446" i="5"/>
  <c r="AW445" i="5"/>
  <c r="AW444" i="5"/>
  <c r="AW443" i="5"/>
  <c r="AW442" i="5"/>
  <c r="AW441" i="5"/>
  <c r="AW440" i="5"/>
  <c r="AW439" i="5"/>
  <c r="AW438" i="5"/>
  <c r="AW437" i="5"/>
  <c r="AW436" i="5"/>
  <c r="AW435" i="5"/>
  <c r="AW434" i="5"/>
  <c r="AW433" i="5"/>
  <c r="AW432" i="5"/>
  <c r="AW431" i="5"/>
  <c r="AW430" i="5"/>
  <c r="AW429" i="5"/>
  <c r="AW428" i="5"/>
  <c r="AW427" i="5"/>
  <c r="AW426" i="5"/>
  <c r="AW425" i="5"/>
  <c r="AW424" i="5"/>
  <c r="AW423" i="5"/>
  <c r="AW422" i="5"/>
  <c r="AW421" i="5"/>
  <c r="AW420" i="5"/>
  <c r="AW419" i="5"/>
  <c r="AW418" i="5"/>
  <c r="AW417" i="5"/>
  <c r="AW416" i="5"/>
  <c r="AW415" i="5"/>
  <c r="AW414" i="5"/>
  <c r="AW413" i="5"/>
  <c r="AW412" i="5"/>
  <c r="AW411" i="5"/>
  <c r="AW410" i="5"/>
  <c r="AW409" i="5"/>
  <c r="AW408" i="5"/>
  <c r="AW407" i="5"/>
  <c r="AW406" i="5"/>
  <c r="AW405" i="5"/>
  <c r="AW404" i="5"/>
  <c r="AW403" i="5"/>
  <c r="AW402" i="5"/>
  <c r="AW401" i="5"/>
  <c r="AW400" i="5"/>
  <c r="AW399" i="5"/>
  <c r="AW398" i="5"/>
  <c r="AW397" i="5"/>
  <c r="AW396" i="5"/>
  <c r="AW395" i="5"/>
  <c r="AW394" i="5"/>
  <c r="AW393" i="5"/>
  <c r="AW392" i="5"/>
  <c r="AW391" i="5"/>
  <c r="AW390" i="5"/>
  <c r="AW389" i="5"/>
  <c r="AW388" i="5"/>
  <c r="AW387" i="5"/>
  <c r="AW386" i="5"/>
  <c r="AW385" i="5"/>
  <c r="AW384" i="5"/>
  <c r="AW383" i="5"/>
  <c r="AW382" i="5"/>
  <c r="AW381" i="5"/>
  <c r="AW380" i="5"/>
  <c r="AW379" i="5"/>
  <c r="AW378" i="5"/>
  <c r="AW377" i="5"/>
  <c r="AW376" i="5"/>
  <c r="AW375" i="5"/>
  <c r="AW374" i="5"/>
  <c r="AW373" i="5"/>
  <c r="AW372" i="5"/>
  <c r="AW371" i="5"/>
  <c r="AW370" i="5"/>
  <c r="AW369" i="5"/>
  <c r="AW368" i="5"/>
  <c r="AW367" i="5"/>
  <c r="AW366" i="5"/>
  <c r="AW365" i="5"/>
  <c r="AW364" i="5"/>
  <c r="AW363" i="5"/>
  <c r="AW362" i="5"/>
  <c r="AW361" i="5"/>
  <c r="AW360" i="5"/>
  <c r="AW359" i="5"/>
  <c r="AW358" i="5"/>
  <c r="AW357" i="5"/>
  <c r="AW356" i="5"/>
  <c r="AW355" i="5"/>
  <c r="AW354" i="5"/>
  <c r="AW353" i="5"/>
  <c r="AW352" i="5"/>
  <c r="AW351" i="5"/>
  <c r="AW350" i="5"/>
  <c r="AW349" i="5"/>
  <c r="AW348" i="5"/>
  <c r="AW347" i="5"/>
  <c r="AW346" i="5"/>
  <c r="AW345" i="5"/>
  <c r="AW344" i="5"/>
  <c r="AW343" i="5"/>
  <c r="AW342" i="5"/>
  <c r="AW341" i="5"/>
  <c r="AW340" i="5"/>
  <c r="AW339" i="5"/>
  <c r="AW338" i="5"/>
  <c r="AW337" i="5"/>
  <c r="AW336" i="5"/>
  <c r="AW335" i="5"/>
  <c r="AW334" i="5"/>
  <c r="AW333" i="5"/>
  <c r="AW332" i="5"/>
  <c r="AW331" i="5"/>
  <c r="AW330" i="5"/>
  <c r="AW329" i="5"/>
  <c r="AW328" i="5"/>
  <c r="AW327" i="5"/>
  <c r="AW326" i="5"/>
  <c r="AW325" i="5"/>
  <c r="AW324" i="5"/>
  <c r="AW323" i="5"/>
  <c r="AW322" i="5"/>
  <c r="AW321" i="5"/>
  <c r="AW320" i="5"/>
  <c r="AW319" i="5"/>
  <c r="AW318" i="5"/>
  <c r="AW317" i="5"/>
  <c r="AW316" i="5"/>
  <c r="AW315" i="5"/>
  <c r="AW314" i="5"/>
  <c r="AW313" i="5"/>
  <c r="AW312" i="5"/>
  <c r="AW311" i="5"/>
  <c r="AW310" i="5"/>
  <c r="AW309" i="5"/>
  <c r="AW308" i="5"/>
  <c r="AW307" i="5"/>
  <c r="AW306" i="5"/>
  <c r="AW305" i="5"/>
  <c r="AW304" i="5"/>
  <c r="AW303" i="5"/>
  <c r="AW302" i="5"/>
  <c r="AW301" i="5"/>
  <c r="AW300" i="5"/>
  <c r="AW299" i="5"/>
  <c r="AW298" i="5"/>
  <c r="AW297" i="5"/>
  <c r="AW296" i="5"/>
  <c r="AW295" i="5"/>
  <c r="AW294" i="5"/>
  <c r="AW293" i="5"/>
  <c r="AW292" i="5"/>
  <c r="AW291" i="5"/>
  <c r="AW290" i="5"/>
  <c r="AW289" i="5"/>
  <c r="AW288" i="5"/>
  <c r="AW287" i="5"/>
  <c r="AW286" i="5"/>
  <c r="AW285" i="5"/>
  <c r="AW284" i="5"/>
  <c r="AW283" i="5"/>
  <c r="AW282" i="5"/>
  <c r="AW281" i="5"/>
  <c r="AW280" i="5"/>
  <c r="AW279" i="5"/>
  <c r="AW278" i="5"/>
  <c r="AW277" i="5"/>
  <c r="AW276" i="5"/>
  <c r="AW275" i="5"/>
  <c r="AW274" i="5"/>
  <c r="AW273" i="5"/>
  <c r="AW272" i="5"/>
  <c r="AW271" i="5"/>
  <c r="AW270" i="5"/>
  <c r="AW269" i="5"/>
  <c r="AW268" i="5"/>
  <c r="AW267" i="5"/>
  <c r="AW266" i="5"/>
  <c r="AW265" i="5"/>
  <c r="AW264" i="5"/>
  <c r="AW263" i="5"/>
  <c r="AW262" i="5"/>
  <c r="AW261" i="5"/>
  <c r="AW260" i="5"/>
  <c r="AW259" i="5"/>
  <c r="AW258" i="5"/>
  <c r="AW257" i="5"/>
  <c r="AW256" i="5"/>
  <c r="AW255" i="5"/>
  <c r="AW254" i="5"/>
  <c r="AW253" i="5"/>
  <c r="AW252" i="5"/>
  <c r="AW251" i="5"/>
  <c r="AW250" i="5"/>
  <c r="AW249" i="5"/>
  <c r="AW248" i="5"/>
  <c r="AW247" i="5"/>
  <c r="AW246" i="5"/>
  <c r="AW245" i="5"/>
  <c r="AW244" i="5"/>
  <c r="AW243" i="5"/>
  <c r="AW242" i="5"/>
  <c r="AW241" i="5"/>
  <c r="AW240" i="5"/>
  <c r="AW239" i="5"/>
  <c r="AW238" i="5"/>
  <c r="AW237" i="5"/>
  <c r="AW236" i="5"/>
  <c r="AW235" i="5"/>
  <c r="AW234" i="5"/>
  <c r="AW233" i="5"/>
  <c r="AW232" i="5"/>
  <c r="AW231" i="5"/>
  <c r="AW230" i="5"/>
  <c r="AW229" i="5"/>
  <c r="AW228" i="5"/>
  <c r="AW227" i="5"/>
  <c r="AW226" i="5"/>
  <c r="AW225" i="5"/>
  <c r="AW224" i="5"/>
  <c r="AW223" i="5"/>
  <c r="AW222" i="5"/>
  <c r="AW221" i="5"/>
  <c r="AW220" i="5"/>
  <c r="AW219" i="5"/>
  <c r="AW218" i="5"/>
  <c r="AW217" i="5"/>
  <c r="AW216" i="5"/>
  <c r="AW215" i="5"/>
  <c r="AW214" i="5"/>
  <c r="AW213" i="5"/>
  <c r="AW212" i="5"/>
  <c r="AW211" i="5"/>
  <c r="AW210" i="5"/>
  <c r="AW209" i="5"/>
  <c r="AW208" i="5"/>
  <c r="AW207" i="5"/>
  <c r="AW206" i="5"/>
  <c r="AW205" i="5"/>
  <c r="AW204" i="5"/>
  <c r="AW203" i="5"/>
  <c r="AW202" i="5"/>
  <c r="AW201" i="5"/>
  <c r="AW200" i="5"/>
  <c r="AW199" i="5"/>
  <c r="AW198" i="5"/>
  <c r="AW197" i="5"/>
  <c r="AW196" i="5"/>
  <c r="AW195" i="5"/>
  <c r="AW194" i="5"/>
  <c r="AW193" i="5"/>
  <c r="AW192" i="5"/>
  <c r="AW191" i="5"/>
  <c r="AW190" i="5"/>
  <c r="AW189" i="5"/>
  <c r="AW188" i="5"/>
  <c r="AW187" i="5"/>
  <c r="AW186" i="5"/>
  <c r="AW185" i="5"/>
  <c r="AW184" i="5"/>
  <c r="AW183" i="5"/>
  <c r="AW182" i="5"/>
  <c r="AW181" i="5"/>
  <c r="AW180" i="5"/>
  <c r="AW179" i="5"/>
  <c r="AW178" i="5"/>
  <c r="AW177" i="5"/>
  <c r="AW176" i="5"/>
  <c r="AW175" i="5"/>
  <c r="AW174" i="5"/>
  <c r="AW173" i="5"/>
  <c r="AW172" i="5"/>
  <c r="AW171" i="5"/>
  <c r="AW170" i="5"/>
  <c r="AW169" i="5"/>
  <c r="AW168" i="5"/>
  <c r="AW167" i="5"/>
  <c r="AW166" i="5"/>
  <c r="AW165" i="5"/>
  <c r="AW164" i="5"/>
  <c r="AW163" i="5"/>
  <c r="AW162" i="5"/>
  <c r="AW161" i="5"/>
  <c r="AW160" i="5"/>
  <c r="AW159" i="5"/>
  <c r="AW158" i="5"/>
  <c r="AW157" i="5"/>
  <c r="AW156" i="5"/>
  <c r="AW155" i="5"/>
  <c r="AW154" i="5"/>
  <c r="AW153" i="5"/>
  <c r="AW152" i="5"/>
  <c r="AW151" i="5"/>
  <c r="AW150" i="5"/>
  <c r="AW149" i="5"/>
  <c r="AW148" i="5"/>
  <c r="AW147" i="5"/>
  <c r="AW146" i="5"/>
  <c r="AW145" i="5"/>
  <c r="AW144" i="5"/>
  <c r="AW143" i="5"/>
  <c r="AW142" i="5"/>
  <c r="AW141" i="5"/>
  <c r="AW140" i="5"/>
  <c r="AW139" i="5"/>
  <c r="AW138" i="5"/>
  <c r="AW137" i="5"/>
  <c r="AW136" i="5"/>
  <c r="AW135" i="5"/>
  <c r="AW134" i="5"/>
  <c r="AW133" i="5"/>
  <c r="AW132" i="5"/>
  <c r="AW131" i="5"/>
  <c r="AW130" i="5"/>
  <c r="AW129" i="5"/>
  <c r="AW128" i="5"/>
  <c r="AW127" i="5"/>
  <c r="AW126" i="5"/>
  <c r="AW125" i="5"/>
  <c r="AW124" i="5"/>
  <c r="AW123" i="5"/>
  <c r="AW122" i="5"/>
  <c r="AW121" i="5"/>
  <c r="AW120" i="5"/>
  <c r="AW119" i="5"/>
  <c r="AW118" i="5"/>
  <c r="AW117" i="5"/>
  <c r="AW116" i="5"/>
  <c r="AW115" i="5"/>
  <c r="AW114" i="5"/>
  <c r="AW113" i="5"/>
  <c r="AW112" i="5"/>
  <c r="AW111" i="5"/>
  <c r="AW110" i="5"/>
  <c r="AW109" i="5"/>
  <c r="AW108" i="5"/>
  <c r="AW107" i="5"/>
  <c r="AW106" i="5"/>
  <c r="AW105" i="5"/>
  <c r="AW104" i="5"/>
  <c r="AW103" i="5"/>
  <c r="AW102" i="5"/>
  <c r="AW101" i="5"/>
  <c r="AW100" i="5"/>
  <c r="AW99" i="5"/>
  <c r="AW98" i="5"/>
  <c r="AW97" i="5"/>
  <c r="AW96" i="5"/>
  <c r="AW95" i="5"/>
  <c r="AW94" i="5"/>
  <c r="AW93" i="5"/>
  <c r="AW92" i="5"/>
  <c r="AW91" i="5"/>
  <c r="AW90" i="5"/>
  <c r="AW89" i="5"/>
  <c r="AW88" i="5"/>
  <c r="AW87" i="5"/>
  <c r="AW86" i="5"/>
  <c r="AW85" i="5"/>
  <c r="AW84" i="5"/>
  <c r="AW83" i="5"/>
  <c r="AW82" i="5"/>
  <c r="AW81" i="5"/>
  <c r="AW80" i="5"/>
  <c r="AW79" i="5"/>
  <c r="AW78" i="5"/>
  <c r="AW77" i="5"/>
  <c r="AW76" i="5"/>
  <c r="AW75" i="5"/>
  <c r="AW74" i="5"/>
  <c r="AW73" i="5"/>
  <c r="AW72" i="5"/>
  <c r="AW71" i="5"/>
  <c r="AW70" i="5"/>
  <c r="AW69" i="5"/>
  <c r="AW68" i="5"/>
  <c r="AW67" i="5"/>
  <c r="AW66" i="5"/>
  <c r="AW65" i="5"/>
  <c r="AW64" i="5"/>
  <c r="AW63" i="5"/>
  <c r="AW62" i="5"/>
  <c r="AW61" i="5"/>
  <c r="AW60" i="5"/>
  <c r="AW59" i="5"/>
  <c r="AW58" i="5"/>
  <c r="AW57" i="5"/>
  <c r="AW56" i="5"/>
  <c r="AW55" i="5"/>
  <c r="AW54" i="5"/>
  <c r="AW53" i="5"/>
  <c r="AW52" i="5"/>
  <c r="AW51" i="5"/>
  <c r="AW50" i="5"/>
  <c r="AW49" i="5"/>
  <c r="AW48" i="5"/>
  <c r="AW47" i="5"/>
  <c r="AW46" i="5"/>
  <c r="AW45" i="5"/>
  <c r="AW44" i="5"/>
  <c r="AW43" i="5"/>
  <c r="AW42" i="5"/>
  <c r="AW41" i="5"/>
  <c r="AW40" i="5"/>
  <c r="AW39" i="5"/>
  <c r="AW38" i="5"/>
  <c r="AW37" i="5"/>
  <c r="AW36" i="5"/>
  <c r="AW35" i="5"/>
  <c r="AW34" i="5"/>
  <c r="AW33" i="5"/>
  <c r="AW32" i="5"/>
  <c r="AW31" i="5"/>
  <c r="AW30" i="5"/>
  <c r="AW29" i="5"/>
  <c r="AW28" i="5"/>
  <c r="AW27" i="5"/>
  <c r="AW26" i="5"/>
  <c r="AW25" i="5"/>
  <c r="AW24" i="5"/>
  <c r="AW23" i="5"/>
  <c r="AW22" i="5"/>
  <c r="AW21" i="5"/>
  <c r="AW20" i="5"/>
  <c r="AW19" i="5"/>
  <c r="AW18" i="5"/>
  <c r="AW17" i="5"/>
  <c r="AW16" i="5"/>
  <c r="AW15" i="5"/>
  <c r="AW14" i="5"/>
  <c r="AW13" i="5"/>
  <c r="AW12" i="5"/>
  <c r="AW11" i="5"/>
  <c r="AW10" i="5"/>
  <c r="AW9" i="5"/>
  <c r="AW8" i="5"/>
  <c r="AW7" i="5"/>
  <c r="AW6" i="5"/>
  <c r="AW5" i="5"/>
  <c r="AW4" i="5"/>
  <c r="AW3" i="5"/>
  <c r="AW2" i="5"/>
  <c r="AS3" i="5"/>
  <c r="AS4" i="5"/>
  <c r="AX4" i="5" s="1"/>
  <c r="AS5" i="5"/>
  <c r="AX5" i="5" s="1"/>
  <c r="AS6" i="5"/>
  <c r="AS7" i="5"/>
  <c r="AX7" i="5" s="1"/>
  <c r="AS8" i="5"/>
  <c r="AX8" i="5" s="1"/>
  <c r="AS9" i="5"/>
  <c r="AX9" i="5" s="1"/>
  <c r="AS10" i="5"/>
  <c r="AS11" i="5"/>
  <c r="AS12" i="5"/>
  <c r="AX12" i="5" s="1"/>
  <c r="AS13" i="5"/>
  <c r="AS14" i="5"/>
  <c r="AS15" i="5"/>
  <c r="AX15" i="5" s="1"/>
  <c r="AS16" i="5"/>
  <c r="AX16" i="5" s="1"/>
  <c r="AS17" i="5"/>
  <c r="AX17" i="5" s="1"/>
  <c r="AS18" i="5"/>
  <c r="AS19" i="5"/>
  <c r="AS20" i="5"/>
  <c r="AX20" i="5" s="1"/>
  <c r="AS21" i="5"/>
  <c r="AX21" i="5" s="1"/>
  <c r="AS22" i="5"/>
  <c r="AS23" i="5"/>
  <c r="AX23" i="5" s="1"/>
  <c r="AS24" i="5"/>
  <c r="AX24" i="5" s="1"/>
  <c r="AS25" i="5"/>
  <c r="AX25" i="5" s="1"/>
  <c r="AS26" i="5"/>
  <c r="AS27" i="5"/>
  <c r="AS28" i="5"/>
  <c r="AX28" i="5" s="1"/>
  <c r="AS29" i="5"/>
  <c r="AS30" i="5"/>
  <c r="AS31" i="5"/>
  <c r="AX31" i="5" s="1"/>
  <c r="AS32" i="5"/>
  <c r="AX32" i="5" s="1"/>
  <c r="AS33" i="5"/>
  <c r="AX33" i="5" s="1"/>
  <c r="AS34" i="5"/>
  <c r="AS35" i="5"/>
  <c r="AS36" i="5"/>
  <c r="AX36" i="5" s="1"/>
  <c r="AS37" i="5"/>
  <c r="AX37" i="5" s="1"/>
  <c r="AS38" i="5"/>
  <c r="AS39" i="5"/>
  <c r="AX39" i="5" s="1"/>
  <c r="AS40" i="5"/>
  <c r="AX40" i="5" s="1"/>
  <c r="AS41" i="5"/>
  <c r="AX41" i="5" s="1"/>
  <c r="AS42" i="5"/>
  <c r="AS43" i="5"/>
  <c r="AS44" i="5"/>
  <c r="AX44" i="5" s="1"/>
  <c r="AS45" i="5"/>
  <c r="AS46" i="5"/>
  <c r="AS47" i="5"/>
  <c r="AX47" i="5" s="1"/>
  <c r="AS48" i="5"/>
  <c r="AX48" i="5" s="1"/>
  <c r="AS49" i="5"/>
  <c r="AX49" i="5" s="1"/>
  <c r="AS50" i="5"/>
  <c r="AS51" i="5"/>
  <c r="AS52" i="5"/>
  <c r="AX52" i="5" s="1"/>
  <c r="AS53" i="5"/>
  <c r="AX53" i="5" s="1"/>
  <c r="AS54" i="5"/>
  <c r="AS55" i="5"/>
  <c r="AX55" i="5" s="1"/>
  <c r="AS56" i="5"/>
  <c r="AX56" i="5" s="1"/>
  <c r="AS57" i="5"/>
  <c r="AX57" i="5" s="1"/>
  <c r="AS58" i="5"/>
  <c r="AS59" i="5"/>
  <c r="AS60" i="5"/>
  <c r="AS61" i="5"/>
  <c r="AS62" i="5"/>
  <c r="AS63" i="5"/>
  <c r="AX63" i="5" s="1"/>
  <c r="AS64" i="5"/>
  <c r="AX64" i="5" s="1"/>
  <c r="AS65" i="5"/>
  <c r="AX65" i="5" s="1"/>
  <c r="AS66" i="5"/>
  <c r="AS67" i="5"/>
  <c r="AS68" i="5"/>
  <c r="AS69" i="5"/>
  <c r="AX69" i="5" s="1"/>
  <c r="AS70" i="5"/>
  <c r="AS71" i="5"/>
  <c r="AX71" i="5" s="1"/>
  <c r="AS72" i="5"/>
  <c r="AX72" i="5" s="1"/>
  <c r="AS73" i="5"/>
  <c r="AX73" i="5" s="1"/>
  <c r="AS74" i="5"/>
  <c r="AS75" i="5"/>
  <c r="AS76" i="5"/>
  <c r="AS77" i="5"/>
  <c r="AS78" i="5"/>
  <c r="AS79" i="5"/>
  <c r="AX79" i="5" s="1"/>
  <c r="AS80" i="5"/>
  <c r="AX80" i="5" s="1"/>
  <c r="AS81" i="5"/>
  <c r="AX81" i="5" s="1"/>
  <c r="AS82" i="5"/>
  <c r="AS83" i="5"/>
  <c r="AS84" i="5"/>
  <c r="AS85" i="5"/>
  <c r="AX85" i="5" s="1"/>
  <c r="AS86" i="5"/>
  <c r="AS87" i="5"/>
  <c r="AX87" i="5" s="1"/>
  <c r="AS88" i="5"/>
  <c r="AX88" i="5" s="1"/>
  <c r="AS89" i="5"/>
  <c r="AS90" i="5"/>
  <c r="AS91" i="5"/>
  <c r="AS92" i="5"/>
  <c r="AS93" i="5"/>
  <c r="AS94" i="5"/>
  <c r="AS95" i="5"/>
  <c r="AX95" i="5" s="1"/>
  <c r="AS96" i="5"/>
  <c r="AX96" i="5" s="1"/>
  <c r="AS97" i="5"/>
  <c r="AS98" i="5"/>
  <c r="AS99" i="5"/>
  <c r="AS100" i="5"/>
  <c r="AS101" i="5"/>
  <c r="AX101" i="5" s="1"/>
  <c r="AS102" i="5"/>
  <c r="AS103" i="5"/>
  <c r="AX103" i="5" s="1"/>
  <c r="AS104" i="5"/>
  <c r="AX104" i="5" s="1"/>
  <c r="AS105" i="5"/>
  <c r="AS106" i="5"/>
  <c r="AS107" i="5"/>
  <c r="AS108" i="5"/>
  <c r="AS109" i="5"/>
  <c r="AS110" i="5"/>
  <c r="AS111" i="5"/>
  <c r="AX111" i="5" s="1"/>
  <c r="AS112" i="5"/>
  <c r="AX112" i="5" s="1"/>
  <c r="AS113" i="5"/>
  <c r="AS114" i="5"/>
  <c r="AS115" i="5"/>
  <c r="AS116" i="5"/>
  <c r="AS117" i="5"/>
  <c r="AX117" i="5" s="1"/>
  <c r="AS118" i="5"/>
  <c r="AS119" i="5"/>
  <c r="AX119" i="5" s="1"/>
  <c r="AS120" i="5"/>
  <c r="AX120" i="5" s="1"/>
  <c r="AS121" i="5"/>
  <c r="AS122" i="5"/>
  <c r="AS123" i="5"/>
  <c r="AS124" i="5"/>
  <c r="AS125" i="5"/>
  <c r="AS126" i="5"/>
  <c r="AS127" i="5"/>
  <c r="AX127" i="5" s="1"/>
  <c r="AS128" i="5"/>
  <c r="AX128" i="5" s="1"/>
  <c r="AS129" i="5"/>
  <c r="AS130" i="5"/>
  <c r="AS131" i="5"/>
  <c r="AS132" i="5"/>
  <c r="AS133" i="5"/>
  <c r="AX133" i="5" s="1"/>
  <c r="AS134" i="5"/>
  <c r="AS135" i="5"/>
  <c r="AX135" i="5" s="1"/>
  <c r="AS136" i="5"/>
  <c r="AX136" i="5" s="1"/>
  <c r="AS137" i="5"/>
  <c r="AS138" i="5"/>
  <c r="AS139" i="5"/>
  <c r="AS140" i="5"/>
  <c r="AS141" i="5"/>
  <c r="AS142" i="5"/>
  <c r="AS143" i="5"/>
  <c r="AX143" i="5" s="1"/>
  <c r="AS144" i="5"/>
  <c r="AX144" i="5" s="1"/>
  <c r="AS145" i="5"/>
  <c r="AS146" i="5"/>
  <c r="AS147" i="5"/>
  <c r="AS148" i="5"/>
  <c r="AS149" i="5"/>
  <c r="AX149" i="5" s="1"/>
  <c r="AS150" i="5"/>
  <c r="AS151" i="5"/>
  <c r="AX151" i="5" s="1"/>
  <c r="AS152" i="5"/>
  <c r="AX152" i="5" s="1"/>
  <c r="AS153" i="5"/>
  <c r="AS154" i="5"/>
  <c r="AS155" i="5"/>
  <c r="AS156" i="5"/>
  <c r="AS157" i="5"/>
  <c r="AS158" i="5"/>
  <c r="AS159" i="5"/>
  <c r="AX159" i="5" s="1"/>
  <c r="AS160" i="5"/>
  <c r="AX160" i="5" s="1"/>
  <c r="AS161" i="5"/>
  <c r="AS162" i="5"/>
  <c r="AS163" i="5"/>
  <c r="AS164" i="5"/>
  <c r="AS165" i="5"/>
  <c r="AX165" i="5" s="1"/>
  <c r="AS166" i="5"/>
  <c r="AS167" i="5"/>
  <c r="AX167" i="5" s="1"/>
  <c r="AS168" i="5"/>
  <c r="AX168" i="5" s="1"/>
  <c r="AS169" i="5"/>
  <c r="AS170" i="5"/>
  <c r="AS171" i="5"/>
  <c r="AS172" i="5"/>
  <c r="AS173" i="5"/>
  <c r="AS174" i="5"/>
  <c r="AS175" i="5"/>
  <c r="AX175" i="5" s="1"/>
  <c r="AS176" i="5"/>
  <c r="AX176" i="5" s="1"/>
  <c r="AS177" i="5"/>
  <c r="AS178" i="5"/>
  <c r="AS179" i="5"/>
  <c r="AX179" i="5" s="1"/>
  <c r="AS180" i="5"/>
  <c r="AS181" i="5"/>
  <c r="AX181" i="5" s="1"/>
  <c r="AS182" i="5"/>
  <c r="AS183" i="5"/>
  <c r="AX183" i="5" s="1"/>
  <c r="AS184" i="5"/>
  <c r="AX184" i="5" s="1"/>
  <c r="AS185" i="5"/>
  <c r="AS186" i="5"/>
  <c r="AS187" i="5"/>
  <c r="AS188" i="5"/>
  <c r="AS189" i="5"/>
  <c r="AS190" i="5"/>
  <c r="AS191" i="5"/>
  <c r="AX191" i="5" s="1"/>
  <c r="AS192" i="5"/>
  <c r="AX192" i="5" s="1"/>
  <c r="AS193" i="5"/>
  <c r="AS194" i="5"/>
  <c r="AS195" i="5"/>
  <c r="AX195" i="5" s="1"/>
  <c r="AS196" i="5"/>
  <c r="AX196" i="5" s="1"/>
  <c r="AS197" i="5"/>
  <c r="AX197" i="5" s="1"/>
  <c r="AS198" i="5"/>
  <c r="AS199" i="5"/>
  <c r="AX199" i="5" s="1"/>
  <c r="AS200" i="5"/>
  <c r="AS201" i="5"/>
  <c r="AS202" i="5"/>
  <c r="AS203" i="5"/>
  <c r="AX203" i="5" s="1"/>
  <c r="AS204" i="5"/>
  <c r="AS205" i="5"/>
  <c r="AS206" i="5"/>
  <c r="AS207" i="5"/>
  <c r="AX207" i="5" s="1"/>
  <c r="AS208" i="5"/>
  <c r="AS209" i="5"/>
  <c r="AS210" i="5"/>
  <c r="AS211" i="5"/>
  <c r="AX211" i="5" s="1"/>
  <c r="AS212" i="5"/>
  <c r="AX212" i="5" s="1"/>
  <c r="AS213" i="5"/>
  <c r="AX213" i="5" s="1"/>
  <c r="AS214" i="5"/>
  <c r="AS215" i="5"/>
  <c r="AX215" i="5" s="1"/>
  <c r="AS216" i="5"/>
  <c r="AS217" i="5"/>
  <c r="AS218" i="5"/>
  <c r="AS219" i="5"/>
  <c r="AS220" i="5"/>
  <c r="AS221" i="5"/>
  <c r="AS222" i="5"/>
  <c r="AS223" i="5"/>
  <c r="AX223" i="5" s="1"/>
  <c r="AS224" i="5"/>
  <c r="AS225" i="5"/>
  <c r="AX225" i="5" s="1"/>
  <c r="AS226" i="5"/>
  <c r="AS227" i="5"/>
  <c r="AX227" i="5" s="1"/>
  <c r="AS228" i="5"/>
  <c r="AX228" i="5" s="1"/>
  <c r="AS229" i="5"/>
  <c r="AS230" i="5"/>
  <c r="AS231" i="5"/>
  <c r="AX231" i="5" s="1"/>
  <c r="AS232" i="5"/>
  <c r="AS233" i="5"/>
  <c r="AS234" i="5"/>
  <c r="AS235" i="5"/>
  <c r="AX235" i="5" s="1"/>
  <c r="AS236" i="5"/>
  <c r="AS237" i="5"/>
  <c r="AS238" i="5"/>
  <c r="AS239" i="5"/>
  <c r="AX239" i="5" s="1"/>
  <c r="AS240" i="5"/>
  <c r="AS241" i="5"/>
  <c r="AX241" i="5" s="1"/>
  <c r="AS242" i="5"/>
  <c r="AS243" i="5"/>
  <c r="AX243" i="5" s="1"/>
  <c r="AS244" i="5"/>
  <c r="AX244" i="5" s="1"/>
  <c r="AS245" i="5"/>
  <c r="AS246" i="5"/>
  <c r="AS247" i="5"/>
  <c r="AX247" i="5" s="1"/>
  <c r="AS248" i="5"/>
  <c r="AS249" i="5"/>
  <c r="AS250" i="5"/>
  <c r="AS251" i="5"/>
  <c r="AS252" i="5"/>
  <c r="AS253" i="5"/>
  <c r="AS254" i="5"/>
  <c r="AS255" i="5"/>
  <c r="AX255" i="5" s="1"/>
  <c r="AS256" i="5"/>
  <c r="AX256" i="5" s="1"/>
  <c r="AS257" i="5"/>
  <c r="AX257" i="5" s="1"/>
  <c r="AS258" i="5"/>
  <c r="AS259" i="5"/>
  <c r="AX259" i="5" s="1"/>
  <c r="AS260" i="5"/>
  <c r="AS261" i="5"/>
  <c r="AS262" i="5"/>
  <c r="AS263" i="5"/>
  <c r="AX263" i="5" s="1"/>
  <c r="AS264" i="5"/>
  <c r="AS265" i="5"/>
  <c r="AS266" i="5"/>
  <c r="AS267" i="5"/>
  <c r="AX267" i="5" s="1"/>
  <c r="AS268" i="5"/>
  <c r="AS269" i="5"/>
  <c r="AS270" i="5"/>
  <c r="AS271" i="5"/>
  <c r="AX271" i="5" s="1"/>
  <c r="AS272" i="5"/>
  <c r="AX272" i="5" s="1"/>
  <c r="AS273" i="5"/>
  <c r="AX273" i="5" s="1"/>
  <c r="AS274" i="5"/>
  <c r="AS275" i="5"/>
  <c r="AX275" i="5" s="1"/>
  <c r="AS276" i="5"/>
  <c r="AS277" i="5"/>
  <c r="AS278" i="5"/>
  <c r="AS279" i="5"/>
  <c r="AX279" i="5" s="1"/>
  <c r="AS280" i="5"/>
  <c r="AS281" i="5"/>
  <c r="AS282" i="5"/>
  <c r="AS283" i="5"/>
  <c r="AX283" i="5" s="1"/>
  <c r="AS284" i="5"/>
  <c r="AS285" i="5"/>
  <c r="AS286" i="5"/>
  <c r="AS287" i="5"/>
  <c r="AX287" i="5" s="1"/>
  <c r="AS288" i="5"/>
  <c r="AX288" i="5" s="1"/>
  <c r="AS289" i="5"/>
  <c r="AX289" i="5" s="1"/>
  <c r="AS290" i="5"/>
  <c r="AS291" i="5"/>
  <c r="AX291" i="5" s="1"/>
  <c r="AS292" i="5"/>
  <c r="AS293" i="5"/>
  <c r="AS294" i="5"/>
  <c r="AS295" i="5"/>
  <c r="AX295" i="5" s="1"/>
  <c r="AS296" i="5"/>
  <c r="AS297" i="5"/>
  <c r="AS298" i="5"/>
  <c r="AS299" i="5"/>
  <c r="AX299" i="5" s="1"/>
  <c r="AS300" i="5"/>
  <c r="AS301" i="5"/>
  <c r="AS302" i="5"/>
  <c r="AS303" i="5"/>
  <c r="AX303" i="5" s="1"/>
  <c r="AS304" i="5"/>
  <c r="AX304" i="5" s="1"/>
  <c r="AS305" i="5"/>
  <c r="AX305" i="5" s="1"/>
  <c r="AS306" i="5"/>
  <c r="AS307" i="5"/>
  <c r="AX307" i="5" s="1"/>
  <c r="AS308" i="5"/>
  <c r="AS309" i="5"/>
  <c r="AS310" i="5"/>
  <c r="AS311" i="5"/>
  <c r="AX311" i="5" s="1"/>
  <c r="AS312" i="5"/>
  <c r="AS313" i="5"/>
  <c r="AS314" i="5"/>
  <c r="AS315" i="5"/>
  <c r="AX315" i="5" s="1"/>
  <c r="AS316" i="5"/>
  <c r="AS317" i="5"/>
  <c r="AS318" i="5"/>
  <c r="AS319" i="5"/>
  <c r="AX319" i="5" s="1"/>
  <c r="AS320" i="5"/>
  <c r="AX320" i="5" s="1"/>
  <c r="AS321" i="5"/>
  <c r="AX321" i="5" s="1"/>
  <c r="AS322" i="5"/>
  <c r="AS323" i="5"/>
  <c r="AX323" i="5" s="1"/>
  <c r="AS324" i="5"/>
  <c r="AS325" i="5"/>
  <c r="AS326" i="5"/>
  <c r="AS327" i="5"/>
  <c r="AX327" i="5" s="1"/>
  <c r="AS328" i="5"/>
  <c r="AS329" i="5"/>
  <c r="AS330" i="5"/>
  <c r="AS331" i="5"/>
  <c r="AX331" i="5" s="1"/>
  <c r="AS332" i="5"/>
  <c r="AS333" i="5"/>
  <c r="AS334" i="5"/>
  <c r="AS335" i="5"/>
  <c r="AX335" i="5" s="1"/>
  <c r="AS336" i="5"/>
  <c r="AX336" i="5" s="1"/>
  <c r="AS337" i="5"/>
  <c r="AX337" i="5" s="1"/>
  <c r="AS338" i="5"/>
  <c r="AS339" i="5"/>
  <c r="AX339" i="5" s="1"/>
  <c r="AS340" i="5"/>
  <c r="AS341" i="5"/>
  <c r="AS342" i="5"/>
  <c r="AS343" i="5"/>
  <c r="AX343" i="5" s="1"/>
  <c r="AS344" i="5"/>
  <c r="AS345" i="5"/>
  <c r="AS346" i="5"/>
  <c r="AS347" i="5"/>
  <c r="AX347" i="5" s="1"/>
  <c r="AS348" i="5"/>
  <c r="AS349" i="5"/>
  <c r="AS350" i="5"/>
  <c r="AS351" i="5"/>
  <c r="AX351" i="5" s="1"/>
  <c r="AS352" i="5"/>
  <c r="AX352" i="5" s="1"/>
  <c r="AS353" i="5"/>
  <c r="AX353" i="5" s="1"/>
  <c r="AS354" i="5"/>
  <c r="AS355" i="5"/>
  <c r="AX355" i="5" s="1"/>
  <c r="AS356" i="5"/>
  <c r="AS357" i="5"/>
  <c r="AS358" i="5"/>
  <c r="AS359" i="5"/>
  <c r="AX359" i="5" s="1"/>
  <c r="AS360" i="5"/>
  <c r="AS361" i="5"/>
  <c r="AS362" i="5"/>
  <c r="AS363" i="5"/>
  <c r="AX363" i="5" s="1"/>
  <c r="AS364" i="5"/>
  <c r="AS365" i="5"/>
  <c r="AS366" i="5"/>
  <c r="AS367" i="5"/>
  <c r="AX367" i="5" s="1"/>
  <c r="AS368" i="5"/>
  <c r="AX368" i="5" s="1"/>
  <c r="AS369" i="5"/>
  <c r="AX369" i="5" s="1"/>
  <c r="AS370" i="5"/>
  <c r="AS371" i="5"/>
  <c r="AX371" i="5" s="1"/>
  <c r="AS372" i="5"/>
  <c r="AS373" i="5"/>
  <c r="AS374" i="5"/>
  <c r="AS375" i="5"/>
  <c r="AX375" i="5" s="1"/>
  <c r="AS376" i="5"/>
  <c r="AS377" i="5"/>
  <c r="AS378" i="5"/>
  <c r="AS379" i="5"/>
  <c r="AX379" i="5" s="1"/>
  <c r="AS380" i="5"/>
  <c r="AS381" i="5"/>
  <c r="AS382" i="5"/>
  <c r="AS383" i="5"/>
  <c r="AX383" i="5" s="1"/>
  <c r="AS384" i="5"/>
  <c r="AX384" i="5" s="1"/>
  <c r="AS385" i="5"/>
  <c r="AX385" i="5" s="1"/>
  <c r="AS386" i="5"/>
  <c r="AS387" i="5"/>
  <c r="AX387" i="5" s="1"/>
  <c r="AS388" i="5"/>
  <c r="AS389" i="5"/>
  <c r="AS390" i="5"/>
  <c r="AS391" i="5"/>
  <c r="AX391" i="5" s="1"/>
  <c r="AS392" i="5"/>
  <c r="AS393" i="5"/>
  <c r="AS394" i="5"/>
  <c r="AS395" i="5"/>
  <c r="AX395" i="5" s="1"/>
  <c r="AS396" i="5"/>
  <c r="AS397" i="5"/>
  <c r="AS398" i="5"/>
  <c r="AS399" i="5"/>
  <c r="AX399" i="5" s="1"/>
  <c r="AS400" i="5"/>
  <c r="AX400" i="5" s="1"/>
  <c r="AS401" i="5"/>
  <c r="AX401" i="5" s="1"/>
  <c r="AS402" i="5"/>
  <c r="AS403" i="5"/>
  <c r="AX403" i="5" s="1"/>
  <c r="AS404" i="5"/>
  <c r="AS405" i="5"/>
  <c r="AS406" i="5"/>
  <c r="AS407" i="5"/>
  <c r="AX407" i="5" s="1"/>
  <c r="AS408" i="5"/>
  <c r="AS409" i="5"/>
  <c r="AS410" i="5"/>
  <c r="AS411" i="5"/>
  <c r="AX411" i="5" s="1"/>
  <c r="AS412" i="5"/>
  <c r="AS413" i="5"/>
  <c r="AS414" i="5"/>
  <c r="AS415" i="5"/>
  <c r="AX415" i="5" s="1"/>
  <c r="AS416" i="5"/>
  <c r="AX416" i="5" s="1"/>
  <c r="AS417" i="5"/>
  <c r="AX417" i="5" s="1"/>
  <c r="AS418" i="5"/>
  <c r="AS419" i="5"/>
  <c r="AX419" i="5" s="1"/>
  <c r="AS420" i="5"/>
  <c r="AS421" i="5"/>
  <c r="AS422" i="5"/>
  <c r="AS423" i="5"/>
  <c r="AX423" i="5" s="1"/>
  <c r="AS424" i="5"/>
  <c r="AS425" i="5"/>
  <c r="AS426" i="5"/>
  <c r="AS427" i="5"/>
  <c r="AX427" i="5" s="1"/>
  <c r="AS428" i="5"/>
  <c r="AX428" i="5" s="1"/>
  <c r="AS429" i="5"/>
  <c r="AS430" i="5"/>
  <c r="AS431" i="5"/>
  <c r="AX431" i="5" s="1"/>
  <c r="AS432" i="5"/>
  <c r="AX432" i="5" s="1"/>
  <c r="AS433" i="5"/>
  <c r="AX433" i="5" s="1"/>
  <c r="AS434" i="5"/>
  <c r="AS435" i="5"/>
  <c r="AX435" i="5" s="1"/>
  <c r="AS436" i="5"/>
  <c r="AS437" i="5"/>
  <c r="AS438" i="5"/>
  <c r="AS439" i="5"/>
  <c r="AX439" i="5" s="1"/>
  <c r="AS440" i="5"/>
  <c r="AS441" i="5"/>
  <c r="AS442" i="5"/>
  <c r="AS443" i="5"/>
  <c r="AX443" i="5" s="1"/>
  <c r="AS444" i="5"/>
  <c r="AX444" i="5" s="1"/>
  <c r="AS445" i="5"/>
  <c r="AS446" i="5"/>
  <c r="AS447" i="5"/>
  <c r="AX447" i="5" s="1"/>
  <c r="AS448" i="5"/>
  <c r="AX448" i="5" s="1"/>
  <c r="AS449" i="5"/>
  <c r="AX449" i="5" s="1"/>
  <c r="AS450" i="5"/>
  <c r="AS451" i="5"/>
  <c r="AX451" i="5" s="1"/>
  <c r="AS452" i="5"/>
  <c r="AS453" i="5"/>
  <c r="AS454" i="5"/>
  <c r="AS455" i="5"/>
  <c r="AX455" i="5" s="1"/>
  <c r="AS456" i="5"/>
  <c r="AS457" i="5"/>
  <c r="AS458" i="5"/>
  <c r="AS459" i="5"/>
  <c r="AX459" i="5" s="1"/>
  <c r="AS460" i="5"/>
  <c r="AX460" i="5" s="1"/>
  <c r="AS461" i="5"/>
  <c r="AS462" i="5"/>
  <c r="AS463" i="5"/>
  <c r="AX463" i="5" s="1"/>
  <c r="AS464" i="5"/>
  <c r="AX464" i="5" s="1"/>
  <c r="AS465" i="5"/>
  <c r="AX465" i="5" s="1"/>
  <c r="AS466" i="5"/>
  <c r="AS467" i="5"/>
  <c r="AX467" i="5" s="1"/>
  <c r="AS468" i="5"/>
  <c r="AS469" i="5"/>
  <c r="AS470" i="5"/>
  <c r="AS471" i="5"/>
  <c r="AS472" i="5"/>
  <c r="AS473" i="5"/>
  <c r="AS474" i="5"/>
  <c r="AS475" i="5"/>
  <c r="AX475" i="5" s="1"/>
  <c r="AS476" i="5"/>
  <c r="AX476" i="5" s="1"/>
  <c r="AS477" i="5"/>
  <c r="AS478" i="5"/>
  <c r="AS479" i="5"/>
  <c r="AX479" i="5" s="1"/>
  <c r="AS480" i="5"/>
  <c r="AX480" i="5" s="1"/>
  <c r="AS481" i="5"/>
  <c r="AX481" i="5" s="1"/>
  <c r="AS482" i="5"/>
  <c r="AS483" i="5"/>
  <c r="AX483" i="5" s="1"/>
  <c r="AS484" i="5"/>
  <c r="AS485" i="5"/>
  <c r="AS486" i="5"/>
  <c r="AS487" i="5"/>
  <c r="AX487" i="5" s="1"/>
  <c r="AS488" i="5"/>
  <c r="AS489" i="5"/>
  <c r="AS490" i="5"/>
  <c r="AS491" i="5"/>
  <c r="AX491" i="5" s="1"/>
  <c r="AS492" i="5"/>
  <c r="AX492" i="5" s="1"/>
  <c r="AS493" i="5"/>
  <c r="AS494" i="5"/>
  <c r="AS495" i="5"/>
  <c r="AX495" i="5" s="1"/>
  <c r="AS496" i="5"/>
  <c r="AX496" i="5" s="1"/>
  <c r="AS497" i="5"/>
  <c r="AX497" i="5" s="1"/>
  <c r="AS498" i="5"/>
  <c r="AS499" i="5"/>
  <c r="AX499" i="5" s="1"/>
  <c r="AS500" i="5"/>
  <c r="AS501" i="5"/>
  <c r="AS502" i="5"/>
  <c r="AS503" i="5"/>
  <c r="AX503" i="5" s="1"/>
  <c r="AS504" i="5"/>
  <c r="AS505" i="5"/>
  <c r="AS506" i="5"/>
  <c r="AS507" i="5"/>
  <c r="AX507" i="5" s="1"/>
  <c r="AS508" i="5"/>
  <c r="AX508" i="5" s="1"/>
  <c r="AS509" i="5"/>
  <c r="AS510" i="5"/>
  <c r="AS511" i="5"/>
  <c r="AX511" i="5" s="1"/>
  <c r="AS512" i="5"/>
  <c r="AX512" i="5" s="1"/>
  <c r="AS513" i="5"/>
  <c r="AX513" i="5" s="1"/>
  <c r="AS514" i="5"/>
  <c r="AS515" i="5"/>
  <c r="AX515" i="5" s="1"/>
  <c r="AS516" i="5"/>
  <c r="AS517" i="5"/>
  <c r="AS518" i="5"/>
  <c r="AS519" i="5"/>
  <c r="AX519" i="5" s="1"/>
  <c r="AS520" i="5"/>
  <c r="AS521" i="5"/>
  <c r="AS522" i="5"/>
  <c r="AS523" i="5"/>
  <c r="AX523" i="5" s="1"/>
  <c r="AS524" i="5"/>
  <c r="AX524" i="5" s="1"/>
  <c r="AS525" i="5"/>
  <c r="AS526" i="5"/>
  <c r="AS527" i="5"/>
  <c r="AX527" i="5" s="1"/>
  <c r="AS528" i="5"/>
  <c r="AX528" i="5" s="1"/>
  <c r="AS529" i="5"/>
  <c r="AX529" i="5" s="1"/>
  <c r="AS530" i="5"/>
  <c r="AS531" i="5"/>
  <c r="AX531" i="5" s="1"/>
  <c r="AS532" i="5"/>
  <c r="AS533" i="5"/>
  <c r="AS534" i="5"/>
  <c r="AS535" i="5"/>
  <c r="AX535" i="5" s="1"/>
  <c r="AS536" i="5"/>
  <c r="AS537" i="5"/>
  <c r="AS538" i="5"/>
  <c r="AS539" i="5"/>
  <c r="AX539" i="5" s="1"/>
  <c r="AS540" i="5"/>
  <c r="AX540" i="5" s="1"/>
  <c r="AS541" i="5"/>
  <c r="AS542" i="5"/>
  <c r="AS543" i="5"/>
  <c r="AX543" i="5" s="1"/>
  <c r="AS544" i="5"/>
  <c r="AX544" i="5" s="1"/>
  <c r="AS545" i="5"/>
  <c r="AX545" i="5" s="1"/>
  <c r="AS546" i="5"/>
  <c r="AS547" i="5"/>
  <c r="AX547" i="5" s="1"/>
  <c r="AS548" i="5"/>
  <c r="AS549" i="5"/>
  <c r="AS550" i="5"/>
  <c r="AS551" i="5"/>
  <c r="AX551" i="5" s="1"/>
  <c r="AS552" i="5"/>
  <c r="AS553" i="5"/>
  <c r="AS554" i="5"/>
  <c r="AS555" i="5"/>
  <c r="AX555" i="5" s="1"/>
  <c r="AS556" i="5"/>
  <c r="AX556" i="5" s="1"/>
  <c r="AS557" i="5"/>
  <c r="AS558" i="5"/>
  <c r="AS559" i="5"/>
  <c r="AX559" i="5" s="1"/>
  <c r="AS560" i="5"/>
  <c r="AX560" i="5" s="1"/>
  <c r="AS561" i="5"/>
  <c r="AX561" i="5" s="1"/>
  <c r="AS562" i="5"/>
  <c r="AS563" i="5"/>
  <c r="AX563" i="5" s="1"/>
  <c r="AS564" i="5"/>
  <c r="AS565" i="5"/>
  <c r="AS566" i="5"/>
  <c r="AS567" i="5"/>
  <c r="AX567" i="5" s="1"/>
  <c r="AS568" i="5"/>
  <c r="AS569" i="5"/>
  <c r="AS570" i="5"/>
  <c r="AS571" i="5"/>
  <c r="AX571" i="5" s="1"/>
  <c r="AS572" i="5"/>
  <c r="AX572" i="5" s="1"/>
  <c r="AS573" i="5"/>
  <c r="AS574" i="5"/>
  <c r="AS575" i="5"/>
  <c r="AX575" i="5" s="1"/>
  <c r="AS576" i="5"/>
  <c r="AX576" i="5" s="1"/>
  <c r="AS577" i="5"/>
  <c r="AX577" i="5" s="1"/>
  <c r="AS578" i="5"/>
  <c r="AS579" i="5"/>
  <c r="AX579" i="5" s="1"/>
  <c r="AS580" i="5"/>
  <c r="AS581" i="5"/>
  <c r="AS582" i="5"/>
  <c r="AS583" i="5"/>
  <c r="AX583" i="5" s="1"/>
  <c r="AS584" i="5"/>
  <c r="AS585" i="5"/>
  <c r="AS586" i="5"/>
  <c r="AS587" i="5"/>
  <c r="AX587" i="5" s="1"/>
  <c r="AS588" i="5"/>
  <c r="AX588" i="5" s="1"/>
  <c r="AS589" i="5"/>
  <c r="AS590" i="5"/>
  <c r="AS591" i="5"/>
  <c r="AX591" i="5" s="1"/>
  <c r="AS592" i="5"/>
  <c r="AX592" i="5" s="1"/>
  <c r="AS593" i="5"/>
  <c r="AX593" i="5" s="1"/>
  <c r="AS594" i="5"/>
  <c r="AS595" i="5"/>
  <c r="AX595" i="5" s="1"/>
  <c r="AS596" i="5"/>
  <c r="AS597" i="5"/>
  <c r="AS598" i="5"/>
  <c r="AS599" i="5"/>
  <c r="AX599" i="5" s="1"/>
  <c r="AS600" i="5"/>
  <c r="AS601" i="5"/>
  <c r="AS602" i="5"/>
  <c r="AS603" i="5"/>
  <c r="AX603" i="5" s="1"/>
  <c r="AS604" i="5"/>
  <c r="AX604" i="5" s="1"/>
  <c r="AS605" i="5"/>
  <c r="AS606" i="5"/>
  <c r="AS607" i="5"/>
  <c r="AX607" i="5" s="1"/>
  <c r="AS608" i="5"/>
  <c r="AX608" i="5" s="1"/>
  <c r="AS609" i="5"/>
  <c r="AX609" i="5" s="1"/>
  <c r="AS610" i="5"/>
  <c r="AS611" i="5"/>
  <c r="AX611" i="5" s="1"/>
  <c r="AS612" i="5"/>
  <c r="AS613" i="5"/>
  <c r="AS614" i="5"/>
  <c r="AS615" i="5"/>
  <c r="AX615" i="5" s="1"/>
  <c r="AS616" i="5"/>
  <c r="AS617" i="5"/>
  <c r="AS618" i="5"/>
  <c r="AS619" i="5"/>
  <c r="AX619" i="5" s="1"/>
  <c r="AS620" i="5"/>
  <c r="AX620" i="5" s="1"/>
  <c r="AS621" i="5"/>
  <c r="AS622" i="5"/>
  <c r="AS623" i="5"/>
  <c r="AX623" i="5" s="1"/>
  <c r="AS624" i="5"/>
  <c r="AX624" i="5" s="1"/>
  <c r="AS625" i="5"/>
  <c r="AX625" i="5" s="1"/>
  <c r="AS626" i="5"/>
  <c r="AS627" i="5"/>
  <c r="AX627" i="5" s="1"/>
  <c r="AS628" i="5"/>
  <c r="AS629" i="5"/>
  <c r="AS630" i="5"/>
  <c r="AS631" i="5"/>
  <c r="AX631" i="5" s="1"/>
  <c r="AS632" i="5"/>
  <c r="AS633" i="5"/>
  <c r="AS634" i="5"/>
  <c r="AS635" i="5"/>
  <c r="AX635" i="5" s="1"/>
  <c r="AS636" i="5"/>
  <c r="AX636" i="5" s="1"/>
  <c r="AS637" i="5"/>
  <c r="AS638" i="5"/>
  <c r="AS639" i="5"/>
  <c r="AX639" i="5" s="1"/>
  <c r="AS640" i="5"/>
  <c r="AX640" i="5" s="1"/>
  <c r="AS641" i="5"/>
  <c r="AX641" i="5" s="1"/>
  <c r="AS642" i="5"/>
  <c r="AS643" i="5"/>
  <c r="AX643" i="5" s="1"/>
  <c r="AS644" i="5"/>
  <c r="AS645" i="5"/>
  <c r="AS646" i="5"/>
  <c r="AS647" i="5"/>
  <c r="AX647" i="5" s="1"/>
  <c r="AS648" i="5"/>
  <c r="AS649" i="5"/>
  <c r="AS650" i="5"/>
  <c r="AS651" i="5"/>
  <c r="AX651" i="5" s="1"/>
  <c r="AS652" i="5"/>
  <c r="AX652" i="5" s="1"/>
  <c r="AS653" i="5"/>
  <c r="AS654" i="5"/>
  <c r="AS655" i="5"/>
  <c r="AX655" i="5" s="1"/>
  <c r="AS656" i="5"/>
  <c r="AX656" i="5" s="1"/>
  <c r="AS657" i="5"/>
  <c r="AX657" i="5" s="1"/>
  <c r="AS658" i="5"/>
  <c r="AS659" i="5"/>
  <c r="AX659" i="5" s="1"/>
  <c r="AS660" i="5"/>
  <c r="AS661" i="5"/>
  <c r="AS662" i="5"/>
  <c r="AS663" i="5"/>
  <c r="AX663" i="5" s="1"/>
  <c r="AS664" i="5"/>
  <c r="AS665" i="5"/>
  <c r="AS666" i="5"/>
  <c r="AS667" i="5"/>
  <c r="AX667" i="5" s="1"/>
  <c r="AS668" i="5"/>
  <c r="AX668" i="5" s="1"/>
  <c r="AS669" i="5"/>
  <c r="AS670" i="5"/>
  <c r="AS671" i="5"/>
  <c r="AX671" i="5" s="1"/>
  <c r="AS672" i="5"/>
  <c r="AX672" i="5" s="1"/>
  <c r="AS673" i="5"/>
  <c r="AX673" i="5" s="1"/>
  <c r="AS674" i="5"/>
  <c r="AS675" i="5"/>
  <c r="AX675" i="5" s="1"/>
  <c r="AS676" i="5"/>
  <c r="AS677" i="5"/>
  <c r="AS678" i="5"/>
  <c r="AS679" i="5"/>
  <c r="AX679" i="5" s="1"/>
  <c r="AS680" i="5"/>
  <c r="AS681" i="5"/>
  <c r="AS682" i="5"/>
  <c r="AS683" i="5"/>
  <c r="AX683" i="5" s="1"/>
  <c r="AS684" i="5"/>
  <c r="AX684" i="5" s="1"/>
  <c r="AS685" i="5"/>
  <c r="AS686" i="5"/>
  <c r="AS687" i="5"/>
  <c r="AX687" i="5" s="1"/>
  <c r="AS688" i="5"/>
  <c r="AX688" i="5" s="1"/>
  <c r="AS689" i="5"/>
  <c r="AX689" i="5" s="1"/>
  <c r="AS690" i="5"/>
  <c r="AS691" i="5"/>
  <c r="AX691" i="5" s="1"/>
  <c r="AS692" i="5"/>
  <c r="AS693" i="5"/>
  <c r="AS694" i="5"/>
  <c r="AS695" i="5"/>
  <c r="AX695" i="5" s="1"/>
  <c r="AS696" i="5"/>
  <c r="AS697" i="5"/>
  <c r="AS698" i="5"/>
  <c r="AS2" i="5"/>
  <c r="AX2" i="5" s="1"/>
  <c r="AW775" i="5" l="1"/>
  <c r="AW776" i="5" s="1"/>
  <c r="CL775" i="5"/>
  <c r="CL776" i="5" s="1"/>
  <c r="G11" i="43" s="1"/>
  <c r="CM775" i="5"/>
  <c r="CM776" i="5" s="1"/>
  <c r="I11" i="43" s="1"/>
  <c r="I39" i="43" s="1"/>
  <c r="AB39" i="43" s="1"/>
  <c r="AU787" i="5"/>
  <c r="AU791" i="5"/>
  <c r="AU796" i="5"/>
  <c r="AT803" i="5"/>
  <c r="AT792" i="5"/>
  <c r="AU803" i="5"/>
  <c r="AT804" i="5"/>
  <c r="AU792" i="5"/>
  <c r="AT793" i="5"/>
  <c r="AT798" i="5"/>
  <c r="AU804" i="5"/>
  <c r="AT784" i="5"/>
  <c r="AT785" i="5" s="1"/>
  <c r="AU793" i="5"/>
  <c r="AT794" i="5"/>
  <c r="AU798" i="5"/>
  <c r="AT799" i="5"/>
  <c r="AT805" i="5"/>
  <c r="AU784" i="5"/>
  <c r="AU785" i="5" s="1"/>
  <c r="AT789" i="5"/>
  <c r="AU794" i="5"/>
  <c r="AU799" i="5"/>
  <c r="AT800" i="5"/>
  <c r="AU805" i="5"/>
  <c r="AU789" i="5"/>
  <c r="AT790" i="5"/>
  <c r="AU800" i="5"/>
  <c r="AT801" i="5"/>
  <c r="AX835" i="5"/>
  <c r="AX836" i="5" s="1"/>
  <c r="BA830" i="5"/>
  <c r="AU829" i="5"/>
  <c r="BA827" i="5"/>
  <c r="AX826" i="5"/>
  <c r="AU825" i="5"/>
  <c r="BA824" i="5"/>
  <c r="AU823" i="5"/>
  <c r="BA819" i="5"/>
  <c r="AV835" i="5"/>
  <c r="AV836" i="5" s="1"/>
  <c r="AY830" i="5"/>
  <c r="AT829" i="5"/>
  <c r="AY827" i="5"/>
  <c r="AV826" i="5"/>
  <c r="AT825" i="5"/>
  <c r="AY824" i="5"/>
  <c r="AT823" i="5"/>
  <c r="AY819" i="5"/>
  <c r="BA837" i="5"/>
  <c r="BA838" i="5" s="1"/>
  <c r="AU835" i="5"/>
  <c r="AU836" i="5" s="1"/>
  <c r="BA833" i="5"/>
  <c r="BA831" i="5"/>
  <c r="AX830" i="5"/>
  <c r="AX827" i="5"/>
  <c r="AU826" i="5"/>
  <c r="AX824" i="5"/>
  <c r="BA822" i="5"/>
  <c r="BA820" i="5"/>
  <c r="AX819" i="5"/>
  <c r="BA817" i="5"/>
  <c r="AU809" i="5"/>
  <c r="AU810" i="5" s="1"/>
  <c r="AY837" i="5"/>
  <c r="AY838" i="5" s="1"/>
  <c r="AT835" i="5"/>
  <c r="AT836" i="5" s="1"/>
  <c r="AY833" i="5"/>
  <c r="AY831" i="5"/>
  <c r="AV830" i="5"/>
  <c r="AV827" i="5"/>
  <c r="AT826" i="5"/>
  <c r="AV824" i="5"/>
  <c r="AY822" i="5"/>
  <c r="AY820" i="5"/>
  <c r="AV819" i="5"/>
  <c r="AY817" i="5"/>
  <c r="AT809" i="5"/>
  <c r="AT810" i="5" s="1"/>
  <c r="AX837" i="5"/>
  <c r="AX838" i="5" s="1"/>
  <c r="AX833" i="5"/>
  <c r="AX831" i="5"/>
  <c r="AU830" i="5"/>
  <c r="BA829" i="5"/>
  <c r="AU827" i="5"/>
  <c r="BA825" i="5"/>
  <c r="AU824" i="5"/>
  <c r="BA823" i="5"/>
  <c r="AX822" i="5"/>
  <c r="AX820" i="5"/>
  <c r="AU819" i="5"/>
  <c r="AX817" i="5"/>
  <c r="AV837" i="5"/>
  <c r="AV838" i="5" s="1"/>
  <c r="AV833" i="5"/>
  <c r="AV831" i="5"/>
  <c r="AT830" i="5"/>
  <c r="AY829" i="5"/>
  <c r="AT827" i="5"/>
  <c r="AY825" i="5"/>
  <c r="AT824" i="5"/>
  <c r="AY823" i="5"/>
  <c r="AV822" i="5"/>
  <c r="AV820" i="5"/>
  <c r="AT819" i="5"/>
  <c r="AV817" i="5"/>
  <c r="AU837" i="5"/>
  <c r="AU838" i="5" s="1"/>
  <c r="BA835" i="5"/>
  <c r="BA836" i="5" s="1"/>
  <c r="AU833" i="5"/>
  <c r="AU831" i="5"/>
  <c r="AX829" i="5"/>
  <c r="BA826" i="5"/>
  <c r="AX825" i="5"/>
  <c r="AX823" i="5"/>
  <c r="AU822" i="5"/>
  <c r="AU820" i="5"/>
  <c r="AU817" i="5"/>
  <c r="AU811" i="5"/>
  <c r="AU812" i="5" s="1"/>
  <c r="AT837" i="5"/>
  <c r="AT838" i="5" s="1"/>
  <c r="AY835" i="5"/>
  <c r="AY836" i="5" s="1"/>
  <c r="AT833" i="5"/>
  <c r="AT831" i="5"/>
  <c r="AV829" i="5"/>
  <c r="AY826" i="5"/>
  <c r="AV825" i="5"/>
  <c r="AV823" i="5"/>
  <c r="AT822" i="5"/>
  <c r="AT820" i="5"/>
  <c r="AT817" i="5"/>
  <c r="AT818" i="5" s="1"/>
  <c r="AT811" i="5"/>
  <c r="AT812" i="5" s="1"/>
  <c r="AT786" i="5"/>
  <c r="AU790" i="5"/>
  <c r="AT795" i="5"/>
  <c r="AU801" i="5"/>
  <c r="AT802" i="5"/>
  <c r="AT807" i="5"/>
  <c r="AU786" i="5"/>
  <c r="AU788" i="5" s="1"/>
  <c r="AT787" i="5"/>
  <c r="AT791" i="5"/>
  <c r="AU795" i="5"/>
  <c r="AT796" i="5"/>
  <c r="AU802" i="5"/>
  <c r="AU807" i="5"/>
  <c r="N39" i="43"/>
  <c r="N27" i="35"/>
  <c r="N35" i="37"/>
  <c r="N23" i="40"/>
  <c r="N27" i="41"/>
  <c r="N26" i="42"/>
  <c r="N39" i="42"/>
  <c r="N28" i="40"/>
  <c r="N29" i="41"/>
  <c r="N22" i="42"/>
  <c r="N35" i="42"/>
  <c r="N32" i="38"/>
  <c r="N22" i="40"/>
  <c r="N26" i="41"/>
  <c r="F52" i="43"/>
  <c r="F56" i="43" s="1"/>
  <c r="F60" i="43" s="1"/>
  <c r="N32" i="39"/>
  <c r="N23" i="41"/>
  <c r="N28" i="41"/>
  <c r="N30" i="42"/>
  <c r="N21" i="40"/>
  <c r="N29" i="40"/>
  <c r="F67" i="42"/>
  <c r="N21" i="38"/>
  <c r="N29" i="38"/>
  <c r="N27" i="39"/>
  <c r="N20" i="41"/>
  <c r="N26" i="38"/>
  <c r="N35" i="38"/>
  <c r="N26" i="39"/>
  <c r="N22" i="41"/>
  <c r="N27" i="40"/>
  <c r="N30" i="40"/>
  <c r="N24" i="41"/>
  <c r="AW773" i="5"/>
  <c r="AW774" i="5" s="1"/>
  <c r="CL773" i="5"/>
  <c r="CL774" i="5" s="1"/>
  <c r="CM773" i="5"/>
  <c r="CM774" i="5" s="1"/>
  <c r="N39" i="41"/>
  <c r="F67" i="41"/>
  <c r="N24" i="39"/>
  <c r="N34" i="40"/>
  <c r="N20" i="38"/>
  <c r="N29" i="39"/>
  <c r="N26" i="40"/>
  <c r="N24" i="37"/>
  <c r="N29" i="37"/>
  <c r="N20" i="39"/>
  <c r="N25" i="40"/>
  <c r="N35" i="40"/>
  <c r="N24" i="38"/>
  <c r="N22" i="36"/>
  <c r="N20" i="37"/>
  <c r="N28" i="37"/>
  <c r="AW771" i="5"/>
  <c r="AW772" i="5" s="1"/>
  <c r="CL771" i="5"/>
  <c r="CL772" i="5" s="1"/>
  <c r="AW766" i="5"/>
  <c r="J304" i="10"/>
  <c r="CM771" i="5"/>
  <c r="CM772" i="5" s="1"/>
  <c r="CM766" i="5"/>
  <c r="I11" i="38" s="1"/>
  <c r="I39" i="38" s="1"/>
  <c r="AB39" i="38" s="1"/>
  <c r="L12" i="39"/>
  <c r="L40" i="39" s="1"/>
  <c r="N40" i="39" s="1"/>
  <c r="D301" i="10"/>
  <c r="F10" i="39"/>
  <c r="I301" i="10"/>
  <c r="K10" i="39"/>
  <c r="F12" i="39"/>
  <c r="F40" i="39" s="1"/>
  <c r="D303" i="10"/>
  <c r="I11" i="40"/>
  <c r="I39" i="40" s="1"/>
  <c r="AB39" i="40" s="1"/>
  <c r="G313" i="10"/>
  <c r="G11" i="38"/>
  <c r="AA11" i="38" s="1"/>
  <c r="E291" i="10"/>
  <c r="G11" i="40"/>
  <c r="AA11" i="40" s="1"/>
  <c r="E313" i="10"/>
  <c r="G11" i="39"/>
  <c r="E302" i="10"/>
  <c r="E301" i="10"/>
  <c r="G10" i="39"/>
  <c r="G38" i="39" s="1"/>
  <c r="AA38" i="39" s="1"/>
  <c r="I11" i="39"/>
  <c r="I39" i="39" s="1"/>
  <c r="AB39" i="39" s="1"/>
  <c r="G302" i="10"/>
  <c r="G12" i="39"/>
  <c r="G40" i="39" s="1"/>
  <c r="E303" i="10"/>
  <c r="L10" i="39"/>
  <c r="K303" i="10"/>
  <c r="L303" i="10" s="1"/>
  <c r="N39" i="40"/>
  <c r="G301" i="10"/>
  <c r="I10" i="39"/>
  <c r="M10" i="39"/>
  <c r="K301" i="10"/>
  <c r="L301" i="10" s="1"/>
  <c r="H13" i="39"/>
  <c r="H38" i="39"/>
  <c r="H41" i="39" s="1"/>
  <c r="N30" i="39"/>
  <c r="N34" i="39"/>
  <c r="I12" i="39"/>
  <c r="N21" i="39"/>
  <c r="N32" i="34"/>
  <c r="N28" i="38"/>
  <c r="N33" i="39"/>
  <c r="F301" i="10"/>
  <c r="F52" i="40"/>
  <c r="F56" i="40" s="1"/>
  <c r="F60" i="40" s="1"/>
  <c r="N21" i="35"/>
  <c r="N30" i="38"/>
  <c r="N35" i="39"/>
  <c r="N24" i="36"/>
  <c r="N22" i="37"/>
  <c r="N30" i="37"/>
  <c r="N22" i="39"/>
  <c r="N25" i="39"/>
  <c r="N28" i="39"/>
  <c r="F303" i="10"/>
  <c r="N21" i="36"/>
  <c r="N39" i="39"/>
  <c r="F67" i="39"/>
  <c r="N34" i="35"/>
  <c r="N27" i="37"/>
  <c r="N33" i="37"/>
  <c r="N27" i="38"/>
  <c r="N39" i="38"/>
  <c r="N33" i="38"/>
  <c r="N25" i="36"/>
  <c r="N23" i="37"/>
  <c r="N32" i="37"/>
  <c r="N23" i="38"/>
  <c r="N29" i="35"/>
  <c r="N27" i="36"/>
  <c r="N34" i="37"/>
  <c r="N22" i="38"/>
  <c r="N26" i="37"/>
  <c r="F52" i="38"/>
  <c r="F56" i="38" s="1"/>
  <c r="F60" i="38" s="1"/>
  <c r="N25" i="37"/>
  <c r="N27" i="33"/>
  <c r="N20" i="36"/>
  <c r="N26" i="36"/>
  <c r="N32" i="36"/>
  <c r="N25" i="31"/>
  <c r="N34" i="31"/>
  <c r="N28" i="36"/>
  <c r="N21" i="37"/>
  <c r="AW760" i="5"/>
  <c r="AW761" i="5" s="1"/>
  <c r="AW762" i="5"/>
  <c r="AW763" i="5" s="1"/>
  <c r="CL762" i="5"/>
  <c r="CL763" i="5" s="1"/>
  <c r="CL760" i="5"/>
  <c r="CL761" i="5" s="1"/>
  <c r="CM762" i="5"/>
  <c r="CM763" i="5" s="1"/>
  <c r="CM760" i="5"/>
  <c r="CM761" i="5" s="1"/>
  <c r="F282" i="10"/>
  <c r="F12" i="37"/>
  <c r="F40" i="37" s="1"/>
  <c r="D281" i="10"/>
  <c r="L38" i="37"/>
  <c r="L13" i="37"/>
  <c r="L40" i="37"/>
  <c r="N12" i="37"/>
  <c r="G279" i="10"/>
  <c r="I10" i="37"/>
  <c r="M10" i="37"/>
  <c r="M38" i="37" s="1"/>
  <c r="K279" i="10"/>
  <c r="M40" i="37"/>
  <c r="G11" i="37"/>
  <c r="E280" i="10"/>
  <c r="G10" i="37"/>
  <c r="E279" i="10"/>
  <c r="I11" i="37"/>
  <c r="I39" i="37" s="1"/>
  <c r="AB39" i="37" s="1"/>
  <c r="G280" i="10"/>
  <c r="G12" i="37"/>
  <c r="G40" i="37" s="1"/>
  <c r="E281" i="10"/>
  <c r="F10" i="37"/>
  <c r="D279" i="10"/>
  <c r="K10" i="37"/>
  <c r="I279" i="10"/>
  <c r="H10" i="37"/>
  <c r="H12" i="37"/>
  <c r="H40" i="37" s="1"/>
  <c r="G281" i="10"/>
  <c r="J279" i="10"/>
  <c r="J281" i="10"/>
  <c r="K281" i="10"/>
  <c r="N39" i="37"/>
  <c r="I40" i="37"/>
  <c r="N20" i="32"/>
  <c r="N28" i="32"/>
  <c r="N20" i="35"/>
  <c r="N23" i="35"/>
  <c r="N30" i="36"/>
  <c r="N39" i="36"/>
  <c r="N21" i="34"/>
  <c r="N29" i="34"/>
  <c r="N25" i="35"/>
  <c r="N28" i="35"/>
  <c r="N32" i="35"/>
  <c r="N23" i="36"/>
  <c r="N29" i="36"/>
  <c r="N33" i="36"/>
  <c r="N24" i="26"/>
  <c r="N33" i="26"/>
  <c r="N35" i="36"/>
  <c r="F52" i="37"/>
  <c r="F56" i="37" s="1"/>
  <c r="F60" i="37" s="1"/>
  <c r="N20" i="31"/>
  <c r="N28" i="31"/>
  <c r="N34" i="36"/>
  <c r="N23" i="33"/>
  <c r="N26" i="35"/>
  <c r="N25" i="33"/>
  <c r="N26" i="34"/>
  <c r="N33" i="35"/>
  <c r="N22" i="33"/>
  <c r="N23" i="34"/>
  <c r="N35" i="34"/>
  <c r="N22" i="35"/>
  <c r="N30" i="30"/>
  <c r="F52" i="36"/>
  <c r="F56" i="36" s="1"/>
  <c r="F60" i="36" s="1"/>
  <c r="N28" i="34"/>
  <c r="N35" i="35"/>
  <c r="N21" i="33"/>
  <c r="N30" i="34"/>
  <c r="N34" i="34"/>
  <c r="N24" i="35"/>
  <c r="N21" i="30"/>
  <c r="N27" i="34"/>
  <c r="N30" i="35"/>
  <c r="CL756" i="5"/>
  <c r="CL757" i="5" s="1"/>
  <c r="CM748" i="5"/>
  <c r="CM749" i="5" s="1"/>
  <c r="I11" i="33" s="1"/>
  <c r="I39" i="33" s="1"/>
  <c r="AB39" i="33" s="1"/>
  <c r="CM756" i="5"/>
  <c r="CM757" i="5" s="1"/>
  <c r="CM750" i="5"/>
  <c r="CM751" i="5" s="1"/>
  <c r="G247" i="10" s="1"/>
  <c r="AW750" i="5"/>
  <c r="AW751" i="5" s="1"/>
  <c r="AW756" i="5"/>
  <c r="AW757" i="5" s="1"/>
  <c r="CL754" i="5"/>
  <c r="CL755" i="5" s="1"/>
  <c r="G11" i="35" s="1"/>
  <c r="CM754" i="5"/>
  <c r="CM755" i="5" s="1"/>
  <c r="I11" i="35" s="1"/>
  <c r="I39" i="35" s="1"/>
  <c r="AB39" i="35" s="1"/>
  <c r="AW754" i="5"/>
  <c r="AW755" i="5" s="1"/>
  <c r="CL750" i="5"/>
  <c r="CL751" i="5" s="1"/>
  <c r="G11" i="34" s="1"/>
  <c r="AW752" i="5"/>
  <c r="AW753" i="5" s="1"/>
  <c r="CL752" i="5"/>
  <c r="CL753" i="5" s="1"/>
  <c r="CM752" i="5"/>
  <c r="CM753" i="5" s="1"/>
  <c r="CL748" i="5"/>
  <c r="CL749" i="5" s="1"/>
  <c r="AW748" i="5"/>
  <c r="AW749" i="5" s="1"/>
  <c r="N39" i="35"/>
  <c r="F67" i="35"/>
  <c r="N24" i="34"/>
  <c r="N33" i="34"/>
  <c r="L226" i="10"/>
  <c r="N33" i="33"/>
  <c r="N20" i="34"/>
  <c r="N22" i="34"/>
  <c r="N25" i="34"/>
  <c r="N20" i="33"/>
  <c r="N32" i="33"/>
  <c r="N35" i="30"/>
  <c r="N39" i="34"/>
  <c r="N35" i="33"/>
  <c r="N28" i="33"/>
  <c r="N30" i="27"/>
  <c r="N25" i="30"/>
  <c r="N34" i="30"/>
  <c r="N23" i="31"/>
  <c r="N32" i="31"/>
  <c r="N30" i="33"/>
  <c r="N34" i="33"/>
  <c r="F52" i="34"/>
  <c r="F56" i="34" s="1"/>
  <c r="F60" i="34" s="1"/>
  <c r="N24" i="33"/>
  <c r="N26" i="33"/>
  <c r="N29" i="33"/>
  <c r="N29" i="30"/>
  <c r="N27" i="31"/>
  <c r="N25" i="32"/>
  <c r="N34" i="32"/>
  <c r="N39" i="33"/>
  <c r="N28" i="27"/>
  <c r="N23" i="30"/>
  <c r="N21" i="31"/>
  <c r="N29" i="31"/>
  <c r="N22" i="32"/>
  <c r="N27" i="32"/>
  <c r="N30" i="32"/>
  <c r="N21" i="32"/>
  <c r="N24" i="32"/>
  <c r="N29" i="32"/>
  <c r="N33" i="32"/>
  <c r="N23" i="32"/>
  <c r="N26" i="32"/>
  <c r="N32" i="32"/>
  <c r="N35" i="32"/>
  <c r="F52" i="33"/>
  <c r="F56" i="33" s="1"/>
  <c r="F60" i="33" s="1"/>
  <c r="N26" i="30"/>
  <c r="N24" i="31"/>
  <c r="N33" i="31"/>
  <c r="G11" i="32"/>
  <c r="E225" i="10"/>
  <c r="G10" i="32"/>
  <c r="E224" i="10"/>
  <c r="I11" i="32"/>
  <c r="G225" i="10"/>
  <c r="G227" i="10" s="1"/>
  <c r="G12" i="32"/>
  <c r="E226" i="10"/>
  <c r="F10" i="32"/>
  <c r="D224" i="10"/>
  <c r="I224" i="10"/>
  <c r="K10" i="32"/>
  <c r="F12" i="32"/>
  <c r="F40" i="32" s="1"/>
  <c r="D226" i="10"/>
  <c r="H13" i="32"/>
  <c r="H38" i="32"/>
  <c r="H41" i="32" s="1"/>
  <c r="J227" i="10"/>
  <c r="I10" i="32"/>
  <c r="I12" i="32"/>
  <c r="I40" i="32" s="1"/>
  <c r="K224" i="10"/>
  <c r="K227" i="10" s="1"/>
  <c r="L10" i="32"/>
  <c r="L38" i="32" s="1"/>
  <c r="L12" i="32"/>
  <c r="M12" i="32"/>
  <c r="M40" i="32" s="1"/>
  <c r="F224" i="10"/>
  <c r="F226" i="10"/>
  <c r="M38" i="32"/>
  <c r="N39" i="32"/>
  <c r="N30" i="31"/>
  <c r="N26" i="29"/>
  <c r="N35" i="29"/>
  <c r="N24" i="30"/>
  <c r="N26" i="31"/>
  <c r="F52" i="32"/>
  <c r="F56" i="32" s="1"/>
  <c r="F60" i="32" s="1"/>
  <c r="N35" i="31"/>
  <c r="N20" i="30"/>
  <c r="N28" i="30"/>
  <c r="N22" i="31"/>
  <c r="N39" i="31"/>
  <c r="N20" i="28"/>
  <c r="N21" i="29"/>
  <c r="N29" i="29"/>
  <c r="N33" i="30"/>
  <c r="N22" i="30"/>
  <c r="N32" i="30"/>
  <c r="F52" i="31"/>
  <c r="F56" i="31" s="1"/>
  <c r="F60" i="31" s="1"/>
  <c r="N27" i="30"/>
  <c r="AW744" i="5"/>
  <c r="AW745" i="5" s="1"/>
  <c r="CM744" i="5"/>
  <c r="CM745" i="5" s="1"/>
  <c r="CL744" i="5"/>
  <c r="CL745" i="5" s="1"/>
  <c r="N39" i="30"/>
  <c r="CL741" i="5"/>
  <c r="CL742" i="5" s="1"/>
  <c r="G11" i="30" s="1"/>
  <c r="G39" i="30" s="1"/>
  <c r="AA39" i="30" s="1"/>
  <c r="AW741" i="5"/>
  <c r="AW742" i="5" s="1"/>
  <c r="CM741" i="5"/>
  <c r="CM742" i="5" s="1"/>
  <c r="F67" i="30"/>
  <c r="N26" i="28"/>
  <c r="N35" i="28"/>
  <c r="N22" i="29"/>
  <c r="N27" i="29"/>
  <c r="N30" i="29"/>
  <c r="N29" i="24"/>
  <c r="N25" i="25"/>
  <c r="N21" i="27"/>
  <c r="N24" i="29"/>
  <c r="N33" i="29"/>
  <c r="N22" i="17"/>
  <c r="N30" i="17"/>
  <c r="N34" i="23"/>
  <c r="N35" i="24"/>
  <c r="N24" i="22"/>
  <c r="N23" i="24"/>
  <c r="N23" i="27"/>
  <c r="N35" i="27"/>
  <c r="N27" i="28"/>
  <c r="N23" i="29"/>
  <c r="N32" i="29"/>
  <c r="N25" i="27"/>
  <c r="N33" i="28"/>
  <c r="N20" i="29"/>
  <c r="N25" i="29"/>
  <c r="N28" i="29"/>
  <c r="N34" i="29"/>
  <c r="AW737" i="5"/>
  <c r="AW738" i="5" s="1"/>
  <c r="N39" i="28"/>
  <c r="AW739" i="5"/>
  <c r="AW740" i="5" s="1"/>
  <c r="CL739" i="5"/>
  <c r="CL740" i="5" s="1"/>
  <c r="E192" i="10" s="1"/>
  <c r="CL737" i="5"/>
  <c r="CL738" i="5" s="1"/>
  <c r="G11" i="28" s="1"/>
  <c r="CM739" i="5"/>
  <c r="CM740" i="5" s="1"/>
  <c r="G192" i="10" s="1"/>
  <c r="N39" i="29"/>
  <c r="CM737" i="5"/>
  <c r="CM738" i="5" s="1"/>
  <c r="G181" i="10" s="1"/>
  <c r="AW735" i="5"/>
  <c r="AW736" i="5" s="1"/>
  <c r="CL729" i="5"/>
  <c r="CL730" i="5" s="1"/>
  <c r="E137" i="10" s="1"/>
  <c r="CM729" i="5"/>
  <c r="CM730" i="5" s="1"/>
  <c r="I11" i="24" s="1"/>
  <c r="I39" i="24" s="1"/>
  <c r="AB39" i="24" s="1"/>
  <c r="AW731" i="5"/>
  <c r="AW732" i="5" s="1"/>
  <c r="CL731" i="5"/>
  <c r="CL732" i="5" s="1"/>
  <c r="E148" i="10" s="1"/>
  <c r="CM731" i="5"/>
  <c r="CM732" i="5" s="1"/>
  <c r="G148" i="10" s="1"/>
  <c r="AW729" i="5"/>
  <c r="AW730" i="5" s="1"/>
  <c r="CL735" i="5"/>
  <c r="CL736" i="5" s="1"/>
  <c r="CM735" i="5"/>
  <c r="CM736" i="5" s="1"/>
  <c r="N26" i="27"/>
  <c r="N33" i="27"/>
  <c r="N25" i="28"/>
  <c r="N28" i="28"/>
  <c r="N34" i="28"/>
  <c r="N22" i="28"/>
  <c r="N30" i="28"/>
  <c r="N20" i="27"/>
  <c r="N24" i="28"/>
  <c r="F52" i="29"/>
  <c r="F56" i="29" s="1"/>
  <c r="F60" i="29" s="1"/>
  <c r="N29" i="25"/>
  <c r="N27" i="26"/>
  <c r="N22" i="27"/>
  <c r="N21" i="28"/>
  <c r="N29" i="28"/>
  <c r="N32" i="25"/>
  <c r="N24" i="27"/>
  <c r="N23" i="28"/>
  <c r="N32" i="28"/>
  <c r="N20" i="26"/>
  <c r="N28" i="26"/>
  <c r="N29" i="27"/>
  <c r="N29" i="20"/>
  <c r="N21" i="23"/>
  <c r="N33" i="23"/>
  <c r="N22" i="24"/>
  <c r="N25" i="24"/>
  <c r="N35" i="25"/>
  <c r="N32" i="27"/>
  <c r="F52" i="28"/>
  <c r="F56" i="28" s="1"/>
  <c r="F60" i="28" s="1"/>
  <c r="N20" i="22"/>
  <c r="N27" i="24"/>
  <c r="N20" i="25"/>
  <c r="N23" i="25"/>
  <c r="N28" i="25"/>
  <c r="N27" i="27"/>
  <c r="N21" i="24"/>
  <c r="N34" i="25"/>
  <c r="N23" i="26"/>
  <c r="N32" i="26"/>
  <c r="N34" i="27"/>
  <c r="N39" i="27"/>
  <c r="F67" i="27"/>
  <c r="N30" i="24"/>
  <c r="N34" i="24"/>
  <c r="N26" i="25"/>
  <c r="N33" i="25"/>
  <c r="N22" i="26"/>
  <c r="N30" i="26"/>
  <c r="N21" i="26"/>
  <c r="N29" i="26"/>
  <c r="N22" i="25"/>
  <c r="N26" i="26"/>
  <c r="N35" i="26"/>
  <c r="N32" i="24"/>
  <c r="N27" i="25"/>
  <c r="N28" i="24"/>
  <c r="N21" i="25"/>
  <c r="N24" i="25"/>
  <c r="N25" i="26"/>
  <c r="N34" i="26"/>
  <c r="M13" i="26"/>
  <c r="M38" i="26"/>
  <c r="M40" i="26"/>
  <c r="G11" i="26"/>
  <c r="E159" i="10"/>
  <c r="G10" i="26"/>
  <c r="E158" i="10"/>
  <c r="I11" i="26"/>
  <c r="I39" i="26" s="1"/>
  <c r="AB39" i="26" s="1"/>
  <c r="G159" i="10"/>
  <c r="E160" i="10"/>
  <c r="G12" i="26"/>
  <c r="F10" i="26"/>
  <c r="F38" i="26" s="1"/>
  <c r="D158" i="10"/>
  <c r="I158" i="10"/>
  <c r="K10" i="26"/>
  <c r="F12" i="26"/>
  <c r="D160" i="10"/>
  <c r="L38" i="26"/>
  <c r="N10" i="26"/>
  <c r="L12" i="26"/>
  <c r="N12" i="26" s="1"/>
  <c r="J160" i="10"/>
  <c r="F160" i="10"/>
  <c r="F161" i="10" s="1"/>
  <c r="H10" i="26"/>
  <c r="G160" i="10"/>
  <c r="I10" i="26"/>
  <c r="J158" i="10"/>
  <c r="K158" i="10"/>
  <c r="K160" i="10"/>
  <c r="N39" i="26"/>
  <c r="N22" i="23"/>
  <c r="N30" i="23"/>
  <c r="N32" i="20"/>
  <c r="N24" i="21"/>
  <c r="N33" i="21"/>
  <c r="N30" i="25"/>
  <c r="F52" i="26"/>
  <c r="F56" i="26" s="1"/>
  <c r="F60" i="26" s="1"/>
  <c r="N35" i="23"/>
  <c r="N21" i="22"/>
  <c r="N32" i="23"/>
  <c r="N39" i="25"/>
  <c r="N33" i="24"/>
  <c r="N30" i="22"/>
  <c r="N23" i="23"/>
  <c r="N24" i="24"/>
  <c r="F52" i="25"/>
  <c r="F56" i="25" s="1"/>
  <c r="F60" i="25" s="1"/>
  <c r="N25" i="23"/>
  <c r="N28" i="22"/>
  <c r="N20" i="24"/>
  <c r="N25" i="22"/>
  <c r="N27" i="23"/>
  <c r="N26" i="24"/>
  <c r="N39" i="24"/>
  <c r="F67" i="24"/>
  <c r="N26" i="23"/>
  <c r="N29" i="23"/>
  <c r="N35" i="22"/>
  <c r="N20" i="23"/>
  <c r="N22" i="22"/>
  <c r="N28" i="23"/>
  <c r="N24" i="20"/>
  <c r="N26" i="22"/>
  <c r="N29" i="22"/>
  <c r="N33" i="22"/>
  <c r="N39" i="22"/>
  <c r="N24" i="23"/>
  <c r="N39" i="23"/>
  <c r="N27" i="19"/>
  <c r="N21" i="21"/>
  <c r="N29" i="21"/>
  <c r="N23" i="22"/>
  <c r="N21" i="19"/>
  <c r="N30" i="20"/>
  <c r="N20" i="21"/>
  <c r="N28" i="21"/>
  <c r="N32" i="22"/>
  <c r="F52" i="23"/>
  <c r="F56" i="23" s="1"/>
  <c r="F60" i="23" s="1"/>
  <c r="N27" i="22"/>
  <c r="N34" i="22"/>
  <c r="CL727" i="5"/>
  <c r="CM727" i="5"/>
  <c r="AW727" i="5"/>
  <c r="AW726" i="5"/>
  <c r="CL726" i="5"/>
  <c r="CM726" i="5"/>
  <c r="AW725" i="5"/>
  <c r="CL724" i="5"/>
  <c r="CM724" i="5"/>
  <c r="AW724" i="5"/>
  <c r="CL725" i="5"/>
  <c r="CM725" i="5"/>
  <c r="AW721" i="5"/>
  <c r="AW722" i="5" s="1"/>
  <c r="CL721" i="5"/>
  <c r="CL722" i="5" s="1"/>
  <c r="CM721" i="5"/>
  <c r="CM722" i="5" s="1"/>
  <c r="N34" i="19"/>
  <c r="N26" i="20"/>
  <c r="N22" i="21"/>
  <c r="N27" i="21"/>
  <c r="N30" i="21"/>
  <c r="N30" i="19"/>
  <c r="N23" i="20"/>
  <c r="N25" i="20"/>
  <c r="N34" i="20"/>
  <c r="F52" i="22"/>
  <c r="F56" i="22" s="1"/>
  <c r="F60" i="22" s="1"/>
  <c r="N33" i="19"/>
  <c r="N22" i="20"/>
  <c r="N23" i="21"/>
  <c r="N26" i="21"/>
  <c r="N32" i="21"/>
  <c r="N35" i="21"/>
  <c r="N21" i="14"/>
  <c r="N32" i="16"/>
  <c r="N27" i="20"/>
  <c r="N23" i="19"/>
  <c r="N32" i="19"/>
  <c r="N25" i="21"/>
  <c r="N34" i="21"/>
  <c r="N39" i="21"/>
  <c r="CL715" i="5"/>
  <c r="CL716" i="5" s="1"/>
  <c r="E82" i="10" s="1"/>
  <c r="N23" i="17"/>
  <c r="N32" i="17"/>
  <c r="N20" i="19"/>
  <c r="N28" i="19"/>
  <c r="N21" i="20"/>
  <c r="N33" i="13"/>
  <c r="N34" i="17"/>
  <c r="N22" i="19"/>
  <c r="N33" i="20"/>
  <c r="F52" i="21"/>
  <c r="F56" i="21" s="1"/>
  <c r="F60" i="21" s="1"/>
  <c r="N27" i="17"/>
  <c r="N24" i="19"/>
  <c r="N20" i="20"/>
  <c r="N35" i="20"/>
  <c r="N35" i="19"/>
  <c r="N28" i="20"/>
  <c r="CM715" i="5"/>
  <c r="CM716" i="5" s="1"/>
  <c r="G82" i="10" s="1"/>
  <c r="AW719" i="5"/>
  <c r="AW720" i="5" s="1"/>
  <c r="AW717" i="5"/>
  <c r="AW718" i="5" s="1"/>
  <c r="CL717" i="5"/>
  <c r="CL718" i="5" s="1"/>
  <c r="G11" i="20" s="1"/>
  <c r="CL719" i="5"/>
  <c r="CL720" i="5" s="1"/>
  <c r="CM717" i="5"/>
  <c r="CM718" i="5" s="1"/>
  <c r="I11" i="20" s="1"/>
  <c r="I39" i="20" s="1"/>
  <c r="AB39" i="20" s="1"/>
  <c r="CM719" i="5"/>
  <c r="CM720" i="5" s="1"/>
  <c r="AW715" i="5"/>
  <c r="AW716" i="5" s="1"/>
  <c r="N39" i="20"/>
  <c r="N22" i="16"/>
  <c r="N30" i="16"/>
  <c r="N20" i="17"/>
  <c r="N28" i="17"/>
  <c r="N25" i="19"/>
  <c r="N26" i="16"/>
  <c r="N20" i="18"/>
  <c r="N28" i="18"/>
  <c r="F52" i="20"/>
  <c r="F56" i="20" s="1"/>
  <c r="F60" i="20" s="1"/>
  <c r="N26" i="19"/>
  <c r="N30" i="13"/>
  <c r="N34" i="16"/>
  <c r="N29" i="19"/>
  <c r="N39" i="19"/>
  <c r="N22" i="18"/>
  <c r="N27" i="18"/>
  <c r="N30" i="18"/>
  <c r="N20" i="16"/>
  <c r="N28" i="16"/>
  <c r="N21" i="18"/>
  <c r="N24" i="18"/>
  <c r="N29" i="18"/>
  <c r="N33" i="18"/>
  <c r="N24" i="17"/>
  <c r="N23" i="18"/>
  <c r="N26" i="18"/>
  <c r="N32" i="18"/>
  <c r="N35" i="18"/>
  <c r="F52" i="19"/>
  <c r="F56" i="19" s="1"/>
  <c r="F60" i="19" s="1"/>
  <c r="N28" i="12"/>
  <c r="N30" i="14"/>
  <c r="N24" i="16"/>
  <c r="N29" i="17"/>
  <c r="N33" i="17"/>
  <c r="N25" i="18"/>
  <c r="N34" i="18"/>
  <c r="CL713" i="5"/>
  <c r="CL714" i="5" s="1"/>
  <c r="G11" i="18" s="1"/>
  <c r="AW703" i="5"/>
  <c r="AW704" i="5" s="1"/>
  <c r="AW709" i="5"/>
  <c r="AW710" i="5" s="1"/>
  <c r="AW711" i="5"/>
  <c r="AW712" i="5" s="1"/>
  <c r="CM713" i="5"/>
  <c r="CM714" i="5" s="1"/>
  <c r="I11" i="18" s="1"/>
  <c r="I39" i="18" s="1"/>
  <c r="AB39" i="18" s="1"/>
  <c r="CM711" i="5"/>
  <c r="CM712" i="5" s="1"/>
  <c r="I11" i="17" s="1"/>
  <c r="CM709" i="5"/>
  <c r="CM710" i="5" s="1"/>
  <c r="G49" i="10" s="1"/>
  <c r="CL711" i="5"/>
  <c r="CL712" i="5" s="1"/>
  <c r="E60" i="10" s="1"/>
  <c r="CL709" i="5"/>
  <c r="CL710" i="5" s="1"/>
  <c r="E49" i="10" s="1"/>
  <c r="AW713" i="5"/>
  <c r="AW714" i="5" s="1"/>
  <c r="CM705" i="5"/>
  <c r="CM706" i="5" s="1"/>
  <c r="G27" i="10" s="1"/>
  <c r="CL703" i="5"/>
  <c r="CL704" i="5" s="1"/>
  <c r="E16" i="10" s="1"/>
  <c r="AW707" i="5"/>
  <c r="AW708" i="5" s="1"/>
  <c r="CL705" i="5"/>
  <c r="CL706" i="5" s="1"/>
  <c r="G11" i="14" s="1"/>
  <c r="CM703" i="5"/>
  <c r="CM704" i="5" s="1"/>
  <c r="G16" i="10" s="1"/>
  <c r="AT17" i="5"/>
  <c r="AW705" i="5"/>
  <c r="AW706" i="5" s="1"/>
  <c r="CL707" i="5"/>
  <c r="CL708" i="5" s="1"/>
  <c r="CM707" i="5"/>
  <c r="CM708" i="5" s="1"/>
  <c r="N39" i="18"/>
  <c r="N21" i="16"/>
  <c r="N29" i="16"/>
  <c r="N33" i="16"/>
  <c r="N26" i="17"/>
  <c r="F52" i="18"/>
  <c r="F56" i="18" s="1"/>
  <c r="F60" i="18" s="1"/>
  <c r="N26" i="14"/>
  <c r="N35" i="14"/>
  <c r="N39" i="15"/>
  <c r="N25" i="16"/>
  <c r="N25" i="17"/>
  <c r="N32" i="14"/>
  <c r="N35" i="17"/>
  <c r="N23" i="12"/>
  <c r="N32" i="12"/>
  <c r="N21" i="17"/>
  <c r="N39" i="17"/>
  <c r="N24" i="14"/>
  <c r="N22" i="15"/>
  <c r="N30" i="15"/>
  <c r="N34" i="13"/>
  <c r="N27" i="15"/>
  <c r="F52" i="17"/>
  <c r="F56" i="17" s="1"/>
  <c r="F60" i="17" s="1"/>
  <c r="N20" i="14"/>
  <c r="N27" i="16"/>
  <c r="N35" i="16"/>
  <c r="N30" i="12"/>
  <c r="N34" i="12"/>
  <c r="N23" i="16"/>
  <c r="N39" i="16"/>
  <c r="N23" i="15"/>
  <c r="N32" i="15"/>
  <c r="N23" i="13"/>
  <c r="N32" i="13"/>
  <c r="N22" i="14"/>
  <c r="N28" i="14"/>
  <c r="N20" i="15"/>
  <c r="N25" i="15"/>
  <c r="N28" i="15"/>
  <c r="N34" i="15"/>
  <c r="N26" i="12"/>
  <c r="N29" i="12"/>
  <c r="N25" i="13"/>
  <c r="F52" i="16"/>
  <c r="F56" i="16" s="1"/>
  <c r="F60" i="16" s="1"/>
  <c r="N29" i="14"/>
  <c r="N33" i="14"/>
  <c r="N21" i="15"/>
  <c r="N24" i="15"/>
  <c r="N29" i="15"/>
  <c r="N33" i="15"/>
  <c r="N26" i="15"/>
  <c r="N35" i="15"/>
  <c r="N20" i="13"/>
  <c r="N28" i="13"/>
  <c r="N25" i="14"/>
  <c r="N39" i="14"/>
  <c r="F52" i="15"/>
  <c r="F56" i="15" s="1"/>
  <c r="F60" i="15" s="1"/>
  <c r="N20" i="12"/>
  <c r="N27" i="13"/>
  <c r="N27" i="14"/>
  <c r="N24" i="13"/>
  <c r="N34" i="14"/>
  <c r="N23" i="14"/>
  <c r="CM701" i="5"/>
  <c r="CM702" i="5" s="1"/>
  <c r="G5" i="10" s="1"/>
  <c r="N27" i="12"/>
  <c r="N35" i="13"/>
  <c r="N24" i="12"/>
  <c r="N21" i="13"/>
  <c r="F52" i="14"/>
  <c r="F56" i="14" s="1"/>
  <c r="F60" i="14" s="1"/>
  <c r="N26" i="13"/>
  <c r="N29" i="13"/>
  <c r="N22" i="13"/>
  <c r="N39" i="13"/>
  <c r="N21" i="12"/>
  <c r="F52" i="13"/>
  <c r="F56" i="13" s="1"/>
  <c r="F60" i="13" s="1"/>
  <c r="N22" i="12"/>
  <c r="N33" i="12"/>
  <c r="N25" i="12"/>
  <c r="N35" i="12"/>
  <c r="AT81" i="5"/>
  <c r="AV81" i="5" s="1"/>
  <c r="AT40" i="5"/>
  <c r="AV40" i="5" s="1"/>
  <c r="AT588" i="5"/>
  <c r="CC588" i="5" s="1"/>
  <c r="AT577" i="5"/>
  <c r="AV577" i="5" s="1"/>
  <c r="AT448" i="5"/>
  <c r="AV448" i="5" s="1"/>
  <c r="AT320" i="5"/>
  <c r="AU320" i="5" s="1"/>
  <c r="AT225" i="5"/>
  <c r="AV225" i="5" s="1"/>
  <c r="AT136" i="5"/>
  <c r="AT80" i="5"/>
  <c r="AT33" i="5"/>
  <c r="AV33" i="5" s="1"/>
  <c r="AT449" i="5"/>
  <c r="AV449" i="5" s="1"/>
  <c r="AT336" i="5"/>
  <c r="AV336" i="5" s="1"/>
  <c r="AT241" i="5"/>
  <c r="AV241" i="5" s="1"/>
  <c r="AT144" i="5"/>
  <c r="AV144" i="5" s="1"/>
  <c r="AT576" i="5"/>
  <c r="AU576" i="5" s="1"/>
  <c r="AT416" i="5"/>
  <c r="AT289" i="5"/>
  <c r="AT192" i="5"/>
  <c r="AT128" i="5"/>
  <c r="AV128" i="5" s="1"/>
  <c r="AT72" i="5"/>
  <c r="AV72" i="5" s="1"/>
  <c r="AT32" i="5"/>
  <c r="AT544" i="5"/>
  <c r="AV544" i="5" s="1"/>
  <c r="AT401" i="5"/>
  <c r="AT288" i="5"/>
  <c r="AV288" i="5" s="1"/>
  <c r="AT184" i="5"/>
  <c r="AU184" i="5" s="1"/>
  <c r="AT120" i="5"/>
  <c r="AV120" i="5" s="1"/>
  <c r="AT65" i="5"/>
  <c r="AT24" i="5"/>
  <c r="AV24" i="5" s="1"/>
  <c r="AT672" i="5"/>
  <c r="AV672" i="5" s="1"/>
  <c r="AT540" i="5"/>
  <c r="AT400" i="5"/>
  <c r="AV400" i="5" s="1"/>
  <c r="AT273" i="5"/>
  <c r="AV273" i="5" s="1"/>
  <c r="AT176" i="5"/>
  <c r="AV176" i="5" s="1"/>
  <c r="AT112" i="5"/>
  <c r="AU112" i="5" s="1"/>
  <c r="AT64" i="5"/>
  <c r="AT668" i="5"/>
  <c r="AT497" i="5"/>
  <c r="AV497" i="5" s="1"/>
  <c r="AT384" i="5"/>
  <c r="AT272" i="5"/>
  <c r="AV272" i="5" s="1"/>
  <c r="AT168" i="5"/>
  <c r="AV168" i="5" s="1"/>
  <c r="AT104" i="5"/>
  <c r="AT56" i="5"/>
  <c r="AV56" i="5" s="1"/>
  <c r="AT16" i="5"/>
  <c r="AV16" i="5" s="1"/>
  <c r="AT625" i="5"/>
  <c r="AV625" i="5" s="1"/>
  <c r="AT496" i="5"/>
  <c r="AT352" i="5"/>
  <c r="AT257" i="5"/>
  <c r="AV257" i="5" s="1"/>
  <c r="AT160" i="5"/>
  <c r="AV160" i="5" s="1"/>
  <c r="AT96" i="5"/>
  <c r="AV96" i="5" s="1"/>
  <c r="AT49" i="5"/>
  <c r="AV49" i="5" s="1"/>
  <c r="AT8" i="5"/>
  <c r="AU8" i="5" s="1"/>
  <c r="AT624" i="5"/>
  <c r="AT460" i="5"/>
  <c r="AT337" i="5"/>
  <c r="AT256" i="5"/>
  <c r="AV256" i="5" s="1"/>
  <c r="AT152" i="5"/>
  <c r="AV152" i="5" s="1"/>
  <c r="AT88" i="5"/>
  <c r="AU88" i="5" s="1"/>
  <c r="AT48" i="5"/>
  <c r="AU48" i="5" s="1"/>
  <c r="AX157" i="5"/>
  <c r="AT157" i="5"/>
  <c r="AX93" i="5"/>
  <c r="AT93" i="5"/>
  <c r="AU93" i="5" s="1"/>
  <c r="AX77" i="5"/>
  <c r="AT77" i="5"/>
  <c r="AU77" i="5" s="1"/>
  <c r="AX61" i="5"/>
  <c r="AT61" i="5"/>
  <c r="AX13" i="5"/>
  <c r="AT13" i="5"/>
  <c r="AU13" i="5" s="1"/>
  <c r="AX692" i="5"/>
  <c r="AT692" i="5"/>
  <c r="AX676" i="5"/>
  <c r="AT676" i="5"/>
  <c r="AX660" i="5"/>
  <c r="AT660" i="5"/>
  <c r="AX644" i="5"/>
  <c r="AT644" i="5"/>
  <c r="AX628" i="5"/>
  <c r="AT628" i="5"/>
  <c r="AX612" i="5"/>
  <c r="AT612" i="5"/>
  <c r="AX596" i="5"/>
  <c r="AT596" i="5"/>
  <c r="AX580" i="5"/>
  <c r="AT580" i="5"/>
  <c r="AX564" i="5"/>
  <c r="AT564" i="5"/>
  <c r="AX548" i="5"/>
  <c r="AT548" i="5"/>
  <c r="AX532" i="5"/>
  <c r="AT532" i="5"/>
  <c r="AX516" i="5"/>
  <c r="AT516" i="5"/>
  <c r="AX500" i="5"/>
  <c r="AT500" i="5"/>
  <c r="AX484" i="5"/>
  <c r="AT484" i="5"/>
  <c r="AX468" i="5"/>
  <c r="AT468" i="5"/>
  <c r="AX452" i="5"/>
  <c r="AT452" i="5"/>
  <c r="AX436" i="5"/>
  <c r="AT436" i="5"/>
  <c r="AX420" i="5"/>
  <c r="AT420" i="5"/>
  <c r="AX412" i="5"/>
  <c r="AT412" i="5"/>
  <c r="AX404" i="5"/>
  <c r="AT404" i="5"/>
  <c r="AX396" i="5"/>
  <c r="AT396" i="5"/>
  <c r="CE396" i="5" s="1"/>
  <c r="AX388" i="5"/>
  <c r="AT388" i="5"/>
  <c r="AX380" i="5"/>
  <c r="AT380" i="5"/>
  <c r="AX372" i="5"/>
  <c r="AT372" i="5"/>
  <c r="AX364" i="5"/>
  <c r="AT364" i="5"/>
  <c r="CE364" i="5" s="1"/>
  <c r="AX356" i="5"/>
  <c r="AT356" i="5"/>
  <c r="AX348" i="5"/>
  <c r="AT348" i="5"/>
  <c r="AX340" i="5"/>
  <c r="AT340" i="5"/>
  <c r="AX332" i="5"/>
  <c r="AT332" i="5"/>
  <c r="CC332" i="5" s="1"/>
  <c r="AX324" i="5"/>
  <c r="AT324" i="5"/>
  <c r="AX316" i="5"/>
  <c r="AT316" i="5"/>
  <c r="AX308" i="5"/>
  <c r="AT308" i="5"/>
  <c r="AX300" i="5"/>
  <c r="AT300" i="5"/>
  <c r="CH300" i="5" s="1"/>
  <c r="AX292" i="5"/>
  <c r="AT292" i="5"/>
  <c r="AX284" i="5"/>
  <c r="AT284" i="5"/>
  <c r="AX276" i="5"/>
  <c r="AT276" i="5"/>
  <c r="AX268" i="5"/>
  <c r="AT268" i="5"/>
  <c r="AX260" i="5"/>
  <c r="AT260" i="5"/>
  <c r="AX252" i="5"/>
  <c r="AT252" i="5"/>
  <c r="AX236" i="5"/>
  <c r="AT236" i="5"/>
  <c r="CI236" i="5" s="1"/>
  <c r="AX220" i="5"/>
  <c r="AT220" i="5"/>
  <c r="AX204" i="5"/>
  <c r="AT204" i="5"/>
  <c r="CF204" i="5" s="1"/>
  <c r="AX188" i="5"/>
  <c r="AT188" i="5"/>
  <c r="AX180" i="5"/>
  <c r="AT180" i="5"/>
  <c r="AX172" i="5"/>
  <c r="AT172" i="5"/>
  <c r="AX164" i="5"/>
  <c r="AX715" i="5" s="1"/>
  <c r="AX716" i="5" s="1"/>
  <c r="AT164" i="5"/>
  <c r="AX156" i="5"/>
  <c r="AT156" i="5"/>
  <c r="AX148" i="5"/>
  <c r="AT148" i="5"/>
  <c r="CI148" i="5" s="1"/>
  <c r="AX140" i="5"/>
  <c r="AT140" i="5"/>
  <c r="AX132" i="5"/>
  <c r="AT132" i="5"/>
  <c r="AX124" i="5"/>
  <c r="AT124" i="5"/>
  <c r="AX116" i="5"/>
  <c r="AT116" i="5"/>
  <c r="AX108" i="5"/>
  <c r="AT108" i="5"/>
  <c r="AX100" i="5"/>
  <c r="AT100" i="5"/>
  <c r="AX92" i="5"/>
  <c r="AT92" i="5"/>
  <c r="AX84" i="5"/>
  <c r="AT84" i="5"/>
  <c r="CF84" i="5" s="1"/>
  <c r="AX76" i="5"/>
  <c r="AT76" i="5"/>
  <c r="AX68" i="5"/>
  <c r="AT68" i="5"/>
  <c r="AX60" i="5"/>
  <c r="AT60" i="5"/>
  <c r="AT657" i="5"/>
  <c r="AV657" i="5" s="1"/>
  <c r="AT620" i="5"/>
  <c r="CH620" i="5" s="1"/>
  <c r="AT529" i="5"/>
  <c r="AV529" i="5" s="1"/>
  <c r="AT492" i="5"/>
  <c r="CI492" i="5" s="1"/>
  <c r="AU272" i="5"/>
  <c r="AT212" i="5"/>
  <c r="AT165" i="5"/>
  <c r="AU165" i="5" s="1"/>
  <c r="AX685" i="5"/>
  <c r="AT685" i="5"/>
  <c r="AX677" i="5"/>
  <c r="AT677" i="5"/>
  <c r="AX661" i="5"/>
  <c r="AT661" i="5"/>
  <c r="AX645" i="5"/>
  <c r="AT645" i="5"/>
  <c r="AX637" i="5"/>
  <c r="AT637" i="5"/>
  <c r="AX621" i="5"/>
  <c r="AT621" i="5"/>
  <c r="AX605" i="5"/>
  <c r="AT605" i="5"/>
  <c r="AX589" i="5"/>
  <c r="AT589" i="5"/>
  <c r="AX581" i="5"/>
  <c r="AT581" i="5"/>
  <c r="AX565" i="5"/>
  <c r="AT565" i="5"/>
  <c r="AX541" i="5"/>
  <c r="AT541" i="5"/>
  <c r="AX251" i="5"/>
  <c r="AT251" i="5"/>
  <c r="AX219" i="5"/>
  <c r="AT219" i="5"/>
  <c r="AX187" i="5"/>
  <c r="AT187" i="5"/>
  <c r="AT656" i="5"/>
  <c r="AT609" i="5"/>
  <c r="AV609" i="5" s="1"/>
  <c r="AT572" i="5"/>
  <c r="AT528" i="5"/>
  <c r="AT481" i="5"/>
  <c r="AV481" i="5" s="1"/>
  <c r="AT444" i="5"/>
  <c r="CF444" i="5" s="1"/>
  <c r="AT385" i="5"/>
  <c r="AV385" i="5" s="1"/>
  <c r="AT321" i="5"/>
  <c r="AT197" i="5"/>
  <c r="AT117" i="5"/>
  <c r="AT689" i="5"/>
  <c r="AV689" i="5" s="1"/>
  <c r="AT652" i="5"/>
  <c r="CC652" i="5" s="1"/>
  <c r="AT608" i="5"/>
  <c r="AT561" i="5"/>
  <c r="AV561" i="5" s="1"/>
  <c r="AT524" i="5"/>
  <c r="CC524" i="5" s="1"/>
  <c r="AT480" i="5"/>
  <c r="AT433" i="5"/>
  <c r="AV433" i="5" s="1"/>
  <c r="AT196" i="5"/>
  <c r="AX697" i="5"/>
  <c r="AT697" i="5"/>
  <c r="AV697" i="5" s="1"/>
  <c r="AX681" i="5"/>
  <c r="AT681" i="5"/>
  <c r="AV681" i="5" s="1"/>
  <c r="AX665" i="5"/>
  <c r="AT665" i="5"/>
  <c r="AV665" i="5" s="1"/>
  <c r="AX649" i="5"/>
  <c r="AT649" i="5"/>
  <c r="AV649" i="5" s="1"/>
  <c r="AX633" i="5"/>
  <c r="AX765" i="5" s="1"/>
  <c r="AX766" i="5" s="1"/>
  <c r="AT633" i="5"/>
  <c r="AS794" i="5" s="1"/>
  <c r="AX601" i="5"/>
  <c r="AT601" i="5"/>
  <c r="AV601" i="5" s="1"/>
  <c r="AX585" i="5"/>
  <c r="AT585" i="5"/>
  <c r="AV585" i="5" s="1"/>
  <c r="AX569" i="5"/>
  <c r="AT569" i="5"/>
  <c r="AV569" i="5" s="1"/>
  <c r="AX553" i="5"/>
  <c r="AT553" i="5"/>
  <c r="AV553" i="5" s="1"/>
  <c r="AX537" i="5"/>
  <c r="AT537" i="5"/>
  <c r="AV537" i="5" s="1"/>
  <c r="AX521" i="5"/>
  <c r="AT521" i="5"/>
  <c r="AV521" i="5" s="1"/>
  <c r="AX505" i="5"/>
  <c r="AT505" i="5"/>
  <c r="AV505" i="5" s="1"/>
  <c r="AX489" i="5"/>
  <c r="AT489" i="5"/>
  <c r="AV489" i="5" s="1"/>
  <c r="AX473" i="5"/>
  <c r="AT473" i="5"/>
  <c r="AV473" i="5" s="1"/>
  <c r="AX457" i="5"/>
  <c r="AT457" i="5"/>
  <c r="AX441" i="5"/>
  <c r="AT441" i="5"/>
  <c r="AV441" i="5" s="1"/>
  <c r="AX425" i="5"/>
  <c r="AT425" i="5"/>
  <c r="AV425" i="5" s="1"/>
  <c r="AX409" i="5"/>
  <c r="AT409" i="5"/>
  <c r="AV409" i="5" s="1"/>
  <c r="AX393" i="5"/>
  <c r="AT393" i="5"/>
  <c r="AX377" i="5"/>
  <c r="AT377" i="5"/>
  <c r="AV377" i="5" s="1"/>
  <c r="AX361" i="5"/>
  <c r="AT361" i="5"/>
  <c r="AV361" i="5" s="1"/>
  <c r="AX345" i="5"/>
  <c r="AT345" i="5"/>
  <c r="AV345" i="5" s="1"/>
  <c r="AX329" i="5"/>
  <c r="AT329" i="5"/>
  <c r="AV329" i="5" s="1"/>
  <c r="AX313" i="5"/>
  <c r="AT313" i="5"/>
  <c r="AV313" i="5" s="1"/>
  <c r="AX297" i="5"/>
  <c r="AT297" i="5"/>
  <c r="AV297" i="5" s="1"/>
  <c r="AX281" i="5"/>
  <c r="AT281" i="5"/>
  <c r="AX265" i="5"/>
  <c r="AT265" i="5"/>
  <c r="AV265" i="5" s="1"/>
  <c r="AX249" i="5"/>
  <c r="AT249" i="5"/>
  <c r="AV249" i="5" s="1"/>
  <c r="AX233" i="5"/>
  <c r="AT233" i="5"/>
  <c r="AV233" i="5" s="1"/>
  <c r="AX217" i="5"/>
  <c r="AT217" i="5"/>
  <c r="AV217" i="5" s="1"/>
  <c r="AX209" i="5"/>
  <c r="AT209" i="5"/>
  <c r="AV209" i="5" s="1"/>
  <c r="AX201" i="5"/>
  <c r="AT201" i="5"/>
  <c r="AV201" i="5" s="1"/>
  <c r="AX193" i="5"/>
  <c r="AT193" i="5"/>
  <c r="AV193" i="5" s="1"/>
  <c r="AX185" i="5"/>
  <c r="AT185" i="5"/>
  <c r="AX177" i="5"/>
  <c r="AT177" i="5"/>
  <c r="AV177" i="5" s="1"/>
  <c r="AX169" i="5"/>
  <c r="AT169" i="5"/>
  <c r="AV169" i="5" s="1"/>
  <c r="AX161" i="5"/>
  <c r="AT161" i="5"/>
  <c r="AV161" i="5" s="1"/>
  <c r="AX153" i="5"/>
  <c r="AT153" i="5"/>
  <c r="AX145" i="5"/>
  <c r="AT145" i="5"/>
  <c r="AV145" i="5" s="1"/>
  <c r="AX137" i="5"/>
  <c r="AT137" i="5"/>
  <c r="AX129" i="5"/>
  <c r="AT129" i="5"/>
  <c r="AV129" i="5" s="1"/>
  <c r="AX121" i="5"/>
  <c r="AT121" i="5"/>
  <c r="AV121" i="5" s="1"/>
  <c r="AX113" i="5"/>
  <c r="AT113" i="5"/>
  <c r="AU113" i="5" s="1"/>
  <c r="AX105" i="5"/>
  <c r="AT105" i="5"/>
  <c r="AV105" i="5" s="1"/>
  <c r="AX97" i="5"/>
  <c r="AT97" i="5"/>
  <c r="AX89" i="5"/>
  <c r="AT89" i="5"/>
  <c r="AT688" i="5"/>
  <c r="AT641" i="5"/>
  <c r="AV641" i="5" s="1"/>
  <c r="AT604" i="5"/>
  <c r="CE604" i="5" s="1"/>
  <c r="AT560" i="5"/>
  <c r="AT513" i="5"/>
  <c r="AV513" i="5" s="1"/>
  <c r="AT476" i="5"/>
  <c r="CI476" i="5" s="1"/>
  <c r="AT432" i="5"/>
  <c r="AT369" i="5"/>
  <c r="AV369" i="5" s="1"/>
  <c r="AT305" i="5"/>
  <c r="AT244" i="5"/>
  <c r="CC244" i="5" s="1"/>
  <c r="AT149" i="5"/>
  <c r="AU149" i="5" s="1"/>
  <c r="AT69" i="5"/>
  <c r="AU69" i="5" s="1"/>
  <c r="AT37" i="5"/>
  <c r="AU37" i="5" s="1"/>
  <c r="AT5" i="5"/>
  <c r="AU5" i="5" s="1"/>
  <c r="AX693" i="5"/>
  <c r="AT693" i="5"/>
  <c r="AX669" i="5"/>
  <c r="AT669" i="5"/>
  <c r="AX653" i="5"/>
  <c r="AT653" i="5"/>
  <c r="AX629" i="5"/>
  <c r="AT629" i="5"/>
  <c r="AX613" i="5"/>
  <c r="AT613" i="5"/>
  <c r="AX597" i="5"/>
  <c r="AT597" i="5"/>
  <c r="AX573" i="5"/>
  <c r="AT573" i="5"/>
  <c r="AX557" i="5"/>
  <c r="AT557" i="5"/>
  <c r="AX549" i="5"/>
  <c r="AT549" i="5"/>
  <c r="AX533" i="5"/>
  <c r="AT533" i="5"/>
  <c r="AX525" i="5"/>
  <c r="AT525" i="5"/>
  <c r="AX517" i="5"/>
  <c r="AT517" i="5"/>
  <c r="AX509" i="5"/>
  <c r="AT509" i="5"/>
  <c r="AX501" i="5"/>
  <c r="AT501" i="5"/>
  <c r="AX493" i="5"/>
  <c r="AT493" i="5"/>
  <c r="AX485" i="5"/>
  <c r="AT485" i="5"/>
  <c r="AX477" i="5"/>
  <c r="AT477" i="5"/>
  <c r="AX469" i="5"/>
  <c r="AT469" i="5"/>
  <c r="AX461" i="5"/>
  <c r="AT461" i="5"/>
  <c r="AX453" i="5"/>
  <c r="AT453" i="5"/>
  <c r="AX445" i="5"/>
  <c r="AT445" i="5"/>
  <c r="AX437" i="5"/>
  <c r="AT437" i="5"/>
  <c r="AX429" i="5"/>
  <c r="AT429" i="5"/>
  <c r="AX421" i="5"/>
  <c r="AT421" i="5"/>
  <c r="AX413" i="5"/>
  <c r="AT413" i="5"/>
  <c r="AX405" i="5"/>
  <c r="AT405" i="5"/>
  <c r="AX397" i="5"/>
  <c r="AT397" i="5"/>
  <c r="AX389" i="5"/>
  <c r="AT389" i="5"/>
  <c r="AX381" i="5"/>
  <c r="AT381" i="5"/>
  <c r="AX373" i="5"/>
  <c r="AT373" i="5"/>
  <c r="AX365" i="5"/>
  <c r="AT365" i="5"/>
  <c r="AX357" i="5"/>
  <c r="AT357" i="5"/>
  <c r="AX349" i="5"/>
  <c r="AT349" i="5"/>
  <c r="AU349" i="5" s="1"/>
  <c r="AX341" i="5"/>
  <c r="AT341" i="5"/>
  <c r="AU341" i="5" s="1"/>
  <c r="AX333" i="5"/>
  <c r="AT333" i="5"/>
  <c r="AU333" i="5" s="1"/>
  <c r="AX325" i="5"/>
  <c r="AT325" i="5"/>
  <c r="AU325" i="5" s="1"/>
  <c r="AX317" i="5"/>
  <c r="AT317" i="5"/>
  <c r="AU317" i="5" s="1"/>
  <c r="AX309" i="5"/>
  <c r="AT309" i="5"/>
  <c r="AU309" i="5" s="1"/>
  <c r="AX301" i="5"/>
  <c r="AT301" i="5"/>
  <c r="AU301" i="5" s="1"/>
  <c r="AX293" i="5"/>
  <c r="AT293" i="5"/>
  <c r="AU293" i="5" s="1"/>
  <c r="AX285" i="5"/>
  <c r="AT285" i="5"/>
  <c r="AX277" i="5"/>
  <c r="AT277" i="5"/>
  <c r="AU277" i="5" s="1"/>
  <c r="AX269" i="5"/>
  <c r="AT269" i="5"/>
  <c r="AU269" i="5" s="1"/>
  <c r="BN269" i="5" s="1"/>
  <c r="AX261" i="5"/>
  <c r="AT261" i="5"/>
  <c r="AU261" i="5" s="1"/>
  <c r="AX253" i="5"/>
  <c r="AT253" i="5"/>
  <c r="AU253" i="5" s="1"/>
  <c r="BB253" i="5" s="1"/>
  <c r="AX245" i="5"/>
  <c r="AT245" i="5"/>
  <c r="AU245" i="5" s="1"/>
  <c r="AX237" i="5"/>
  <c r="AT237" i="5"/>
  <c r="AU237" i="5" s="1"/>
  <c r="AX229" i="5"/>
  <c r="AT229" i="5"/>
  <c r="AU229" i="5" s="1"/>
  <c r="AX221" i="5"/>
  <c r="AT221" i="5"/>
  <c r="AU221" i="5" s="1"/>
  <c r="AX205" i="5"/>
  <c r="AT205" i="5"/>
  <c r="AU205" i="5" s="1"/>
  <c r="AX189" i="5"/>
  <c r="AT189" i="5"/>
  <c r="AU189" i="5" s="1"/>
  <c r="AX617" i="5"/>
  <c r="AT617" i="5"/>
  <c r="AX696" i="5"/>
  <c r="AT696" i="5"/>
  <c r="CK696" i="5" s="1"/>
  <c r="AX680" i="5"/>
  <c r="AT680" i="5"/>
  <c r="AX664" i="5"/>
  <c r="AT664" i="5"/>
  <c r="AX648" i="5"/>
  <c r="AT648" i="5"/>
  <c r="AX632" i="5"/>
  <c r="AT632" i="5"/>
  <c r="AX616" i="5"/>
  <c r="AT616" i="5"/>
  <c r="AX600" i="5"/>
  <c r="AT600" i="5"/>
  <c r="AX584" i="5"/>
  <c r="AT584" i="5"/>
  <c r="AX568" i="5"/>
  <c r="AT568" i="5"/>
  <c r="AX552" i="5"/>
  <c r="AT552" i="5"/>
  <c r="AX536" i="5"/>
  <c r="AT536" i="5"/>
  <c r="AX520" i="5"/>
  <c r="AT520" i="5"/>
  <c r="AX504" i="5"/>
  <c r="AT504" i="5"/>
  <c r="AX488" i="5"/>
  <c r="AT488" i="5"/>
  <c r="AX472" i="5"/>
  <c r="AT472" i="5"/>
  <c r="AX456" i="5"/>
  <c r="AT456" i="5"/>
  <c r="AX440" i="5"/>
  <c r="AT440" i="5"/>
  <c r="AX424" i="5"/>
  <c r="AT424" i="5"/>
  <c r="AX408" i="5"/>
  <c r="AT408" i="5"/>
  <c r="AX392" i="5"/>
  <c r="AT392" i="5"/>
  <c r="AX376" i="5"/>
  <c r="AT376" i="5"/>
  <c r="AV376" i="5" s="1"/>
  <c r="AX360" i="5"/>
  <c r="AT360" i="5"/>
  <c r="AX344" i="5"/>
  <c r="AT344" i="5"/>
  <c r="AX328" i="5"/>
  <c r="AT328" i="5"/>
  <c r="AX312" i="5"/>
  <c r="AT312" i="5"/>
  <c r="AU312" i="5" s="1"/>
  <c r="AX296" i="5"/>
  <c r="AT296" i="5"/>
  <c r="AU296" i="5" s="1"/>
  <c r="AX280" i="5"/>
  <c r="AT280" i="5"/>
  <c r="AX264" i="5"/>
  <c r="AT264" i="5"/>
  <c r="AX248" i="5"/>
  <c r="AT248" i="5"/>
  <c r="AX240" i="5"/>
  <c r="AT240" i="5"/>
  <c r="AX232" i="5"/>
  <c r="AT232" i="5"/>
  <c r="AX224" i="5"/>
  <c r="AT224" i="5"/>
  <c r="AV224" i="5" s="1"/>
  <c r="AX216" i="5"/>
  <c r="AT216" i="5"/>
  <c r="AX208" i="5"/>
  <c r="AT208" i="5"/>
  <c r="AX200" i="5"/>
  <c r="AT200" i="5"/>
  <c r="AT684" i="5"/>
  <c r="CJ684" i="5" s="1"/>
  <c r="AT640" i="5"/>
  <c r="AT593" i="5"/>
  <c r="AV593" i="5" s="1"/>
  <c r="AT556" i="5"/>
  <c r="CK556" i="5" s="1"/>
  <c r="AT512" i="5"/>
  <c r="AT465" i="5"/>
  <c r="AV465" i="5" s="1"/>
  <c r="AT428" i="5"/>
  <c r="CE428" i="5" s="1"/>
  <c r="AT368" i="5"/>
  <c r="AT304" i="5"/>
  <c r="AT101" i="5"/>
  <c r="AU101" i="5" s="1"/>
  <c r="AU256" i="5"/>
  <c r="AT673" i="5"/>
  <c r="AV673" i="5" s="1"/>
  <c r="AT636" i="5"/>
  <c r="CG636" i="5" s="1"/>
  <c r="AT592" i="5"/>
  <c r="AT545" i="5"/>
  <c r="AV545" i="5" s="1"/>
  <c r="AT508" i="5"/>
  <c r="CD508" i="5" s="1"/>
  <c r="AT464" i="5"/>
  <c r="AT417" i="5"/>
  <c r="AV417" i="5" s="1"/>
  <c r="AT353" i="5"/>
  <c r="AV353" i="5" s="1"/>
  <c r="AT228" i="5"/>
  <c r="CJ228" i="5" s="1"/>
  <c r="AT181" i="5"/>
  <c r="AU181" i="5" s="1"/>
  <c r="AV136" i="5"/>
  <c r="AU136" i="5"/>
  <c r="AU24" i="5"/>
  <c r="AU288" i="5"/>
  <c r="I11" i="12"/>
  <c r="I39" i="12" s="1"/>
  <c r="AB39" i="12" s="1"/>
  <c r="AU544" i="5"/>
  <c r="AV416" i="5"/>
  <c r="AU416" i="5"/>
  <c r="AV352" i="5"/>
  <c r="AU352" i="5"/>
  <c r="AT133" i="5"/>
  <c r="AU133" i="5" s="1"/>
  <c r="AV88" i="5"/>
  <c r="AU56" i="5"/>
  <c r="AX173" i="5"/>
  <c r="AT173" i="5"/>
  <c r="CE173" i="5" s="1"/>
  <c r="AX141" i="5"/>
  <c r="AT141" i="5"/>
  <c r="AU141" i="5" s="1"/>
  <c r="AX125" i="5"/>
  <c r="AT125" i="5"/>
  <c r="AU125" i="5" s="1"/>
  <c r="AX109" i="5"/>
  <c r="AT109" i="5"/>
  <c r="AU109" i="5" s="1"/>
  <c r="AX45" i="5"/>
  <c r="AT45" i="5"/>
  <c r="CI45" i="5" s="1"/>
  <c r="AX29" i="5"/>
  <c r="AT29" i="5"/>
  <c r="AU29" i="5" s="1"/>
  <c r="AV496" i="5"/>
  <c r="AU496" i="5"/>
  <c r="AT213" i="5"/>
  <c r="AU213" i="5" s="1"/>
  <c r="AT85" i="5"/>
  <c r="AU85" i="5" s="1"/>
  <c r="AT53" i="5"/>
  <c r="AU53" i="5" s="1"/>
  <c r="BB53" i="5" s="1"/>
  <c r="AT21" i="5"/>
  <c r="AU21" i="5" s="1"/>
  <c r="AU168" i="5"/>
  <c r="AT73" i="5"/>
  <c r="AU73" i="5" s="1"/>
  <c r="AT57" i="5"/>
  <c r="AT41" i="5"/>
  <c r="AT25" i="5"/>
  <c r="AU25" i="5" s="1"/>
  <c r="BN25" i="5" s="1"/>
  <c r="AT9" i="5"/>
  <c r="AT52" i="5"/>
  <c r="CI52" i="5" s="1"/>
  <c r="AT36" i="5"/>
  <c r="CK36" i="5" s="1"/>
  <c r="AT20" i="5"/>
  <c r="CF20" i="5" s="1"/>
  <c r="AT4" i="5"/>
  <c r="BY4" i="5" s="1"/>
  <c r="AU144" i="5"/>
  <c r="AV192" i="5"/>
  <c r="AU384" i="5"/>
  <c r="AV112" i="5"/>
  <c r="AV48" i="5"/>
  <c r="AU33" i="5"/>
  <c r="AU192" i="5"/>
  <c r="AU128" i="5"/>
  <c r="AT44" i="5"/>
  <c r="CA44" i="5" s="1"/>
  <c r="AT28" i="5"/>
  <c r="CD28" i="5" s="1"/>
  <c r="AT12" i="5"/>
  <c r="BA12" i="5" s="1"/>
  <c r="BP12" i="5" s="1"/>
  <c r="AU96" i="5"/>
  <c r="AU160" i="5"/>
  <c r="N39" i="12"/>
  <c r="F52" i="12"/>
  <c r="F56" i="12" s="1"/>
  <c r="F60" i="12" s="1"/>
  <c r="AT675" i="5"/>
  <c r="AT643" i="5"/>
  <c r="AT611" i="5"/>
  <c r="AT579" i="5"/>
  <c r="AT547" i="5"/>
  <c r="AT515" i="5"/>
  <c r="AT483" i="5"/>
  <c r="AT451" i="5"/>
  <c r="AT419" i="5"/>
  <c r="AT387" i="5"/>
  <c r="AT355" i="5"/>
  <c r="AT323" i="5"/>
  <c r="AT291" i="5"/>
  <c r="AT259" i="5"/>
  <c r="AT227" i="5"/>
  <c r="AT195" i="5"/>
  <c r="AV184" i="5"/>
  <c r="CE148" i="5"/>
  <c r="CF148" i="5"/>
  <c r="CC148" i="5"/>
  <c r="CA148" i="5"/>
  <c r="BV148" i="5"/>
  <c r="BT148" i="5"/>
  <c r="BU148" i="5"/>
  <c r="BR148" i="5"/>
  <c r="BM148" i="5"/>
  <c r="BK148" i="5"/>
  <c r="BJ148" i="5"/>
  <c r="BG148" i="5"/>
  <c r="BF148" i="5"/>
  <c r="BE148" i="5"/>
  <c r="AZ148" i="5"/>
  <c r="AV148" i="5"/>
  <c r="BC148" i="5" s="1"/>
  <c r="AT135" i="5"/>
  <c r="CK84" i="5"/>
  <c r="CI84" i="5"/>
  <c r="CD84" i="5"/>
  <c r="CC84" i="5"/>
  <c r="BY84" i="5"/>
  <c r="BT84" i="5"/>
  <c r="BW84" i="5"/>
  <c r="BS84" i="5"/>
  <c r="BR84" i="5"/>
  <c r="BM84" i="5"/>
  <c r="BK84" i="5"/>
  <c r="BJ84" i="5"/>
  <c r="BE84" i="5"/>
  <c r="BA84" i="5"/>
  <c r="AZ84" i="5"/>
  <c r="AY84" i="5"/>
  <c r="AV84" i="5"/>
  <c r="BO84" i="5" s="1"/>
  <c r="AT71" i="5"/>
  <c r="AT7" i="5"/>
  <c r="AX471" i="5"/>
  <c r="AT695" i="5"/>
  <c r="AT663" i="5"/>
  <c r="CG652" i="5"/>
  <c r="AT631" i="5"/>
  <c r="CE620" i="5"/>
  <c r="CI620" i="5"/>
  <c r="CG620" i="5"/>
  <c r="CC620" i="5"/>
  <c r="CD620" i="5"/>
  <c r="CF620" i="5"/>
  <c r="BY620" i="5"/>
  <c r="BW620" i="5"/>
  <c r="BU620" i="5"/>
  <c r="BT620" i="5"/>
  <c r="BS620" i="5"/>
  <c r="BQ620" i="5"/>
  <c r="BK620" i="5"/>
  <c r="BJ620" i="5"/>
  <c r="BH620" i="5"/>
  <c r="BF620" i="5"/>
  <c r="BE620" i="5"/>
  <c r="BA620" i="5"/>
  <c r="BP620" i="5" s="1"/>
  <c r="AY620" i="5"/>
  <c r="AZ620" i="5"/>
  <c r="AT599" i="5"/>
  <c r="CJ588" i="5"/>
  <c r="CH588" i="5"/>
  <c r="CG588" i="5"/>
  <c r="CE588" i="5"/>
  <c r="CI588" i="5"/>
  <c r="CF588" i="5"/>
  <c r="CD588" i="5"/>
  <c r="BY588" i="5"/>
  <c r="BX588" i="5"/>
  <c r="BZ588" i="5"/>
  <c r="BV588" i="5"/>
  <c r="BU588" i="5"/>
  <c r="BT588" i="5"/>
  <c r="BS588" i="5"/>
  <c r="BQ588" i="5"/>
  <c r="BM588" i="5"/>
  <c r="BK588" i="5"/>
  <c r="BJ588" i="5"/>
  <c r="BI588" i="5"/>
  <c r="BH588" i="5"/>
  <c r="BG588" i="5"/>
  <c r="BE588" i="5"/>
  <c r="BD588" i="5"/>
  <c r="AY588" i="5"/>
  <c r="AV588" i="5"/>
  <c r="BO588" i="5" s="1"/>
  <c r="AZ588" i="5"/>
  <c r="AU588" i="5"/>
  <c r="BN588" i="5" s="1"/>
  <c r="AT567" i="5"/>
  <c r="AT535" i="5"/>
  <c r="CJ524" i="5"/>
  <c r="CG524" i="5"/>
  <c r="CE524" i="5"/>
  <c r="BY524" i="5"/>
  <c r="BV524" i="5"/>
  <c r="BM524" i="5"/>
  <c r="BI524" i="5"/>
  <c r="BE524" i="5"/>
  <c r="BA524" i="5"/>
  <c r="BP524" i="5" s="1"/>
  <c r="AZ524" i="5"/>
  <c r="AT503" i="5"/>
  <c r="CK492" i="5"/>
  <c r="CJ492" i="5"/>
  <c r="CH492" i="5"/>
  <c r="CG492" i="5"/>
  <c r="CE492" i="5"/>
  <c r="CC492" i="5"/>
  <c r="CF492" i="5"/>
  <c r="CD492" i="5"/>
  <c r="CA492" i="5"/>
  <c r="BY492" i="5"/>
  <c r="BX492" i="5"/>
  <c r="BV492" i="5"/>
  <c r="BW492" i="5"/>
  <c r="BU492" i="5"/>
  <c r="BT492" i="5"/>
  <c r="BS492" i="5"/>
  <c r="BR492" i="5"/>
  <c r="BM492" i="5"/>
  <c r="BL492" i="5"/>
  <c r="BK492" i="5"/>
  <c r="BJ492" i="5"/>
  <c r="BI492" i="5"/>
  <c r="BH492" i="5"/>
  <c r="BG492" i="5"/>
  <c r="BE492" i="5"/>
  <c r="BD492" i="5"/>
  <c r="BA492" i="5"/>
  <c r="BP492" i="5" s="1"/>
  <c r="AY492" i="5"/>
  <c r="AV492" i="5"/>
  <c r="BO492" i="5" s="1"/>
  <c r="AZ492" i="5"/>
  <c r="AU492" i="5"/>
  <c r="BN492" i="5" s="1"/>
  <c r="AT471" i="5"/>
  <c r="CK460" i="5"/>
  <c r="CJ460" i="5"/>
  <c r="CI460" i="5"/>
  <c r="CE460" i="5"/>
  <c r="CG460" i="5"/>
  <c r="CH460" i="5"/>
  <c r="CF460" i="5"/>
  <c r="CC460" i="5"/>
  <c r="CD460" i="5"/>
  <c r="CA460" i="5"/>
  <c r="BY460" i="5"/>
  <c r="BX460" i="5"/>
  <c r="BZ460" i="5"/>
  <c r="BV460" i="5"/>
  <c r="BW460" i="5"/>
  <c r="BU460" i="5"/>
  <c r="BT460" i="5"/>
  <c r="BS460" i="5"/>
  <c r="BR460" i="5"/>
  <c r="BQ460" i="5"/>
  <c r="BM460" i="5"/>
  <c r="BL460" i="5"/>
  <c r="BK460" i="5"/>
  <c r="BJ460" i="5"/>
  <c r="BI460" i="5"/>
  <c r="BH460" i="5"/>
  <c r="BG460" i="5"/>
  <c r="BF460" i="5"/>
  <c r="BE460" i="5"/>
  <c r="BD460" i="5"/>
  <c r="BA460" i="5"/>
  <c r="BP460" i="5" s="1"/>
  <c r="AY460" i="5"/>
  <c r="AV460" i="5"/>
  <c r="BC460" i="5" s="1"/>
  <c r="AZ460" i="5"/>
  <c r="AU460" i="5"/>
  <c r="BN460" i="5" s="1"/>
  <c r="AT439" i="5"/>
  <c r="AT407" i="5"/>
  <c r="CK396" i="5"/>
  <c r="CI396" i="5"/>
  <c r="CF396" i="5"/>
  <c r="CC396" i="5"/>
  <c r="CD396" i="5"/>
  <c r="CA396" i="5"/>
  <c r="BY396" i="5"/>
  <c r="BV396" i="5"/>
  <c r="BW396" i="5"/>
  <c r="BT396" i="5"/>
  <c r="BS396" i="5"/>
  <c r="BR396" i="5"/>
  <c r="BQ396" i="5"/>
  <c r="BM396" i="5"/>
  <c r="BK396" i="5"/>
  <c r="BJ396" i="5"/>
  <c r="BH396" i="5"/>
  <c r="BG396" i="5"/>
  <c r="BF396" i="5"/>
  <c r="BE396" i="5"/>
  <c r="BD396" i="5"/>
  <c r="BA396" i="5"/>
  <c r="BP396" i="5" s="1"/>
  <c r="AZ396" i="5"/>
  <c r="AV396" i="5"/>
  <c r="BO396" i="5" s="1"/>
  <c r="AU396" i="5"/>
  <c r="BN396" i="5" s="1"/>
  <c r="AT375" i="5"/>
  <c r="CK364" i="5"/>
  <c r="CI364" i="5"/>
  <c r="CJ364" i="5"/>
  <c r="CH364" i="5"/>
  <c r="CF364" i="5"/>
  <c r="CG364" i="5"/>
  <c r="CC364" i="5"/>
  <c r="CD364" i="5"/>
  <c r="CA364" i="5"/>
  <c r="BY364" i="5"/>
  <c r="BX364" i="5"/>
  <c r="BV364" i="5"/>
  <c r="BW364" i="5"/>
  <c r="BU364" i="5"/>
  <c r="BS364" i="5"/>
  <c r="BT364" i="5"/>
  <c r="BR364" i="5"/>
  <c r="BM364" i="5"/>
  <c r="BL364" i="5"/>
  <c r="BK364" i="5"/>
  <c r="BJ364" i="5"/>
  <c r="BI364" i="5"/>
  <c r="BH364" i="5"/>
  <c r="BG364" i="5"/>
  <c r="BE364" i="5"/>
  <c r="BD364" i="5"/>
  <c r="BA364" i="5"/>
  <c r="BP364" i="5" s="1"/>
  <c r="AZ364" i="5"/>
  <c r="AY364" i="5"/>
  <c r="AV364" i="5"/>
  <c r="BO364" i="5" s="1"/>
  <c r="AU364" i="5"/>
  <c r="BN364" i="5" s="1"/>
  <c r="AT343" i="5"/>
  <c r="CK332" i="5"/>
  <c r="CJ332" i="5"/>
  <c r="CH332" i="5"/>
  <c r="CG332" i="5"/>
  <c r="CE332" i="5"/>
  <c r="CI332" i="5"/>
  <c r="CF332" i="5"/>
  <c r="CD332" i="5"/>
  <c r="CA332" i="5"/>
  <c r="BY332" i="5"/>
  <c r="BZ332" i="5"/>
  <c r="BX332" i="5"/>
  <c r="BV332" i="5"/>
  <c r="BW332" i="5"/>
  <c r="BS332" i="5"/>
  <c r="BT332" i="5"/>
  <c r="BR332" i="5"/>
  <c r="BQ332" i="5"/>
  <c r="BM332" i="5"/>
  <c r="BK332" i="5"/>
  <c r="BL332" i="5"/>
  <c r="BI332" i="5"/>
  <c r="BH332" i="5"/>
  <c r="BF332" i="5"/>
  <c r="BE332" i="5"/>
  <c r="BD332" i="5"/>
  <c r="BG332" i="5"/>
  <c r="BA332" i="5"/>
  <c r="BP332" i="5" s="1"/>
  <c r="AY332" i="5"/>
  <c r="AV332" i="5"/>
  <c r="BC332" i="5" s="1"/>
  <c r="AU332" i="5"/>
  <c r="BB332" i="5" s="1"/>
  <c r="AT311" i="5"/>
  <c r="CK300" i="5"/>
  <c r="CJ300" i="5"/>
  <c r="CI300" i="5"/>
  <c r="CE300" i="5"/>
  <c r="CG300" i="5"/>
  <c r="CF300" i="5"/>
  <c r="CC300" i="5"/>
  <c r="CD300" i="5"/>
  <c r="CA300" i="5"/>
  <c r="BY300" i="5"/>
  <c r="BZ300" i="5"/>
  <c r="BV300" i="5"/>
  <c r="BW300" i="5"/>
  <c r="BU300" i="5"/>
  <c r="BS300" i="5"/>
  <c r="BT300" i="5"/>
  <c r="BR300" i="5"/>
  <c r="BM300" i="5"/>
  <c r="BK300" i="5"/>
  <c r="BL300" i="5"/>
  <c r="BJ300" i="5"/>
  <c r="BI300" i="5"/>
  <c r="BH300" i="5"/>
  <c r="BF300" i="5"/>
  <c r="BD300" i="5"/>
  <c r="BG300" i="5"/>
  <c r="BA300" i="5"/>
  <c r="BP300" i="5" s="1"/>
  <c r="AZ300" i="5"/>
  <c r="AY300" i="5"/>
  <c r="AV300" i="5"/>
  <c r="BO300" i="5" s="1"/>
  <c r="AU300" i="5"/>
  <c r="BB300" i="5" s="1"/>
  <c r="AV289" i="5"/>
  <c r="AT279" i="5"/>
  <c r="CK268" i="5"/>
  <c r="CJ268" i="5"/>
  <c r="CG268" i="5"/>
  <c r="CI268" i="5"/>
  <c r="CH268" i="5"/>
  <c r="CE268" i="5"/>
  <c r="CF268" i="5"/>
  <c r="CC268" i="5"/>
  <c r="CD268" i="5"/>
  <c r="CA268" i="5"/>
  <c r="BY268" i="5"/>
  <c r="BZ268" i="5"/>
  <c r="BX268" i="5"/>
  <c r="BV268" i="5"/>
  <c r="BT268" i="5"/>
  <c r="BW268" i="5"/>
  <c r="BU268" i="5"/>
  <c r="BS268" i="5"/>
  <c r="BR268" i="5"/>
  <c r="BQ268" i="5"/>
  <c r="BM268" i="5"/>
  <c r="BK268" i="5"/>
  <c r="BL268" i="5"/>
  <c r="BJ268" i="5"/>
  <c r="BI268" i="5"/>
  <c r="BH268" i="5"/>
  <c r="BF268" i="5"/>
  <c r="BE268" i="5"/>
  <c r="BD268" i="5"/>
  <c r="BG268" i="5"/>
  <c r="BA268" i="5"/>
  <c r="BP268" i="5" s="1"/>
  <c r="AZ268" i="5"/>
  <c r="AY268" i="5"/>
  <c r="AV268" i="5"/>
  <c r="BC268" i="5" s="1"/>
  <c r="AU268" i="5"/>
  <c r="BB268" i="5" s="1"/>
  <c r="AT247" i="5"/>
  <c r="CK236" i="5"/>
  <c r="CJ236" i="5"/>
  <c r="CH236" i="5"/>
  <c r="CE236" i="5"/>
  <c r="CD236" i="5"/>
  <c r="CA236" i="5"/>
  <c r="BZ236" i="5"/>
  <c r="BX236" i="5"/>
  <c r="BV236" i="5"/>
  <c r="BU236" i="5"/>
  <c r="BS236" i="5"/>
  <c r="BM236" i="5"/>
  <c r="BL236" i="5"/>
  <c r="BK236" i="5"/>
  <c r="BJ236" i="5"/>
  <c r="BE236" i="5"/>
  <c r="BG236" i="5"/>
  <c r="BA236" i="5"/>
  <c r="BP236" i="5" s="1"/>
  <c r="AY236" i="5"/>
  <c r="AV236" i="5"/>
  <c r="BO236" i="5" s="1"/>
  <c r="AT215" i="5"/>
  <c r="CJ204" i="5"/>
  <c r="CH204" i="5"/>
  <c r="CG204" i="5"/>
  <c r="CI204" i="5"/>
  <c r="CE204" i="5"/>
  <c r="CC204" i="5"/>
  <c r="CA204" i="5"/>
  <c r="BZ204" i="5"/>
  <c r="BX204" i="5"/>
  <c r="BV204" i="5"/>
  <c r="BW204" i="5"/>
  <c r="BS204" i="5"/>
  <c r="BR204" i="5"/>
  <c r="BQ204" i="5"/>
  <c r="BK204" i="5"/>
  <c r="BJ204" i="5"/>
  <c r="BI204" i="5"/>
  <c r="BF204" i="5"/>
  <c r="BE204" i="5"/>
  <c r="BD204" i="5"/>
  <c r="BG204" i="5"/>
  <c r="AY204" i="5"/>
  <c r="AV204" i="5"/>
  <c r="BC204" i="5" s="1"/>
  <c r="AT183" i="5"/>
  <c r="CK172" i="5"/>
  <c r="CE172" i="5"/>
  <c r="CI172" i="5"/>
  <c r="CF172" i="5"/>
  <c r="CC172" i="5"/>
  <c r="CD172" i="5"/>
  <c r="CA172" i="5"/>
  <c r="BY172" i="5"/>
  <c r="BV172" i="5"/>
  <c r="BT172" i="5"/>
  <c r="BW172" i="5"/>
  <c r="BU172" i="5"/>
  <c r="BS172" i="5"/>
  <c r="BR172" i="5"/>
  <c r="BQ172" i="5"/>
  <c r="BM172" i="5"/>
  <c r="BK172" i="5"/>
  <c r="BJ172" i="5"/>
  <c r="BI172" i="5"/>
  <c r="BH172" i="5"/>
  <c r="BF172" i="5"/>
  <c r="BE172" i="5"/>
  <c r="BD172" i="5"/>
  <c r="BG172" i="5"/>
  <c r="BA172" i="5"/>
  <c r="BP172" i="5" s="1"/>
  <c r="AZ172" i="5"/>
  <c r="AY172" i="5"/>
  <c r="AV172" i="5"/>
  <c r="BC172" i="5" s="1"/>
  <c r="AU172" i="5"/>
  <c r="BN172" i="5" s="1"/>
  <c r="AT159" i="5"/>
  <c r="CK108" i="5"/>
  <c r="CI108" i="5"/>
  <c r="CE108" i="5"/>
  <c r="CF108" i="5"/>
  <c r="CC108" i="5"/>
  <c r="CD108" i="5"/>
  <c r="CA108" i="5"/>
  <c r="BY108" i="5"/>
  <c r="BV108" i="5"/>
  <c r="BT108" i="5"/>
  <c r="BW108" i="5"/>
  <c r="BU108" i="5"/>
  <c r="BS108" i="5"/>
  <c r="BQ108" i="5"/>
  <c r="BR108" i="5"/>
  <c r="BM108" i="5"/>
  <c r="BK108" i="5"/>
  <c r="BJ108" i="5"/>
  <c r="BI108" i="5"/>
  <c r="BH108" i="5"/>
  <c r="BF108" i="5"/>
  <c r="BE108" i="5"/>
  <c r="BD108" i="5"/>
  <c r="BG108" i="5"/>
  <c r="BA108" i="5"/>
  <c r="BP108" i="5" s="1"/>
  <c r="AZ108" i="5"/>
  <c r="AY108" i="5"/>
  <c r="AV108" i="5"/>
  <c r="BO108" i="5" s="1"/>
  <c r="AU108" i="5"/>
  <c r="BN108" i="5" s="1"/>
  <c r="AT95" i="5"/>
  <c r="AT31" i="5"/>
  <c r="AV17" i="5"/>
  <c r="BO17" i="5" s="1"/>
  <c r="AT694" i="5"/>
  <c r="AX694" i="5"/>
  <c r="AT686" i="5"/>
  <c r="AX686" i="5"/>
  <c r="AT678" i="5"/>
  <c r="AX678" i="5"/>
  <c r="AT670" i="5"/>
  <c r="AX670" i="5"/>
  <c r="AT662" i="5"/>
  <c r="AX662" i="5"/>
  <c r="AT654" i="5"/>
  <c r="AX654" i="5"/>
  <c r="AT646" i="5"/>
  <c r="AX646" i="5"/>
  <c r="AT638" i="5"/>
  <c r="AX638" i="5"/>
  <c r="AT630" i="5"/>
  <c r="AX630" i="5"/>
  <c r="AT622" i="5"/>
  <c r="AX622" i="5"/>
  <c r="AT614" i="5"/>
  <c r="AX614" i="5"/>
  <c r="AT606" i="5"/>
  <c r="AX606" i="5"/>
  <c r="AT598" i="5"/>
  <c r="AX598" i="5"/>
  <c r="AT590" i="5"/>
  <c r="AX590" i="5"/>
  <c r="AT582" i="5"/>
  <c r="AX582" i="5"/>
  <c r="AT574" i="5"/>
  <c r="AX574" i="5"/>
  <c r="AT566" i="5"/>
  <c r="AX566" i="5"/>
  <c r="AT558" i="5"/>
  <c r="AX558" i="5"/>
  <c r="AT550" i="5"/>
  <c r="AX550" i="5"/>
  <c r="AT542" i="5"/>
  <c r="AX542" i="5"/>
  <c r="AT534" i="5"/>
  <c r="AX534" i="5"/>
  <c r="AT526" i="5"/>
  <c r="AX526" i="5"/>
  <c r="AT518" i="5"/>
  <c r="AX518" i="5"/>
  <c r="AT510" i="5"/>
  <c r="AX510" i="5"/>
  <c r="AT502" i="5"/>
  <c r="AX502" i="5"/>
  <c r="AT494" i="5"/>
  <c r="AX494" i="5"/>
  <c r="AT486" i="5"/>
  <c r="AX486" i="5"/>
  <c r="AT478" i="5"/>
  <c r="AX478" i="5"/>
  <c r="AT470" i="5"/>
  <c r="AX470" i="5"/>
  <c r="AT462" i="5"/>
  <c r="AX462" i="5"/>
  <c r="AT454" i="5"/>
  <c r="AX454" i="5"/>
  <c r="AT446" i="5"/>
  <c r="AX446" i="5"/>
  <c r="AT438" i="5"/>
  <c r="AX438" i="5"/>
  <c r="AT430" i="5"/>
  <c r="AX430" i="5"/>
  <c r="AT422" i="5"/>
  <c r="AX422" i="5"/>
  <c r="AT414" i="5"/>
  <c r="AX414" i="5"/>
  <c r="AT406" i="5"/>
  <c r="AX406" i="5"/>
  <c r="AT398" i="5"/>
  <c r="AX398" i="5"/>
  <c r="AT390" i="5"/>
  <c r="AX390" i="5"/>
  <c r="AT382" i="5"/>
  <c r="AX382" i="5"/>
  <c r="AT374" i="5"/>
  <c r="AX374" i="5"/>
  <c r="AT366" i="5"/>
  <c r="AX366" i="5"/>
  <c r="AT358" i="5"/>
  <c r="AX358" i="5"/>
  <c r="AT350" i="5"/>
  <c r="AX350" i="5"/>
  <c r="AT342" i="5"/>
  <c r="AX342" i="5"/>
  <c r="AT334" i="5"/>
  <c r="AX334" i="5"/>
  <c r="AT326" i="5"/>
  <c r="AX326" i="5"/>
  <c r="AT318" i="5"/>
  <c r="AX318" i="5"/>
  <c r="AT310" i="5"/>
  <c r="AX310" i="5"/>
  <c r="AT302" i="5"/>
  <c r="AX302" i="5"/>
  <c r="AT294" i="5"/>
  <c r="AX294" i="5"/>
  <c r="AT286" i="5"/>
  <c r="AX286" i="5"/>
  <c r="AT278" i="5"/>
  <c r="AX278" i="5"/>
  <c r="AT270" i="5"/>
  <c r="AX270" i="5"/>
  <c r="AT262" i="5"/>
  <c r="AX262" i="5"/>
  <c r="AT254" i="5"/>
  <c r="AX254" i="5"/>
  <c r="AT246" i="5"/>
  <c r="AX246" i="5"/>
  <c r="AT238" i="5"/>
  <c r="AX238" i="5"/>
  <c r="AT230" i="5"/>
  <c r="AX230" i="5"/>
  <c r="AT222" i="5"/>
  <c r="AX222" i="5"/>
  <c r="AT214" i="5"/>
  <c r="AX214" i="5"/>
  <c r="AT206" i="5"/>
  <c r="AX206" i="5"/>
  <c r="AT198" i="5"/>
  <c r="AX198" i="5"/>
  <c r="AT190" i="5"/>
  <c r="AX190" i="5"/>
  <c r="AT182" i="5"/>
  <c r="AX182" i="5"/>
  <c r="AT174" i="5"/>
  <c r="AX174" i="5"/>
  <c r="AT166" i="5"/>
  <c r="AX166" i="5"/>
  <c r="AT158" i="5"/>
  <c r="AX158" i="5"/>
  <c r="AT150" i="5"/>
  <c r="AX150" i="5"/>
  <c r="AT142" i="5"/>
  <c r="AX142" i="5"/>
  <c r="AT134" i="5"/>
  <c r="AX134" i="5"/>
  <c r="AT126" i="5"/>
  <c r="AX126" i="5"/>
  <c r="AU121" i="5"/>
  <c r="AT118" i="5"/>
  <c r="AX118" i="5"/>
  <c r="AT110" i="5"/>
  <c r="AX110" i="5"/>
  <c r="AT102" i="5"/>
  <c r="AX102" i="5"/>
  <c r="AU65" i="5"/>
  <c r="BB65" i="5" s="1"/>
  <c r="AT94" i="5"/>
  <c r="AX94" i="5"/>
  <c r="AT86" i="5"/>
  <c r="AX86" i="5"/>
  <c r="AT78" i="5"/>
  <c r="AX78" i="5"/>
  <c r="AT70" i="5"/>
  <c r="AX70" i="5"/>
  <c r="AT62" i="5"/>
  <c r="AX62" i="5"/>
  <c r="AT54" i="5"/>
  <c r="AX54" i="5"/>
  <c r="AT46" i="5"/>
  <c r="AX46" i="5"/>
  <c r="AT38" i="5"/>
  <c r="AX38" i="5"/>
  <c r="AT30" i="5"/>
  <c r="AX30" i="5"/>
  <c r="AT22" i="5"/>
  <c r="AX22" i="5"/>
  <c r="AT14" i="5"/>
  <c r="AX14" i="5"/>
  <c r="AT6" i="5"/>
  <c r="AX6" i="5"/>
  <c r="AT683" i="5"/>
  <c r="AT651" i="5"/>
  <c r="AT619" i="5"/>
  <c r="AT587" i="5"/>
  <c r="AT555" i="5"/>
  <c r="AT523" i="5"/>
  <c r="AT491" i="5"/>
  <c r="AT459" i="5"/>
  <c r="AT427" i="5"/>
  <c r="AT395" i="5"/>
  <c r="AV384" i="5"/>
  <c r="BO384" i="5" s="1"/>
  <c r="AT363" i="5"/>
  <c r="AT331" i="5"/>
  <c r="AT299" i="5"/>
  <c r="AT267" i="5"/>
  <c r="AT235" i="5"/>
  <c r="AT203" i="5"/>
  <c r="CK132" i="5"/>
  <c r="CI132" i="5"/>
  <c r="CF132" i="5"/>
  <c r="CE132" i="5"/>
  <c r="CD132" i="5"/>
  <c r="CC132" i="5"/>
  <c r="BY132" i="5"/>
  <c r="CA132" i="5"/>
  <c r="BV132" i="5"/>
  <c r="BT132" i="5"/>
  <c r="BW132" i="5"/>
  <c r="BU132" i="5"/>
  <c r="BS132" i="5"/>
  <c r="BR132" i="5"/>
  <c r="BQ132" i="5"/>
  <c r="BM132" i="5"/>
  <c r="BK132" i="5"/>
  <c r="BI132" i="5"/>
  <c r="BH132" i="5"/>
  <c r="BJ132" i="5"/>
  <c r="BG132" i="5"/>
  <c r="BF132" i="5"/>
  <c r="BE132" i="5"/>
  <c r="BD132" i="5"/>
  <c r="BA132" i="5"/>
  <c r="BP132" i="5" s="1"/>
  <c r="AZ132" i="5"/>
  <c r="AY132" i="5"/>
  <c r="AV132" i="5"/>
  <c r="BO132" i="5" s="1"/>
  <c r="AU132" i="5"/>
  <c r="BB132" i="5" s="1"/>
  <c r="AT119" i="5"/>
  <c r="CK68" i="5"/>
  <c r="CI68" i="5"/>
  <c r="CF68" i="5"/>
  <c r="CE68" i="5"/>
  <c r="CC68" i="5"/>
  <c r="CD68" i="5"/>
  <c r="BY68" i="5"/>
  <c r="CA68" i="5"/>
  <c r="BV68" i="5"/>
  <c r="BT68" i="5"/>
  <c r="BW68" i="5"/>
  <c r="BU68" i="5"/>
  <c r="BQ68" i="5"/>
  <c r="BS68" i="5"/>
  <c r="BR68" i="5"/>
  <c r="BM68" i="5"/>
  <c r="BK68" i="5"/>
  <c r="BI68" i="5"/>
  <c r="BH68" i="5"/>
  <c r="BJ68" i="5"/>
  <c r="BG68" i="5"/>
  <c r="BF68" i="5"/>
  <c r="BE68" i="5"/>
  <c r="BD68" i="5"/>
  <c r="BA68" i="5"/>
  <c r="BP68" i="5" s="1"/>
  <c r="AZ68" i="5"/>
  <c r="AY68" i="5"/>
  <c r="AV68" i="5"/>
  <c r="BC68" i="5" s="1"/>
  <c r="AU68" i="5"/>
  <c r="BN68" i="5" s="1"/>
  <c r="AT55" i="5"/>
  <c r="CK692" i="5"/>
  <c r="CI692" i="5"/>
  <c r="CE692" i="5"/>
  <c r="CC692" i="5"/>
  <c r="CD692" i="5"/>
  <c r="CF692" i="5"/>
  <c r="CA692" i="5"/>
  <c r="BY692" i="5"/>
  <c r="BV692" i="5"/>
  <c r="BW692" i="5"/>
  <c r="BU692" i="5"/>
  <c r="BT692" i="5"/>
  <c r="BS692" i="5"/>
  <c r="BR692" i="5"/>
  <c r="BQ692" i="5"/>
  <c r="BM692" i="5"/>
  <c r="BK692" i="5"/>
  <c r="BI692" i="5"/>
  <c r="BJ692" i="5"/>
  <c r="BG692" i="5"/>
  <c r="BF692" i="5"/>
  <c r="BE692" i="5"/>
  <c r="BH692" i="5"/>
  <c r="BD692" i="5"/>
  <c r="BA692" i="5"/>
  <c r="BP692" i="5" s="1"/>
  <c r="AV692" i="5"/>
  <c r="BC692" i="5" s="1"/>
  <c r="AU692" i="5"/>
  <c r="BN692" i="5" s="1"/>
  <c r="AZ692" i="5"/>
  <c r="AY692" i="5"/>
  <c r="AT671" i="5"/>
  <c r="CK660" i="5"/>
  <c r="CJ660" i="5"/>
  <c r="CI660" i="5"/>
  <c r="CH660" i="5"/>
  <c r="CG660" i="5"/>
  <c r="CE660" i="5"/>
  <c r="CC660" i="5"/>
  <c r="CF660" i="5"/>
  <c r="CD660" i="5"/>
  <c r="CA660" i="5"/>
  <c r="BY660" i="5"/>
  <c r="BZ660" i="5"/>
  <c r="BX660" i="5"/>
  <c r="BV660" i="5"/>
  <c r="BW660" i="5"/>
  <c r="BU660" i="5"/>
  <c r="BT660" i="5"/>
  <c r="BS660" i="5"/>
  <c r="BR660" i="5"/>
  <c r="BQ660" i="5"/>
  <c r="BM660" i="5"/>
  <c r="BL660" i="5"/>
  <c r="BK660" i="5"/>
  <c r="BI660" i="5"/>
  <c r="BJ660" i="5"/>
  <c r="BG660" i="5"/>
  <c r="BF660" i="5"/>
  <c r="BE660" i="5"/>
  <c r="BH660" i="5"/>
  <c r="BD660" i="5"/>
  <c r="BA660" i="5"/>
  <c r="BP660" i="5" s="1"/>
  <c r="AV660" i="5"/>
  <c r="BO660" i="5" s="1"/>
  <c r="AU660" i="5"/>
  <c r="BB660" i="5" s="1"/>
  <c r="AZ660" i="5"/>
  <c r="AY660" i="5"/>
  <c r="AT639" i="5"/>
  <c r="CK628" i="5"/>
  <c r="CJ628" i="5"/>
  <c r="CH628" i="5"/>
  <c r="CE628" i="5"/>
  <c r="CI628" i="5"/>
  <c r="CG628" i="5"/>
  <c r="CC628" i="5"/>
  <c r="CF628" i="5"/>
  <c r="CD628" i="5"/>
  <c r="CA628" i="5"/>
  <c r="BY628" i="5"/>
  <c r="BZ628" i="5"/>
  <c r="BX628" i="5"/>
  <c r="BV628" i="5"/>
  <c r="BW628" i="5"/>
  <c r="BU628" i="5"/>
  <c r="BT628" i="5"/>
  <c r="BS628" i="5"/>
  <c r="BR628" i="5"/>
  <c r="BQ628" i="5"/>
  <c r="BM628" i="5"/>
  <c r="BK628" i="5"/>
  <c r="BL628" i="5"/>
  <c r="BI628" i="5"/>
  <c r="BJ628" i="5"/>
  <c r="BG628" i="5"/>
  <c r="BF628" i="5"/>
  <c r="BE628" i="5"/>
  <c r="BH628" i="5"/>
  <c r="BD628" i="5"/>
  <c r="BA628" i="5"/>
  <c r="BP628" i="5" s="1"/>
  <c r="AV628" i="5"/>
  <c r="BO628" i="5" s="1"/>
  <c r="AU628" i="5"/>
  <c r="AZ628" i="5"/>
  <c r="AY628" i="5"/>
  <c r="AT607" i="5"/>
  <c r="CK596" i="5"/>
  <c r="CJ596" i="5"/>
  <c r="CE596" i="5"/>
  <c r="CF596" i="5"/>
  <c r="CI596" i="5"/>
  <c r="CG596" i="5"/>
  <c r="CH596" i="5"/>
  <c r="CC596" i="5"/>
  <c r="CD596" i="5"/>
  <c r="CA596" i="5"/>
  <c r="BY596" i="5"/>
  <c r="BX596" i="5"/>
  <c r="BZ596" i="5"/>
  <c r="BV596" i="5"/>
  <c r="BW596" i="5"/>
  <c r="BU596" i="5"/>
  <c r="BT596" i="5"/>
  <c r="BS596" i="5"/>
  <c r="BR596" i="5"/>
  <c r="BQ596" i="5"/>
  <c r="BM596" i="5"/>
  <c r="BL596" i="5"/>
  <c r="BK596" i="5"/>
  <c r="BI596" i="5"/>
  <c r="BJ596" i="5"/>
  <c r="BG596" i="5"/>
  <c r="BF596" i="5"/>
  <c r="BE596" i="5"/>
  <c r="BH596" i="5"/>
  <c r="BD596" i="5"/>
  <c r="BA596" i="5"/>
  <c r="BP596" i="5" s="1"/>
  <c r="AY596" i="5"/>
  <c r="AV596" i="5"/>
  <c r="BO596" i="5" s="1"/>
  <c r="AU596" i="5"/>
  <c r="AZ596" i="5"/>
  <c r="AT575" i="5"/>
  <c r="CK564" i="5"/>
  <c r="CJ564" i="5"/>
  <c r="CH564" i="5"/>
  <c r="CI564" i="5"/>
  <c r="CE564" i="5"/>
  <c r="CG564" i="5"/>
  <c r="CC564" i="5"/>
  <c r="CD564" i="5"/>
  <c r="CF564" i="5"/>
  <c r="CA564" i="5"/>
  <c r="BY564" i="5"/>
  <c r="BZ564" i="5"/>
  <c r="BX564" i="5"/>
  <c r="BV564" i="5"/>
  <c r="BW564" i="5"/>
  <c r="BU564" i="5"/>
  <c r="BT564" i="5"/>
  <c r="BS564" i="5"/>
  <c r="BR564" i="5"/>
  <c r="BQ564" i="5"/>
  <c r="BM564" i="5"/>
  <c r="BL564" i="5"/>
  <c r="BK564" i="5"/>
  <c r="BI564" i="5"/>
  <c r="BH564" i="5"/>
  <c r="BJ564" i="5"/>
  <c r="BG564" i="5"/>
  <c r="BF564" i="5"/>
  <c r="BE564" i="5"/>
  <c r="BD564" i="5"/>
  <c r="BA564" i="5"/>
  <c r="BP564" i="5" s="1"/>
  <c r="AY564" i="5"/>
  <c r="AV564" i="5"/>
  <c r="BO564" i="5" s="1"/>
  <c r="AU564" i="5"/>
  <c r="BB564" i="5" s="1"/>
  <c r="AZ564" i="5"/>
  <c r="AT543" i="5"/>
  <c r="CK532" i="5"/>
  <c r="CJ532" i="5"/>
  <c r="CH532" i="5"/>
  <c r="CI532" i="5"/>
  <c r="CE532" i="5"/>
  <c r="CG532" i="5"/>
  <c r="CC532" i="5"/>
  <c r="CF532" i="5"/>
  <c r="CD532" i="5"/>
  <c r="CA532" i="5"/>
  <c r="BZ532" i="5"/>
  <c r="BY532" i="5"/>
  <c r="BX532" i="5"/>
  <c r="BV532" i="5"/>
  <c r="BW532" i="5"/>
  <c r="BU532" i="5"/>
  <c r="BT532" i="5"/>
  <c r="BS532" i="5"/>
  <c r="BR532" i="5"/>
  <c r="BQ532" i="5"/>
  <c r="BM532" i="5"/>
  <c r="BL532" i="5"/>
  <c r="BK532" i="5"/>
  <c r="BI532" i="5"/>
  <c r="BH532" i="5"/>
  <c r="BJ532" i="5"/>
  <c r="BG532" i="5"/>
  <c r="BF532" i="5"/>
  <c r="BE532" i="5"/>
  <c r="BD532" i="5"/>
  <c r="BA532" i="5"/>
  <c r="BP532" i="5" s="1"/>
  <c r="AY532" i="5"/>
  <c r="AV532" i="5"/>
  <c r="BC532" i="5" s="1"/>
  <c r="AU532" i="5"/>
  <c r="BN532" i="5" s="1"/>
  <c r="AZ532" i="5"/>
  <c r="AT511" i="5"/>
  <c r="CK500" i="5"/>
  <c r="CJ500" i="5"/>
  <c r="CH500" i="5"/>
  <c r="CE500" i="5"/>
  <c r="CG500" i="5"/>
  <c r="CI500" i="5"/>
  <c r="CC500" i="5"/>
  <c r="CF500" i="5"/>
  <c r="CD500" i="5"/>
  <c r="CA500" i="5"/>
  <c r="BZ500" i="5"/>
  <c r="BY500" i="5"/>
  <c r="BX500" i="5"/>
  <c r="BV500" i="5"/>
  <c r="BW500" i="5"/>
  <c r="BU500" i="5"/>
  <c r="BT500" i="5"/>
  <c r="BS500" i="5"/>
  <c r="BR500" i="5"/>
  <c r="BQ500" i="5"/>
  <c r="BM500" i="5"/>
  <c r="BL500" i="5"/>
  <c r="BK500" i="5"/>
  <c r="BI500" i="5"/>
  <c r="BH500" i="5"/>
  <c r="BJ500" i="5"/>
  <c r="BG500" i="5"/>
  <c r="BF500" i="5"/>
  <c r="BE500" i="5"/>
  <c r="BD500" i="5"/>
  <c r="BA500" i="5"/>
  <c r="BP500" i="5" s="1"/>
  <c r="AY500" i="5"/>
  <c r="AV500" i="5"/>
  <c r="BC500" i="5" s="1"/>
  <c r="AU500" i="5"/>
  <c r="BN500" i="5" s="1"/>
  <c r="AZ500" i="5"/>
  <c r="AT479" i="5"/>
  <c r="CK468" i="5"/>
  <c r="CJ468" i="5"/>
  <c r="CI468" i="5"/>
  <c r="CH468" i="5"/>
  <c r="CE468" i="5"/>
  <c r="CG468" i="5"/>
  <c r="CF468" i="5"/>
  <c r="CC468" i="5"/>
  <c r="CD468" i="5"/>
  <c r="CA468" i="5"/>
  <c r="BZ468" i="5"/>
  <c r="BY468" i="5"/>
  <c r="BX468" i="5"/>
  <c r="BV468" i="5"/>
  <c r="BW468" i="5"/>
  <c r="BU468" i="5"/>
  <c r="BT468" i="5"/>
  <c r="BS468" i="5"/>
  <c r="BR468" i="5"/>
  <c r="BQ468" i="5"/>
  <c r="BM468" i="5"/>
  <c r="BL468" i="5"/>
  <c r="BK468" i="5"/>
  <c r="BI468" i="5"/>
  <c r="BH468" i="5"/>
  <c r="BJ468" i="5"/>
  <c r="BG468" i="5"/>
  <c r="BF468" i="5"/>
  <c r="BE468" i="5"/>
  <c r="BD468" i="5"/>
  <c r="BA468" i="5"/>
  <c r="BP468" i="5" s="1"/>
  <c r="AY468" i="5"/>
  <c r="AV468" i="5"/>
  <c r="BC468" i="5" s="1"/>
  <c r="AU468" i="5"/>
  <c r="BN468" i="5" s="1"/>
  <c r="AZ468" i="5"/>
  <c r="AT447" i="5"/>
  <c r="CK436" i="5"/>
  <c r="CH436" i="5"/>
  <c r="CI436" i="5"/>
  <c r="CE436" i="5"/>
  <c r="CG436" i="5"/>
  <c r="CJ436" i="5"/>
  <c r="CF436" i="5"/>
  <c r="CC436" i="5"/>
  <c r="CD436" i="5"/>
  <c r="CA436" i="5"/>
  <c r="BZ436" i="5"/>
  <c r="BY436" i="5"/>
  <c r="BX436" i="5"/>
  <c r="BV436" i="5"/>
  <c r="BW436" i="5"/>
  <c r="BU436" i="5"/>
  <c r="BT436" i="5"/>
  <c r="BS436" i="5"/>
  <c r="BR436" i="5"/>
  <c r="BQ436" i="5"/>
  <c r="BM436" i="5"/>
  <c r="BL436" i="5"/>
  <c r="BK436" i="5"/>
  <c r="BI436" i="5"/>
  <c r="BH436" i="5"/>
  <c r="BJ436" i="5"/>
  <c r="BG436" i="5"/>
  <c r="BF436" i="5"/>
  <c r="BE436" i="5"/>
  <c r="BD436" i="5"/>
  <c r="BA436" i="5"/>
  <c r="BP436" i="5" s="1"/>
  <c r="AY436" i="5"/>
  <c r="AV436" i="5"/>
  <c r="BC436" i="5" s="1"/>
  <c r="AU436" i="5"/>
  <c r="BN436" i="5" s="1"/>
  <c r="AZ436" i="5"/>
  <c r="AT415" i="5"/>
  <c r="CK404" i="5"/>
  <c r="CI404" i="5"/>
  <c r="CE404" i="5"/>
  <c r="CF404" i="5"/>
  <c r="CC404" i="5"/>
  <c r="CD404" i="5"/>
  <c r="CA404" i="5"/>
  <c r="BY404" i="5"/>
  <c r="BV404" i="5"/>
  <c r="BW404" i="5"/>
  <c r="BU404" i="5"/>
  <c r="BT404" i="5"/>
  <c r="BS404" i="5"/>
  <c r="BR404" i="5"/>
  <c r="BQ404" i="5"/>
  <c r="BM404" i="5"/>
  <c r="BK404" i="5"/>
  <c r="BI404" i="5"/>
  <c r="BH404" i="5"/>
  <c r="BJ404" i="5"/>
  <c r="BG404" i="5"/>
  <c r="BF404" i="5"/>
  <c r="BE404" i="5"/>
  <c r="BA404" i="5"/>
  <c r="AZ404" i="5"/>
  <c r="AY404" i="5"/>
  <c r="AV404" i="5"/>
  <c r="BO404" i="5" s="1"/>
  <c r="AU404" i="5"/>
  <c r="BB404" i="5" s="1"/>
  <c r="AV393" i="5"/>
  <c r="BO393" i="5" s="1"/>
  <c r="AT383" i="5"/>
  <c r="CK372" i="5"/>
  <c r="CE372" i="5"/>
  <c r="CI372" i="5"/>
  <c r="CF372" i="5"/>
  <c r="CC372" i="5"/>
  <c r="CD372" i="5"/>
  <c r="CA372" i="5"/>
  <c r="BY372" i="5"/>
  <c r="BV372" i="5"/>
  <c r="BW372" i="5"/>
  <c r="BU372" i="5"/>
  <c r="BT372" i="5"/>
  <c r="BS372" i="5"/>
  <c r="BR372" i="5"/>
  <c r="BQ372" i="5"/>
  <c r="BM372" i="5"/>
  <c r="BK372" i="5"/>
  <c r="BI372" i="5"/>
  <c r="BH372" i="5"/>
  <c r="BJ372" i="5"/>
  <c r="BG372" i="5"/>
  <c r="BF372" i="5"/>
  <c r="BE372" i="5"/>
  <c r="BD372" i="5"/>
  <c r="BA372" i="5"/>
  <c r="AZ372" i="5"/>
  <c r="AY372" i="5"/>
  <c r="AV372" i="5"/>
  <c r="BO372" i="5" s="1"/>
  <c r="AU372" i="5"/>
  <c r="BN372" i="5" s="1"/>
  <c r="AT351" i="5"/>
  <c r="CK340" i="5"/>
  <c r="CJ340" i="5"/>
  <c r="CI340" i="5"/>
  <c r="CH340" i="5"/>
  <c r="CE340" i="5"/>
  <c r="CG340" i="5"/>
  <c r="CF340" i="5"/>
  <c r="CC340" i="5"/>
  <c r="CD340" i="5"/>
  <c r="CA340" i="5"/>
  <c r="BZ340" i="5"/>
  <c r="BY340" i="5"/>
  <c r="BX340" i="5"/>
  <c r="BV340" i="5"/>
  <c r="BW340" i="5"/>
  <c r="BU340" i="5"/>
  <c r="BT340" i="5"/>
  <c r="BS340" i="5"/>
  <c r="BR340" i="5"/>
  <c r="BQ340" i="5"/>
  <c r="BM340" i="5"/>
  <c r="BK340" i="5"/>
  <c r="BL340" i="5"/>
  <c r="BI340" i="5"/>
  <c r="BH340" i="5"/>
  <c r="BJ340" i="5"/>
  <c r="BG340" i="5"/>
  <c r="BF340" i="5"/>
  <c r="BE340" i="5"/>
  <c r="BD340" i="5"/>
  <c r="BA340" i="5"/>
  <c r="BP340" i="5" s="1"/>
  <c r="AZ340" i="5"/>
  <c r="AY340" i="5"/>
  <c r="AV340" i="5"/>
  <c r="BO340" i="5" s="1"/>
  <c r="AU340" i="5"/>
  <c r="BN340" i="5" s="1"/>
  <c r="AT319" i="5"/>
  <c r="CK308" i="5"/>
  <c r="CH308" i="5"/>
  <c r="CJ308" i="5"/>
  <c r="CE308" i="5"/>
  <c r="CI308" i="5"/>
  <c r="CG308" i="5"/>
  <c r="CF308" i="5"/>
  <c r="CC308" i="5"/>
  <c r="CD308" i="5"/>
  <c r="CA308" i="5"/>
  <c r="BZ308" i="5"/>
  <c r="BY308" i="5"/>
  <c r="BX308" i="5"/>
  <c r="BV308" i="5"/>
  <c r="BW308" i="5"/>
  <c r="BU308" i="5"/>
  <c r="BT308" i="5"/>
  <c r="BS308" i="5"/>
  <c r="BR308" i="5"/>
  <c r="BQ308" i="5"/>
  <c r="BM308" i="5"/>
  <c r="BL308" i="5"/>
  <c r="BK308" i="5"/>
  <c r="BI308" i="5"/>
  <c r="BH308" i="5"/>
  <c r="BJ308" i="5"/>
  <c r="BG308" i="5"/>
  <c r="BF308" i="5"/>
  <c r="BE308" i="5"/>
  <c r="BD308" i="5"/>
  <c r="BA308" i="5"/>
  <c r="AZ308" i="5"/>
  <c r="AY308" i="5"/>
  <c r="AV308" i="5"/>
  <c r="BC308" i="5" s="1"/>
  <c r="AU308" i="5"/>
  <c r="BN308" i="5" s="1"/>
  <c r="AT287" i="5"/>
  <c r="CK276" i="5"/>
  <c r="CJ276" i="5"/>
  <c r="CH276" i="5"/>
  <c r="CE276" i="5"/>
  <c r="CF276" i="5"/>
  <c r="CI276" i="5"/>
  <c r="CG276" i="5"/>
  <c r="CC276" i="5"/>
  <c r="CD276" i="5"/>
  <c r="CA276" i="5"/>
  <c r="BZ276" i="5"/>
  <c r="BY276" i="5"/>
  <c r="BX276" i="5"/>
  <c r="BV276" i="5"/>
  <c r="BT276" i="5"/>
  <c r="BW276" i="5"/>
  <c r="BU276" i="5"/>
  <c r="BS276" i="5"/>
  <c r="BR276" i="5"/>
  <c r="BQ276" i="5"/>
  <c r="BM276" i="5"/>
  <c r="BK276" i="5"/>
  <c r="BL276" i="5"/>
  <c r="BI276" i="5"/>
  <c r="BH276" i="5"/>
  <c r="BJ276" i="5"/>
  <c r="BG276" i="5"/>
  <c r="BF276" i="5"/>
  <c r="BE276" i="5"/>
  <c r="BD276" i="5"/>
  <c r="BA276" i="5"/>
  <c r="BP276" i="5" s="1"/>
  <c r="AZ276" i="5"/>
  <c r="AY276" i="5"/>
  <c r="AV276" i="5"/>
  <c r="BO276" i="5" s="1"/>
  <c r="AU276" i="5"/>
  <c r="AT255" i="5"/>
  <c r="CI244" i="5"/>
  <c r="CE244" i="5"/>
  <c r="CF244" i="5"/>
  <c r="CA244" i="5"/>
  <c r="BY244" i="5"/>
  <c r="BV244" i="5"/>
  <c r="BT244" i="5"/>
  <c r="BU244" i="5"/>
  <c r="BR244" i="5"/>
  <c r="BM244" i="5"/>
  <c r="BK244" i="5"/>
  <c r="BI244" i="5"/>
  <c r="BH244" i="5"/>
  <c r="BJ244" i="5"/>
  <c r="BE244" i="5"/>
  <c r="BA244" i="5"/>
  <c r="BP244" i="5" s="1"/>
  <c r="AZ244" i="5"/>
  <c r="AY244" i="5"/>
  <c r="AV244" i="5"/>
  <c r="BC244" i="5" s="1"/>
  <c r="AT223" i="5"/>
  <c r="CK212" i="5"/>
  <c r="CH212" i="5"/>
  <c r="CJ212" i="5"/>
  <c r="CI212" i="5"/>
  <c r="CG212" i="5"/>
  <c r="CE212" i="5"/>
  <c r="CF212" i="5"/>
  <c r="CD212" i="5"/>
  <c r="CC212" i="5"/>
  <c r="CA212" i="5"/>
  <c r="BZ212" i="5"/>
  <c r="BY212" i="5"/>
  <c r="BX212" i="5"/>
  <c r="BV212" i="5"/>
  <c r="BT212" i="5"/>
  <c r="BW212" i="5"/>
  <c r="BU212" i="5"/>
  <c r="BS212" i="5"/>
  <c r="BR212" i="5"/>
  <c r="BQ212" i="5"/>
  <c r="BM212" i="5"/>
  <c r="BK212" i="5"/>
  <c r="BL212" i="5"/>
  <c r="BI212" i="5"/>
  <c r="BH212" i="5"/>
  <c r="BJ212" i="5"/>
  <c r="BG212" i="5"/>
  <c r="BF212" i="5"/>
  <c r="BE212" i="5"/>
  <c r="BD212" i="5"/>
  <c r="BA212" i="5"/>
  <c r="BP212" i="5" s="1"/>
  <c r="AZ212" i="5"/>
  <c r="AY212" i="5"/>
  <c r="AV212" i="5"/>
  <c r="BO212" i="5" s="1"/>
  <c r="AU212" i="5"/>
  <c r="BN212" i="5" s="1"/>
  <c r="AT191" i="5"/>
  <c r="CK180" i="5"/>
  <c r="CJ180" i="5"/>
  <c r="CH180" i="5"/>
  <c r="CG180" i="5"/>
  <c r="CI180" i="5"/>
  <c r="CE180" i="5"/>
  <c r="CF180" i="5"/>
  <c r="CC180" i="5"/>
  <c r="CD180" i="5"/>
  <c r="CA180" i="5"/>
  <c r="BZ180" i="5"/>
  <c r="BY180" i="5"/>
  <c r="BX180" i="5"/>
  <c r="BV180" i="5"/>
  <c r="BT180" i="5"/>
  <c r="BW180" i="5"/>
  <c r="BU180" i="5"/>
  <c r="BS180" i="5"/>
  <c r="BR180" i="5"/>
  <c r="BQ180" i="5"/>
  <c r="BM180" i="5"/>
  <c r="BK180" i="5"/>
  <c r="BL180" i="5"/>
  <c r="BI180" i="5"/>
  <c r="BH180" i="5"/>
  <c r="BJ180" i="5"/>
  <c r="BG180" i="5"/>
  <c r="BF180" i="5"/>
  <c r="BE180" i="5"/>
  <c r="BA180" i="5"/>
  <c r="BP180" i="5" s="1"/>
  <c r="AZ180" i="5"/>
  <c r="AY180" i="5"/>
  <c r="AV180" i="5"/>
  <c r="BC180" i="5" s="1"/>
  <c r="AU180" i="5"/>
  <c r="BN180" i="5" s="1"/>
  <c r="CK156" i="5"/>
  <c r="CI156" i="5"/>
  <c r="CE156" i="5"/>
  <c r="CD156" i="5"/>
  <c r="CF156" i="5"/>
  <c r="CC156" i="5"/>
  <c r="BY156" i="5"/>
  <c r="CA156" i="5"/>
  <c r="BV156" i="5"/>
  <c r="BT156" i="5"/>
  <c r="BW156" i="5"/>
  <c r="BU156" i="5"/>
  <c r="BS156" i="5"/>
  <c r="BR156" i="5"/>
  <c r="BQ156" i="5"/>
  <c r="BM156" i="5"/>
  <c r="BK156" i="5"/>
  <c r="BI156" i="5"/>
  <c r="BH156" i="5"/>
  <c r="BJ156" i="5"/>
  <c r="BF156" i="5"/>
  <c r="BE156" i="5"/>
  <c r="BG156" i="5"/>
  <c r="BA156" i="5"/>
  <c r="BP156" i="5" s="1"/>
  <c r="AZ156" i="5"/>
  <c r="AY156" i="5"/>
  <c r="AV156" i="5"/>
  <c r="BC156" i="5" s="1"/>
  <c r="AU156" i="5"/>
  <c r="BB156" i="5" s="1"/>
  <c r="AT143" i="5"/>
  <c r="CK92" i="5"/>
  <c r="CI92" i="5"/>
  <c r="CE92" i="5"/>
  <c r="CD92" i="5"/>
  <c r="CF92" i="5"/>
  <c r="CC92" i="5"/>
  <c r="BY92" i="5"/>
  <c r="CA92" i="5"/>
  <c r="BV92" i="5"/>
  <c r="BT92" i="5"/>
  <c r="BW92" i="5"/>
  <c r="BU92" i="5"/>
  <c r="BQ92" i="5"/>
  <c r="BS92" i="5"/>
  <c r="BR92" i="5"/>
  <c r="BM92" i="5"/>
  <c r="BK92" i="5"/>
  <c r="BI92" i="5"/>
  <c r="BH92" i="5"/>
  <c r="BJ92" i="5"/>
  <c r="BF92" i="5"/>
  <c r="BE92" i="5"/>
  <c r="BD92" i="5"/>
  <c r="BG92" i="5"/>
  <c r="BA92" i="5"/>
  <c r="AZ92" i="5"/>
  <c r="AY92" i="5"/>
  <c r="AV92" i="5"/>
  <c r="BO92" i="5" s="1"/>
  <c r="AU92" i="5"/>
  <c r="BN92" i="5" s="1"/>
  <c r="AT79" i="5"/>
  <c r="AV65" i="5"/>
  <c r="BC65" i="5" s="1"/>
  <c r="AT15" i="5"/>
  <c r="AU624" i="5"/>
  <c r="BN624" i="5" s="1"/>
  <c r="AT691" i="5"/>
  <c r="AT659" i="5"/>
  <c r="AT627" i="5"/>
  <c r="AT595" i="5"/>
  <c r="AT563" i="5"/>
  <c r="AT531" i="5"/>
  <c r="AT499" i="5"/>
  <c r="AT467" i="5"/>
  <c r="AT435" i="5"/>
  <c r="AT403" i="5"/>
  <c r="AT371" i="5"/>
  <c r="AT339" i="5"/>
  <c r="AT307" i="5"/>
  <c r="AT275" i="5"/>
  <c r="AT243" i="5"/>
  <c r="AT211" i="5"/>
  <c r="AT179" i="5"/>
  <c r="AT167" i="5"/>
  <c r="AV153" i="5"/>
  <c r="BO153" i="5" s="1"/>
  <c r="CK116" i="5"/>
  <c r="CI116" i="5"/>
  <c r="CE116" i="5"/>
  <c r="CF116" i="5"/>
  <c r="CC116" i="5"/>
  <c r="CD116" i="5"/>
  <c r="CA116" i="5"/>
  <c r="BY116" i="5"/>
  <c r="BV116" i="5"/>
  <c r="BT116" i="5"/>
  <c r="BW116" i="5"/>
  <c r="BU116" i="5"/>
  <c r="BS116" i="5"/>
  <c r="BR116" i="5"/>
  <c r="BQ116" i="5"/>
  <c r="BM116" i="5"/>
  <c r="BK116" i="5"/>
  <c r="BI116" i="5"/>
  <c r="BH116" i="5"/>
  <c r="BJ116" i="5"/>
  <c r="BG116" i="5"/>
  <c r="BF116" i="5"/>
  <c r="BE116" i="5"/>
  <c r="BA116" i="5"/>
  <c r="BP116" i="5" s="1"/>
  <c r="AZ116" i="5"/>
  <c r="AY116" i="5"/>
  <c r="AV116" i="5"/>
  <c r="BO116" i="5" s="1"/>
  <c r="AU116" i="5"/>
  <c r="BN116" i="5" s="1"/>
  <c r="AT103" i="5"/>
  <c r="AV64" i="5"/>
  <c r="BC64" i="5" s="1"/>
  <c r="AT39" i="5"/>
  <c r="AU376" i="5"/>
  <c r="BN376" i="5" s="1"/>
  <c r="AX171" i="5"/>
  <c r="AT171" i="5"/>
  <c r="AX163" i="5"/>
  <c r="AT163" i="5"/>
  <c r="AX155" i="5"/>
  <c r="AT155" i="5"/>
  <c r="AX147" i="5"/>
  <c r="AT147" i="5"/>
  <c r="AX139" i="5"/>
  <c r="AT139" i="5"/>
  <c r="AX131" i="5"/>
  <c r="AT131" i="5"/>
  <c r="AX123" i="5"/>
  <c r="AT123" i="5"/>
  <c r="AX115" i="5"/>
  <c r="AT115" i="5"/>
  <c r="AX107" i="5"/>
  <c r="AT107" i="5"/>
  <c r="AX99" i="5"/>
  <c r="AT99" i="5"/>
  <c r="AX91" i="5"/>
  <c r="AT91" i="5"/>
  <c r="AX83" i="5"/>
  <c r="AT83" i="5"/>
  <c r="AX75" i="5"/>
  <c r="AT75" i="5"/>
  <c r="AX67" i="5"/>
  <c r="AT67" i="5"/>
  <c r="AX59" i="5"/>
  <c r="AT59" i="5"/>
  <c r="AX51" i="5"/>
  <c r="AT51" i="5"/>
  <c r="AX43" i="5"/>
  <c r="AT43" i="5"/>
  <c r="AX35" i="5"/>
  <c r="AT35" i="5"/>
  <c r="AX27" i="5"/>
  <c r="AT27" i="5"/>
  <c r="AX19" i="5"/>
  <c r="AT19" i="5"/>
  <c r="AX11" i="5"/>
  <c r="AT11" i="5"/>
  <c r="AX3" i="5"/>
  <c r="AT3" i="5"/>
  <c r="AT679" i="5"/>
  <c r="CJ668" i="5"/>
  <c r="CI668" i="5"/>
  <c r="CK668" i="5"/>
  <c r="CH668" i="5"/>
  <c r="CG668" i="5"/>
  <c r="CE668" i="5"/>
  <c r="CF668" i="5"/>
  <c r="CC668" i="5"/>
  <c r="CD668" i="5"/>
  <c r="BY668" i="5"/>
  <c r="BZ668" i="5"/>
  <c r="CA668" i="5"/>
  <c r="BV668" i="5"/>
  <c r="BX668" i="5"/>
  <c r="BW668" i="5"/>
  <c r="BU668" i="5"/>
  <c r="BT668" i="5"/>
  <c r="BS668" i="5"/>
  <c r="BR668" i="5"/>
  <c r="BQ668" i="5"/>
  <c r="BM668" i="5"/>
  <c r="BL668" i="5"/>
  <c r="BK668" i="5"/>
  <c r="BI668" i="5"/>
  <c r="BJ668" i="5"/>
  <c r="BH668" i="5"/>
  <c r="BG668" i="5"/>
  <c r="BF668" i="5"/>
  <c r="BE668" i="5"/>
  <c r="BD668" i="5"/>
  <c r="BA668" i="5"/>
  <c r="BP668" i="5" s="1"/>
  <c r="AV668" i="5"/>
  <c r="BO668" i="5" s="1"/>
  <c r="AU668" i="5"/>
  <c r="BN668" i="5" s="1"/>
  <c r="AY668" i="5"/>
  <c r="AZ668" i="5"/>
  <c r="AT647" i="5"/>
  <c r="CJ636" i="5"/>
  <c r="CF636" i="5"/>
  <c r="BQ636" i="5"/>
  <c r="AT615" i="5"/>
  <c r="CK604" i="5"/>
  <c r="CJ604" i="5"/>
  <c r="CI604" i="5"/>
  <c r="CH604" i="5"/>
  <c r="CG604" i="5"/>
  <c r="CF604" i="5"/>
  <c r="CC604" i="5"/>
  <c r="CD604" i="5"/>
  <c r="BY604" i="5"/>
  <c r="CA604" i="5"/>
  <c r="BZ604" i="5"/>
  <c r="BV604" i="5"/>
  <c r="BW604" i="5"/>
  <c r="BU604" i="5"/>
  <c r="BT604" i="5"/>
  <c r="BS604" i="5"/>
  <c r="BR604" i="5"/>
  <c r="BQ604" i="5"/>
  <c r="BL604" i="5"/>
  <c r="BK604" i="5"/>
  <c r="BI604" i="5"/>
  <c r="BJ604" i="5"/>
  <c r="BH604" i="5"/>
  <c r="BG604" i="5"/>
  <c r="BF604" i="5"/>
  <c r="BD604" i="5"/>
  <c r="BA604" i="5"/>
  <c r="BP604" i="5" s="1"/>
  <c r="AY604" i="5"/>
  <c r="AV604" i="5"/>
  <c r="BO604" i="5" s="1"/>
  <c r="AU604" i="5"/>
  <c r="BB604" i="5" s="1"/>
  <c r="AZ604" i="5"/>
  <c r="AT583" i="5"/>
  <c r="CK572" i="5"/>
  <c r="CI572" i="5"/>
  <c r="CJ572" i="5"/>
  <c r="CG572" i="5"/>
  <c r="CE572" i="5"/>
  <c r="CH572" i="5"/>
  <c r="CF572" i="5"/>
  <c r="CC572" i="5"/>
  <c r="CD572" i="5"/>
  <c r="BY572" i="5"/>
  <c r="CA572" i="5"/>
  <c r="BZ572" i="5"/>
  <c r="BX572" i="5"/>
  <c r="BV572" i="5"/>
  <c r="BW572" i="5"/>
  <c r="BU572" i="5"/>
  <c r="BT572" i="5"/>
  <c r="BS572" i="5"/>
  <c r="BR572" i="5"/>
  <c r="BQ572" i="5"/>
  <c r="BM572" i="5"/>
  <c r="BL572" i="5"/>
  <c r="BK572" i="5"/>
  <c r="BI572" i="5"/>
  <c r="BH572" i="5"/>
  <c r="BJ572" i="5"/>
  <c r="BG572" i="5"/>
  <c r="BF572" i="5"/>
  <c r="BE572" i="5"/>
  <c r="BD572" i="5"/>
  <c r="BA572" i="5"/>
  <c r="BP572" i="5" s="1"/>
  <c r="AY572" i="5"/>
  <c r="AV572" i="5"/>
  <c r="BO572" i="5" s="1"/>
  <c r="AU572" i="5"/>
  <c r="BN572" i="5" s="1"/>
  <c r="AZ572" i="5"/>
  <c r="AT551" i="5"/>
  <c r="CK540" i="5"/>
  <c r="CJ540" i="5"/>
  <c r="CI540" i="5"/>
  <c r="CH540" i="5"/>
  <c r="CG540" i="5"/>
  <c r="CE540" i="5"/>
  <c r="CF540" i="5"/>
  <c r="CC540" i="5"/>
  <c r="CD540" i="5"/>
  <c r="BY540" i="5"/>
  <c r="CA540" i="5"/>
  <c r="BZ540" i="5"/>
  <c r="BX540" i="5"/>
  <c r="BV540" i="5"/>
  <c r="BW540" i="5"/>
  <c r="BU540" i="5"/>
  <c r="BT540" i="5"/>
  <c r="BS540" i="5"/>
  <c r="BR540" i="5"/>
  <c r="BQ540" i="5"/>
  <c r="BM540" i="5"/>
  <c r="BL540" i="5"/>
  <c r="BK540" i="5"/>
  <c r="BI540" i="5"/>
  <c r="BH540" i="5"/>
  <c r="BJ540" i="5"/>
  <c r="BG540" i="5"/>
  <c r="BF540" i="5"/>
  <c r="BE540" i="5"/>
  <c r="BD540" i="5"/>
  <c r="BA540" i="5"/>
  <c r="BP540" i="5" s="1"/>
  <c r="AY540" i="5"/>
  <c r="AV540" i="5"/>
  <c r="BC540" i="5" s="1"/>
  <c r="AU540" i="5"/>
  <c r="BB540" i="5" s="1"/>
  <c r="AZ540" i="5"/>
  <c r="AT519" i="5"/>
  <c r="BS508" i="5"/>
  <c r="BE508" i="5"/>
  <c r="AT487" i="5"/>
  <c r="CJ476" i="5"/>
  <c r="CH476" i="5"/>
  <c r="CG476" i="5"/>
  <c r="CD476" i="5"/>
  <c r="BX476" i="5"/>
  <c r="BW476" i="5"/>
  <c r="BU476" i="5"/>
  <c r="BT476" i="5"/>
  <c r="BL476" i="5"/>
  <c r="BK476" i="5"/>
  <c r="BI476" i="5"/>
  <c r="BE476" i="5"/>
  <c r="BG476" i="5"/>
  <c r="AY476" i="5"/>
  <c r="AU476" i="5"/>
  <c r="BB476" i="5" s="1"/>
  <c r="AT455" i="5"/>
  <c r="CK444" i="5"/>
  <c r="CI444" i="5"/>
  <c r="CE444" i="5"/>
  <c r="CD444" i="5"/>
  <c r="CC444" i="5"/>
  <c r="BY444" i="5"/>
  <c r="CA444" i="5"/>
  <c r="BV444" i="5"/>
  <c r="BW444" i="5"/>
  <c r="BU444" i="5"/>
  <c r="BS444" i="5"/>
  <c r="BR444" i="5"/>
  <c r="BQ444" i="5"/>
  <c r="BM444" i="5"/>
  <c r="BK444" i="5"/>
  <c r="BI444" i="5"/>
  <c r="BH444" i="5"/>
  <c r="BF444" i="5"/>
  <c r="BE444" i="5"/>
  <c r="BD444" i="5"/>
  <c r="BG444" i="5"/>
  <c r="BA444" i="5"/>
  <c r="BP444" i="5" s="1"/>
  <c r="AY444" i="5"/>
  <c r="AV444" i="5"/>
  <c r="BC444" i="5" s="1"/>
  <c r="AZ444" i="5"/>
  <c r="AT423" i="5"/>
  <c r="CK412" i="5"/>
  <c r="CI412" i="5"/>
  <c r="CE412" i="5"/>
  <c r="CF412" i="5"/>
  <c r="CD412" i="5"/>
  <c r="CC412" i="5"/>
  <c r="BY412" i="5"/>
  <c r="CA412" i="5"/>
  <c r="BV412" i="5"/>
  <c r="BW412" i="5"/>
  <c r="BU412" i="5"/>
  <c r="BT412" i="5"/>
  <c r="BS412" i="5"/>
  <c r="BR412" i="5"/>
  <c r="BQ412" i="5"/>
  <c r="BM412" i="5"/>
  <c r="BK412" i="5"/>
  <c r="BI412" i="5"/>
  <c r="BH412" i="5"/>
  <c r="BJ412" i="5"/>
  <c r="BF412" i="5"/>
  <c r="BE412" i="5"/>
  <c r="BD412" i="5"/>
  <c r="BG412" i="5"/>
  <c r="BA412" i="5"/>
  <c r="BP412" i="5" s="1"/>
  <c r="AZ412" i="5"/>
  <c r="AY412" i="5"/>
  <c r="AV412" i="5"/>
  <c r="BO412" i="5" s="1"/>
  <c r="AU412" i="5"/>
  <c r="BB412" i="5" s="1"/>
  <c r="AV401" i="5"/>
  <c r="BC401" i="5" s="1"/>
  <c r="AT391" i="5"/>
  <c r="CK380" i="5"/>
  <c r="CJ380" i="5"/>
  <c r="CI380" i="5"/>
  <c r="CE380" i="5"/>
  <c r="CG380" i="5"/>
  <c r="CH380" i="5"/>
  <c r="CF380" i="5"/>
  <c r="CD380" i="5"/>
  <c r="CC380" i="5"/>
  <c r="BY380" i="5"/>
  <c r="CA380" i="5"/>
  <c r="BX380" i="5"/>
  <c r="BZ380" i="5"/>
  <c r="BV380" i="5"/>
  <c r="BW380" i="5"/>
  <c r="BU380" i="5"/>
  <c r="BT380" i="5"/>
  <c r="BS380" i="5"/>
  <c r="BR380" i="5"/>
  <c r="BQ380" i="5"/>
  <c r="BM380" i="5"/>
  <c r="BK380" i="5"/>
  <c r="BL380" i="5"/>
  <c r="BI380" i="5"/>
  <c r="BH380" i="5"/>
  <c r="BJ380" i="5"/>
  <c r="BF380" i="5"/>
  <c r="BE380" i="5"/>
  <c r="BD380" i="5"/>
  <c r="BG380" i="5"/>
  <c r="BA380" i="5"/>
  <c r="BP380" i="5" s="1"/>
  <c r="AZ380" i="5"/>
  <c r="AY380" i="5"/>
  <c r="AV380" i="5"/>
  <c r="BC380" i="5" s="1"/>
  <c r="AU380" i="5"/>
  <c r="AT359" i="5"/>
  <c r="CK348" i="5"/>
  <c r="CJ348" i="5"/>
  <c r="CI348" i="5"/>
  <c r="CH348" i="5"/>
  <c r="CE348" i="5"/>
  <c r="CG348" i="5"/>
  <c r="CF348" i="5"/>
  <c r="CD348" i="5"/>
  <c r="CC348" i="5"/>
  <c r="BY348" i="5"/>
  <c r="CA348" i="5"/>
  <c r="BZ348" i="5"/>
  <c r="BX348" i="5"/>
  <c r="BV348" i="5"/>
  <c r="BW348" i="5"/>
  <c r="BU348" i="5"/>
  <c r="BT348" i="5"/>
  <c r="BS348" i="5"/>
  <c r="BR348" i="5"/>
  <c r="BQ348" i="5"/>
  <c r="BM348" i="5"/>
  <c r="BK348" i="5"/>
  <c r="BL348" i="5"/>
  <c r="BI348" i="5"/>
  <c r="BH348" i="5"/>
  <c r="BJ348" i="5"/>
  <c r="BF348" i="5"/>
  <c r="BE348" i="5"/>
  <c r="BD348" i="5"/>
  <c r="BG348" i="5"/>
  <c r="BA348" i="5"/>
  <c r="BP348" i="5" s="1"/>
  <c r="AZ348" i="5"/>
  <c r="AY348" i="5"/>
  <c r="AV348" i="5"/>
  <c r="BC348" i="5" s="1"/>
  <c r="AU348" i="5"/>
  <c r="BN348" i="5" s="1"/>
  <c r="AT327" i="5"/>
  <c r="CK316" i="5"/>
  <c r="CJ316" i="5"/>
  <c r="CI316" i="5"/>
  <c r="CG316" i="5"/>
  <c r="CH316" i="5"/>
  <c r="CE316" i="5"/>
  <c r="CF316" i="5"/>
  <c r="CD316" i="5"/>
  <c r="CC316" i="5"/>
  <c r="BY316" i="5"/>
  <c r="CA316" i="5"/>
  <c r="BZ316" i="5"/>
  <c r="BX316" i="5"/>
  <c r="BV316" i="5"/>
  <c r="BW316" i="5"/>
  <c r="BU316" i="5"/>
  <c r="BT316" i="5"/>
  <c r="BS316" i="5"/>
  <c r="BR316" i="5"/>
  <c r="BQ316" i="5"/>
  <c r="BM316" i="5"/>
  <c r="BK316" i="5"/>
  <c r="BL316" i="5"/>
  <c r="BI316" i="5"/>
  <c r="BH316" i="5"/>
  <c r="BJ316" i="5"/>
  <c r="BF316" i="5"/>
  <c r="BE316" i="5"/>
  <c r="BD316" i="5"/>
  <c r="BG316" i="5"/>
  <c r="BA316" i="5"/>
  <c r="BP316" i="5" s="1"/>
  <c r="AZ316" i="5"/>
  <c r="AY316" i="5"/>
  <c r="AV316" i="5"/>
  <c r="BO316" i="5" s="1"/>
  <c r="AU316" i="5"/>
  <c r="BN316" i="5" s="1"/>
  <c r="AV305" i="5"/>
  <c r="BO305" i="5" s="1"/>
  <c r="AT295" i="5"/>
  <c r="CK284" i="5"/>
  <c r="CI284" i="5"/>
  <c r="CH284" i="5"/>
  <c r="CG284" i="5"/>
  <c r="CE284" i="5"/>
  <c r="CF284" i="5"/>
  <c r="CJ284" i="5"/>
  <c r="CD284" i="5"/>
  <c r="CC284" i="5"/>
  <c r="BY284" i="5"/>
  <c r="CA284" i="5"/>
  <c r="BZ284" i="5"/>
  <c r="BX284" i="5"/>
  <c r="BV284" i="5"/>
  <c r="BW284" i="5"/>
  <c r="BU284" i="5"/>
  <c r="BT284" i="5"/>
  <c r="BS284" i="5"/>
  <c r="BR284" i="5"/>
  <c r="BQ284" i="5"/>
  <c r="BM284" i="5"/>
  <c r="BL284" i="5"/>
  <c r="BK284" i="5"/>
  <c r="BI284" i="5"/>
  <c r="BH284" i="5"/>
  <c r="BJ284" i="5"/>
  <c r="BF284" i="5"/>
  <c r="BE284" i="5"/>
  <c r="BD284" i="5"/>
  <c r="BG284" i="5"/>
  <c r="BA284" i="5"/>
  <c r="BP284" i="5" s="1"/>
  <c r="AZ284" i="5"/>
  <c r="AY284" i="5"/>
  <c r="AV284" i="5"/>
  <c r="BO284" i="5" s="1"/>
  <c r="AU284" i="5"/>
  <c r="BN284" i="5" s="1"/>
  <c r="AT263" i="5"/>
  <c r="CK252" i="5"/>
  <c r="CI252" i="5"/>
  <c r="CE252" i="5"/>
  <c r="CJ252" i="5"/>
  <c r="CH252" i="5"/>
  <c r="CD252" i="5"/>
  <c r="CG252" i="5"/>
  <c r="CF252" i="5"/>
  <c r="CC252" i="5"/>
  <c r="BY252" i="5"/>
  <c r="CA252" i="5"/>
  <c r="BX252" i="5"/>
  <c r="BZ252" i="5"/>
  <c r="BV252" i="5"/>
  <c r="BT252" i="5"/>
  <c r="BW252" i="5"/>
  <c r="BU252" i="5"/>
  <c r="BS252" i="5"/>
  <c r="BR252" i="5"/>
  <c r="BQ252" i="5"/>
  <c r="BM252" i="5"/>
  <c r="BL252" i="5"/>
  <c r="BK252" i="5"/>
  <c r="BI252" i="5"/>
  <c r="BH252" i="5"/>
  <c r="BJ252" i="5"/>
  <c r="BF252" i="5"/>
  <c r="BE252" i="5"/>
  <c r="BD252" i="5"/>
  <c r="BG252" i="5"/>
  <c r="BA252" i="5"/>
  <c r="BP252" i="5" s="1"/>
  <c r="AZ252" i="5"/>
  <c r="AY252" i="5"/>
  <c r="AV252" i="5"/>
  <c r="BC252" i="5" s="1"/>
  <c r="AU252" i="5"/>
  <c r="AT231" i="5"/>
  <c r="CK220" i="5"/>
  <c r="CI220" i="5"/>
  <c r="CE220" i="5"/>
  <c r="CD220" i="5"/>
  <c r="CF220" i="5"/>
  <c r="CC220" i="5"/>
  <c r="BY220" i="5"/>
  <c r="CA220" i="5"/>
  <c r="BV220" i="5"/>
  <c r="BT220" i="5"/>
  <c r="BW220" i="5"/>
  <c r="BU220" i="5"/>
  <c r="BS220" i="5"/>
  <c r="BR220" i="5"/>
  <c r="BQ220" i="5"/>
  <c r="BM220" i="5"/>
  <c r="BK220" i="5"/>
  <c r="BI220" i="5"/>
  <c r="BH220" i="5"/>
  <c r="BJ220" i="5"/>
  <c r="BF220" i="5"/>
  <c r="BE220" i="5"/>
  <c r="BD220" i="5"/>
  <c r="BG220" i="5"/>
  <c r="BA220" i="5"/>
  <c r="BP220" i="5" s="1"/>
  <c r="AZ220" i="5"/>
  <c r="AY220" i="5"/>
  <c r="AV220" i="5"/>
  <c r="BO220" i="5" s="1"/>
  <c r="AU220" i="5"/>
  <c r="BB220" i="5" s="1"/>
  <c r="AT199" i="5"/>
  <c r="CK188" i="5"/>
  <c r="CI188" i="5"/>
  <c r="CE188" i="5"/>
  <c r="CD188" i="5"/>
  <c r="CF188" i="5"/>
  <c r="CC188" i="5"/>
  <c r="BY188" i="5"/>
  <c r="CA188" i="5"/>
  <c r="BV188" i="5"/>
  <c r="BT188" i="5"/>
  <c r="BW188" i="5"/>
  <c r="BU188" i="5"/>
  <c r="BS188" i="5"/>
  <c r="BR188" i="5"/>
  <c r="BQ188" i="5"/>
  <c r="BM188" i="5"/>
  <c r="BK188" i="5"/>
  <c r="BI188" i="5"/>
  <c r="BH188" i="5"/>
  <c r="BJ188" i="5"/>
  <c r="BF188" i="5"/>
  <c r="BE188" i="5"/>
  <c r="BD188" i="5"/>
  <c r="BG188" i="5"/>
  <c r="BA188" i="5"/>
  <c r="BP188" i="5" s="1"/>
  <c r="AZ188" i="5"/>
  <c r="AY188" i="5"/>
  <c r="AV188" i="5"/>
  <c r="BC188" i="5" s="1"/>
  <c r="AU188" i="5"/>
  <c r="BB188" i="5" s="1"/>
  <c r="CK140" i="5"/>
  <c r="CE140" i="5"/>
  <c r="CI140" i="5"/>
  <c r="CF140" i="5"/>
  <c r="CC140" i="5"/>
  <c r="CD140" i="5"/>
  <c r="CA140" i="5"/>
  <c r="BY140" i="5"/>
  <c r="BV140" i="5"/>
  <c r="BT140" i="5"/>
  <c r="BW140" i="5"/>
  <c r="BU140" i="5"/>
  <c r="BS140" i="5"/>
  <c r="BR140" i="5"/>
  <c r="BQ140" i="5"/>
  <c r="BM140" i="5"/>
  <c r="BK140" i="5"/>
  <c r="BJ140" i="5"/>
  <c r="BI140" i="5"/>
  <c r="BH140" i="5"/>
  <c r="BF140" i="5"/>
  <c r="BE140" i="5"/>
  <c r="BD140" i="5"/>
  <c r="BG140" i="5"/>
  <c r="BA140" i="5"/>
  <c r="BP140" i="5" s="1"/>
  <c r="AZ140" i="5"/>
  <c r="AY140" i="5"/>
  <c r="AV140" i="5"/>
  <c r="BC140" i="5" s="1"/>
  <c r="AU140" i="5"/>
  <c r="BN140" i="5" s="1"/>
  <c r="AT127" i="5"/>
  <c r="AV113" i="5"/>
  <c r="BC113" i="5" s="1"/>
  <c r="CK76" i="5"/>
  <c r="CJ76" i="5"/>
  <c r="CG76" i="5"/>
  <c r="CI76" i="5"/>
  <c r="CH76" i="5"/>
  <c r="CE76" i="5"/>
  <c r="CF76" i="5"/>
  <c r="CD76" i="5"/>
  <c r="CC76" i="5"/>
  <c r="CA76" i="5"/>
  <c r="BY76" i="5"/>
  <c r="BX76" i="5"/>
  <c r="BZ76" i="5"/>
  <c r="BV76" i="5"/>
  <c r="BT76" i="5"/>
  <c r="BW76" i="5"/>
  <c r="BU76" i="5"/>
  <c r="BS76" i="5"/>
  <c r="BQ76" i="5"/>
  <c r="BR76" i="5"/>
  <c r="BM76" i="5"/>
  <c r="BL76" i="5"/>
  <c r="BK76" i="5"/>
  <c r="BJ76" i="5"/>
  <c r="BI76" i="5"/>
  <c r="BH76" i="5"/>
  <c r="BF76" i="5"/>
  <c r="BE76" i="5"/>
  <c r="BD76" i="5"/>
  <c r="BG76" i="5"/>
  <c r="BA76" i="5"/>
  <c r="BP76" i="5" s="1"/>
  <c r="AZ76" i="5"/>
  <c r="AY76" i="5"/>
  <c r="AV76" i="5"/>
  <c r="BO76" i="5" s="1"/>
  <c r="AU76" i="5"/>
  <c r="BN76" i="5" s="1"/>
  <c r="AT63" i="5"/>
  <c r="CC12" i="5"/>
  <c r="AX698" i="5"/>
  <c r="AT698" i="5"/>
  <c r="AX690" i="5"/>
  <c r="AT690" i="5"/>
  <c r="AX682" i="5"/>
  <c r="AT682" i="5"/>
  <c r="AX674" i="5"/>
  <c r="AT674" i="5"/>
  <c r="AX666" i="5"/>
  <c r="AT666" i="5"/>
  <c r="AX658" i="5"/>
  <c r="AT658" i="5"/>
  <c r="AX650" i="5"/>
  <c r="AT650" i="5"/>
  <c r="AX642" i="5"/>
  <c r="AT642" i="5"/>
  <c r="AX634" i="5"/>
  <c r="AX769" i="5" s="1"/>
  <c r="AX770" i="5" s="1"/>
  <c r="AT634" i="5"/>
  <c r="AS805" i="5" s="1"/>
  <c r="AX626" i="5"/>
  <c r="AT626" i="5"/>
  <c r="AX618" i="5"/>
  <c r="AT618" i="5"/>
  <c r="AX610" i="5"/>
  <c r="AT610" i="5"/>
  <c r="AX602" i="5"/>
  <c r="AT602" i="5"/>
  <c r="AX594" i="5"/>
  <c r="AT594" i="5"/>
  <c r="AX586" i="5"/>
  <c r="AT586" i="5"/>
  <c r="AX578" i="5"/>
  <c r="AT578" i="5"/>
  <c r="AX570" i="5"/>
  <c r="AT570" i="5"/>
  <c r="AX562" i="5"/>
  <c r="AT562" i="5"/>
  <c r="AX554" i="5"/>
  <c r="AT554" i="5"/>
  <c r="AX546" i="5"/>
  <c r="AT546" i="5"/>
  <c r="AX538" i="5"/>
  <c r="AT538" i="5"/>
  <c r="AX530" i="5"/>
  <c r="AT530" i="5"/>
  <c r="AX522" i="5"/>
  <c r="AT522" i="5"/>
  <c r="AX514" i="5"/>
  <c r="AT514" i="5"/>
  <c r="AX506" i="5"/>
  <c r="AT506" i="5"/>
  <c r="AX498" i="5"/>
  <c r="AT498" i="5"/>
  <c r="AX490" i="5"/>
  <c r="AT490" i="5"/>
  <c r="AX482" i="5"/>
  <c r="AT482" i="5"/>
  <c r="AX474" i="5"/>
  <c r="AT474" i="5"/>
  <c r="AX466" i="5"/>
  <c r="AT466" i="5"/>
  <c r="AX458" i="5"/>
  <c r="AT458" i="5"/>
  <c r="AX450" i="5"/>
  <c r="AX744" i="5" s="1"/>
  <c r="AX745" i="5" s="1"/>
  <c r="AT450" i="5"/>
  <c r="AX442" i="5"/>
  <c r="AT442" i="5"/>
  <c r="AX434" i="5"/>
  <c r="AT434" i="5"/>
  <c r="AX426" i="5"/>
  <c r="AT426" i="5"/>
  <c r="AX418" i="5"/>
  <c r="AT418" i="5"/>
  <c r="AX410" i="5"/>
  <c r="AT410" i="5"/>
  <c r="AX402" i="5"/>
  <c r="AT402" i="5"/>
  <c r="AX394" i="5"/>
  <c r="AT394" i="5"/>
  <c r="AX386" i="5"/>
  <c r="AT386" i="5"/>
  <c r="AX378" i="5"/>
  <c r="AT378" i="5"/>
  <c r="AX370" i="5"/>
  <c r="AT370" i="5"/>
  <c r="AX362" i="5"/>
  <c r="AT362" i="5"/>
  <c r="AX354" i="5"/>
  <c r="AT354" i="5"/>
  <c r="AX346" i="5"/>
  <c r="AT346" i="5"/>
  <c r="AX338" i="5"/>
  <c r="AT338" i="5"/>
  <c r="AX330" i="5"/>
  <c r="AT330" i="5"/>
  <c r="AX322" i="5"/>
  <c r="AT322" i="5"/>
  <c r="AX314" i="5"/>
  <c r="AT314" i="5"/>
  <c r="AX306" i="5"/>
  <c r="AT306" i="5"/>
  <c r="AX298" i="5"/>
  <c r="AT298" i="5"/>
  <c r="AX290" i="5"/>
  <c r="AT290" i="5"/>
  <c r="AX282" i="5"/>
  <c r="AT282" i="5"/>
  <c r="AX274" i="5"/>
  <c r="AT274" i="5"/>
  <c r="AX266" i="5"/>
  <c r="AT266" i="5"/>
  <c r="AX258" i="5"/>
  <c r="AT258" i="5"/>
  <c r="AU105" i="5"/>
  <c r="BN105" i="5" s="1"/>
  <c r="AX250" i="5"/>
  <c r="AT250" i="5"/>
  <c r="AX242" i="5"/>
  <c r="AT242" i="5"/>
  <c r="AX234" i="5"/>
  <c r="AT234" i="5"/>
  <c r="AX226" i="5"/>
  <c r="AT226" i="5"/>
  <c r="AX218" i="5"/>
  <c r="AT218" i="5"/>
  <c r="AX210" i="5"/>
  <c r="AT210" i="5"/>
  <c r="AX202" i="5"/>
  <c r="AT202" i="5"/>
  <c r="AX194" i="5"/>
  <c r="AT194" i="5"/>
  <c r="AX186" i="5"/>
  <c r="AT186" i="5"/>
  <c r="AX178" i="5"/>
  <c r="AT178" i="5"/>
  <c r="AX170" i="5"/>
  <c r="AT170" i="5"/>
  <c r="AX162" i="5"/>
  <c r="AT162" i="5"/>
  <c r="AX154" i="5"/>
  <c r="AT154" i="5"/>
  <c r="AX146" i="5"/>
  <c r="AT146" i="5"/>
  <c r="AX138" i="5"/>
  <c r="AT138" i="5"/>
  <c r="AX130" i="5"/>
  <c r="AT130" i="5"/>
  <c r="AX122" i="5"/>
  <c r="AT122" i="5"/>
  <c r="AX114" i="5"/>
  <c r="AT114" i="5"/>
  <c r="AX106" i="5"/>
  <c r="AT106" i="5"/>
  <c r="AX98" i="5"/>
  <c r="AT98" i="5"/>
  <c r="AX90" i="5"/>
  <c r="AT90" i="5"/>
  <c r="AX82" i="5"/>
  <c r="AT82" i="5"/>
  <c r="AX74" i="5"/>
  <c r="AT74" i="5"/>
  <c r="AX66" i="5"/>
  <c r="AT66" i="5"/>
  <c r="AX58" i="5"/>
  <c r="AT58" i="5"/>
  <c r="AX50" i="5"/>
  <c r="AT50" i="5"/>
  <c r="AX42" i="5"/>
  <c r="AT42" i="5"/>
  <c r="AX34" i="5"/>
  <c r="AU17" i="5"/>
  <c r="BN17" i="5" s="1"/>
  <c r="AT34" i="5"/>
  <c r="AX26" i="5"/>
  <c r="AT26" i="5"/>
  <c r="AX18" i="5"/>
  <c r="AT18" i="5"/>
  <c r="AX10" i="5"/>
  <c r="AT10" i="5"/>
  <c r="AT2" i="5"/>
  <c r="AT667" i="5"/>
  <c r="AT635" i="5"/>
  <c r="AV624" i="5"/>
  <c r="BC624" i="5" s="1"/>
  <c r="AT603" i="5"/>
  <c r="AT571" i="5"/>
  <c r="AT539" i="5"/>
  <c r="AT507" i="5"/>
  <c r="AT475" i="5"/>
  <c r="AT443" i="5"/>
  <c r="AT411" i="5"/>
  <c r="AT379" i="5"/>
  <c r="AT347" i="5"/>
  <c r="AT315" i="5"/>
  <c r="AT283" i="5"/>
  <c r="CK251" i="5"/>
  <c r="CI251" i="5"/>
  <c r="CF251" i="5"/>
  <c r="CD251" i="5"/>
  <c r="CC251" i="5"/>
  <c r="CA251" i="5"/>
  <c r="CE251" i="5"/>
  <c r="BY251" i="5"/>
  <c r="BW251" i="5"/>
  <c r="BV251" i="5"/>
  <c r="BU251" i="5"/>
  <c r="BT251" i="5"/>
  <c r="BS251" i="5"/>
  <c r="BQ251" i="5"/>
  <c r="BR251" i="5"/>
  <c r="BJ251" i="5"/>
  <c r="BM251" i="5"/>
  <c r="BH251" i="5"/>
  <c r="BK251" i="5"/>
  <c r="BI251" i="5"/>
  <c r="BF251" i="5"/>
  <c r="BE251" i="5"/>
  <c r="BD251" i="5"/>
  <c r="BG251" i="5"/>
  <c r="BA251" i="5"/>
  <c r="BP251" i="5" s="1"/>
  <c r="AZ251" i="5"/>
  <c r="AV251" i="5"/>
  <c r="AU251" i="5"/>
  <c r="BN251" i="5" s="1"/>
  <c r="AY251" i="5"/>
  <c r="CJ219" i="5"/>
  <c r="CK219" i="5"/>
  <c r="CH219" i="5"/>
  <c r="CF219" i="5"/>
  <c r="CD219" i="5"/>
  <c r="CI219" i="5"/>
  <c r="CG219" i="5"/>
  <c r="CE219" i="5"/>
  <c r="CC219" i="5"/>
  <c r="CA219" i="5"/>
  <c r="BZ219" i="5"/>
  <c r="BX219" i="5"/>
  <c r="BY219" i="5"/>
  <c r="BW219" i="5"/>
  <c r="BV219" i="5"/>
  <c r="BU219" i="5"/>
  <c r="BT219" i="5"/>
  <c r="BS219" i="5"/>
  <c r="BQ219" i="5"/>
  <c r="BR219" i="5"/>
  <c r="BJ219" i="5"/>
  <c r="BL219" i="5"/>
  <c r="BM219" i="5"/>
  <c r="BH219" i="5"/>
  <c r="BK219" i="5"/>
  <c r="BI219" i="5"/>
  <c r="BF219" i="5"/>
  <c r="BE219" i="5"/>
  <c r="BD219" i="5"/>
  <c r="BG219" i="5"/>
  <c r="BA219" i="5"/>
  <c r="BP219" i="5" s="1"/>
  <c r="AZ219" i="5"/>
  <c r="AV219" i="5"/>
  <c r="BC219" i="5" s="1"/>
  <c r="AU219" i="5"/>
  <c r="BB219" i="5" s="1"/>
  <c r="AY219" i="5"/>
  <c r="CK187" i="5"/>
  <c r="CI187" i="5"/>
  <c r="CF187" i="5"/>
  <c r="CD187" i="5"/>
  <c r="CE187" i="5"/>
  <c r="CA187" i="5"/>
  <c r="CC187" i="5"/>
  <c r="BY187" i="5"/>
  <c r="BW187" i="5"/>
  <c r="BV187" i="5"/>
  <c r="BU187" i="5"/>
  <c r="BT187" i="5"/>
  <c r="BS187" i="5"/>
  <c r="BQ187" i="5"/>
  <c r="BR187" i="5"/>
  <c r="BJ187" i="5"/>
  <c r="BM187" i="5"/>
  <c r="BH187" i="5"/>
  <c r="BK187" i="5"/>
  <c r="BI187" i="5"/>
  <c r="BF187" i="5"/>
  <c r="BE187" i="5"/>
  <c r="BD187" i="5"/>
  <c r="BG187" i="5"/>
  <c r="BA187" i="5"/>
  <c r="BP187" i="5" s="1"/>
  <c r="AZ187" i="5"/>
  <c r="AV187" i="5"/>
  <c r="BO187" i="5" s="1"/>
  <c r="AU187" i="5"/>
  <c r="BB187" i="5" s="1"/>
  <c r="AY187" i="5"/>
  <c r="CK164" i="5"/>
  <c r="CJ164" i="5"/>
  <c r="CH164" i="5"/>
  <c r="CI164" i="5"/>
  <c r="CG164" i="5"/>
  <c r="CF164" i="5"/>
  <c r="CE164" i="5"/>
  <c r="CC164" i="5"/>
  <c r="CD164" i="5"/>
  <c r="BY164" i="5"/>
  <c r="CA164" i="5"/>
  <c r="BZ164" i="5"/>
  <c r="BX164" i="5"/>
  <c r="BV164" i="5"/>
  <c r="BT164" i="5"/>
  <c r="BW164" i="5"/>
  <c r="BU164" i="5"/>
  <c r="BS164" i="5"/>
  <c r="BR164" i="5"/>
  <c r="BQ164" i="5"/>
  <c r="BM164" i="5"/>
  <c r="BL164" i="5"/>
  <c r="BK164" i="5"/>
  <c r="BI164" i="5"/>
  <c r="BH164" i="5"/>
  <c r="BJ164" i="5"/>
  <c r="BG164" i="5"/>
  <c r="BF164" i="5"/>
  <c r="BE164" i="5"/>
  <c r="BD164" i="5"/>
  <c r="BA164" i="5"/>
  <c r="AZ164" i="5"/>
  <c r="AY164" i="5"/>
  <c r="AV164" i="5"/>
  <c r="AU164" i="5"/>
  <c r="AT151" i="5"/>
  <c r="CK100" i="5"/>
  <c r="CF100" i="5"/>
  <c r="CE100" i="5"/>
  <c r="CI100" i="5"/>
  <c r="CC100" i="5"/>
  <c r="CD100" i="5"/>
  <c r="BY100" i="5"/>
  <c r="CA100" i="5"/>
  <c r="BV100" i="5"/>
  <c r="BT100" i="5"/>
  <c r="BW100" i="5"/>
  <c r="BU100" i="5"/>
  <c r="BQ100" i="5"/>
  <c r="BS100" i="5"/>
  <c r="BR100" i="5"/>
  <c r="BM100" i="5"/>
  <c r="BK100" i="5"/>
  <c r="BI100" i="5"/>
  <c r="BH100" i="5"/>
  <c r="BJ100" i="5"/>
  <c r="BG100" i="5"/>
  <c r="BF100" i="5"/>
  <c r="BE100" i="5"/>
  <c r="BD100" i="5"/>
  <c r="BA100" i="5"/>
  <c r="BP100" i="5" s="1"/>
  <c r="AZ100" i="5"/>
  <c r="AY100" i="5"/>
  <c r="AV100" i="5"/>
  <c r="BO100" i="5" s="1"/>
  <c r="AU100" i="5"/>
  <c r="BN100" i="5" s="1"/>
  <c r="AT87" i="5"/>
  <c r="CG36" i="5"/>
  <c r="CC36" i="5"/>
  <c r="CA36" i="5"/>
  <c r="BV36" i="5"/>
  <c r="BT36" i="5"/>
  <c r="BJ36" i="5"/>
  <c r="BE36" i="5"/>
  <c r="BD36" i="5"/>
  <c r="AT23" i="5"/>
  <c r="AU61" i="5"/>
  <c r="BN61" i="5" s="1"/>
  <c r="AT687" i="5"/>
  <c r="CK676" i="5"/>
  <c r="CI676" i="5"/>
  <c r="CJ676" i="5"/>
  <c r="CE676" i="5"/>
  <c r="CH676" i="5"/>
  <c r="CF676" i="5"/>
  <c r="CG676" i="5"/>
  <c r="CC676" i="5"/>
  <c r="CD676" i="5"/>
  <c r="BY676" i="5"/>
  <c r="CA676" i="5"/>
  <c r="BZ676" i="5"/>
  <c r="BX676" i="5"/>
  <c r="BV676" i="5"/>
  <c r="BW676" i="5"/>
  <c r="BU676" i="5"/>
  <c r="BS676" i="5"/>
  <c r="BT676" i="5"/>
  <c r="BR676" i="5"/>
  <c r="BQ676" i="5"/>
  <c r="BM676" i="5"/>
  <c r="BL676" i="5"/>
  <c r="BK676" i="5"/>
  <c r="BI676" i="5"/>
  <c r="BJ676" i="5"/>
  <c r="BG676" i="5"/>
  <c r="BF676" i="5"/>
  <c r="BE676" i="5"/>
  <c r="BH676" i="5"/>
  <c r="BD676" i="5"/>
  <c r="BA676" i="5"/>
  <c r="BP676" i="5" s="1"/>
  <c r="AV676" i="5"/>
  <c r="BO676" i="5" s="1"/>
  <c r="AY676" i="5"/>
  <c r="AU676" i="5"/>
  <c r="BN676" i="5" s="1"/>
  <c r="AZ676" i="5"/>
  <c r="AT655" i="5"/>
  <c r="CJ644" i="5"/>
  <c r="CI644" i="5"/>
  <c r="CK644" i="5"/>
  <c r="CG644" i="5"/>
  <c r="CE644" i="5"/>
  <c r="CH644" i="5"/>
  <c r="CF644" i="5"/>
  <c r="CC644" i="5"/>
  <c r="CD644" i="5"/>
  <c r="BY644" i="5"/>
  <c r="CA644" i="5"/>
  <c r="BZ644" i="5"/>
  <c r="BX644" i="5"/>
  <c r="BV644" i="5"/>
  <c r="BW644" i="5"/>
  <c r="BU644" i="5"/>
  <c r="BS644" i="5"/>
  <c r="BT644" i="5"/>
  <c r="BR644" i="5"/>
  <c r="BQ644" i="5"/>
  <c r="BM644" i="5"/>
  <c r="BL644" i="5"/>
  <c r="BK644" i="5"/>
  <c r="BI644" i="5"/>
  <c r="BJ644" i="5"/>
  <c r="BG644" i="5"/>
  <c r="BF644" i="5"/>
  <c r="BE644" i="5"/>
  <c r="BH644" i="5"/>
  <c r="BD644" i="5"/>
  <c r="BA644" i="5"/>
  <c r="BP644" i="5" s="1"/>
  <c r="AV644" i="5"/>
  <c r="BC644" i="5" s="1"/>
  <c r="AY644" i="5"/>
  <c r="AU644" i="5"/>
  <c r="BN644" i="5" s="1"/>
  <c r="AZ644" i="5"/>
  <c r="AT623" i="5"/>
  <c r="CK612" i="5"/>
  <c r="CJ612" i="5"/>
  <c r="CI612" i="5"/>
  <c r="CE612" i="5"/>
  <c r="CG612" i="5"/>
  <c r="CH612" i="5"/>
  <c r="CF612" i="5"/>
  <c r="CC612" i="5"/>
  <c r="CD612" i="5"/>
  <c r="BY612" i="5"/>
  <c r="CA612" i="5"/>
  <c r="BZ612" i="5"/>
  <c r="BX612" i="5"/>
  <c r="BV612" i="5"/>
  <c r="BW612" i="5"/>
  <c r="BU612" i="5"/>
  <c r="BS612" i="5"/>
  <c r="BT612" i="5"/>
  <c r="BR612" i="5"/>
  <c r="BQ612" i="5"/>
  <c r="BM612" i="5"/>
  <c r="BK612" i="5"/>
  <c r="BL612" i="5"/>
  <c r="BI612" i="5"/>
  <c r="BJ612" i="5"/>
  <c r="BG612" i="5"/>
  <c r="BF612" i="5"/>
  <c r="BE612" i="5"/>
  <c r="BH612" i="5"/>
  <c r="BD612" i="5"/>
  <c r="BA612" i="5"/>
  <c r="BP612" i="5" s="1"/>
  <c r="AY612" i="5"/>
  <c r="AV612" i="5"/>
  <c r="AU612" i="5"/>
  <c r="AZ612" i="5"/>
  <c r="AT591" i="5"/>
  <c r="CK580" i="5"/>
  <c r="CI580" i="5"/>
  <c r="CE580" i="5"/>
  <c r="CC580" i="5"/>
  <c r="CF580" i="5"/>
  <c r="CD580" i="5"/>
  <c r="BY580" i="5"/>
  <c r="CA580" i="5"/>
  <c r="BV580" i="5"/>
  <c r="BW580" i="5"/>
  <c r="BU580" i="5"/>
  <c r="BS580" i="5"/>
  <c r="BT580" i="5"/>
  <c r="BR580" i="5"/>
  <c r="BQ580" i="5"/>
  <c r="BM580" i="5"/>
  <c r="BK580" i="5"/>
  <c r="BI580" i="5"/>
  <c r="BJ580" i="5"/>
  <c r="BG580" i="5"/>
  <c r="BF580" i="5"/>
  <c r="BE580" i="5"/>
  <c r="BH580" i="5"/>
  <c r="BD580" i="5"/>
  <c r="BA580" i="5"/>
  <c r="BP580" i="5" s="1"/>
  <c r="AY580" i="5"/>
  <c r="AV580" i="5"/>
  <c r="BO580" i="5" s="1"/>
  <c r="AU580" i="5"/>
  <c r="BN580" i="5" s="1"/>
  <c r="AZ580" i="5"/>
  <c r="AT559" i="5"/>
  <c r="CK548" i="5"/>
  <c r="CJ548" i="5"/>
  <c r="CH548" i="5"/>
  <c r="CE548" i="5"/>
  <c r="CI548" i="5"/>
  <c r="CG548" i="5"/>
  <c r="CF548" i="5"/>
  <c r="CC548" i="5"/>
  <c r="CD548" i="5"/>
  <c r="BY548" i="5"/>
  <c r="CA548" i="5"/>
  <c r="BZ548" i="5"/>
  <c r="BX548" i="5"/>
  <c r="BV548" i="5"/>
  <c r="BW548" i="5"/>
  <c r="BU548" i="5"/>
  <c r="BS548" i="5"/>
  <c r="BT548" i="5"/>
  <c r="BR548" i="5"/>
  <c r="BQ548" i="5"/>
  <c r="BM548" i="5"/>
  <c r="BL548" i="5"/>
  <c r="BK548" i="5"/>
  <c r="BI548" i="5"/>
  <c r="BH548" i="5"/>
  <c r="BJ548" i="5"/>
  <c r="BG548" i="5"/>
  <c r="BF548" i="5"/>
  <c r="BE548" i="5"/>
  <c r="BD548" i="5"/>
  <c r="BA548" i="5"/>
  <c r="BP548" i="5" s="1"/>
  <c r="AY548" i="5"/>
  <c r="AV548" i="5"/>
  <c r="AU548" i="5"/>
  <c r="BN548" i="5" s="1"/>
  <c r="AZ548" i="5"/>
  <c r="AT527" i="5"/>
  <c r="CK516" i="5"/>
  <c r="CJ516" i="5"/>
  <c r="CI516" i="5"/>
  <c r="CH516" i="5"/>
  <c r="CE516" i="5"/>
  <c r="CG516" i="5"/>
  <c r="CF516" i="5"/>
  <c r="CC516" i="5"/>
  <c r="CD516" i="5"/>
  <c r="BY516" i="5"/>
  <c r="CA516" i="5"/>
  <c r="BZ516" i="5"/>
  <c r="BX516" i="5"/>
  <c r="BV516" i="5"/>
  <c r="BW516" i="5"/>
  <c r="BU516" i="5"/>
  <c r="BS516" i="5"/>
  <c r="BT516" i="5"/>
  <c r="BR516" i="5"/>
  <c r="BQ516" i="5"/>
  <c r="BM516" i="5"/>
  <c r="BL516" i="5"/>
  <c r="BK516" i="5"/>
  <c r="BI516" i="5"/>
  <c r="BH516" i="5"/>
  <c r="BJ516" i="5"/>
  <c r="BF516" i="5"/>
  <c r="BE516" i="5"/>
  <c r="BG516" i="5"/>
  <c r="BD516" i="5"/>
  <c r="BA516" i="5"/>
  <c r="BP516" i="5" s="1"/>
  <c r="AY516" i="5"/>
  <c r="AV516" i="5"/>
  <c r="BC516" i="5" s="1"/>
  <c r="AU516" i="5"/>
  <c r="BN516" i="5" s="1"/>
  <c r="AZ516" i="5"/>
  <c r="AT495" i="5"/>
  <c r="CK484" i="5"/>
  <c r="CJ484" i="5"/>
  <c r="CI484" i="5"/>
  <c r="CG484" i="5"/>
  <c r="CE484" i="5"/>
  <c r="CH484" i="5"/>
  <c r="CF484" i="5"/>
  <c r="CC484" i="5"/>
  <c r="CD484" i="5"/>
  <c r="BY484" i="5"/>
  <c r="CA484" i="5"/>
  <c r="BZ484" i="5"/>
  <c r="BX484" i="5"/>
  <c r="BV484" i="5"/>
  <c r="BW484" i="5"/>
  <c r="BU484" i="5"/>
  <c r="BS484" i="5"/>
  <c r="BT484" i="5"/>
  <c r="BR484" i="5"/>
  <c r="BQ484" i="5"/>
  <c r="BM484" i="5"/>
  <c r="BL484" i="5"/>
  <c r="BK484" i="5"/>
  <c r="BI484" i="5"/>
  <c r="BH484" i="5"/>
  <c r="BJ484" i="5"/>
  <c r="BF484" i="5"/>
  <c r="BE484" i="5"/>
  <c r="BG484" i="5"/>
  <c r="BD484" i="5"/>
  <c r="BA484" i="5"/>
  <c r="AY484" i="5"/>
  <c r="AV484" i="5"/>
  <c r="AU484" i="5"/>
  <c r="AZ484" i="5"/>
  <c r="AT463" i="5"/>
  <c r="CK452" i="5"/>
  <c r="CI452" i="5"/>
  <c r="CJ452" i="5"/>
  <c r="CH452" i="5"/>
  <c r="CG452" i="5"/>
  <c r="CE452" i="5"/>
  <c r="CF452" i="5"/>
  <c r="CC452" i="5"/>
  <c r="CD452" i="5"/>
  <c r="BY452" i="5"/>
  <c r="CA452" i="5"/>
  <c r="BZ452" i="5"/>
  <c r="BX452" i="5"/>
  <c r="BV452" i="5"/>
  <c r="BW452" i="5"/>
  <c r="BU452" i="5"/>
  <c r="BS452" i="5"/>
  <c r="BT452" i="5"/>
  <c r="BR452" i="5"/>
  <c r="BQ452" i="5"/>
  <c r="BM452" i="5"/>
  <c r="BL452" i="5"/>
  <c r="BK452" i="5"/>
  <c r="BI452" i="5"/>
  <c r="BH452" i="5"/>
  <c r="BJ452" i="5"/>
  <c r="BF452" i="5"/>
  <c r="BE452" i="5"/>
  <c r="BG452" i="5"/>
  <c r="BD452" i="5"/>
  <c r="BA452" i="5"/>
  <c r="BP452" i="5" s="1"/>
  <c r="AY452" i="5"/>
  <c r="AV452" i="5"/>
  <c r="BC452" i="5" s="1"/>
  <c r="AU452" i="5"/>
  <c r="BN452" i="5" s="1"/>
  <c r="AZ452" i="5"/>
  <c r="AT431" i="5"/>
  <c r="CK420" i="5"/>
  <c r="CJ420" i="5"/>
  <c r="CG420" i="5"/>
  <c r="CH420" i="5"/>
  <c r="CE420" i="5"/>
  <c r="CI420" i="5"/>
  <c r="CF420" i="5"/>
  <c r="CC420" i="5"/>
  <c r="CD420" i="5"/>
  <c r="BY420" i="5"/>
  <c r="CA420" i="5"/>
  <c r="BZ420" i="5"/>
  <c r="BX420" i="5"/>
  <c r="BV420" i="5"/>
  <c r="BW420" i="5"/>
  <c r="BU420" i="5"/>
  <c r="BS420" i="5"/>
  <c r="BT420" i="5"/>
  <c r="BR420" i="5"/>
  <c r="BQ420" i="5"/>
  <c r="BM420" i="5"/>
  <c r="BK420" i="5"/>
  <c r="BL420" i="5"/>
  <c r="BI420" i="5"/>
  <c r="BH420" i="5"/>
  <c r="BJ420" i="5"/>
  <c r="BF420" i="5"/>
  <c r="BE420" i="5"/>
  <c r="BG420" i="5"/>
  <c r="BD420" i="5"/>
  <c r="BA420" i="5"/>
  <c r="BP420" i="5" s="1"/>
  <c r="AZ420" i="5"/>
  <c r="AY420" i="5"/>
  <c r="AV420" i="5"/>
  <c r="BC420" i="5" s="1"/>
  <c r="AU420" i="5"/>
  <c r="BN420" i="5" s="1"/>
  <c r="AT399" i="5"/>
  <c r="CK388" i="5"/>
  <c r="CI388" i="5"/>
  <c r="CE388" i="5"/>
  <c r="CF388" i="5"/>
  <c r="CC388" i="5"/>
  <c r="CD388" i="5"/>
  <c r="BY388" i="5"/>
  <c r="CA388" i="5"/>
  <c r="BV388" i="5"/>
  <c r="BW388" i="5"/>
  <c r="BU388" i="5"/>
  <c r="BS388" i="5"/>
  <c r="BT388" i="5"/>
  <c r="BR388" i="5"/>
  <c r="BQ388" i="5"/>
  <c r="BM388" i="5"/>
  <c r="BK388" i="5"/>
  <c r="BI388" i="5"/>
  <c r="BH388" i="5"/>
  <c r="BJ388" i="5"/>
  <c r="BF388" i="5"/>
  <c r="BE388" i="5"/>
  <c r="BG388" i="5"/>
  <c r="BD388" i="5"/>
  <c r="BA388" i="5"/>
  <c r="BP388" i="5" s="1"/>
  <c r="AZ388" i="5"/>
  <c r="AY388" i="5"/>
  <c r="AV388" i="5"/>
  <c r="BO388" i="5" s="1"/>
  <c r="AU388" i="5"/>
  <c r="BN388" i="5" s="1"/>
  <c r="AT367" i="5"/>
  <c r="CK356" i="5"/>
  <c r="CJ356" i="5"/>
  <c r="CI356" i="5"/>
  <c r="CE356" i="5"/>
  <c r="CG356" i="5"/>
  <c r="CH356" i="5"/>
  <c r="CF356" i="5"/>
  <c r="CC356" i="5"/>
  <c r="CD356" i="5"/>
  <c r="BY356" i="5"/>
  <c r="CA356" i="5"/>
  <c r="BZ356" i="5"/>
  <c r="BX356" i="5"/>
  <c r="BV356" i="5"/>
  <c r="BW356" i="5"/>
  <c r="BU356" i="5"/>
  <c r="BS356" i="5"/>
  <c r="BT356" i="5"/>
  <c r="BR356" i="5"/>
  <c r="BQ356" i="5"/>
  <c r="BM356" i="5"/>
  <c r="BK356" i="5"/>
  <c r="BL356" i="5"/>
  <c r="BI356" i="5"/>
  <c r="BH356" i="5"/>
  <c r="BJ356" i="5"/>
  <c r="BF356" i="5"/>
  <c r="BE356" i="5"/>
  <c r="BG356" i="5"/>
  <c r="BD356" i="5"/>
  <c r="BA356" i="5"/>
  <c r="AZ356" i="5"/>
  <c r="AY356" i="5"/>
  <c r="AV356" i="5"/>
  <c r="AU356" i="5"/>
  <c r="AT335" i="5"/>
  <c r="CK324" i="5"/>
  <c r="CI324" i="5"/>
  <c r="CJ324" i="5"/>
  <c r="CH324" i="5"/>
  <c r="CE324" i="5"/>
  <c r="CF324" i="5"/>
  <c r="CG324" i="5"/>
  <c r="CC324" i="5"/>
  <c r="CD324" i="5"/>
  <c r="BY324" i="5"/>
  <c r="CA324" i="5"/>
  <c r="BZ324" i="5"/>
  <c r="BX324" i="5"/>
  <c r="BV324" i="5"/>
  <c r="BW324" i="5"/>
  <c r="BU324" i="5"/>
  <c r="BS324" i="5"/>
  <c r="BT324" i="5"/>
  <c r="BR324" i="5"/>
  <c r="BQ324" i="5"/>
  <c r="BM324" i="5"/>
  <c r="BK324" i="5"/>
  <c r="BL324" i="5"/>
  <c r="BI324" i="5"/>
  <c r="BH324" i="5"/>
  <c r="BJ324" i="5"/>
  <c r="BG324" i="5"/>
  <c r="BF324" i="5"/>
  <c r="BE324" i="5"/>
  <c r="BD324" i="5"/>
  <c r="BA324" i="5"/>
  <c r="BP324" i="5" s="1"/>
  <c r="AZ324" i="5"/>
  <c r="AY324" i="5"/>
  <c r="AV324" i="5"/>
  <c r="BC324" i="5" s="1"/>
  <c r="AU324" i="5"/>
  <c r="BN324" i="5" s="1"/>
  <c r="AT303" i="5"/>
  <c r="CK292" i="5"/>
  <c r="CJ292" i="5"/>
  <c r="CH292" i="5"/>
  <c r="CI292" i="5"/>
  <c r="CE292" i="5"/>
  <c r="CG292" i="5"/>
  <c r="CF292" i="5"/>
  <c r="CC292" i="5"/>
  <c r="CD292" i="5"/>
  <c r="BY292" i="5"/>
  <c r="CA292" i="5"/>
  <c r="BZ292" i="5"/>
  <c r="BX292" i="5"/>
  <c r="BV292" i="5"/>
  <c r="BW292" i="5"/>
  <c r="BU292" i="5"/>
  <c r="BS292" i="5"/>
  <c r="BT292" i="5"/>
  <c r="BR292" i="5"/>
  <c r="BQ292" i="5"/>
  <c r="BM292" i="5"/>
  <c r="BK292" i="5"/>
  <c r="BL292" i="5"/>
  <c r="BI292" i="5"/>
  <c r="BH292" i="5"/>
  <c r="BJ292" i="5"/>
  <c r="BG292" i="5"/>
  <c r="BF292" i="5"/>
  <c r="BE292" i="5"/>
  <c r="BD292" i="5"/>
  <c r="BA292" i="5"/>
  <c r="BP292" i="5" s="1"/>
  <c r="AZ292" i="5"/>
  <c r="AY292" i="5"/>
  <c r="AV292" i="5"/>
  <c r="BO292" i="5" s="1"/>
  <c r="AU292" i="5"/>
  <c r="BB292" i="5" s="1"/>
  <c r="AV281" i="5"/>
  <c r="BC281" i="5" s="1"/>
  <c r="AT271" i="5"/>
  <c r="CK260" i="5"/>
  <c r="CI260" i="5"/>
  <c r="CF260" i="5"/>
  <c r="CE260" i="5"/>
  <c r="CD260" i="5"/>
  <c r="CC260" i="5"/>
  <c r="BY260" i="5"/>
  <c r="CA260" i="5"/>
  <c r="BV260" i="5"/>
  <c r="BT260" i="5"/>
  <c r="BW260" i="5"/>
  <c r="BU260" i="5"/>
  <c r="BS260" i="5"/>
  <c r="BR260" i="5"/>
  <c r="BQ260" i="5"/>
  <c r="BM260" i="5"/>
  <c r="BK260" i="5"/>
  <c r="BI260" i="5"/>
  <c r="BH260" i="5"/>
  <c r="BJ260" i="5"/>
  <c r="BG260" i="5"/>
  <c r="BF260" i="5"/>
  <c r="BE260" i="5"/>
  <c r="BD260" i="5"/>
  <c r="BA260" i="5"/>
  <c r="BP260" i="5" s="1"/>
  <c r="AZ260" i="5"/>
  <c r="AY260" i="5"/>
  <c r="AV260" i="5"/>
  <c r="BO260" i="5" s="1"/>
  <c r="AU260" i="5"/>
  <c r="BN260" i="5" s="1"/>
  <c r="AT239" i="5"/>
  <c r="CK228" i="5"/>
  <c r="CH228" i="5"/>
  <c r="CI228" i="5"/>
  <c r="CG228" i="5"/>
  <c r="CF228" i="5"/>
  <c r="CE228" i="5"/>
  <c r="CD228" i="5"/>
  <c r="CA228" i="5"/>
  <c r="BZ228" i="5"/>
  <c r="BX228" i="5"/>
  <c r="BV228" i="5"/>
  <c r="BT228" i="5"/>
  <c r="BW228" i="5"/>
  <c r="BR228" i="5"/>
  <c r="BQ228" i="5"/>
  <c r="BM228" i="5"/>
  <c r="BL228" i="5"/>
  <c r="BK228" i="5"/>
  <c r="BI228" i="5"/>
  <c r="BH228" i="5"/>
  <c r="BF228" i="5"/>
  <c r="BE228" i="5"/>
  <c r="BD228" i="5"/>
  <c r="BA228" i="5"/>
  <c r="BP228" i="5" s="1"/>
  <c r="AZ228" i="5"/>
  <c r="AY228" i="5"/>
  <c r="AU228" i="5"/>
  <c r="BN228" i="5" s="1"/>
  <c r="AT207" i="5"/>
  <c r="CK196" i="5"/>
  <c r="CI196" i="5"/>
  <c r="CF196" i="5"/>
  <c r="CE196" i="5"/>
  <c r="CC196" i="5"/>
  <c r="CD196" i="5"/>
  <c r="BY196" i="5"/>
  <c r="CA196" i="5"/>
  <c r="BV196" i="5"/>
  <c r="BT196" i="5"/>
  <c r="BW196" i="5"/>
  <c r="BU196" i="5"/>
  <c r="BS196" i="5"/>
  <c r="BR196" i="5"/>
  <c r="BQ196" i="5"/>
  <c r="BM196" i="5"/>
  <c r="BK196" i="5"/>
  <c r="BI196" i="5"/>
  <c r="BH196" i="5"/>
  <c r="BJ196" i="5"/>
  <c r="BG196" i="5"/>
  <c r="BF196" i="5"/>
  <c r="BE196" i="5"/>
  <c r="BD196" i="5"/>
  <c r="BA196" i="5"/>
  <c r="BP196" i="5" s="1"/>
  <c r="AZ196" i="5"/>
  <c r="AY196" i="5"/>
  <c r="AV196" i="5"/>
  <c r="BO196" i="5" s="1"/>
  <c r="AU196" i="5"/>
  <c r="BB196" i="5" s="1"/>
  <c r="AV185" i="5"/>
  <c r="BO185" i="5" s="1"/>
  <c r="AT175" i="5"/>
  <c r="CK124" i="5"/>
  <c r="CE124" i="5"/>
  <c r="CI124" i="5"/>
  <c r="CD124" i="5"/>
  <c r="CF124" i="5"/>
  <c r="CC124" i="5"/>
  <c r="BY124" i="5"/>
  <c r="CA124" i="5"/>
  <c r="BV124" i="5"/>
  <c r="BT124" i="5"/>
  <c r="BW124" i="5"/>
  <c r="BU124" i="5"/>
  <c r="BS124" i="5"/>
  <c r="BR124" i="5"/>
  <c r="BQ124" i="5"/>
  <c r="BM124" i="5"/>
  <c r="BK124" i="5"/>
  <c r="BI124" i="5"/>
  <c r="BH124" i="5"/>
  <c r="BJ124" i="5"/>
  <c r="BF124" i="5"/>
  <c r="BE124" i="5"/>
  <c r="BD124" i="5"/>
  <c r="BG124" i="5"/>
  <c r="BA124" i="5"/>
  <c r="BP124" i="5" s="1"/>
  <c r="AZ124" i="5"/>
  <c r="AY124" i="5"/>
  <c r="AV124" i="5"/>
  <c r="BO124" i="5" s="1"/>
  <c r="AU124" i="5"/>
  <c r="BN124" i="5" s="1"/>
  <c r="AT111" i="5"/>
  <c r="CK60" i="5"/>
  <c r="CE60" i="5"/>
  <c r="CI60" i="5"/>
  <c r="CD60" i="5"/>
  <c r="CF60" i="5"/>
  <c r="CC60" i="5"/>
  <c r="BY60" i="5"/>
  <c r="CA60" i="5"/>
  <c r="BV60" i="5"/>
  <c r="BT60" i="5"/>
  <c r="BW60" i="5"/>
  <c r="BU60" i="5"/>
  <c r="BQ60" i="5"/>
  <c r="BS60" i="5"/>
  <c r="BR60" i="5"/>
  <c r="BM60" i="5"/>
  <c r="BK60" i="5"/>
  <c r="BI60" i="5"/>
  <c r="BH60" i="5"/>
  <c r="BJ60" i="5"/>
  <c r="BF60" i="5"/>
  <c r="BE60" i="5"/>
  <c r="BD60" i="5"/>
  <c r="BG60" i="5"/>
  <c r="BA60" i="5"/>
  <c r="BP60" i="5" s="1"/>
  <c r="AZ60" i="5"/>
  <c r="AY60" i="5"/>
  <c r="AV60" i="5"/>
  <c r="BO60" i="5" s="1"/>
  <c r="AU60" i="5"/>
  <c r="BB60" i="5" s="1"/>
  <c r="AT47" i="5"/>
  <c r="AU64" i="5"/>
  <c r="BB64" i="5" s="1"/>
  <c r="AU117" i="5"/>
  <c r="BB117" i="5" s="1"/>
  <c r="CK693" i="5"/>
  <c r="CI693" i="5"/>
  <c r="CJ693" i="5"/>
  <c r="CH693" i="5"/>
  <c r="CF693" i="5"/>
  <c r="CG693" i="5"/>
  <c r="CE693" i="5"/>
  <c r="CD693" i="5"/>
  <c r="CC693" i="5"/>
  <c r="BZ693" i="5"/>
  <c r="CA693" i="5"/>
  <c r="BY693" i="5"/>
  <c r="BW693" i="5"/>
  <c r="BU693" i="5"/>
  <c r="BV693" i="5"/>
  <c r="BX693" i="5"/>
  <c r="BR693" i="5"/>
  <c r="BT693" i="5"/>
  <c r="BS693" i="5"/>
  <c r="BQ693" i="5"/>
  <c r="BM693" i="5"/>
  <c r="BL693" i="5"/>
  <c r="BI693" i="5"/>
  <c r="BK693" i="5"/>
  <c r="BJ693" i="5"/>
  <c r="BG693" i="5"/>
  <c r="BF693" i="5"/>
  <c r="BE693" i="5"/>
  <c r="BH693" i="5"/>
  <c r="BD693" i="5"/>
  <c r="AY693" i="5"/>
  <c r="BA693" i="5"/>
  <c r="BP693" i="5" s="1"/>
  <c r="AZ693" i="5"/>
  <c r="CK685" i="5"/>
  <c r="CJ685" i="5"/>
  <c r="CI685" i="5"/>
  <c r="CH685" i="5"/>
  <c r="CG685" i="5"/>
  <c r="CF685" i="5"/>
  <c r="CD685" i="5"/>
  <c r="CC685" i="5"/>
  <c r="CE685" i="5"/>
  <c r="CA685" i="5"/>
  <c r="BZ685" i="5"/>
  <c r="BY685" i="5"/>
  <c r="BX685" i="5"/>
  <c r="BW685" i="5"/>
  <c r="BU685" i="5"/>
  <c r="BV685" i="5"/>
  <c r="BR685" i="5"/>
  <c r="BT685" i="5"/>
  <c r="BS685" i="5"/>
  <c r="BQ685" i="5"/>
  <c r="BM685" i="5"/>
  <c r="BL685" i="5"/>
  <c r="BJ685" i="5"/>
  <c r="BI685" i="5"/>
  <c r="BK685" i="5"/>
  <c r="BH685" i="5"/>
  <c r="BG685" i="5"/>
  <c r="BF685" i="5"/>
  <c r="BE685" i="5"/>
  <c r="BD685" i="5"/>
  <c r="AY685" i="5"/>
  <c r="BA685" i="5"/>
  <c r="BP685" i="5" s="1"/>
  <c r="AZ685" i="5"/>
  <c r="CK677" i="5"/>
  <c r="CH677" i="5"/>
  <c r="CF677" i="5"/>
  <c r="CG677" i="5"/>
  <c r="CI677" i="5"/>
  <c r="CJ677" i="5"/>
  <c r="CD677" i="5"/>
  <c r="CE677" i="5"/>
  <c r="CC677" i="5"/>
  <c r="BZ677" i="5"/>
  <c r="CA677" i="5"/>
  <c r="BY677" i="5"/>
  <c r="BW677" i="5"/>
  <c r="BU677" i="5"/>
  <c r="BV677" i="5"/>
  <c r="BX677" i="5"/>
  <c r="BT677" i="5"/>
  <c r="BR677" i="5"/>
  <c r="BS677" i="5"/>
  <c r="BQ677" i="5"/>
  <c r="BM677" i="5"/>
  <c r="BL677" i="5"/>
  <c r="BK677" i="5"/>
  <c r="BI677" i="5"/>
  <c r="BJ677" i="5"/>
  <c r="BG677" i="5"/>
  <c r="BF677" i="5"/>
  <c r="BE677" i="5"/>
  <c r="BH677" i="5"/>
  <c r="BD677" i="5"/>
  <c r="AY677" i="5"/>
  <c r="BA677" i="5"/>
  <c r="BP677" i="5" s="1"/>
  <c r="AZ677" i="5"/>
  <c r="CK669" i="5"/>
  <c r="CJ669" i="5"/>
  <c r="CG669" i="5"/>
  <c r="CI669" i="5"/>
  <c r="CF669" i="5"/>
  <c r="CH669" i="5"/>
  <c r="CD669" i="5"/>
  <c r="CC669" i="5"/>
  <c r="CE669" i="5"/>
  <c r="BZ669" i="5"/>
  <c r="CA669" i="5"/>
  <c r="BY669" i="5"/>
  <c r="BW669" i="5"/>
  <c r="BU669" i="5"/>
  <c r="BX669" i="5"/>
  <c r="BV669" i="5"/>
  <c r="BR669" i="5"/>
  <c r="BT669" i="5"/>
  <c r="BS669" i="5"/>
  <c r="BQ669" i="5"/>
  <c r="BM669" i="5"/>
  <c r="BL669" i="5"/>
  <c r="BK669" i="5"/>
  <c r="BI669" i="5"/>
  <c r="BJ669" i="5"/>
  <c r="BH669" i="5"/>
  <c r="BG669" i="5"/>
  <c r="BF669" i="5"/>
  <c r="BE669" i="5"/>
  <c r="BD669" i="5"/>
  <c r="AY669" i="5"/>
  <c r="BA669" i="5"/>
  <c r="BP669" i="5" s="1"/>
  <c r="AZ669" i="5"/>
  <c r="CI661" i="5"/>
  <c r="CK661" i="5"/>
  <c r="CF661" i="5"/>
  <c r="CE661" i="5"/>
  <c r="CD661" i="5"/>
  <c r="CC661" i="5"/>
  <c r="CA661" i="5"/>
  <c r="BY661" i="5"/>
  <c r="BW661" i="5"/>
  <c r="BU661" i="5"/>
  <c r="BV661" i="5"/>
  <c r="BR661" i="5"/>
  <c r="BT661" i="5"/>
  <c r="BS661" i="5"/>
  <c r="BQ661" i="5"/>
  <c r="BM661" i="5"/>
  <c r="BK661" i="5"/>
  <c r="BI661" i="5"/>
  <c r="BJ661" i="5"/>
  <c r="BG661" i="5"/>
  <c r="BF661" i="5"/>
  <c r="BE661" i="5"/>
  <c r="BH661" i="5"/>
  <c r="BD661" i="5"/>
  <c r="AY661" i="5"/>
  <c r="BA661" i="5"/>
  <c r="BP661" i="5" s="1"/>
  <c r="AZ661" i="5"/>
  <c r="CJ653" i="5"/>
  <c r="CK653" i="5"/>
  <c r="CF653" i="5"/>
  <c r="CG653" i="5"/>
  <c r="CI653" i="5"/>
  <c r="CE653" i="5"/>
  <c r="CH653" i="5"/>
  <c r="CD653" i="5"/>
  <c r="CC653" i="5"/>
  <c r="CA653" i="5"/>
  <c r="BZ653" i="5"/>
  <c r="BX653" i="5"/>
  <c r="BY653" i="5"/>
  <c r="BW653" i="5"/>
  <c r="BU653" i="5"/>
  <c r="BV653" i="5"/>
  <c r="BR653" i="5"/>
  <c r="BT653" i="5"/>
  <c r="BS653" i="5"/>
  <c r="BQ653" i="5"/>
  <c r="BM653" i="5"/>
  <c r="BL653" i="5"/>
  <c r="BK653" i="5"/>
  <c r="BJ653" i="5"/>
  <c r="BI653" i="5"/>
  <c r="BH653" i="5"/>
  <c r="BG653" i="5"/>
  <c r="BF653" i="5"/>
  <c r="BE653" i="5"/>
  <c r="BD653" i="5"/>
  <c r="AY653" i="5"/>
  <c r="BA653" i="5"/>
  <c r="BP653" i="5" s="1"/>
  <c r="AZ653" i="5"/>
  <c r="CK645" i="5"/>
  <c r="CF645" i="5"/>
  <c r="CI645" i="5"/>
  <c r="CE645" i="5"/>
  <c r="CD645" i="5"/>
  <c r="CC645" i="5"/>
  <c r="BY645" i="5"/>
  <c r="CA645" i="5"/>
  <c r="BW645" i="5"/>
  <c r="BU645" i="5"/>
  <c r="BV645" i="5"/>
  <c r="BT645" i="5"/>
  <c r="BR645" i="5"/>
  <c r="BS645" i="5"/>
  <c r="BQ645" i="5"/>
  <c r="BM645" i="5"/>
  <c r="BK645" i="5"/>
  <c r="BI645" i="5"/>
  <c r="BJ645" i="5"/>
  <c r="BG645" i="5"/>
  <c r="BF645" i="5"/>
  <c r="BE645" i="5"/>
  <c r="BH645" i="5"/>
  <c r="BD645" i="5"/>
  <c r="AY645" i="5"/>
  <c r="BA645" i="5"/>
  <c r="BP645" i="5" s="1"/>
  <c r="AZ645" i="5"/>
  <c r="CK637" i="5"/>
  <c r="CJ637" i="5"/>
  <c r="CH637" i="5"/>
  <c r="CG637" i="5"/>
  <c r="CF637" i="5"/>
  <c r="CI637" i="5"/>
  <c r="CD637" i="5"/>
  <c r="CC637" i="5"/>
  <c r="CE637" i="5"/>
  <c r="BZ637" i="5"/>
  <c r="CA637" i="5"/>
  <c r="BX637" i="5"/>
  <c r="BY637" i="5"/>
  <c r="BW637" i="5"/>
  <c r="BU637" i="5"/>
  <c r="BV637" i="5"/>
  <c r="BR637" i="5"/>
  <c r="BT637" i="5"/>
  <c r="BS637" i="5"/>
  <c r="BQ637" i="5"/>
  <c r="BM637" i="5"/>
  <c r="BL637" i="5"/>
  <c r="BK637" i="5"/>
  <c r="BI637" i="5"/>
  <c r="BJ637" i="5"/>
  <c r="BH637" i="5"/>
  <c r="BG637" i="5"/>
  <c r="BF637" i="5"/>
  <c r="BE637" i="5"/>
  <c r="BD637" i="5"/>
  <c r="AY637" i="5"/>
  <c r="BA637" i="5"/>
  <c r="BP637" i="5" s="1"/>
  <c r="AZ637" i="5"/>
  <c r="CK629" i="5"/>
  <c r="CI629" i="5"/>
  <c r="CF629" i="5"/>
  <c r="CE629" i="5"/>
  <c r="CD629" i="5"/>
  <c r="CC629" i="5"/>
  <c r="CA629" i="5"/>
  <c r="BY629" i="5"/>
  <c r="BW629" i="5"/>
  <c r="BU629" i="5"/>
  <c r="BV629" i="5"/>
  <c r="BR629" i="5"/>
  <c r="BT629" i="5"/>
  <c r="BS629" i="5"/>
  <c r="BQ629" i="5"/>
  <c r="BM629" i="5"/>
  <c r="BK629" i="5"/>
  <c r="BI629" i="5"/>
  <c r="BJ629" i="5"/>
  <c r="BG629" i="5"/>
  <c r="BF629" i="5"/>
  <c r="BE629" i="5"/>
  <c r="BH629" i="5"/>
  <c r="BD629" i="5"/>
  <c r="AY629" i="5"/>
  <c r="BA629" i="5"/>
  <c r="BP629" i="5" s="1"/>
  <c r="AZ629" i="5"/>
  <c r="CK621" i="5"/>
  <c r="CF621" i="5"/>
  <c r="CI621" i="5"/>
  <c r="CD621" i="5"/>
  <c r="CC621" i="5"/>
  <c r="CE621" i="5"/>
  <c r="CA621" i="5"/>
  <c r="BY621" i="5"/>
  <c r="BW621" i="5"/>
  <c r="BU621" i="5"/>
  <c r="BV621" i="5"/>
  <c r="BR621" i="5"/>
  <c r="BT621" i="5"/>
  <c r="BS621" i="5"/>
  <c r="BQ621" i="5"/>
  <c r="BM621" i="5"/>
  <c r="BK621" i="5"/>
  <c r="BJ621" i="5"/>
  <c r="BI621" i="5"/>
  <c r="BH621" i="5"/>
  <c r="BG621" i="5"/>
  <c r="BF621" i="5"/>
  <c r="BE621" i="5"/>
  <c r="BD621" i="5"/>
  <c r="AY621" i="5"/>
  <c r="BA621" i="5"/>
  <c r="BP621" i="5" s="1"/>
  <c r="AZ621" i="5"/>
  <c r="CK613" i="5"/>
  <c r="CI613" i="5"/>
  <c r="CH613" i="5"/>
  <c r="CJ613" i="5"/>
  <c r="CF613" i="5"/>
  <c r="CG613" i="5"/>
  <c r="CD613" i="5"/>
  <c r="CE613" i="5"/>
  <c r="CC613" i="5"/>
  <c r="BZ613" i="5"/>
  <c r="CA613" i="5"/>
  <c r="BY613" i="5"/>
  <c r="BX613" i="5"/>
  <c r="BW613" i="5"/>
  <c r="BU613" i="5"/>
  <c r="BV613" i="5"/>
  <c r="BT613" i="5"/>
  <c r="BR613" i="5"/>
  <c r="BS613" i="5"/>
  <c r="BQ613" i="5"/>
  <c r="BM613" i="5"/>
  <c r="BK613" i="5"/>
  <c r="BL613" i="5"/>
  <c r="BI613" i="5"/>
  <c r="BJ613" i="5"/>
  <c r="BG613" i="5"/>
  <c r="BF613" i="5"/>
  <c r="BE613" i="5"/>
  <c r="BH613" i="5"/>
  <c r="BD613" i="5"/>
  <c r="AY613" i="5"/>
  <c r="BA613" i="5"/>
  <c r="BP613" i="5" s="1"/>
  <c r="AZ613" i="5"/>
  <c r="CF605" i="5"/>
  <c r="CK605" i="5"/>
  <c r="CI605" i="5"/>
  <c r="CD605" i="5"/>
  <c r="CC605" i="5"/>
  <c r="CE605" i="5"/>
  <c r="CA605" i="5"/>
  <c r="BY605" i="5"/>
  <c r="BW605" i="5"/>
  <c r="BU605" i="5"/>
  <c r="BV605" i="5"/>
  <c r="BR605" i="5"/>
  <c r="BT605" i="5"/>
  <c r="BS605" i="5"/>
  <c r="BQ605" i="5"/>
  <c r="BM605" i="5"/>
  <c r="BK605" i="5"/>
  <c r="BI605" i="5"/>
  <c r="BJ605" i="5"/>
  <c r="BH605" i="5"/>
  <c r="BG605" i="5"/>
  <c r="BF605" i="5"/>
  <c r="BE605" i="5"/>
  <c r="BD605" i="5"/>
  <c r="AY605" i="5"/>
  <c r="BA605" i="5"/>
  <c r="BP605" i="5" s="1"/>
  <c r="AZ605" i="5"/>
  <c r="CK597" i="5"/>
  <c r="CI597" i="5"/>
  <c r="CF597" i="5"/>
  <c r="CE597" i="5"/>
  <c r="CD597" i="5"/>
  <c r="CC597" i="5"/>
  <c r="CA597" i="5"/>
  <c r="BY597" i="5"/>
  <c r="BW597" i="5"/>
  <c r="BU597" i="5"/>
  <c r="BV597" i="5"/>
  <c r="BR597" i="5"/>
  <c r="BT597" i="5"/>
  <c r="BS597" i="5"/>
  <c r="BQ597" i="5"/>
  <c r="BM597" i="5"/>
  <c r="BK597" i="5"/>
  <c r="BI597" i="5"/>
  <c r="BJ597" i="5"/>
  <c r="BG597" i="5"/>
  <c r="BF597" i="5"/>
  <c r="BE597" i="5"/>
  <c r="BH597" i="5"/>
  <c r="BD597" i="5"/>
  <c r="AY597" i="5"/>
  <c r="BA597" i="5"/>
  <c r="BP597" i="5" s="1"/>
  <c r="AZ597" i="5"/>
  <c r="CK589" i="5"/>
  <c r="CI589" i="5"/>
  <c r="CJ589" i="5"/>
  <c r="CG589" i="5"/>
  <c r="CF589" i="5"/>
  <c r="CH589" i="5"/>
  <c r="CD589" i="5"/>
  <c r="CE589" i="5"/>
  <c r="CC589" i="5"/>
  <c r="CA589" i="5"/>
  <c r="BZ589" i="5"/>
  <c r="BY589" i="5"/>
  <c r="BX589" i="5"/>
  <c r="BW589" i="5"/>
  <c r="BU589" i="5"/>
  <c r="BV589" i="5"/>
  <c r="BR589" i="5"/>
  <c r="BT589" i="5"/>
  <c r="BS589" i="5"/>
  <c r="BQ589" i="5"/>
  <c r="BM589" i="5"/>
  <c r="BK589" i="5"/>
  <c r="BL589" i="5"/>
  <c r="BJ589" i="5"/>
  <c r="BI589" i="5"/>
  <c r="BH589" i="5"/>
  <c r="BG589" i="5"/>
  <c r="BF589" i="5"/>
  <c r="BE589" i="5"/>
  <c r="BD589" i="5"/>
  <c r="AY589" i="5"/>
  <c r="BA589" i="5"/>
  <c r="BP589" i="5" s="1"/>
  <c r="AZ589" i="5"/>
  <c r="CK581" i="5"/>
  <c r="CJ581" i="5"/>
  <c r="CH581" i="5"/>
  <c r="CG581" i="5"/>
  <c r="CF581" i="5"/>
  <c r="CI581" i="5"/>
  <c r="CD581" i="5"/>
  <c r="CC581" i="5"/>
  <c r="CE581" i="5"/>
  <c r="BZ581" i="5"/>
  <c r="CA581" i="5"/>
  <c r="BY581" i="5"/>
  <c r="BX581" i="5"/>
  <c r="BW581" i="5"/>
  <c r="BU581" i="5"/>
  <c r="BV581" i="5"/>
  <c r="BT581" i="5"/>
  <c r="BR581" i="5"/>
  <c r="BS581" i="5"/>
  <c r="BQ581" i="5"/>
  <c r="BM581" i="5"/>
  <c r="BK581" i="5"/>
  <c r="BL581" i="5"/>
  <c r="BI581" i="5"/>
  <c r="BJ581" i="5"/>
  <c r="BG581" i="5"/>
  <c r="BF581" i="5"/>
  <c r="BE581" i="5"/>
  <c r="BH581" i="5"/>
  <c r="BD581" i="5"/>
  <c r="AY581" i="5"/>
  <c r="BA581" i="5"/>
  <c r="BP581" i="5" s="1"/>
  <c r="AZ581" i="5"/>
  <c r="CJ573" i="5"/>
  <c r="CK573" i="5"/>
  <c r="CH573" i="5"/>
  <c r="CI573" i="5"/>
  <c r="CG573" i="5"/>
  <c r="CF573" i="5"/>
  <c r="CE573" i="5"/>
  <c r="CD573" i="5"/>
  <c r="CC573" i="5"/>
  <c r="BZ573" i="5"/>
  <c r="CA573" i="5"/>
  <c r="BY573" i="5"/>
  <c r="BX573" i="5"/>
  <c r="BW573" i="5"/>
  <c r="BU573" i="5"/>
  <c r="BV573" i="5"/>
  <c r="BR573" i="5"/>
  <c r="BT573" i="5"/>
  <c r="BS573" i="5"/>
  <c r="BQ573" i="5"/>
  <c r="BM573" i="5"/>
  <c r="BL573" i="5"/>
  <c r="BK573" i="5"/>
  <c r="BI573" i="5"/>
  <c r="BJ573" i="5"/>
  <c r="BH573" i="5"/>
  <c r="BG573" i="5"/>
  <c r="BF573" i="5"/>
  <c r="BE573" i="5"/>
  <c r="BD573" i="5"/>
  <c r="AY573" i="5"/>
  <c r="BA573" i="5"/>
  <c r="BP573" i="5" s="1"/>
  <c r="AZ573" i="5"/>
  <c r="CK565" i="5"/>
  <c r="CI565" i="5"/>
  <c r="CF565" i="5"/>
  <c r="CE565" i="5"/>
  <c r="CD565" i="5"/>
  <c r="CC565" i="5"/>
  <c r="CA565" i="5"/>
  <c r="BY565" i="5"/>
  <c r="BW565" i="5"/>
  <c r="BU565" i="5"/>
  <c r="BV565" i="5"/>
  <c r="BR565" i="5"/>
  <c r="BT565" i="5"/>
  <c r="BS565" i="5"/>
  <c r="BQ565" i="5"/>
  <c r="BM565" i="5"/>
  <c r="BK565" i="5"/>
  <c r="BI565" i="5"/>
  <c r="BJ565" i="5"/>
  <c r="BH565" i="5"/>
  <c r="BG565" i="5"/>
  <c r="BF565" i="5"/>
  <c r="BE565" i="5"/>
  <c r="BD565" i="5"/>
  <c r="AY565" i="5"/>
  <c r="BA565" i="5"/>
  <c r="BP565" i="5" s="1"/>
  <c r="AZ565" i="5"/>
  <c r="CK557" i="5"/>
  <c r="CJ557" i="5"/>
  <c r="CI557" i="5"/>
  <c r="CF557" i="5"/>
  <c r="CH557" i="5"/>
  <c r="CG557" i="5"/>
  <c r="CD557" i="5"/>
  <c r="CC557" i="5"/>
  <c r="CE557" i="5"/>
  <c r="CA557" i="5"/>
  <c r="BZ557" i="5"/>
  <c r="BX557" i="5"/>
  <c r="BY557" i="5"/>
  <c r="BW557" i="5"/>
  <c r="BU557" i="5"/>
  <c r="BV557" i="5"/>
  <c r="BR557" i="5"/>
  <c r="BT557" i="5"/>
  <c r="BS557" i="5"/>
  <c r="BQ557" i="5"/>
  <c r="BM557" i="5"/>
  <c r="BL557" i="5"/>
  <c r="BK557" i="5"/>
  <c r="BJ557" i="5"/>
  <c r="BI557" i="5"/>
  <c r="BG557" i="5"/>
  <c r="BF557" i="5"/>
  <c r="BE557" i="5"/>
  <c r="BD557" i="5"/>
  <c r="BH557" i="5"/>
  <c r="AY557" i="5"/>
  <c r="BA557" i="5"/>
  <c r="BP557" i="5" s="1"/>
  <c r="AZ557" i="5"/>
  <c r="CK549" i="5"/>
  <c r="CI549" i="5"/>
  <c r="CJ549" i="5"/>
  <c r="CG549" i="5"/>
  <c r="CF549" i="5"/>
  <c r="CH549" i="5"/>
  <c r="CD549" i="5"/>
  <c r="CE549" i="5"/>
  <c r="BZ549" i="5"/>
  <c r="CA549" i="5"/>
  <c r="CC549" i="5"/>
  <c r="BX549" i="5"/>
  <c r="BY549" i="5"/>
  <c r="BW549" i="5"/>
  <c r="BU549" i="5"/>
  <c r="BV549" i="5"/>
  <c r="BT549" i="5"/>
  <c r="BR549" i="5"/>
  <c r="BS549" i="5"/>
  <c r="BQ549" i="5"/>
  <c r="BM549" i="5"/>
  <c r="BL549" i="5"/>
  <c r="BK549" i="5"/>
  <c r="BI549" i="5"/>
  <c r="BJ549" i="5"/>
  <c r="BG549" i="5"/>
  <c r="BF549" i="5"/>
  <c r="BH549" i="5"/>
  <c r="BE549" i="5"/>
  <c r="BD549" i="5"/>
  <c r="AY549" i="5"/>
  <c r="BA549" i="5"/>
  <c r="BP549" i="5" s="1"/>
  <c r="AZ549" i="5"/>
  <c r="CJ541" i="5"/>
  <c r="CI541" i="5"/>
  <c r="CH541" i="5"/>
  <c r="CK541" i="5"/>
  <c r="CF541" i="5"/>
  <c r="CG541" i="5"/>
  <c r="CD541" i="5"/>
  <c r="CC541" i="5"/>
  <c r="CE541" i="5"/>
  <c r="BZ541" i="5"/>
  <c r="CA541" i="5"/>
  <c r="BX541" i="5"/>
  <c r="BY541" i="5"/>
  <c r="BW541" i="5"/>
  <c r="BU541" i="5"/>
  <c r="BV541" i="5"/>
  <c r="BR541" i="5"/>
  <c r="BT541" i="5"/>
  <c r="BS541" i="5"/>
  <c r="BQ541" i="5"/>
  <c r="BM541" i="5"/>
  <c r="BL541" i="5"/>
  <c r="BK541" i="5"/>
  <c r="BI541" i="5"/>
  <c r="BJ541" i="5"/>
  <c r="BH541" i="5"/>
  <c r="BG541" i="5"/>
  <c r="BF541" i="5"/>
  <c r="BE541" i="5"/>
  <c r="BD541" i="5"/>
  <c r="AY541" i="5"/>
  <c r="BA541" i="5"/>
  <c r="BP541" i="5" s="1"/>
  <c r="AZ541" i="5"/>
  <c r="CK533" i="5"/>
  <c r="CJ533" i="5"/>
  <c r="CI533" i="5"/>
  <c r="CH533" i="5"/>
  <c r="CF533" i="5"/>
  <c r="CG533" i="5"/>
  <c r="CE533" i="5"/>
  <c r="CD533" i="5"/>
  <c r="CC533" i="5"/>
  <c r="CA533" i="5"/>
  <c r="BX533" i="5"/>
  <c r="BZ533" i="5"/>
  <c r="BY533" i="5"/>
  <c r="BW533" i="5"/>
  <c r="BU533" i="5"/>
  <c r="BV533" i="5"/>
  <c r="BR533" i="5"/>
  <c r="BT533" i="5"/>
  <c r="BS533" i="5"/>
  <c r="BQ533" i="5"/>
  <c r="BM533" i="5"/>
  <c r="BL533" i="5"/>
  <c r="BK533" i="5"/>
  <c r="BI533" i="5"/>
  <c r="BJ533" i="5"/>
  <c r="BH533" i="5"/>
  <c r="BG533" i="5"/>
  <c r="BF533" i="5"/>
  <c r="BE533" i="5"/>
  <c r="BD533" i="5"/>
  <c r="AY533" i="5"/>
  <c r="BA533" i="5"/>
  <c r="BP533" i="5" s="1"/>
  <c r="AZ533" i="5"/>
  <c r="CK525" i="5"/>
  <c r="CJ525" i="5"/>
  <c r="CI525" i="5"/>
  <c r="CH525" i="5"/>
  <c r="CF525" i="5"/>
  <c r="CG525" i="5"/>
  <c r="CE525" i="5"/>
  <c r="CD525" i="5"/>
  <c r="CC525" i="5"/>
  <c r="CA525" i="5"/>
  <c r="BX525" i="5"/>
  <c r="BZ525" i="5"/>
  <c r="BY525" i="5"/>
  <c r="BW525" i="5"/>
  <c r="BU525" i="5"/>
  <c r="BV525" i="5"/>
  <c r="BR525" i="5"/>
  <c r="BT525" i="5"/>
  <c r="BS525" i="5"/>
  <c r="BQ525" i="5"/>
  <c r="BM525" i="5"/>
  <c r="BL525" i="5"/>
  <c r="BK525" i="5"/>
  <c r="BJ525" i="5"/>
  <c r="BI525" i="5"/>
  <c r="BG525" i="5"/>
  <c r="BF525" i="5"/>
  <c r="BE525" i="5"/>
  <c r="BD525" i="5"/>
  <c r="BH525" i="5"/>
  <c r="AY525" i="5"/>
  <c r="BA525" i="5"/>
  <c r="BP525" i="5" s="1"/>
  <c r="AZ525" i="5"/>
  <c r="CK517" i="5"/>
  <c r="CJ517" i="5"/>
  <c r="CI517" i="5"/>
  <c r="CG517" i="5"/>
  <c r="CF517" i="5"/>
  <c r="CH517" i="5"/>
  <c r="CE517" i="5"/>
  <c r="CD517" i="5"/>
  <c r="CC517" i="5"/>
  <c r="CA517" i="5"/>
  <c r="BX517" i="5"/>
  <c r="BY517" i="5"/>
  <c r="BZ517" i="5"/>
  <c r="BW517" i="5"/>
  <c r="BU517" i="5"/>
  <c r="BV517" i="5"/>
  <c r="BT517" i="5"/>
  <c r="BR517" i="5"/>
  <c r="BS517" i="5"/>
  <c r="BQ517" i="5"/>
  <c r="BM517" i="5"/>
  <c r="BL517" i="5"/>
  <c r="BK517" i="5"/>
  <c r="BI517" i="5"/>
  <c r="BJ517" i="5"/>
  <c r="BF517" i="5"/>
  <c r="BH517" i="5"/>
  <c r="BE517" i="5"/>
  <c r="BG517" i="5"/>
  <c r="BD517" i="5"/>
  <c r="AY517" i="5"/>
  <c r="BA517" i="5"/>
  <c r="BP517" i="5" s="1"/>
  <c r="AZ517" i="5"/>
  <c r="CK509" i="5"/>
  <c r="CJ509" i="5"/>
  <c r="CH509" i="5"/>
  <c r="CI509" i="5"/>
  <c r="CF509" i="5"/>
  <c r="CG509" i="5"/>
  <c r="CC509" i="5"/>
  <c r="CE509" i="5"/>
  <c r="CD509" i="5"/>
  <c r="CA509" i="5"/>
  <c r="BZ509" i="5"/>
  <c r="BX509" i="5"/>
  <c r="BY509" i="5"/>
  <c r="BW509" i="5"/>
  <c r="BU509" i="5"/>
  <c r="BV509" i="5"/>
  <c r="BR509" i="5"/>
  <c r="BT509" i="5"/>
  <c r="BS509" i="5"/>
  <c r="BQ509" i="5"/>
  <c r="BM509" i="5"/>
  <c r="BL509" i="5"/>
  <c r="BK509" i="5"/>
  <c r="BI509" i="5"/>
  <c r="BJ509" i="5"/>
  <c r="BH509" i="5"/>
  <c r="BF509" i="5"/>
  <c r="BE509" i="5"/>
  <c r="BD509" i="5"/>
  <c r="BG509" i="5"/>
  <c r="AY509" i="5"/>
  <c r="BA509" i="5"/>
  <c r="BP509" i="5" s="1"/>
  <c r="AZ509" i="5"/>
  <c r="CK501" i="5"/>
  <c r="CJ501" i="5"/>
  <c r="CI501" i="5"/>
  <c r="CH501" i="5"/>
  <c r="CF501" i="5"/>
  <c r="CE501" i="5"/>
  <c r="CG501" i="5"/>
  <c r="CD501" i="5"/>
  <c r="CC501" i="5"/>
  <c r="CA501" i="5"/>
  <c r="BZ501" i="5"/>
  <c r="BX501" i="5"/>
  <c r="BY501" i="5"/>
  <c r="BW501" i="5"/>
  <c r="BU501" i="5"/>
  <c r="BV501" i="5"/>
  <c r="BR501" i="5"/>
  <c r="BT501" i="5"/>
  <c r="BS501" i="5"/>
  <c r="BQ501" i="5"/>
  <c r="BM501" i="5"/>
  <c r="BL501" i="5"/>
  <c r="BK501" i="5"/>
  <c r="BI501" i="5"/>
  <c r="BJ501" i="5"/>
  <c r="BH501" i="5"/>
  <c r="BG501" i="5"/>
  <c r="BF501" i="5"/>
  <c r="BE501" i="5"/>
  <c r="BD501" i="5"/>
  <c r="AY501" i="5"/>
  <c r="BA501" i="5"/>
  <c r="BP501" i="5" s="1"/>
  <c r="AZ501" i="5"/>
  <c r="CK493" i="5"/>
  <c r="CJ493" i="5"/>
  <c r="CI493" i="5"/>
  <c r="CF493" i="5"/>
  <c r="CH493" i="5"/>
  <c r="CD493" i="5"/>
  <c r="CG493" i="5"/>
  <c r="CE493" i="5"/>
  <c r="CC493" i="5"/>
  <c r="CA493" i="5"/>
  <c r="BX493" i="5"/>
  <c r="BZ493" i="5"/>
  <c r="BY493" i="5"/>
  <c r="BW493" i="5"/>
  <c r="BU493" i="5"/>
  <c r="BV493" i="5"/>
  <c r="BR493" i="5"/>
  <c r="BT493" i="5"/>
  <c r="BS493" i="5"/>
  <c r="BQ493" i="5"/>
  <c r="BM493" i="5"/>
  <c r="BL493" i="5"/>
  <c r="BK493" i="5"/>
  <c r="BJ493" i="5"/>
  <c r="BI493" i="5"/>
  <c r="BG493" i="5"/>
  <c r="BF493" i="5"/>
  <c r="BE493" i="5"/>
  <c r="BD493" i="5"/>
  <c r="BH493" i="5"/>
  <c r="AY493" i="5"/>
  <c r="BA493" i="5"/>
  <c r="BP493" i="5" s="1"/>
  <c r="AZ493" i="5"/>
  <c r="CK485" i="5"/>
  <c r="CI485" i="5"/>
  <c r="CF485" i="5"/>
  <c r="CE485" i="5"/>
  <c r="CD485" i="5"/>
  <c r="CC485" i="5"/>
  <c r="CA485" i="5"/>
  <c r="BY485" i="5"/>
  <c r="BW485" i="5"/>
  <c r="BU485" i="5"/>
  <c r="BV485" i="5"/>
  <c r="BT485" i="5"/>
  <c r="BR485" i="5"/>
  <c r="BS485" i="5"/>
  <c r="BQ485" i="5"/>
  <c r="BM485" i="5"/>
  <c r="BK485" i="5"/>
  <c r="BI485" i="5"/>
  <c r="BJ485" i="5"/>
  <c r="BF485" i="5"/>
  <c r="BH485" i="5"/>
  <c r="BE485" i="5"/>
  <c r="BG485" i="5"/>
  <c r="BD485" i="5"/>
  <c r="AY485" i="5"/>
  <c r="BA485" i="5"/>
  <c r="BP485" i="5" s="1"/>
  <c r="AZ485" i="5"/>
  <c r="CK477" i="5"/>
  <c r="CJ477" i="5"/>
  <c r="CI477" i="5"/>
  <c r="CF477" i="5"/>
  <c r="CH477" i="5"/>
  <c r="CG477" i="5"/>
  <c r="CC477" i="5"/>
  <c r="CE477" i="5"/>
  <c r="CD477" i="5"/>
  <c r="CA477" i="5"/>
  <c r="BX477" i="5"/>
  <c r="BZ477" i="5"/>
  <c r="BY477" i="5"/>
  <c r="BW477" i="5"/>
  <c r="BU477" i="5"/>
  <c r="BV477" i="5"/>
  <c r="BR477" i="5"/>
  <c r="BT477" i="5"/>
  <c r="BS477" i="5"/>
  <c r="BQ477" i="5"/>
  <c r="BM477" i="5"/>
  <c r="BL477" i="5"/>
  <c r="BK477" i="5"/>
  <c r="BI477" i="5"/>
  <c r="BJ477" i="5"/>
  <c r="BH477" i="5"/>
  <c r="BF477" i="5"/>
  <c r="BE477" i="5"/>
  <c r="BD477" i="5"/>
  <c r="BG477" i="5"/>
  <c r="AY477" i="5"/>
  <c r="BA477" i="5"/>
  <c r="BP477" i="5" s="1"/>
  <c r="AZ477" i="5"/>
  <c r="CK469" i="5"/>
  <c r="CH469" i="5"/>
  <c r="CJ469" i="5"/>
  <c r="CG469" i="5"/>
  <c r="CF469" i="5"/>
  <c r="CI469" i="5"/>
  <c r="CE469" i="5"/>
  <c r="CD469" i="5"/>
  <c r="CA469" i="5"/>
  <c r="BZ469" i="5"/>
  <c r="CC469" i="5"/>
  <c r="BX469" i="5"/>
  <c r="BY469" i="5"/>
  <c r="BW469" i="5"/>
  <c r="BU469" i="5"/>
  <c r="BV469" i="5"/>
  <c r="BR469" i="5"/>
  <c r="BT469" i="5"/>
  <c r="BS469" i="5"/>
  <c r="BQ469" i="5"/>
  <c r="BM469" i="5"/>
  <c r="BL469" i="5"/>
  <c r="BK469" i="5"/>
  <c r="BI469" i="5"/>
  <c r="BJ469" i="5"/>
  <c r="BH469" i="5"/>
  <c r="BG469" i="5"/>
  <c r="BF469" i="5"/>
  <c r="BE469" i="5"/>
  <c r="BD469" i="5"/>
  <c r="AY469" i="5"/>
  <c r="BA469" i="5"/>
  <c r="BP469" i="5" s="1"/>
  <c r="AZ469" i="5"/>
  <c r="CK461" i="5"/>
  <c r="CJ461" i="5"/>
  <c r="CI461" i="5"/>
  <c r="CH461" i="5"/>
  <c r="CF461" i="5"/>
  <c r="CG461" i="5"/>
  <c r="CD461" i="5"/>
  <c r="CC461" i="5"/>
  <c r="CE461" i="5"/>
  <c r="CA461" i="5"/>
  <c r="BY461" i="5"/>
  <c r="BX461" i="5"/>
  <c r="BZ461" i="5"/>
  <c r="BW461" i="5"/>
  <c r="BU461" i="5"/>
  <c r="BV461" i="5"/>
  <c r="BR461" i="5"/>
  <c r="BT461" i="5"/>
  <c r="BS461" i="5"/>
  <c r="BQ461" i="5"/>
  <c r="BM461" i="5"/>
  <c r="BL461" i="5"/>
  <c r="BK461" i="5"/>
  <c r="BJ461" i="5"/>
  <c r="BI461" i="5"/>
  <c r="BG461" i="5"/>
  <c r="BF461" i="5"/>
  <c r="BE461" i="5"/>
  <c r="BD461" i="5"/>
  <c r="BH461" i="5"/>
  <c r="AY461" i="5"/>
  <c r="BA461" i="5"/>
  <c r="BP461" i="5" s="1"/>
  <c r="AZ461" i="5"/>
  <c r="CJ453" i="5"/>
  <c r="CK453" i="5"/>
  <c r="CH453" i="5"/>
  <c r="CG453" i="5"/>
  <c r="CF453" i="5"/>
  <c r="CI453" i="5"/>
  <c r="CC453" i="5"/>
  <c r="CD453" i="5"/>
  <c r="CE453" i="5"/>
  <c r="BZ453" i="5"/>
  <c r="CA453" i="5"/>
  <c r="BX453" i="5"/>
  <c r="BY453" i="5"/>
  <c r="BW453" i="5"/>
  <c r="BU453" i="5"/>
  <c r="BV453" i="5"/>
  <c r="BT453" i="5"/>
  <c r="BR453" i="5"/>
  <c r="BS453" i="5"/>
  <c r="BQ453" i="5"/>
  <c r="BM453" i="5"/>
  <c r="BL453" i="5"/>
  <c r="BK453" i="5"/>
  <c r="BI453" i="5"/>
  <c r="BJ453" i="5"/>
  <c r="BF453" i="5"/>
  <c r="BH453" i="5"/>
  <c r="BE453" i="5"/>
  <c r="BG453" i="5"/>
  <c r="BD453" i="5"/>
  <c r="AY453" i="5"/>
  <c r="BA453" i="5"/>
  <c r="BP453" i="5" s="1"/>
  <c r="AZ453" i="5"/>
  <c r="CK445" i="5"/>
  <c r="CF445" i="5"/>
  <c r="CI445" i="5"/>
  <c r="CE445" i="5"/>
  <c r="CC445" i="5"/>
  <c r="CD445" i="5"/>
  <c r="CA445" i="5"/>
  <c r="BY445" i="5"/>
  <c r="BW445" i="5"/>
  <c r="BU445" i="5"/>
  <c r="BV445" i="5"/>
  <c r="BR445" i="5"/>
  <c r="BT445" i="5"/>
  <c r="BS445" i="5"/>
  <c r="BQ445" i="5"/>
  <c r="BM445" i="5"/>
  <c r="BK445" i="5"/>
  <c r="BI445" i="5"/>
  <c r="BJ445" i="5"/>
  <c r="BH445" i="5"/>
  <c r="BF445" i="5"/>
  <c r="BE445" i="5"/>
  <c r="BD445" i="5"/>
  <c r="BG445" i="5"/>
  <c r="AY445" i="5"/>
  <c r="BA445" i="5"/>
  <c r="BP445" i="5" s="1"/>
  <c r="AZ445" i="5"/>
  <c r="CK437" i="5"/>
  <c r="CJ437" i="5"/>
  <c r="CI437" i="5"/>
  <c r="CF437" i="5"/>
  <c r="CE437" i="5"/>
  <c r="CG437" i="5"/>
  <c r="CH437" i="5"/>
  <c r="CC437" i="5"/>
  <c r="CD437" i="5"/>
  <c r="CA437" i="5"/>
  <c r="BZ437" i="5"/>
  <c r="BX437" i="5"/>
  <c r="BY437" i="5"/>
  <c r="BW437" i="5"/>
  <c r="BU437" i="5"/>
  <c r="BV437" i="5"/>
  <c r="BR437" i="5"/>
  <c r="BT437" i="5"/>
  <c r="BS437" i="5"/>
  <c r="BQ437" i="5"/>
  <c r="BM437" i="5"/>
  <c r="BL437" i="5"/>
  <c r="BK437" i="5"/>
  <c r="BI437" i="5"/>
  <c r="BJ437" i="5"/>
  <c r="BH437" i="5"/>
  <c r="BG437" i="5"/>
  <c r="BF437" i="5"/>
  <c r="BE437" i="5"/>
  <c r="BD437" i="5"/>
  <c r="AY437" i="5"/>
  <c r="BA437" i="5"/>
  <c r="BP437" i="5" s="1"/>
  <c r="AZ437" i="5"/>
  <c r="CK429" i="5"/>
  <c r="CH429" i="5"/>
  <c r="CJ429" i="5"/>
  <c r="CG429" i="5"/>
  <c r="CF429" i="5"/>
  <c r="CI429" i="5"/>
  <c r="CD429" i="5"/>
  <c r="CE429" i="5"/>
  <c r="CC429" i="5"/>
  <c r="CA429" i="5"/>
  <c r="BZ429" i="5"/>
  <c r="BY429" i="5"/>
  <c r="BX429" i="5"/>
  <c r="BW429" i="5"/>
  <c r="BU429" i="5"/>
  <c r="BV429" i="5"/>
  <c r="BR429" i="5"/>
  <c r="BT429" i="5"/>
  <c r="BS429" i="5"/>
  <c r="BQ429" i="5"/>
  <c r="BM429" i="5"/>
  <c r="BL429" i="5"/>
  <c r="BK429" i="5"/>
  <c r="BJ429" i="5"/>
  <c r="BI429" i="5"/>
  <c r="BG429" i="5"/>
  <c r="BF429" i="5"/>
  <c r="BE429" i="5"/>
  <c r="BD429" i="5"/>
  <c r="BH429" i="5"/>
  <c r="AY429" i="5"/>
  <c r="BA429" i="5"/>
  <c r="BP429" i="5" s="1"/>
  <c r="AZ429" i="5"/>
  <c r="CI421" i="5"/>
  <c r="CK421" i="5"/>
  <c r="CF421" i="5"/>
  <c r="CE421" i="5"/>
  <c r="CC421" i="5"/>
  <c r="CD421" i="5"/>
  <c r="CA421" i="5"/>
  <c r="BY421" i="5"/>
  <c r="BW421" i="5"/>
  <c r="BU421" i="5"/>
  <c r="BV421" i="5"/>
  <c r="BT421" i="5"/>
  <c r="BR421" i="5"/>
  <c r="BS421" i="5"/>
  <c r="BQ421" i="5"/>
  <c r="BM421" i="5"/>
  <c r="BK421" i="5"/>
  <c r="BI421" i="5"/>
  <c r="BJ421" i="5"/>
  <c r="BF421" i="5"/>
  <c r="BH421" i="5"/>
  <c r="BE421" i="5"/>
  <c r="BG421" i="5"/>
  <c r="BD421" i="5"/>
  <c r="AY421" i="5"/>
  <c r="BA421" i="5"/>
  <c r="AZ421" i="5"/>
  <c r="CI413" i="5"/>
  <c r="CF413" i="5"/>
  <c r="CK413" i="5"/>
  <c r="CD413" i="5"/>
  <c r="CC413" i="5"/>
  <c r="CE413" i="5"/>
  <c r="CA413" i="5"/>
  <c r="BY413" i="5"/>
  <c r="BW413" i="5"/>
  <c r="BU413" i="5"/>
  <c r="BV413" i="5"/>
  <c r="BR413" i="5"/>
  <c r="BT413" i="5"/>
  <c r="BS413" i="5"/>
  <c r="BQ413" i="5"/>
  <c r="BM413" i="5"/>
  <c r="BK413" i="5"/>
  <c r="BI413" i="5"/>
  <c r="BJ413" i="5"/>
  <c r="BH413" i="5"/>
  <c r="BF413" i="5"/>
  <c r="BE413" i="5"/>
  <c r="BD413" i="5"/>
  <c r="BG413" i="5"/>
  <c r="AY413" i="5"/>
  <c r="BA413" i="5"/>
  <c r="BP413" i="5" s="1"/>
  <c r="AZ413" i="5"/>
  <c r="CK405" i="5"/>
  <c r="CF405" i="5"/>
  <c r="CI405" i="5"/>
  <c r="CE405" i="5"/>
  <c r="CD405" i="5"/>
  <c r="CC405" i="5"/>
  <c r="CA405" i="5"/>
  <c r="BY405" i="5"/>
  <c r="BW405" i="5"/>
  <c r="BU405" i="5"/>
  <c r="BV405" i="5"/>
  <c r="BR405" i="5"/>
  <c r="BT405" i="5"/>
  <c r="BS405" i="5"/>
  <c r="BQ405" i="5"/>
  <c r="BM405" i="5"/>
  <c r="BK405" i="5"/>
  <c r="BI405" i="5"/>
  <c r="BJ405" i="5"/>
  <c r="BH405" i="5"/>
  <c r="BG405" i="5"/>
  <c r="BF405" i="5"/>
  <c r="BE405" i="5"/>
  <c r="BD405" i="5"/>
  <c r="AY405" i="5"/>
  <c r="BA405" i="5"/>
  <c r="BP405" i="5" s="1"/>
  <c r="AZ405" i="5"/>
  <c r="CK397" i="5"/>
  <c r="CI397" i="5"/>
  <c r="CF397" i="5"/>
  <c r="CE397" i="5"/>
  <c r="CD397" i="5"/>
  <c r="CC397" i="5"/>
  <c r="CA397" i="5"/>
  <c r="BY397" i="5"/>
  <c r="BW397" i="5"/>
  <c r="BU397" i="5"/>
  <c r="BV397" i="5"/>
  <c r="BR397" i="5"/>
  <c r="BT397" i="5"/>
  <c r="BS397" i="5"/>
  <c r="BQ397" i="5"/>
  <c r="BM397" i="5"/>
  <c r="BK397" i="5"/>
  <c r="BJ397" i="5"/>
  <c r="BI397" i="5"/>
  <c r="BG397" i="5"/>
  <c r="BF397" i="5"/>
  <c r="BE397" i="5"/>
  <c r="BD397" i="5"/>
  <c r="BH397" i="5"/>
  <c r="AY397" i="5"/>
  <c r="BA397" i="5"/>
  <c r="BP397" i="5" s="1"/>
  <c r="AZ397" i="5"/>
  <c r="CI389" i="5"/>
  <c r="CK389" i="5"/>
  <c r="CF389" i="5"/>
  <c r="CE389" i="5"/>
  <c r="CD389" i="5"/>
  <c r="CC389" i="5"/>
  <c r="CA389" i="5"/>
  <c r="BY389" i="5"/>
  <c r="BW389" i="5"/>
  <c r="BU389" i="5"/>
  <c r="BV389" i="5"/>
  <c r="BT389" i="5"/>
  <c r="BR389" i="5"/>
  <c r="BS389" i="5"/>
  <c r="BQ389" i="5"/>
  <c r="BM389" i="5"/>
  <c r="BK389" i="5"/>
  <c r="BI389" i="5"/>
  <c r="BJ389" i="5"/>
  <c r="BF389" i="5"/>
  <c r="BH389" i="5"/>
  <c r="BE389" i="5"/>
  <c r="BG389" i="5"/>
  <c r="BD389" i="5"/>
  <c r="AY389" i="5"/>
  <c r="BA389" i="5"/>
  <c r="BP389" i="5" s="1"/>
  <c r="AZ389" i="5"/>
  <c r="CK381" i="5"/>
  <c r="CF381" i="5"/>
  <c r="CI381" i="5"/>
  <c r="CC381" i="5"/>
  <c r="CE381" i="5"/>
  <c r="CD381" i="5"/>
  <c r="CA381" i="5"/>
  <c r="BY381" i="5"/>
  <c r="BW381" i="5"/>
  <c r="BU381" i="5"/>
  <c r="BV381" i="5"/>
  <c r="BR381" i="5"/>
  <c r="BT381" i="5"/>
  <c r="BS381" i="5"/>
  <c r="BQ381" i="5"/>
  <c r="BM381" i="5"/>
  <c r="BK381" i="5"/>
  <c r="BI381" i="5"/>
  <c r="BJ381" i="5"/>
  <c r="BH381" i="5"/>
  <c r="BF381" i="5"/>
  <c r="BE381" i="5"/>
  <c r="BD381" i="5"/>
  <c r="BG381" i="5"/>
  <c r="AY381" i="5"/>
  <c r="BA381" i="5"/>
  <c r="BP381" i="5" s="1"/>
  <c r="AZ381" i="5"/>
  <c r="CK373" i="5"/>
  <c r="CF373" i="5"/>
  <c r="CE373" i="5"/>
  <c r="CI373" i="5"/>
  <c r="CD373" i="5"/>
  <c r="CC373" i="5"/>
  <c r="CA373" i="5"/>
  <c r="BY373" i="5"/>
  <c r="BW373" i="5"/>
  <c r="BU373" i="5"/>
  <c r="BV373" i="5"/>
  <c r="BS373" i="5"/>
  <c r="BR373" i="5"/>
  <c r="BT373" i="5"/>
  <c r="BQ373" i="5"/>
  <c r="BM373" i="5"/>
  <c r="BK373" i="5"/>
  <c r="BI373" i="5"/>
  <c r="BJ373" i="5"/>
  <c r="BH373" i="5"/>
  <c r="BG373" i="5"/>
  <c r="BF373" i="5"/>
  <c r="BE373" i="5"/>
  <c r="BD373" i="5"/>
  <c r="AY373" i="5"/>
  <c r="BA373" i="5"/>
  <c r="BP373" i="5" s="1"/>
  <c r="AZ373" i="5"/>
  <c r="CJ365" i="5"/>
  <c r="CK365" i="5"/>
  <c r="CI365" i="5"/>
  <c r="CG365" i="5"/>
  <c r="CF365" i="5"/>
  <c r="CD365" i="5"/>
  <c r="CH365" i="5"/>
  <c r="CC365" i="5"/>
  <c r="CE365" i="5"/>
  <c r="CA365" i="5"/>
  <c r="BZ365" i="5"/>
  <c r="BY365" i="5"/>
  <c r="BX365" i="5"/>
  <c r="BW365" i="5"/>
  <c r="BU365" i="5"/>
  <c r="BV365" i="5"/>
  <c r="BR365" i="5"/>
  <c r="BS365" i="5"/>
  <c r="BT365" i="5"/>
  <c r="BQ365" i="5"/>
  <c r="BM365" i="5"/>
  <c r="BL365" i="5"/>
  <c r="BK365" i="5"/>
  <c r="BJ365" i="5"/>
  <c r="BI365" i="5"/>
  <c r="BG365" i="5"/>
  <c r="BF365" i="5"/>
  <c r="BE365" i="5"/>
  <c r="BD365" i="5"/>
  <c r="BH365" i="5"/>
  <c r="AY365" i="5"/>
  <c r="BA365" i="5"/>
  <c r="BP365" i="5" s="1"/>
  <c r="AZ365" i="5"/>
  <c r="CK357" i="5"/>
  <c r="CI357" i="5"/>
  <c r="CF357" i="5"/>
  <c r="CE357" i="5"/>
  <c r="CD357" i="5"/>
  <c r="CC357" i="5"/>
  <c r="CA357" i="5"/>
  <c r="BY357" i="5"/>
  <c r="BW357" i="5"/>
  <c r="BU357" i="5"/>
  <c r="BV357" i="5"/>
  <c r="BT357" i="5"/>
  <c r="BR357" i="5"/>
  <c r="BS357" i="5"/>
  <c r="BQ357" i="5"/>
  <c r="BM357" i="5"/>
  <c r="BK357" i="5"/>
  <c r="BI357" i="5"/>
  <c r="BJ357" i="5"/>
  <c r="BF357" i="5"/>
  <c r="BH357" i="5"/>
  <c r="BE357" i="5"/>
  <c r="BG357" i="5"/>
  <c r="BD357" i="5"/>
  <c r="AY357" i="5"/>
  <c r="BA357" i="5"/>
  <c r="BP357" i="5" s="1"/>
  <c r="AZ357" i="5"/>
  <c r="CK349" i="5"/>
  <c r="CJ349" i="5"/>
  <c r="CI349" i="5"/>
  <c r="CG349" i="5"/>
  <c r="CF349" i="5"/>
  <c r="CH349" i="5"/>
  <c r="CC349" i="5"/>
  <c r="CD349" i="5"/>
  <c r="CE349" i="5"/>
  <c r="CA349" i="5"/>
  <c r="BZ349" i="5"/>
  <c r="BY349" i="5"/>
  <c r="BX349" i="5"/>
  <c r="BW349" i="5"/>
  <c r="BU349" i="5"/>
  <c r="BV349" i="5"/>
  <c r="BR349" i="5"/>
  <c r="BT349" i="5"/>
  <c r="BS349" i="5"/>
  <c r="BQ349" i="5"/>
  <c r="BM349" i="5"/>
  <c r="BN349" i="5"/>
  <c r="BK349" i="5"/>
  <c r="BL349" i="5"/>
  <c r="BI349" i="5"/>
  <c r="BJ349" i="5"/>
  <c r="BH349" i="5"/>
  <c r="BF349" i="5"/>
  <c r="BE349" i="5"/>
  <c r="BD349" i="5"/>
  <c r="BG349" i="5"/>
  <c r="AY349" i="5"/>
  <c r="BB349" i="5"/>
  <c r="BA349" i="5"/>
  <c r="BP349" i="5" s="1"/>
  <c r="AZ349" i="5"/>
  <c r="CK341" i="5"/>
  <c r="CJ341" i="5"/>
  <c r="CI341" i="5"/>
  <c r="CF341" i="5"/>
  <c r="CE341" i="5"/>
  <c r="CH341" i="5"/>
  <c r="CG341" i="5"/>
  <c r="CD341" i="5"/>
  <c r="CC341" i="5"/>
  <c r="CA341" i="5"/>
  <c r="BZ341" i="5"/>
  <c r="BX341" i="5"/>
  <c r="BY341" i="5"/>
  <c r="BW341" i="5"/>
  <c r="BU341" i="5"/>
  <c r="BV341" i="5"/>
  <c r="BR341" i="5"/>
  <c r="BT341" i="5"/>
  <c r="BS341" i="5"/>
  <c r="BQ341" i="5"/>
  <c r="BM341" i="5"/>
  <c r="BN341" i="5"/>
  <c r="BK341" i="5"/>
  <c r="BL341" i="5"/>
  <c r="BI341" i="5"/>
  <c r="BG341" i="5"/>
  <c r="BJ341" i="5"/>
  <c r="BH341" i="5"/>
  <c r="BF341" i="5"/>
  <c r="BE341" i="5"/>
  <c r="BD341" i="5"/>
  <c r="AY341" i="5"/>
  <c r="BB341" i="5"/>
  <c r="BA341" i="5"/>
  <c r="BP341" i="5" s="1"/>
  <c r="AZ341" i="5"/>
  <c r="CK333" i="5"/>
  <c r="CI333" i="5"/>
  <c r="CJ333" i="5"/>
  <c r="CG333" i="5"/>
  <c r="CF333" i="5"/>
  <c r="CH333" i="5"/>
  <c r="CD333" i="5"/>
  <c r="CE333" i="5"/>
  <c r="CC333" i="5"/>
  <c r="CA333" i="5"/>
  <c r="BY333" i="5"/>
  <c r="BZ333" i="5"/>
  <c r="BX333" i="5"/>
  <c r="BW333" i="5"/>
  <c r="BU333" i="5"/>
  <c r="BV333" i="5"/>
  <c r="BR333" i="5"/>
  <c r="BS333" i="5"/>
  <c r="BT333" i="5"/>
  <c r="BQ333" i="5"/>
  <c r="BM333" i="5"/>
  <c r="BK333" i="5"/>
  <c r="BN333" i="5"/>
  <c r="BL333" i="5"/>
  <c r="BJ333" i="5"/>
  <c r="BI333" i="5"/>
  <c r="BG333" i="5"/>
  <c r="BF333" i="5"/>
  <c r="BE333" i="5"/>
  <c r="BD333" i="5"/>
  <c r="BH333" i="5"/>
  <c r="AY333" i="5"/>
  <c r="BB333" i="5"/>
  <c r="BA333" i="5"/>
  <c r="BP333" i="5" s="1"/>
  <c r="AZ333" i="5"/>
  <c r="CK325" i="5"/>
  <c r="CJ325" i="5"/>
  <c r="CG325" i="5"/>
  <c r="CH325" i="5"/>
  <c r="CI325" i="5"/>
  <c r="CF325" i="5"/>
  <c r="CE325" i="5"/>
  <c r="CC325" i="5"/>
  <c r="CD325" i="5"/>
  <c r="BZ325" i="5"/>
  <c r="CA325" i="5"/>
  <c r="BY325" i="5"/>
  <c r="BX325" i="5"/>
  <c r="BW325" i="5"/>
  <c r="BU325" i="5"/>
  <c r="BV325" i="5"/>
  <c r="BT325" i="5"/>
  <c r="BR325" i="5"/>
  <c r="BS325" i="5"/>
  <c r="BQ325" i="5"/>
  <c r="BN325" i="5"/>
  <c r="BM325" i="5"/>
  <c r="BK325" i="5"/>
  <c r="BL325" i="5"/>
  <c r="BI325" i="5"/>
  <c r="BJ325" i="5"/>
  <c r="BG325" i="5"/>
  <c r="BF325" i="5"/>
  <c r="BH325" i="5"/>
  <c r="BE325" i="5"/>
  <c r="BD325" i="5"/>
  <c r="AY325" i="5"/>
  <c r="BB325" i="5"/>
  <c r="BA325" i="5"/>
  <c r="BP325" i="5" s="1"/>
  <c r="AZ325" i="5"/>
  <c r="CK317" i="5"/>
  <c r="CF317" i="5"/>
  <c r="CI317" i="5"/>
  <c r="CE317" i="5"/>
  <c r="CC317" i="5"/>
  <c r="CD317" i="5"/>
  <c r="CA317" i="5"/>
  <c r="BY317" i="5"/>
  <c r="BW317" i="5"/>
  <c r="BU317" i="5"/>
  <c r="BV317" i="5"/>
  <c r="BR317" i="5"/>
  <c r="BT317" i="5"/>
  <c r="BS317" i="5"/>
  <c r="BQ317" i="5"/>
  <c r="BM317" i="5"/>
  <c r="BK317" i="5"/>
  <c r="BI317" i="5"/>
  <c r="BG317" i="5"/>
  <c r="BJ317" i="5"/>
  <c r="BH317" i="5"/>
  <c r="BF317" i="5"/>
  <c r="BE317" i="5"/>
  <c r="BD317" i="5"/>
  <c r="AY317" i="5"/>
  <c r="BA317" i="5"/>
  <c r="BP317" i="5" s="1"/>
  <c r="AZ317" i="5"/>
  <c r="CK309" i="5"/>
  <c r="CI309" i="5"/>
  <c r="CF309" i="5"/>
  <c r="CE309" i="5"/>
  <c r="CC309" i="5"/>
  <c r="CD309" i="5"/>
  <c r="CA309" i="5"/>
  <c r="BY309" i="5"/>
  <c r="BW309" i="5"/>
  <c r="BU309" i="5"/>
  <c r="BV309" i="5"/>
  <c r="BR309" i="5"/>
  <c r="BT309" i="5"/>
  <c r="BS309" i="5"/>
  <c r="BQ309" i="5"/>
  <c r="BM309" i="5"/>
  <c r="BN309" i="5"/>
  <c r="BK309" i="5"/>
  <c r="BI309" i="5"/>
  <c r="BG309" i="5"/>
  <c r="BJ309" i="5"/>
  <c r="BH309" i="5"/>
  <c r="BF309" i="5"/>
  <c r="BE309" i="5"/>
  <c r="BD309" i="5"/>
  <c r="AY309" i="5"/>
  <c r="BB309" i="5"/>
  <c r="BA309" i="5"/>
  <c r="BP309" i="5" s="1"/>
  <c r="AZ309" i="5"/>
  <c r="CG301" i="5"/>
  <c r="CK301" i="5"/>
  <c r="CI301" i="5"/>
  <c r="CH301" i="5"/>
  <c r="CJ301" i="5"/>
  <c r="CF301" i="5"/>
  <c r="CD301" i="5"/>
  <c r="CC301" i="5"/>
  <c r="CE301" i="5"/>
  <c r="CA301" i="5"/>
  <c r="BZ301" i="5"/>
  <c r="BY301" i="5"/>
  <c r="BX301" i="5"/>
  <c r="BW301" i="5"/>
  <c r="BU301" i="5"/>
  <c r="BV301" i="5"/>
  <c r="BR301" i="5"/>
  <c r="BS301" i="5"/>
  <c r="BT301" i="5"/>
  <c r="BQ301" i="5"/>
  <c r="BM301" i="5"/>
  <c r="BK301" i="5"/>
  <c r="BN301" i="5"/>
  <c r="BL301" i="5"/>
  <c r="BJ301" i="5"/>
  <c r="BI301" i="5"/>
  <c r="BG301" i="5"/>
  <c r="BF301" i="5"/>
  <c r="BE301" i="5"/>
  <c r="BD301" i="5"/>
  <c r="BH301" i="5"/>
  <c r="AY301" i="5"/>
  <c r="BB301" i="5"/>
  <c r="BA301" i="5"/>
  <c r="BP301" i="5" s="1"/>
  <c r="AZ301" i="5"/>
  <c r="CJ293" i="5"/>
  <c r="CK293" i="5"/>
  <c r="CI293" i="5"/>
  <c r="CH293" i="5"/>
  <c r="CF293" i="5"/>
  <c r="CG293" i="5"/>
  <c r="CD293" i="5"/>
  <c r="CC293" i="5"/>
  <c r="CE293" i="5"/>
  <c r="BZ293" i="5"/>
  <c r="CA293" i="5"/>
  <c r="BY293" i="5"/>
  <c r="BX293" i="5"/>
  <c r="BW293" i="5"/>
  <c r="BU293" i="5"/>
  <c r="BV293" i="5"/>
  <c r="BT293" i="5"/>
  <c r="BR293" i="5"/>
  <c r="BS293" i="5"/>
  <c r="BQ293" i="5"/>
  <c r="BN293" i="5"/>
  <c r="BM293" i="5"/>
  <c r="BK293" i="5"/>
  <c r="BL293" i="5"/>
  <c r="BI293" i="5"/>
  <c r="BJ293" i="5"/>
  <c r="BG293" i="5"/>
  <c r="BF293" i="5"/>
  <c r="BH293" i="5"/>
  <c r="BE293" i="5"/>
  <c r="BD293" i="5"/>
  <c r="AY293" i="5"/>
  <c r="BB293" i="5"/>
  <c r="BA293" i="5"/>
  <c r="BP293" i="5" s="1"/>
  <c r="AZ293" i="5"/>
  <c r="CK285" i="5"/>
  <c r="CI285" i="5"/>
  <c r="CF285" i="5"/>
  <c r="CE285" i="5"/>
  <c r="CD285" i="5"/>
  <c r="CC285" i="5"/>
  <c r="CA285" i="5"/>
  <c r="BY285" i="5"/>
  <c r="BW285" i="5"/>
  <c r="BU285" i="5"/>
  <c r="BV285" i="5"/>
  <c r="BR285" i="5"/>
  <c r="BT285" i="5"/>
  <c r="BS285" i="5"/>
  <c r="BQ285" i="5"/>
  <c r="BM285" i="5"/>
  <c r="BK285" i="5"/>
  <c r="BI285" i="5"/>
  <c r="BG285" i="5"/>
  <c r="BJ285" i="5"/>
  <c r="BH285" i="5"/>
  <c r="BF285" i="5"/>
  <c r="BE285" i="5"/>
  <c r="BD285" i="5"/>
  <c r="AY285" i="5"/>
  <c r="BA285" i="5"/>
  <c r="AZ285" i="5"/>
  <c r="CK277" i="5"/>
  <c r="CI277" i="5"/>
  <c r="CF277" i="5"/>
  <c r="CE277" i="5"/>
  <c r="CD277" i="5"/>
  <c r="CC277" i="5"/>
  <c r="CA277" i="5"/>
  <c r="BY277" i="5"/>
  <c r="BW277" i="5"/>
  <c r="BU277" i="5"/>
  <c r="BV277" i="5"/>
  <c r="BR277" i="5"/>
  <c r="BT277" i="5"/>
  <c r="BS277" i="5"/>
  <c r="BQ277" i="5"/>
  <c r="BM277" i="5"/>
  <c r="BN277" i="5"/>
  <c r="BK277" i="5"/>
  <c r="BI277" i="5"/>
  <c r="BG277" i="5"/>
  <c r="BJ277" i="5"/>
  <c r="BH277" i="5"/>
  <c r="BF277" i="5"/>
  <c r="BE277" i="5"/>
  <c r="BD277" i="5"/>
  <c r="AY277" i="5"/>
  <c r="BB277" i="5"/>
  <c r="BA277" i="5"/>
  <c r="BP277" i="5" s="1"/>
  <c r="AZ277" i="5"/>
  <c r="CI269" i="5"/>
  <c r="CK269" i="5"/>
  <c r="CF269" i="5"/>
  <c r="CE269" i="5"/>
  <c r="CD269" i="5"/>
  <c r="CC269" i="5"/>
  <c r="CA269" i="5"/>
  <c r="BY269" i="5"/>
  <c r="BW269" i="5"/>
  <c r="BU269" i="5"/>
  <c r="BV269" i="5"/>
  <c r="BR269" i="5"/>
  <c r="BT269" i="5"/>
  <c r="BS269" i="5"/>
  <c r="BQ269" i="5"/>
  <c r="BM269" i="5"/>
  <c r="BK269" i="5"/>
  <c r="BJ269" i="5"/>
  <c r="BI269" i="5"/>
  <c r="BG269" i="5"/>
  <c r="BF269" i="5"/>
  <c r="BE269" i="5"/>
  <c r="BD269" i="5"/>
  <c r="BH269" i="5"/>
  <c r="AY269" i="5"/>
  <c r="BB269" i="5"/>
  <c r="BA269" i="5"/>
  <c r="BP269" i="5" s="1"/>
  <c r="AZ269" i="5"/>
  <c r="CK261" i="5"/>
  <c r="CI261" i="5"/>
  <c r="CH261" i="5"/>
  <c r="CJ261" i="5"/>
  <c r="CG261" i="5"/>
  <c r="CF261" i="5"/>
  <c r="CE261" i="5"/>
  <c r="CD261" i="5"/>
  <c r="CC261" i="5"/>
  <c r="BZ261" i="5"/>
  <c r="CA261" i="5"/>
  <c r="BX261" i="5"/>
  <c r="BY261" i="5"/>
  <c r="BW261" i="5"/>
  <c r="BU261" i="5"/>
  <c r="BV261" i="5"/>
  <c r="BR261" i="5"/>
  <c r="BS261" i="5"/>
  <c r="BT261" i="5"/>
  <c r="BQ261" i="5"/>
  <c r="BN261" i="5"/>
  <c r="BM261" i="5"/>
  <c r="BL261" i="5"/>
  <c r="BK261" i="5"/>
  <c r="BI261" i="5"/>
  <c r="BJ261" i="5"/>
  <c r="BG261" i="5"/>
  <c r="BF261" i="5"/>
  <c r="BH261" i="5"/>
  <c r="BE261" i="5"/>
  <c r="BD261" i="5"/>
  <c r="AY261" i="5"/>
  <c r="BB261" i="5"/>
  <c r="BA261" i="5"/>
  <c r="BP261" i="5" s="1"/>
  <c r="AZ261" i="5"/>
  <c r="CK253" i="5"/>
  <c r="CI253" i="5"/>
  <c r="CF253" i="5"/>
  <c r="CC253" i="5"/>
  <c r="CE253" i="5"/>
  <c r="CD253" i="5"/>
  <c r="CA253" i="5"/>
  <c r="BY253" i="5"/>
  <c r="BW253" i="5"/>
  <c r="BU253" i="5"/>
  <c r="BV253" i="5"/>
  <c r="BR253" i="5"/>
  <c r="BT253" i="5"/>
  <c r="BS253" i="5"/>
  <c r="BQ253" i="5"/>
  <c r="BM253" i="5"/>
  <c r="BK253" i="5"/>
  <c r="BI253" i="5"/>
  <c r="BG253" i="5"/>
  <c r="BJ253" i="5"/>
  <c r="BH253" i="5"/>
  <c r="BF253" i="5"/>
  <c r="BE253" i="5"/>
  <c r="BD253" i="5"/>
  <c r="AY253" i="5"/>
  <c r="BA253" i="5"/>
  <c r="BP253" i="5" s="1"/>
  <c r="AZ253" i="5"/>
  <c r="CK245" i="5"/>
  <c r="CF245" i="5"/>
  <c r="CI245" i="5"/>
  <c r="CE245" i="5"/>
  <c r="CD245" i="5"/>
  <c r="CC245" i="5"/>
  <c r="CA245" i="5"/>
  <c r="BY245" i="5"/>
  <c r="BW245" i="5"/>
  <c r="BU245" i="5"/>
  <c r="BV245" i="5"/>
  <c r="BR245" i="5"/>
  <c r="BT245" i="5"/>
  <c r="BS245" i="5"/>
  <c r="BQ245" i="5"/>
  <c r="BM245" i="5"/>
  <c r="BK245" i="5"/>
  <c r="BI245" i="5"/>
  <c r="BG245" i="5"/>
  <c r="BJ245" i="5"/>
  <c r="BH245" i="5"/>
  <c r="BF245" i="5"/>
  <c r="BE245" i="5"/>
  <c r="BD245" i="5"/>
  <c r="AY245" i="5"/>
  <c r="BA245" i="5"/>
  <c r="BP245" i="5" s="1"/>
  <c r="AZ245" i="5"/>
  <c r="CK237" i="5"/>
  <c r="CF237" i="5"/>
  <c r="CI237" i="5"/>
  <c r="CE237" i="5"/>
  <c r="CD237" i="5"/>
  <c r="CA237" i="5"/>
  <c r="BY237" i="5"/>
  <c r="BW237" i="5"/>
  <c r="BU237" i="5"/>
  <c r="BV237" i="5"/>
  <c r="BT237" i="5"/>
  <c r="BS237" i="5"/>
  <c r="BQ237" i="5"/>
  <c r="BM237" i="5"/>
  <c r="BK237" i="5"/>
  <c r="BN237" i="5"/>
  <c r="BJ237" i="5"/>
  <c r="BG237" i="5"/>
  <c r="BF237" i="5"/>
  <c r="BE237" i="5"/>
  <c r="BD237" i="5"/>
  <c r="BH237" i="5"/>
  <c r="AY237" i="5"/>
  <c r="BB237" i="5"/>
  <c r="AZ237" i="5"/>
  <c r="CK229" i="5"/>
  <c r="CI229" i="5"/>
  <c r="CF229" i="5"/>
  <c r="CE229" i="5"/>
  <c r="CD229" i="5"/>
  <c r="CC229" i="5"/>
  <c r="CA229" i="5"/>
  <c r="BY229" i="5"/>
  <c r="BW229" i="5"/>
  <c r="BU229" i="5"/>
  <c r="BV229" i="5"/>
  <c r="BR229" i="5"/>
  <c r="BS229" i="5"/>
  <c r="BT229" i="5"/>
  <c r="BQ229" i="5"/>
  <c r="BN229" i="5"/>
  <c r="BM229" i="5"/>
  <c r="BK229" i="5"/>
  <c r="BI229" i="5"/>
  <c r="BJ229" i="5"/>
  <c r="BG229" i="5"/>
  <c r="BF229" i="5"/>
  <c r="BH229" i="5"/>
  <c r="BE229" i="5"/>
  <c r="BD229" i="5"/>
  <c r="AY229" i="5"/>
  <c r="BB229" i="5"/>
  <c r="BA229" i="5"/>
  <c r="BP229" i="5" s="1"/>
  <c r="AZ229" i="5"/>
  <c r="CK221" i="5"/>
  <c r="CH221" i="5"/>
  <c r="CJ221" i="5"/>
  <c r="CG221" i="5"/>
  <c r="CI221" i="5"/>
  <c r="CF221" i="5"/>
  <c r="CE221" i="5"/>
  <c r="CC221" i="5"/>
  <c r="CD221" i="5"/>
  <c r="CA221" i="5"/>
  <c r="BX221" i="5"/>
  <c r="BZ221" i="5"/>
  <c r="BY221" i="5"/>
  <c r="BW221" i="5"/>
  <c r="BU221" i="5"/>
  <c r="BV221" i="5"/>
  <c r="BR221" i="5"/>
  <c r="BT221" i="5"/>
  <c r="BS221" i="5"/>
  <c r="BQ221" i="5"/>
  <c r="BM221" i="5"/>
  <c r="BN221" i="5"/>
  <c r="BK221" i="5"/>
  <c r="BL221" i="5"/>
  <c r="BI221" i="5"/>
  <c r="BG221" i="5"/>
  <c r="BJ221" i="5"/>
  <c r="BH221" i="5"/>
  <c r="BF221" i="5"/>
  <c r="BE221" i="5"/>
  <c r="BD221" i="5"/>
  <c r="AY221" i="5"/>
  <c r="BB221" i="5"/>
  <c r="BA221" i="5"/>
  <c r="BP221" i="5" s="1"/>
  <c r="AZ221" i="5"/>
  <c r="CK213" i="5"/>
  <c r="CJ213" i="5"/>
  <c r="CI213" i="5"/>
  <c r="CF213" i="5"/>
  <c r="CG213" i="5"/>
  <c r="CE213" i="5"/>
  <c r="CH213" i="5"/>
  <c r="CD213" i="5"/>
  <c r="CC213" i="5"/>
  <c r="CA213" i="5"/>
  <c r="BZ213" i="5"/>
  <c r="BX213" i="5"/>
  <c r="BY213" i="5"/>
  <c r="BW213" i="5"/>
  <c r="BU213" i="5"/>
  <c r="BV213" i="5"/>
  <c r="BR213" i="5"/>
  <c r="BT213" i="5"/>
  <c r="BS213" i="5"/>
  <c r="BQ213" i="5"/>
  <c r="BM213" i="5"/>
  <c r="BN213" i="5"/>
  <c r="BK213" i="5"/>
  <c r="BL213" i="5"/>
  <c r="BI213" i="5"/>
  <c r="BG213" i="5"/>
  <c r="BJ213" i="5"/>
  <c r="BH213" i="5"/>
  <c r="BF213" i="5"/>
  <c r="BE213" i="5"/>
  <c r="BD213" i="5"/>
  <c r="AY213" i="5"/>
  <c r="BB213" i="5"/>
  <c r="BA213" i="5"/>
  <c r="BP213" i="5" s="1"/>
  <c r="AZ213" i="5"/>
  <c r="CJ205" i="5"/>
  <c r="CK205" i="5"/>
  <c r="CI205" i="5"/>
  <c r="CH205" i="5"/>
  <c r="CG205" i="5"/>
  <c r="CF205" i="5"/>
  <c r="CE205" i="5"/>
  <c r="CD205" i="5"/>
  <c r="CC205" i="5"/>
  <c r="CA205" i="5"/>
  <c r="BY205" i="5"/>
  <c r="BZ205" i="5"/>
  <c r="BX205" i="5"/>
  <c r="BW205" i="5"/>
  <c r="BU205" i="5"/>
  <c r="BV205" i="5"/>
  <c r="BR205" i="5"/>
  <c r="BT205" i="5"/>
  <c r="BS205" i="5"/>
  <c r="BQ205" i="5"/>
  <c r="BM205" i="5"/>
  <c r="BK205" i="5"/>
  <c r="BN205" i="5"/>
  <c r="BL205" i="5"/>
  <c r="BJ205" i="5"/>
  <c r="BI205" i="5"/>
  <c r="BG205" i="5"/>
  <c r="BF205" i="5"/>
  <c r="BE205" i="5"/>
  <c r="BD205" i="5"/>
  <c r="BH205" i="5"/>
  <c r="AY205" i="5"/>
  <c r="BB205" i="5"/>
  <c r="BA205" i="5"/>
  <c r="BP205" i="5" s="1"/>
  <c r="AZ205" i="5"/>
  <c r="CJ197" i="5"/>
  <c r="CK197" i="5"/>
  <c r="CH197" i="5"/>
  <c r="CI197" i="5"/>
  <c r="CG197" i="5"/>
  <c r="CD197" i="5"/>
  <c r="CF197" i="5"/>
  <c r="CC197" i="5"/>
  <c r="CE197" i="5"/>
  <c r="BZ197" i="5"/>
  <c r="CA197" i="5"/>
  <c r="BX197" i="5"/>
  <c r="BY197" i="5"/>
  <c r="BW197" i="5"/>
  <c r="BU197" i="5"/>
  <c r="BV197" i="5"/>
  <c r="BR197" i="5"/>
  <c r="BS197" i="5"/>
  <c r="BT197" i="5"/>
  <c r="BQ197" i="5"/>
  <c r="BM197" i="5"/>
  <c r="BK197" i="5"/>
  <c r="BL197" i="5"/>
  <c r="BI197" i="5"/>
  <c r="BJ197" i="5"/>
  <c r="BG197" i="5"/>
  <c r="BF197" i="5"/>
  <c r="BH197" i="5"/>
  <c r="BE197" i="5"/>
  <c r="BD197" i="5"/>
  <c r="AY197" i="5"/>
  <c r="BA197" i="5"/>
  <c r="AZ197" i="5"/>
  <c r="CK189" i="5"/>
  <c r="CI189" i="5"/>
  <c r="CF189" i="5"/>
  <c r="CE189" i="5"/>
  <c r="CD189" i="5"/>
  <c r="CC189" i="5"/>
  <c r="CA189" i="5"/>
  <c r="BW189" i="5"/>
  <c r="BU189" i="5"/>
  <c r="BV189" i="5"/>
  <c r="BR189" i="5"/>
  <c r="BT189" i="5"/>
  <c r="BS189" i="5"/>
  <c r="BQ189" i="5"/>
  <c r="BK189" i="5"/>
  <c r="BI189" i="5"/>
  <c r="BH189" i="5"/>
  <c r="BG189" i="5"/>
  <c r="BJ189" i="5"/>
  <c r="BF189" i="5"/>
  <c r="BE189" i="5"/>
  <c r="AY189" i="5"/>
  <c r="BA189" i="5"/>
  <c r="BP189" i="5" s="1"/>
  <c r="AZ189" i="5"/>
  <c r="CK181" i="5"/>
  <c r="CI181" i="5"/>
  <c r="CF181" i="5"/>
  <c r="CE181" i="5"/>
  <c r="CC181" i="5"/>
  <c r="CA181" i="5"/>
  <c r="BY181" i="5"/>
  <c r="BW181" i="5"/>
  <c r="BU181" i="5"/>
  <c r="BV181" i="5"/>
  <c r="BR181" i="5"/>
  <c r="BS181" i="5"/>
  <c r="BQ181" i="5"/>
  <c r="BM181" i="5"/>
  <c r="BN181" i="5"/>
  <c r="BK181" i="5"/>
  <c r="BI181" i="5"/>
  <c r="BH181" i="5"/>
  <c r="BJ181" i="5"/>
  <c r="BF181" i="5"/>
  <c r="BE181" i="5"/>
  <c r="BD181" i="5"/>
  <c r="AY181" i="5"/>
  <c r="BB181" i="5"/>
  <c r="BA181" i="5"/>
  <c r="BP181" i="5" s="1"/>
  <c r="CK173" i="5"/>
  <c r="CI173" i="5"/>
  <c r="CF173" i="5"/>
  <c r="CD173" i="5"/>
  <c r="CA173" i="5"/>
  <c r="BW173" i="5"/>
  <c r="BU173" i="5"/>
  <c r="BV173" i="5"/>
  <c r="BR173" i="5"/>
  <c r="BQ173" i="5"/>
  <c r="BM173" i="5"/>
  <c r="BK173" i="5"/>
  <c r="BI173" i="5"/>
  <c r="BG173" i="5"/>
  <c r="BF173" i="5"/>
  <c r="BD173" i="5"/>
  <c r="AY173" i="5"/>
  <c r="BA173" i="5"/>
  <c r="BP173" i="5" s="1"/>
  <c r="CK165" i="5"/>
  <c r="CI165" i="5"/>
  <c r="CG165" i="5"/>
  <c r="CF165" i="5"/>
  <c r="CE165" i="5"/>
  <c r="CD165" i="5"/>
  <c r="CC165" i="5"/>
  <c r="CA165" i="5"/>
  <c r="BY165" i="5"/>
  <c r="BW165" i="5"/>
  <c r="BU165" i="5"/>
  <c r="BV165" i="5"/>
  <c r="BR165" i="5"/>
  <c r="BS165" i="5"/>
  <c r="BT165" i="5"/>
  <c r="BQ165" i="5"/>
  <c r="BN165" i="5"/>
  <c r="BM165" i="5"/>
  <c r="BK165" i="5"/>
  <c r="BI165" i="5"/>
  <c r="BH165" i="5"/>
  <c r="BJ165" i="5"/>
  <c r="BG165" i="5"/>
  <c r="BF165" i="5"/>
  <c r="BE165" i="5"/>
  <c r="BD165" i="5"/>
  <c r="AY165" i="5"/>
  <c r="BB165" i="5"/>
  <c r="BA165" i="5"/>
  <c r="BP165" i="5" s="1"/>
  <c r="AZ165" i="5"/>
  <c r="CJ157" i="5"/>
  <c r="CI157" i="5"/>
  <c r="CK157" i="5"/>
  <c r="CG157" i="5"/>
  <c r="CF157" i="5"/>
  <c r="CH157" i="5"/>
  <c r="CE157" i="5"/>
  <c r="CD157" i="5"/>
  <c r="CC157" i="5"/>
  <c r="CA157" i="5"/>
  <c r="BZ157" i="5"/>
  <c r="BY157" i="5"/>
  <c r="BX157" i="5"/>
  <c r="BW157" i="5"/>
  <c r="BU157" i="5"/>
  <c r="BV157" i="5"/>
  <c r="BR157" i="5"/>
  <c r="BT157" i="5"/>
  <c r="BS157" i="5"/>
  <c r="BQ157" i="5"/>
  <c r="BM157" i="5"/>
  <c r="BL157" i="5"/>
  <c r="BK157" i="5"/>
  <c r="BI157" i="5"/>
  <c r="BH157" i="5"/>
  <c r="BG157" i="5"/>
  <c r="BJ157" i="5"/>
  <c r="BF157" i="5"/>
  <c r="BE157" i="5"/>
  <c r="BD157" i="5"/>
  <c r="AY157" i="5"/>
  <c r="BA157" i="5"/>
  <c r="AZ157" i="5"/>
  <c r="CK149" i="5"/>
  <c r="CI149" i="5"/>
  <c r="CF149" i="5"/>
  <c r="CE149" i="5"/>
  <c r="CD149" i="5"/>
  <c r="CC149" i="5"/>
  <c r="CA149" i="5"/>
  <c r="BY149" i="5"/>
  <c r="BW149" i="5"/>
  <c r="BU149" i="5"/>
  <c r="BV149" i="5"/>
  <c r="BR149" i="5"/>
  <c r="BT149" i="5"/>
  <c r="BS149" i="5"/>
  <c r="BQ149" i="5"/>
  <c r="BM149" i="5"/>
  <c r="BN149" i="5"/>
  <c r="BK149" i="5"/>
  <c r="BI149" i="5"/>
  <c r="BH149" i="5"/>
  <c r="BG149" i="5"/>
  <c r="BJ149" i="5"/>
  <c r="BF149" i="5"/>
  <c r="BE149" i="5"/>
  <c r="BD149" i="5"/>
  <c r="AY149" i="5"/>
  <c r="BB149" i="5"/>
  <c r="BA149" i="5"/>
  <c r="BP149" i="5" s="1"/>
  <c r="AZ149" i="5"/>
  <c r="CK141" i="5"/>
  <c r="CI141" i="5"/>
  <c r="CE141" i="5"/>
  <c r="CD141" i="5"/>
  <c r="CF141" i="5"/>
  <c r="CC141" i="5"/>
  <c r="CA141" i="5"/>
  <c r="BY141" i="5"/>
  <c r="BW141" i="5"/>
  <c r="BU141" i="5"/>
  <c r="BV141" i="5"/>
  <c r="BR141" i="5"/>
  <c r="BT141" i="5"/>
  <c r="BS141" i="5"/>
  <c r="BQ141" i="5"/>
  <c r="BM141" i="5"/>
  <c r="BK141" i="5"/>
  <c r="BN141" i="5"/>
  <c r="BJ141" i="5"/>
  <c r="BI141" i="5"/>
  <c r="BH141" i="5"/>
  <c r="BG141" i="5"/>
  <c r="BF141" i="5"/>
  <c r="BE141" i="5"/>
  <c r="BD141" i="5"/>
  <c r="AY141" i="5"/>
  <c r="BB141" i="5"/>
  <c r="BA141" i="5"/>
  <c r="BP141" i="5" s="1"/>
  <c r="AZ141" i="5"/>
  <c r="CH133" i="5"/>
  <c r="CJ133" i="5"/>
  <c r="CG133" i="5"/>
  <c r="CI133" i="5"/>
  <c r="CF133" i="5"/>
  <c r="CK133" i="5"/>
  <c r="CE133" i="5"/>
  <c r="CC133" i="5"/>
  <c r="BZ133" i="5"/>
  <c r="CA133" i="5"/>
  <c r="BX133" i="5"/>
  <c r="BY133" i="5"/>
  <c r="BW133" i="5"/>
  <c r="BU133" i="5"/>
  <c r="BR133" i="5"/>
  <c r="BS133" i="5"/>
  <c r="BT133" i="5"/>
  <c r="BQ133" i="5"/>
  <c r="BN133" i="5"/>
  <c r="BL133" i="5"/>
  <c r="BM133" i="5"/>
  <c r="BI133" i="5"/>
  <c r="BH133" i="5"/>
  <c r="BJ133" i="5"/>
  <c r="BG133" i="5"/>
  <c r="BF133" i="5"/>
  <c r="BE133" i="5"/>
  <c r="BD133" i="5"/>
  <c r="BB133" i="5"/>
  <c r="BA133" i="5"/>
  <c r="BP133" i="5" s="1"/>
  <c r="AZ133" i="5"/>
  <c r="CJ125" i="5"/>
  <c r="CK125" i="5"/>
  <c r="CI125" i="5"/>
  <c r="CH125" i="5"/>
  <c r="CC125" i="5"/>
  <c r="CD125" i="5"/>
  <c r="CE125" i="5"/>
  <c r="CA125" i="5"/>
  <c r="BX125" i="5"/>
  <c r="BY125" i="5"/>
  <c r="BW125" i="5"/>
  <c r="BV125" i="5"/>
  <c r="BR125" i="5"/>
  <c r="BT125" i="5"/>
  <c r="BS125" i="5"/>
  <c r="BQ125" i="5"/>
  <c r="BN125" i="5"/>
  <c r="BK125" i="5"/>
  <c r="BI125" i="5"/>
  <c r="BH125" i="5"/>
  <c r="BG125" i="5"/>
  <c r="BJ125" i="5"/>
  <c r="BE125" i="5"/>
  <c r="BD125" i="5"/>
  <c r="AY125" i="5"/>
  <c r="BA125" i="5"/>
  <c r="BP125" i="5" s="1"/>
  <c r="AZ125" i="5"/>
  <c r="CK117" i="5"/>
  <c r="CF117" i="5"/>
  <c r="CE117" i="5"/>
  <c r="CD117" i="5"/>
  <c r="CI117" i="5"/>
  <c r="CC117" i="5"/>
  <c r="CA117" i="5"/>
  <c r="BY117" i="5"/>
  <c r="BW117" i="5"/>
  <c r="BU117" i="5"/>
  <c r="BV117" i="5"/>
  <c r="BR117" i="5"/>
  <c r="BT117" i="5"/>
  <c r="BS117" i="5"/>
  <c r="BQ117" i="5"/>
  <c r="BM117" i="5"/>
  <c r="BK117" i="5"/>
  <c r="BI117" i="5"/>
  <c r="BH117" i="5"/>
  <c r="BG117" i="5"/>
  <c r="BJ117" i="5"/>
  <c r="BF117" i="5"/>
  <c r="BE117" i="5"/>
  <c r="BD117" i="5"/>
  <c r="AY117" i="5"/>
  <c r="BA117" i="5"/>
  <c r="BP117" i="5" s="1"/>
  <c r="AZ117" i="5"/>
  <c r="CK109" i="5"/>
  <c r="CI109" i="5"/>
  <c r="CD109" i="5"/>
  <c r="CC109" i="5"/>
  <c r="CE109" i="5"/>
  <c r="CA109" i="5"/>
  <c r="BY109" i="5"/>
  <c r="BW109" i="5"/>
  <c r="BU109" i="5"/>
  <c r="BR109" i="5"/>
  <c r="BT109" i="5"/>
  <c r="BS109" i="5"/>
  <c r="BQ109" i="5"/>
  <c r="BM109" i="5"/>
  <c r="BK109" i="5"/>
  <c r="BJ109" i="5"/>
  <c r="BH109" i="5"/>
  <c r="BG109" i="5"/>
  <c r="BF109" i="5"/>
  <c r="BE109" i="5"/>
  <c r="BD109" i="5"/>
  <c r="AY109" i="5"/>
  <c r="BA109" i="5"/>
  <c r="BP109" i="5" s="1"/>
  <c r="CK101" i="5"/>
  <c r="CI101" i="5"/>
  <c r="CG101" i="5"/>
  <c r="CJ101" i="5"/>
  <c r="CH101" i="5"/>
  <c r="CF101" i="5"/>
  <c r="CE101" i="5"/>
  <c r="CD101" i="5"/>
  <c r="CC101" i="5"/>
  <c r="BZ101" i="5"/>
  <c r="CA101" i="5"/>
  <c r="BX101" i="5"/>
  <c r="BY101" i="5"/>
  <c r="BW101" i="5"/>
  <c r="BU101" i="5"/>
  <c r="BV101" i="5"/>
  <c r="BR101" i="5"/>
  <c r="BS101" i="5"/>
  <c r="BT101" i="5"/>
  <c r="BQ101" i="5"/>
  <c r="BN101" i="5"/>
  <c r="BM101" i="5"/>
  <c r="BL101" i="5"/>
  <c r="BK101" i="5"/>
  <c r="BI101" i="5"/>
  <c r="BH101" i="5"/>
  <c r="BJ101" i="5"/>
  <c r="BG101" i="5"/>
  <c r="BF101" i="5"/>
  <c r="BE101" i="5"/>
  <c r="BD101" i="5"/>
  <c r="AY101" i="5"/>
  <c r="BB101" i="5"/>
  <c r="BA101" i="5"/>
  <c r="BP101" i="5" s="1"/>
  <c r="AZ101" i="5"/>
  <c r="CK93" i="5"/>
  <c r="CJ93" i="5"/>
  <c r="CH93" i="5"/>
  <c r="CI93" i="5"/>
  <c r="CF93" i="5"/>
  <c r="CG93" i="5"/>
  <c r="CE93" i="5"/>
  <c r="CC93" i="5"/>
  <c r="CD93" i="5"/>
  <c r="CA93" i="5"/>
  <c r="BX93" i="5"/>
  <c r="BZ93" i="5"/>
  <c r="BY93" i="5"/>
  <c r="BW93" i="5"/>
  <c r="BU93" i="5"/>
  <c r="BV93" i="5"/>
  <c r="BR93" i="5"/>
  <c r="BT93" i="5"/>
  <c r="BS93" i="5"/>
  <c r="BQ93" i="5"/>
  <c r="BM93" i="5"/>
  <c r="BN93" i="5"/>
  <c r="BL93" i="5"/>
  <c r="BK93" i="5"/>
  <c r="BI93" i="5"/>
  <c r="BH93" i="5"/>
  <c r="BG93" i="5"/>
  <c r="BJ93" i="5"/>
  <c r="BF93" i="5"/>
  <c r="BE93" i="5"/>
  <c r="BD93" i="5"/>
  <c r="AY93" i="5"/>
  <c r="BB93" i="5"/>
  <c r="BA93" i="5"/>
  <c r="BP93" i="5" s="1"/>
  <c r="AZ93" i="5"/>
  <c r="CK85" i="5"/>
  <c r="CG85" i="5"/>
  <c r="CH85" i="5"/>
  <c r="CI85" i="5"/>
  <c r="CF85" i="5"/>
  <c r="CE85" i="5"/>
  <c r="CD85" i="5"/>
  <c r="CC85" i="5"/>
  <c r="BZ85" i="5"/>
  <c r="BX85" i="5"/>
  <c r="BY85" i="5"/>
  <c r="BW85" i="5"/>
  <c r="BU85" i="5"/>
  <c r="BV85" i="5"/>
  <c r="BR85" i="5"/>
  <c r="BS85" i="5"/>
  <c r="BQ85" i="5"/>
  <c r="BM85" i="5"/>
  <c r="BN85" i="5"/>
  <c r="BK85" i="5"/>
  <c r="BL85" i="5"/>
  <c r="BI85" i="5"/>
  <c r="BG85" i="5"/>
  <c r="BJ85" i="5"/>
  <c r="BF85" i="5"/>
  <c r="BE85" i="5"/>
  <c r="BD85" i="5"/>
  <c r="AY85" i="5"/>
  <c r="BB85" i="5"/>
  <c r="AZ85" i="5"/>
  <c r="CK77" i="5"/>
  <c r="CI77" i="5"/>
  <c r="CF77" i="5"/>
  <c r="CE77" i="5"/>
  <c r="CC77" i="5"/>
  <c r="CD77" i="5"/>
  <c r="CA77" i="5"/>
  <c r="BY77" i="5"/>
  <c r="BW77" i="5"/>
  <c r="BU77" i="5"/>
  <c r="BV77" i="5"/>
  <c r="BR77" i="5"/>
  <c r="BT77" i="5"/>
  <c r="BS77" i="5"/>
  <c r="BQ77" i="5"/>
  <c r="BM77" i="5"/>
  <c r="BK77" i="5"/>
  <c r="BN77" i="5"/>
  <c r="BJ77" i="5"/>
  <c r="BI77" i="5"/>
  <c r="BH77" i="5"/>
  <c r="BG77" i="5"/>
  <c r="BF77" i="5"/>
  <c r="BE77" i="5"/>
  <c r="BD77" i="5"/>
  <c r="AY77" i="5"/>
  <c r="BB77" i="5"/>
  <c r="BA77" i="5"/>
  <c r="BP77" i="5" s="1"/>
  <c r="AZ77" i="5"/>
  <c r="CK69" i="5"/>
  <c r="CI69" i="5"/>
  <c r="CG69" i="5"/>
  <c r="CF69" i="5"/>
  <c r="CD69" i="5"/>
  <c r="CJ69" i="5"/>
  <c r="CH69" i="5"/>
  <c r="CE69" i="5"/>
  <c r="CC69" i="5"/>
  <c r="BZ69" i="5"/>
  <c r="CA69" i="5"/>
  <c r="BY69" i="5"/>
  <c r="BX69" i="5"/>
  <c r="BW69" i="5"/>
  <c r="BU69" i="5"/>
  <c r="BV69" i="5"/>
  <c r="BR69" i="5"/>
  <c r="BS69" i="5"/>
  <c r="BT69" i="5"/>
  <c r="BQ69" i="5"/>
  <c r="BN69" i="5"/>
  <c r="BM69" i="5"/>
  <c r="BK69" i="5"/>
  <c r="BL69" i="5"/>
  <c r="BI69" i="5"/>
  <c r="BH69" i="5"/>
  <c r="BJ69" i="5"/>
  <c r="BG69" i="5"/>
  <c r="BF69" i="5"/>
  <c r="BE69" i="5"/>
  <c r="BD69" i="5"/>
  <c r="AY69" i="5"/>
  <c r="BB69" i="5"/>
  <c r="BA69" i="5"/>
  <c r="BP69" i="5" s="1"/>
  <c r="AZ69" i="5"/>
  <c r="CI61" i="5"/>
  <c r="CK61" i="5"/>
  <c r="CG61" i="5"/>
  <c r="CF61" i="5"/>
  <c r="CE61" i="5"/>
  <c r="CD61" i="5"/>
  <c r="CC61" i="5"/>
  <c r="CA61" i="5"/>
  <c r="BY61" i="5"/>
  <c r="BW61" i="5"/>
  <c r="BU61" i="5"/>
  <c r="BV61" i="5"/>
  <c r="BR61" i="5"/>
  <c r="BT61" i="5"/>
  <c r="BS61" i="5"/>
  <c r="BQ61" i="5"/>
  <c r="BM61" i="5"/>
  <c r="BK61" i="5"/>
  <c r="BI61" i="5"/>
  <c r="BH61" i="5"/>
  <c r="BG61" i="5"/>
  <c r="BJ61" i="5"/>
  <c r="BF61" i="5"/>
  <c r="BE61" i="5"/>
  <c r="BD61" i="5"/>
  <c r="AY61" i="5"/>
  <c r="BA61" i="5"/>
  <c r="BP61" i="5" s="1"/>
  <c r="AZ61" i="5"/>
  <c r="CK53" i="5"/>
  <c r="CI53" i="5"/>
  <c r="CE53" i="5"/>
  <c r="CD53" i="5"/>
  <c r="CC53" i="5"/>
  <c r="CA53" i="5"/>
  <c r="BY53" i="5"/>
  <c r="BW53" i="5"/>
  <c r="BU53" i="5"/>
  <c r="BR53" i="5"/>
  <c r="BT53" i="5"/>
  <c r="BS53" i="5"/>
  <c r="BQ53" i="5"/>
  <c r="BM53" i="5"/>
  <c r="BK53" i="5"/>
  <c r="BI53" i="5"/>
  <c r="BG53" i="5"/>
  <c r="BJ53" i="5"/>
  <c r="BF53" i="5"/>
  <c r="BE53" i="5"/>
  <c r="BD53" i="5"/>
  <c r="AY53" i="5"/>
  <c r="BA53" i="5"/>
  <c r="BP53" i="5" s="1"/>
  <c r="CK45" i="5"/>
  <c r="CH45" i="5"/>
  <c r="CG45" i="5"/>
  <c r="CF45" i="5"/>
  <c r="CE45" i="5"/>
  <c r="CD45" i="5"/>
  <c r="BX45" i="5"/>
  <c r="BZ45" i="5"/>
  <c r="BY45" i="5"/>
  <c r="BW45" i="5"/>
  <c r="BU45" i="5"/>
  <c r="BV45" i="5"/>
  <c r="BS45" i="5"/>
  <c r="BQ45" i="5"/>
  <c r="BM45" i="5"/>
  <c r="BK45" i="5"/>
  <c r="BL45" i="5"/>
  <c r="BJ45" i="5"/>
  <c r="BI45" i="5"/>
  <c r="BF45" i="5"/>
  <c r="BE45" i="5"/>
  <c r="BD45" i="5"/>
  <c r="AY45" i="5"/>
  <c r="BA45" i="5"/>
  <c r="AZ45" i="5"/>
  <c r="CK37" i="5"/>
  <c r="CI37" i="5"/>
  <c r="CH37" i="5"/>
  <c r="CJ37" i="5"/>
  <c r="CG37" i="5"/>
  <c r="CF37" i="5"/>
  <c r="CE37" i="5"/>
  <c r="CC37" i="5"/>
  <c r="CD37" i="5"/>
  <c r="BZ37" i="5"/>
  <c r="CA37" i="5"/>
  <c r="BY37" i="5"/>
  <c r="BX37" i="5"/>
  <c r="BW37" i="5"/>
  <c r="BU37" i="5"/>
  <c r="BV37" i="5"/>
  <c r="BR37" i="5"/>
  <c r="BS37" i="5"/>
  <c r="BT37" i="5"/>
  <c r="BQ37" i="5"/>
  <c r="BN37" i="5"/>
  <c r="BL37" i="5"/>
  <c r="BM37" i="5"/>
  <c r="BK37" i="5"/>
  <c r="BI37" i="5"/>
  <c r="BH37" i="5"/>
  <c r="BJ37" i="5"/>
  <c r="BG37" i="5"/>
  <c r="BF37" i="5"/>
  <c r="BE37" i="5"/>
  <c r="BD37" i="5"/>
  <c r="AY37" i="5"/>
  <c r="BB37" i="5"/>
  <c r="BA37" i="5"/>
  <c r="BP37" i="5" s="1"/>
  <c r="AZ37" i="5"/>
  <c r="CJ29" i="5"/>
  <c r="CI29" i="5"/>
  <c r="CH29" i="5"/>
  <c r="CK29" i="5"/>
  <c r="CG29" i="5"/>
  <c r="CF29" i="5"/>
  <c r="CE29" i="5"/>
  <c r="CC29" i="5"/>
  <c r="CD29" i="5"/>
  <c r="CA29" i="5"/>
  <c r="BX29" i="5"/>
  <c r="BZ29" i="5"/>
  <c r="BY29" i="5"/>
  <c r="BW29" i="5"/>
  <c r="BU29" i="5"/>
  <c r="BV29" i="5"/>
  <c r="BR29" i="5"/>
  <c r="BT29" i="5"/>
  <c r="BS29" i="5"/>
  <c r="BQ29" i="5"/>
  <c r="BM29" i="5"/>
  <c r="BN29" i="5"/>
  <c r="BK29" i="5"/>
  <c r="BL29" i="5"/>
  <c r="BI29" i="5"/>
  <c r="BH29" i="5"/>
  <c r="BG29" i="5"/>
  <c r="BJ29" i="5"/>
  <c r="BF29" i="5"/>
  <c r="BE29" i="5"/>
  <c r="BD29" i="5"/>
  <c r="AY29" i="5"/>
  <c r="BB29" i="5"/>
  <c r="BA29" i="5"/>
  <c r="BP29" i="5" s="1"/>
  <c r="AZ29" i="5"/>
  <c r="CK21" i="5"/>
  <c r="CI21" i="5"/>
  <c r="CE21" i="5"/>
  <c r="CC21" i="5"/>
  <c r="CA21" i="5"/>
  <c r="BY21" i="5"/>
  <c r="BW21" i="5"/>
  <c r="BV21" i="5"/>
  <c r="BR21" i="5"/>
  <c r="BT21" i="5"/>
  <c r="BQ21" i="5"/>
  <c r="BM21" i="5"/>
  <c r="BN21" i="5"/>
  <c r="BK21" i="5"/>
  <c r="BH21" i="5"/>
  <c r="BG21" i="5"/>
  <c r="BJ21" i="5"/>
  <c r="BE21" i="5"/>
  <c r="BD21" i="5"/>
  <c r="AY21" i="5"/>
  <c r="BA21" i="5"/>
  <c r="BP21" i="5" s="1"/>
  <c r="AZ21" i="5"/>
  <c r="CK13" i="5"/>
  <c r="CI13" i="5"/>
  <c r="CF13" i="5"/>
  <c r="CE13" i="5"/>
  <c r="CD13" i="5"/>
  <c r="CC13" i="5"/>
  <c r="CA13" i="5"/>
  <c r="BY13" i="5"/>
  <c r="BW13" i="5"/>
  <c r="BV13" i="5"/>
  <c r="BU13" i="5"/>
  <c r="BR13" i="5"/>
  <c r="BT13" i="5"/>
  <c r="BS13" i="5"/>
  <c r="BQ13" i="5"/>
  <c r="BM13" i="5"/>
  <c r="BK13" i="5"/>
  <c r="BN13" i="5"/>
  <c r="BJ13" i="5"/>
  <c r="BH13" i="5"/>
  <c r="BG13" i="5"/>
  <c r="BI13" i="5"/>
  <c r="BF13" i="5"/>
  <c r="BE13" i="5"/>
  <c r="BD13" i="5"/>
  <c r="AY13" i="5"/>
  <c r="BB13" i="5"/>
  <c r="BA13" i="5"/>
  <c r="BP13" i="5" s="1"/>
  <c r="AZ13" i="5"/>
  <c r="CK5" i="5"/>
  <c r="CJ5" i="5"/>
  <c r="CH5" i="5"/>
  <c r="CG5" i="5"/>
  <c r="CF5" i="5"/>
  <c r="CI5" i="5"/>
  <c r="CE5" i="5"/>
  <c r="CD5" i="5"/>
  <c r="CC5" i="5"/>
  <c r="BZ5" i="5"/>
  <c r="BX5" i="5"/>
  <c r="CA5" i="5"/>
  <c r="BY5" i="5"/>
  <c r="BW5" i="5"/>
  <c r="BU5" i="5"/>
  <c r="BV5" i="5"/>
  <c r="BR5" i="5"/>
  <c r="BS5" i="5"/>
  <c r="BT5" i="5"/>
  <c r="BQ5" i="5"/>
  <c r="BN5" i="5"/>
  <c r="BL5" i="5"/>
  <c r="BM5" i="5"/>
  <c r="BK5" i="5"/>
  <c r="BH5" i="5"/>
  <c r="BJ5" i="5"/>
  <c r="BG5" i="5"/>
  <c r="BI5" i="5"/>
  <c r="BF5" i="5"/>
  <c r="BE5" i="5"/>
  <c r="BD5" i="5"/>
  <c r="AY5" i="5"/>
  <c r="BB5" i="5"/>
  <c r="BA5" i="5"/>
  <c r="BP5" i="5" s="1"/>
  <c r="AZ5" i="5"/>
  <c r="AY672" i="5"/>
  <c r="AY640" i="5"/>
  <c r="AZ672" i="5"/>
  <c r="AZ640" i="5"/>
  <c r="AZ608" i="5"/>
  <c r="AZ576" i="5"/>
  <c r="AZ544" i="5"/>
  <c r="AZ512" i="5"/>
  <c r="AZ480" i="5"/>
  <c r="AZ448" i="5"/>
  <c r="AU129" i="5"/>
  <c r="BN129" i="5" s="1"/>
  <c r="AU145" i="5"/>
  <c r="BN145" i="5" s="1"/>
  <c r="AU153" i="5"/>
  <c r="BN153" i="5" s="1"/>
  <c r="AU161" i="5"/>
  <c r="BN161" i="5" s="1"/>
  <c r="AU169" i="5"/>
  <c r="AU177" i="5"/>
  <c r="BN177" i="5" s="1"/>
  <c r="AU185" i="5"/>
  <c r="BN185" i="5" s="1"/>
  <c r="AU193" i="5"/>
  <c r="BN193" i="5" s="1"/>
  <c r="AU201" i="5"/>
  <c r="BB201" i="5" s="1"/>
  <c r="AU209" i="5"/>
  <c r="BN209" i="5" s="1"/>
  <c r="AU217" i="5"/>
  <c r="BN217" i="5" s="1"/>
  <c r="AU225" i="5"/>
  <c r="BB225" i="5" s="1"/>
  <c r="AU233" i="5"/>
  <c r="AU241" i="5"/>
  <c r="BN241" i="5" s="1"/>
  <c r="AU249" i="5"/>
  <c r="BN249" i="5" s="1"/>
  <c r="AU257" i="5"/>
  <c r="BB257" i="5" s="1"/>
  <c r="AU265" i="5"/>
  <c r="BN265" i="5" s="1"/>
  <c r="AU273" i="5"/>
  <c r="BN273" i="5" s="1"/>
  <c r="AU281" i="5"/>
  <c r="AU289" i="5"/>
  <c r="BN289" i="5" s="1"/>
  <c r="AU297" i="5"/>
  <c r="AU305" i="5"/>
  <c r="BB305" i="5" s="1"/>
  <c r="AU313" i="5"/>
  <c r="BN313" i="5" s="1"/>
  <c r="AU321" i="5"/>
  <c r="AU329" i="5"/>
  <c r="BN329" i="5" s="1"/>
  <c r="AU337" i="5"/>
  <c r="AU345" i="5"/>
  <c r="BN345" i="5" s="1"/>
  <c r="AU353" i="5"/>
  <c r="BN353" i="5" s="1"/>
  <c r="AU361" i="5"/>
  <c r="AU369" i="5"/>
  <c r="BN369" i="5" s="1"/>
  <c r="AU377" i="5"/>
  <c r="BN377" i="5" s="1"/>
  <c r="AU385" i="5"/>
  <c r="BN385" i="5" s="1"/>
  <c r="AU393" i="5"/>
  <c r="BN393" i="5" s="1"/>
  <c r="AU401" i="5"/>
  <c r="BN401" i="5" s="1"/>
  <c r="AU409" i="5"/>
  <c r="BN409" i="5" s="1"/>
  <c r="AU417" i="5"/>
  <c r="BB417" i="5" s="1"/>
  <c r="AU425" i="5"/>
  <c r="BN425" i="5" s="1"/>
  <c r="AU433" i="5"/>
  <c r="BN433" i="5" s="1"/>
  <c r="AU441" i="5"/>
  <c r="BN441" i="5" s="1"/>
  <c r="AU449" i="5"/>
  <c r="BB449" i="5" s="1"/>
  <c r="AU457" i="5"/>
  <c r="AU465" i="5"/>
  <c r="BN465" i="5" s="1"/>
  <c r="AU473" i="5"/>
  <c r="BN473" i="5" s="1"/>
  <c r="AU481" i="5"/>
  <c r="BN481" i="5" s="1"/>
  <c r="AU489" i="5"/>
  <c r="BB489" i="5" s="1"/>
  <c r="AU497" i="5"/>
  <c r="BN497" i="5" s="1"/>
  <c r="AU505" i="5"/>
  <c r="BN505" i="5" s="1"/>
  <c r="AU513" i="5"/>
  <c r="BB513" i="5" s="1"/>
  <c r="AU521" i="5"/>
  <c r="BN521" i="5" s="1"/>
  <c r="AU529" i="5"/>
  <c r="BN529" i="5" s="1"/>
  <c r="AU537" i="5"/>
  <c r="BB537" i="5" s="1"/>
  <c r="AU545" i="5"/>
  <c r="BN545" i="5" s="1"/>
  <c r="AU553" i="5"/>
  <c r="BB553" i="5" s="1"/>
  <c r="AU561" i="5"/>
  <c r="BN561" i="5" s="1"/>
  <c r="AU569" i="5"/>
  <c r="BB569" i="5" s="1"/>
  <c r="AU577" i="5"/>
  <c r="BN577" i="5" s="1"/>
  <c r="AU585" i="5"/>
  <c r="BN585" i="5" s="1"/>
  <c r="AU593" i="5"/>
  <c r="BN593" i="5" s="1"/>
  <c r="AU601" i="5"/>
  <c r="BN601" i="5" s="1"/>
  <c r="AU609" i="5"/>
  <c r="BN609" i="5" s="1"/>
  <c r="AU617" i="5"/>
  <c r="AU625" i="5"/>
  <c r="BB625" i="5" s="1"/>
  <c r="AU633" i="5"/>
  <c r="AU641" i="5"/>
  <c r="BB641" i="5" s="1"/>
  <c r="AU649" i="5"/>
  <c r="BB649" i="5" s="1"/>
  <c r="AU657" i="5"/>
  <c r="BB657" i="5" s="1"/>
  <c r="AU665" i="5"/>
  <c r="BN665" i="5" s="1"/>
  <c r="AU673" i="5"/>
  <c r="BN673" i="5" s="1"/>
  <c r="AU681" i="5"/>
  <c r="BN681" i="5" s="1"/>
  <c r="AU689" i="5"/>
  <c r="BN689" i="5" s="1"/>
  <c r="AU697" i="5"/>
  <c r="BB697" i="5" s="1"/>
  <c r="AV440" i="5"/>
  <c r="BC440" i="5" s="1"/>
  <c r="AV472" i="5"/>
  <c r="BO472" i="5" s="1"/>
  <c r="AV504" i="5"/>
  <c r="BC504" i="5" s="1"/>
  <c r="AV536" i="5"/>
  <c r="BC536" i="5" s="1"/>
  <c r="AV568" i="5"/>
  <c r="BC568" i="5" s="1"/>
  <c r="AV600" i="5"/>
  <c r="BO600" i="5" s="1"/>
  <c r="AV632" i="5"/>
  <c r="BC632" i="5" s="1"/>
  <c r="AV648" i="5"/>
  <c r="BC648" i="5" s="1"/>
  <c r="AV664" i="5"/>
  <c r="BC664" i="5" s="1"/>
  <c r="AV680" i="5"/>
  <c r="BC680" i="5" s="1"/>
  <c r="CJ697" i="5"/>
  <c r="CI697" i="5"/>
  <c r="CG697" i="5"/>
  <c r="CK697" i="5"/>
  <c r="CE697" i="5"/>
  <c r="CC697" i="5"/>
  <c r="CF697" i="5"/>
  <c r="CH697" i="5"/>
  <c r="CD697" i="5"/>
  <c r="CA697" i="5"/>
  <c r="BZ697" i="5"/>
  <c r="BY697" i="5"/>
  <c r="BX697" i="5"/>
  <c r="BW697" i="5"/>
  <c r="BV697" i="5"/>
  <c r="BU697" i="5"/>
  <c r="BS697" i="5"/>
  <c r="BR697" i="5"/>
  <c r="BT697" i="5"/>
  <c r="BQ697" i="5"/>
  <c r="BL697" i="5"/>
  <c r="BO697" i="5"/>
  <c r="BM697" i="5"/>
  <c r="BJ697" i="5"/>
  <c r="BI697" i="5"/>
  <c r="BK697" i="5"/>
  <c r="BE697" i="5"/>
  <c r="BD697" i="5"/>
  <c r="BG697" i="5"/>
  <c r="BH697" i="5"/>
  <c r="BF697" i="5"/>
  <c r="BC697" i="5"/>
  <c r="BA697" i="5"/>
  <c r="BP697" i="5" s="1"/>
  <c r="AZ697" i="5"/>
  <c r="AY697" i="5"/>
  <c r="CJ689" i="5"/>
  <c r="CI689" i="5"/>
  <c r="CK689" i="5"/>
  <c r="CE689" i="5"/>
  <c r="CF689" i="5"/>
  <c r="CC689" i="5"/>
  <c r="CH689" i="5"/>
  <c r="CG689" i="5"/>
  <c r="CD689" i="5"/>
  <c r="BZ689" i="5"/>
  <c r="BX689" i="5"/>
  <c r="BW689" i="5"/>
  <c r="BY689" i="5"/>
  <c r="CA689" i="5"/>
  <c r="BU689" i="5"/>
  <c r="BV689" i="5"/>
  <c r="BT689" i="5"/>
  <c r="BS689" i="5"/>
  <c r="BR689" i="5"/>
  <c r="BQ689" i="5"/>
  <c r="BM689" i="5"/>
  <c r="BL689" i="5"/>
  <c r="BO689" i="5"/>
  <c r="BK689" i="5"/>
  <c r="BJ689" i="5"/>
  <c r="BI689" i="5"/>
  <c r="BE689" i="5"/>
  <c r="BD689" i="5"/>
  <c r="BH689" i="5"/>
  <c r="BG689" i="5"/>
  <c r="BF689" i="5"/>
  <c r="BC689" i="5"/>
  <c r="BA689" i="5"/>
  <c r="BP689" i="5" s="1"/>
  <c r="AZ689" i="5"/>
  <c r="AY689" i="5"/>
  <c r="CJ681" i="5"/>
  <c r="CI681" i="5"/>
  <c r="CK681" i="5"/>
  <c r="CG681" i="5"/>
  <c r="CE681" i="5"/>
  <c r="CH681" i="5"/>
  <c r="CF681" i="5"/>
  <c r="CC681" i="5"/>
  <c r="CD681" i="5"/>
  <c r="CA681" i="5"/>
  <c r="BZ681" i="5"/>
  <c r="BX681" i="5"/>
  <c r="BW681" i="5"/>
  <c r="BY681" i="5"/>
  <c r="BV681" i="5"/>
  <c r="BU681" i="5"/>
  <c r="BT681" i="5"/>
  <c r="BS681" i="5"/>
  <c r="BR681" i="5"/>
  <c r="BQ681" i="5"/>
  <c r="BO681" i="5"/>
  <c r="BM681" i="5"/>
  <c r="BL681" i="5"/>
  <c r="BK681" i="5"/>
  <c r="BI681" i="5"/>
  <c r="BJ681" i="5"/>
  <c r="BE681" i="5"/>
  <c r="BD681" i="5"/>
  <c r="BG681" i="5"/>
  <c r="BH681" i="5"/>
  <c r="BF681" i="5"/>
  <c r="BC681" i="5"/>
  <c r="BA681" i="5"/>
  <c r="BP681" i="5" s="1"/>
  <c r="AZ681" i="5"/>
  <c r="AY681" i="5"/>
  <c r="CK673" i="5"/>
  <c r="CJ673" i="5"/>
  <c r="CI673" i="5"/>
  <c r="CH673" i="5"/>
  <c r="CE673" i="5"/>
  <c r="CG673" i="5"/>
  <c r="CC673" i="5"/>
  <c r="CF673" i="5"/>
  <c r="CD673" i="5"/>
  <c r="BZ673" i="5"/>
  <c r="BY673" i="5"/>
  <c r="BW673" i="5"/>
  <c r="CA673" i="5"/>
  <c r="BV673" i="5"/>
  <c r="BX673" i="5"/>
  <c r="BU673" i="5"/>
  <c r="BS673" i="5"/>
  <c r="BR673" i="5"/>
  <c r="BT673" i="5"/>
  <c r="BQ673" i="5"/>
  <c r="BK673" i="5"/>
  <c r="BO673" i="5"/>
  <c r="BM673" i="5"/>
  <c r="BL673" i="5"/>
  <c r="BJ673" i="5"/>
  <c r="BI673" i="5"/>
  <c r="BE673" i="5"/>
  <c r="BD673" i="5"/>
  <c r="BH673" i="5"/>
  <c r="BG673" i="5"/>
  <c r="BF673" i="5"/>
  <c r="BC673" i="5"/>
  <c r="BA673" i="5"/>
  <c r="BP673" i="5" s="1"/>
  <c r="AZ673" i="5"/>
  <c r="AY673" i="5"/>
  <c r="CI665" i="5"/>
  <c r="CH665" i="5"/>
  <c r="CE665" i="5"/>
  <c r="CK665" i="5"/>
  <c r="CJ665" i="5"/>
  <c r="CG665" i="5"/>
  <c r="CC665" i="5"/>
  <c r="CD665" i="5"/>
  <c r="CF665" i="5"/>
  <c r="CA665" i="5"/>
  <c r="BZ665" i="5"/>
  <c r="BY665" i="5"/>
  <c r="BW665" i="5"/>
  <c r="BX665" i="5"/>
  <c r="BV665" i="5"/>
  <c r="BU665" i="5"/>
  <c r="BS665" i="5"/>
  <c r="BR665" i="5"/>
  <c r="BT665" i="5"/>
  <c r="BQ665" i="5"/>
  <c r="BK665" i="5"/>
  <c r="BO665" i="5"/>
  <c r="BM665" i="5"/>
  <c r="BL665" i="5"/>
  <c r="BJ665" i="5"/>
  <c r="BI665" i="5"/>
  <c r="BE665" i="5"/>
  <c r="BD665" i="5"/>
  <c r="BG665" i="5"/>
  <c r="BH665" i="5"/>
  <c r="BF665" i="5"/>
  <c r="BC665" i="5"/>
  <c r="BA665" i="5"/>
  <c r="BP665" i="5" s="1"/>
  <c r="AZ665" i="5"/>
  <c r="AY665" i="5"/>
  <c r="CJ657" i="5"/>
  <c r="CI657" i="5"/>
  <c r="CK657" i="5"/>
  <c r="CE657" i="5"/>
  <c r="CG657" i="5"/>
  <c r="CF657" i="5"/>
  <c r="CC657" i="5"/>
  <c r="CH657" i="5"/>
  <c r="CD657" i="5"/>
  <c r="BZ657" i="5"/>
  <c r="CA657" i="5"/>
  <c r="BW657" i="5"/>
  <c r="BY657" i="5"/>
  <c r="BX657" i="5"/>
  <c r="BU657" i="5"/>
  <c r="BV657" i="5"/>
  <c r="BT657" i="5"/>
  <c r="BS657" i="5"/>
  <c r="BR657" i="5"/>
  <c r="BQ657" i="5"/>
  <c r="BK657" i="5"/>
  <c r="BM657" i="5"/>
  <c r="BO657" i="5"/>
  <c r="BL657" i="5"/>
  <c r="BJ657" i="5"/>
  <c r="BI657" i="5"/>
  <c r="BE657" i="5"/>
  <c r="BD657" i="5"/>
  <c r="BH657" i="5"/>
  <c r="BG657" i="5"/>
  <c r="BF657" i="5"/>
  <c r="BC657" i="5"/>
  <c r="BA657" i="5"/>
  <c r="BP657" i="5" s="1"/>
  <c r="AZ657" i="5"/>
  <c r="AY657" i="5"/>
  <c r="CI649" i="5"/>
  <c r="CK649" i="5"/>
  <c r="CJ649" i="5"/>
  <c r="CH649" i="5"/>
  <c r="CE649" i="5"/>
  <c r="CG649" i="5"/>
  <c r="CC649" i="5"/>
  <c r="CF649" i="5"/>
  <c r="CD649" i="5"/>
  <c r="CA649" i="5"/>
  <c r="BZ649" i="5"/>
  <c r="BW649" i="5"/>
  <c r="BX649" i="5"/>
  <c r="BY649" i="5"/>
  <c r="BV649" i="5"/>
  <c r="BU649" i="5"/>
  <c r="BT649" i="5"/>
  <c r="BS649" i="5"/>
  <c r="BR649" i="5"/>
  <c r="BQ649" i="5"/>
  <c r="BO649" i="5"/>
  <c r="BK649" i="5"/>
  <c r="BM649" i="5"/>
  <c r="BL649" i="5"/>
  <c r="BI649" i="5"/>
  <c r="BJ649" i="5"/>
  <c r="BE649" i="5"/>
  <c r="BD649" i="5"/>
  <c r="BG649" i="5"/>
  <c r="BH649" i="5"/>
  <c r="BF649" i="5"/>
  <c r="BC649" i="5"/>
  <c r="BA649" i="5"/>
  <c r="BP649" i="5" s="1"/>
  <c r="AZ649" i="5"/>
  <c r="AY649" i="5"/>
  <c r="CK641" i="5"/>
  <c r="CJ641" i="5"/>
  <c r="CI641" i="5"/>
  <c r="CH641" i="5"/>
  <c r="CE641" i="5"/>
  <c r="CG641" i="5"/>
  <c r="CC641" i="5"/>
  <c r="CF641" i="5"/>
  <c r="CD641" i="5"/>
  <c r="BZ641" i="5"/>
  <c r="BY641" i="5"/>
  <c r="CA641" i="5"/>
  <c r="BW641" i="5"/>
  <c r="BX641" i="5"/>
  <c r="BV641" i="5"/>
  <c r="BU641" i="5"/>
  <c r="BS641" i="5"/>
  <c r="BR641" i="5"/>
  <c r="BT641" i="5"/>
  <c r="BQ641" i="5"/>
  <c r="BK641" i="5"/>
  <c r="BO641" i="5"/>
  <c r="BM641" i="5"/>
  <c r="BL641" i="5"/>
  <c r="BJ641" i="5"/>
  <c r="BI641" i="5"/>
  <c r="BE641" i="5"/>
  <c r="BD641" i="5"/>
  <c r="BH641" i="5"/>
  <c r="BG641" i="5"/>
  <c r="BF641" i="5"/>
  <c r="BC641" i="5"/>
  <c r="BA641" i="5"/>
  <c r="BP641" i="5" s="1"/>
  <c r="AZ641" i="5"/>
  <c r="AY641" i="5"/>
  <c r="CH633" i="5"/>
  <c r="CH765" i="5" s="1"/>
  <c r="CH766" i="5" s="1"/>
  <c r="CK633" i="5"/>
  <c r="CK765" i="5" s="1"/>
  <c r="CK766" i="5" s="1"/>
  <c r="CJ633" i="5"/>
  <c r="CJ765" i="5" s="1"/>
  <c r="CJ766" i="5" s="1"/>
  <c r="CG633" i="5"/>
  <c r="CG765" i="5" s="1"/>
  <c r="CG766" i="5" s="1"/>
  <c r="CE633" i="5"/>
  <c r="CE765" i="5" s="1"/>
  <c r="CE766" i="5" s="1"/>
  <c r="CF633" i="5"/>
  <c r="CF765" i="5" s="1"/>
  <c r="CF766" i="5" s="1"/>
  <c r="CI633" i="5"/>
  <c r="CI765" i="5" s="1"/>
  <c r="CI766" i="5" s="1"/>
  <c r="CC633" i="5"/>
  <c r="CC765" i="5" s="1"/>
  <c r="CC766" i="5" s="1"/>
  <c r="CD633" i="5"/>
  <c r="CD765" i="5" s="1"/>
  <c r="CD766" i="5" s="1"/>
  <c r="CA633" i="5"/>
  <c r="CA765" i="5" s="1"/>
  <c r="CA766" i="5" s="1"/>
  <c r="BZ633" i="5"/>
  <c r="BZ765" i="5" s="1"/>
  <c r="BZ766" i="5" s="1"/>
  <c r="BY633" i="5"/>
  <c r="BY765" i="5" s="1"/>
  <c r="BY766" i="5" s="1"/>
  <c r="BW633" i="5"/>
  <c r="BW765" i="5" s="1"/>
  <c r="BW766" i="5" s="1"/>
  <c r="BX633" i="5"/>
  <c r="BX765" i="5" s="1"/>
  <c r="BX766" i="5" s="1"/>
  <c r="BV633" i="5"/>
  <c r="BV765" i="5" s="1"/>
  <c r="BV766" i="5" s="1"/>
  <c r="BU633" i="5"/>
  <c r="BU765" i="5" s="1"/>
  <c r="BU766" i="5" s="1"/>
  <c r="BS633" i="5"/>
  <c r="BS765" i="5" s="1"/>
  <c r="BS766" i="5" s="1"/>
  <c r="BR633" i="5"/>
  <c r="BR765" i="5" s="1"/>
  <c r="BR766" i="5" s="1"/>
  <c r="BT633" i="5"/>
  <c r="BT765" i="5" s="1"/>
  <c r="BT766" i="5" s="1"/>
  <c r="BQ633" i="5"/>
  <c r="BQ765" i="5" s="1"/>
  <c r="BQ766" i="5" s="1"/>
  <c r="BK633" i="5"/>
  <c r="BK765" i="5" s="1"/>
  <c r="BK766" i="5" s="1"/>
  <c r="BM633" i="5"/>
  <c r="BM765" i="5" s="1"/>
  <c r="BM766" i="5" s="1"/>
  <c r="BL633" i="5"/>
  <c r="BL765" i="5" s="1"/>
  <c r="BL766" i="5" s="1"/>
  <c r="BJ633" i="5"/>
  <c r="BJ765" i="5" s="1"/>
  <c r="BJ766" i="5" s="1"/>
  <c r="BI633" i="5"/>
  <c r="BI765" i="5" s="1"/>
  <c r="BI766" i="5" s="1"/>
  <c r="BE633" i="5"/>
  <c r="BE765" i="5" s="1"/>
  <c r="BE766" i="5" s="1"/>
  <c r="BD633" i="5"/>
  <c r="BD765" i="5" s="1"/>
  <c r="BD766" i="5" s="1"/>
  <c r="BG633" i="5"/>
  <c r="BG765" i="5" s="1"/>
  <c r="BG766" i="5" s="1"/>
  <c r="BH633" i="5"/>
  <c r="BH765" i="5" s="1"/>
  <c r="BH766" i="5" s="1"/>
  <c r="BF633" i="5"/>
  <c r="BF765" i="5" s="1"/>
  <c r="BF766" i="5" s="1"/>
  <c r="BA633" i="5"/>
  <c r="AZ633" i="5"/>
  <c r="AZ765" i="5" s="1"/>
  <c r="AZ766" i="5" s="1"/>
  <c r="AY633" i="5"/>
  <c r="AY765" i="5" s="1"/>
  <c r="AY766" i="5" s="1"/>
  <c r="CK625" i="5"/>
  <c r="CI625" i="5"/>
  <c r="CE625" i="5"/>
  <c r="CF625" i="5"/>
  <c r="CC625" i="5"/>
  <c r="CD625" i="5"/>
  <c r="BW625" i="5"/>
  <c r="BY625" i="5"/>
  <c r="CA625" i="5"/>
  <c r="BU625" i="5"/>
  <c r="BV625" i="5"/>
  <c r="BT625" i="5"/>
  <c r="BS625" i="5"/>
  <c r="BR625" i="5"/>
  <c r="BQ625" i="5"/>
  <c r="BK625" i="5"/>
  <c r="BM625" i="5"/>
  <c r="BO625" i="5"/>
  <c r="BJ625" i="5"/>
  <c r="BI625" i="5"/>
  <c r="BE625" i="5"/>
  <c r="BD625" i="5"/>
  <c r="BH625" i="5"/>
  <c r="BG625" i="5"/>
  <c r="BF625" i="5"/>
  <c r="BC625" i="5"/>
  <c r="BA625" i="5"/>
  <c r="BP625" i="5" s="1"/>
  <c r="AZ625" i="5"/>
  <c r="AY625" i="5"/>
  <c r="CK617" i="5"/>
  <c r="CJ617" i="5"/>
  <c r="CI617" i="5"/>
  <c r="CG617" i="5"/>
  <c r="CE617" i="5"/>
  <c r="CH617" i="5"/>
  <c r="CC617" i="5"/>
  <c r="CF617" i="5"/>
  <c r="CD617" i="5"/>
  <c r="CA617" i="5"/>
  <c r="BZ617" i="5"/>
  <c r="BW617" i="5"/>
  <c r="BY617" i="5"/>
  <c r="BX617" i="5"/>
  <c r="BV617" i="5"/>
  <c r="BU617" i="5"/>
  <c r="BT617" i="5"/>
  <c r="BS617" i="5"/>
  <c r="BR617" i="5"/>
  <c r="BQ617" i="5"/>
  <c r="BK617" i="5"/>
  <c r="BL617" i="5"/>
  <c r="BM617" i="5"/>
  <c r="BI617" i="5"/>
  <c r="BJ617" i="5"/>
  <c r="BE617" i="5"/>
  <c r="BD617" i="5"/>
  <c r="BG617" i="5"/>
  <c r="BH617" i="5"/>
  <c r="BF617" i="5"/>
  <c r="BA617" i="5"/>
  <c r="AZ617" i="5"/>
  <c r="AY617" i="5"/>
  <c r="CK609" i="5"/>
  <c r="CE609" i="5"/>
  <c r="CI609" i="5"/>
  <c r="CF609" i="5"/>
  <c r="CC609" i="5"/>
  <c r="CD609" i="5"/>
  <c r="BY609" i="5"/>
  <c r="BW609" i="5"/>
  <c r="CA609" i="5"/>
  <c r="BV609" i="5"/>
  <c r="BU609" i="5"/>
  <c r="BS609" i="5"/>
  <c r="BR609" i="5"/>
  <c r="BT609" i="5"/>
  <c r="BQ609" i="5"/>
  <c r="BK609" i="5"/>
  <c r="BO609" i="5"/>
  <c r="BM609" i="5"/>
  <c r="BJ609" i="5"/>
  <c r="BI609" i="5"/>
  <c r="BE609" i="5"/>
  <c r="BD609" i="5"/>
  <c r="BH609" i="5"/>
  <c r="BG609" i="5"/>
  <c r="BF609" i="5"/>
  <c r="BC609" i="5"/>
  <c r="BA609" i="5"/>
  <c r="BP609" i="5" s="1"/>
  <c r="AZ609" i="5"/>
  <c r="AY609" i="5"/>
  <c r="CK601" i="5"/>
  <c r="CI601" i="5"/>
  <c r="CE601" i="5"/>
  <c r="CC601" i="5"/>
  <c r="CF601" i="5"/>
  <c r="CD601" i="5"/>
  <c r="CA601" i="5"/>
  <c r="BY601" i="5"/>
  <c r="BW601" i="5"/>
  <c r="BV601" i="5"/>
  <c r="BU601" i="5"/>
  <c r="BS601" i="5"/>
  <c r="BR601" i="5"/>
  <c r="BT601" i="5"/>
  <c r="BQ601" i="5"/>
  <c r="BK601" i="5"/>
  <c r="BO601" i="5"/>
  <c r="BM601" i="5"/>
  <c r="BJ601" i="5"/>
  <c r="BI601" i="5"/>
  <c r="BE601" i="5"/>
  <c r="BD601" i="5"/>
  <c r="BG601" i="5"/>
  <c r="BH601" i="5"/>
  <c r="BF601" i="5"/>
  <c r="BC601" i="5"/>
  <c r="BA601" i="5"/>
  <c r="BP601" i="5" s="1"/>
  <c r="AZ601" i="5"/>
  <c r="AY601" i="5"/>
  <c r="CJ593" i="5"/>
  <c r="CK593" i="5"/>
  <c r="CG593" i="5"/>
  <c r="CI593" i="5"/>
  <c r="CE593" i="5"/>
  <c r="CF593" i="5"/>
  <c r="CC593" i="5"/>
  <c r="CH593" i="5"/>
  <c r="CD593" i="5"/>
  <c r="CA593" i="5"/>
  <c r="BZ593" i="5"/>
  <c r="BW593" i="5"/>
  <c r="BY593" i="5"/>
  <c r="BX593" i="5"/>
  <c r="BU593" i="5"/>
  <c r="BV593" i="5"/>
  <c r="BT593" i="5"/>
  <c r="BS593" i="5"/>
  <c r="BR593" i="5"/>
  <c r="BQ593" i="5"/>
  <c r="BL593" i="5"/>
  <c r="BK593" i="5"/>
  <c r="BM593" i="5"/>
  <c r="BO593" i="5"/>
  <c r="BJ593" i="5"/>
  <c r="BI593" i="5"/>
  <c r="BE593" i="5"/>
  <c r="BD593" i="5"/>
  <c r="BH593" i="5"/>
  <c r="BG593" i="5"/>
  <c r="BF593" i="5"/>
  <c r="BC593" i="5"/>
  <c r="BA593" i="5"/>
  <c r="BP593" i="5" s="1"/>
  <c r="AZ593" i="5"/>
  <c r="AY593" i="5"/>
  <c r="CK585" i="5"/>
  <c r="CJ585" i="5"/>
  <c r="CI585" i="5"/>
  <c r="CE585" i="5"/>
  <c r="CH585" i="5"/>
  <c r="CG585" i="5"/>
  <c r="CC585" i="5"/>
  <c r="CF585" i="5"/>
  <c r="CD585" i="5"/>
  <c r="CA585" i="5"/>
  <c r="BZ585" i="5"/>
  <c r="BW585" i="5"/>
  <c r="BY585" i="5"/>
  <c r="BX585" i="5"/>
  <c r="BV585" i="5"/>
  <c r="BU585" i="5"/>
  <c r="BT585" i="5"/>
  <c r="BS585" i="5"/>
  <c r="BR585" i="5"/>
  <c r="BO585" i="5"/>
  <c r="BQ585" i="5"/>
  <c r="BK585" i="5"/>
  <c r="BL585" i="5"/>
  <c r="BM585" i="5"/>
  <c r="BI585" i="5"/>
  <c r="BJ585" i="5"/>
  <c r="BE585" i="5"/>
  <c r="BD585" i="5"/>
  <c r="BG585" i="5"/>
  <c r="BH585" i="5"/>
  <c r="BF585" i="5"/>
  <c r="BC585" i="5"/>
  <c r="BA585" i="5"/>
  <c r="BP585" i="5" s="1"/>
  <c r="AZ585" i="5"/>
  <c r="AY585" i="5"/>
  <c r="CK577" i="5"/>
  <c r="CI577" i="5"/>
  <c r="CJ577" i="5"/>
  <c r="CE577" i="5"/>
  <c r="CH577" i="5"/>
  <c r="CG577" i="5"/>
  <c r="CC577" i="5"/>
  <c r="CD577" i="5"/>
  <c r="CF577" i="5"/>
  <c r="CA577" i="5"/>
  <c r="BZ577" i="5"/>
  <c r="BY577" i="5"/>
  <c r="BX577" i="5"/>
  <c r="BW577" i="5"/>
  <c r="BV577" i="5"/>
  <c r="BU577" i="5"/>
  <c r="BS577" i="5"/>
  <c r="BR577" i="5"/>
  <c r="BT577" i="5"/>
  <c r="BO577" i="5"/>
  <c r="BQ577" i="5"/>
  <c r="BK577" i="5"/>
  <c r="BL577" i="5"/>
  <c r="BM577" i="5"/>
  <c r="BJ577" i="5"/>
  <c r="BI577" i="5"/>
  <c r="BE577" i="5"/>
  <c r="BD577" i="5"/>
  <c r="BH577" i="5"/>
  <c r="BG577" i="5"/>
  <c r="BF577" i="5"/>
  <c r="BC577" i="5"/>
  <c r="BA577" i="5"/>
  <c r="BP577" i="5" s="1"/>
  <c r="AZ577" i="5"/>
  <c r="AY577" i="5"/>
  <c r="CK569" i="5"/>
  <c r="CE569" i="5"/>
  <c r="CI569" i="5"/>
  <c r="CC569" i="5"/>
  <c r="CF569" i="5"/>
  <c r="CD569" i="5"/>
  <c r="CA569" i="5"/>
  <c r="BY569" i="5"/>
  <c r="BW569" i="5"/>
  <c r="BV569" i="5"/>
  <c r="BU569" i="5"/>
  <c r="BS569" i="5"/>
  <c r="BR569" i="5"/>
  <c r="BT569" i="5"/>
  <c r="BQ569" i="5"/>
  <c r="BO569" i="5"/>
  <c r="BK569" i="5"/>
  <c r="BM569" i="5"/>
  <c r="BJ569" i="5"/>
  <c r="BI569" i="5"/>
  <c r="BE569" i="5"/>
  <c r="BH569" i="5"/>
  <c r="BD569" i="5"/>
  <c r="BG569" i="5"/>
  <c r="BF569" i="5"/>
  <c r="BC569" i="5"/>
  <c r="BA569" i="5"/>
  <c r="BP569" i="5" s="1"/>
  <c r="AZ569" i="5"/>
  <c r="AY569" i="5"/>
  <c r="CH561" i="5"/>
  <c r="CJ561" i="5"/>
  <c r="CK561" i="5"/>
  <c r="CG561" i="5"/>
  <c r="CI561" i="5"/>
  <c r="CE561" i="5"/>
  <c r="CF561" i="5"/>
  <c r="CC561" i="5"/>
  <c r="CD561" i="5"/>
  <c r="CA561" i="5"/>
  <c r="BZ561" i="5"/>
  <c r="BW561" i="5"/>
  <c r="BY561" i="5"/>
  <c r="BX561" i="5"/>
  <c r="BU561" i="5"/>
  <c r="BV561" i="5"/>
  <c r="BT561" i="5"/>
  <c r="BS561" i="5"/>
  <c r="BR561" i="5"/>
  <c r="BO561" i="5"/>
  <c r="BQ561" i="5"/>
  <c r="BK561" i="5"/>
  <c r="BM561" i="5"/>
  <c r="BL561" i="5"/>
  <c r="BJ561" i="5"/>
  <c r="BI561" i="5"/>
  <c r="BE561" i="5"/>
  <c r="BD561" i="5"/>
  <c r="BG561" i="5"/>
  <c r="BH561" i="5"/>
  <c r="BF561" i="5"/>
  <c r="BC561" i="5"/>
  <c r="BA561" i="5"/>
  <c r="BP561" i="5" s="1"/>
  <c r="AZ561" i="5"/>
  <c r="AY561" i="5"/>
  <c r="CK553" i="5"/>
  <c r="CJ553" i="5"/>
  <c r="CH553" i="5"/>
  <c r="CI553" i="5"/>
  <c r="CE553" i="5"/>
  <c r="CG553" i="5"/>
  <c r="CF553" i="5"/>
  <c r="CC553" i="5"/>
  <c r="CD553" i="5"/>
  <c r="CA553" i="5"/>
  <c r="BZ553" i="5"/>
  <c r="BW553" i="5"/>
  <c r="BX553" i="5"/>
  <c r="BY553" i="5"/>
  <c r="BV553" i="5"/>
  <c r="BU553" i="5"/>
  <c r="BT553" i="5"/>
  <c r="BS553" i="5"/>
  <c r="BR553" i="5"/>
  <c r="BO553" i="5"/>
  <c r="BQ553" i="5"/>
  <c r="BK553" i="5"/>
  <c r="BM553" i="5"/>
  <c r="BL553" i="5"/>
  <c r="BI553" i="5"/>
  <c r="BJ553" i="5"/>
  <c r="BE553" i="5"/>
  <c r="BD553" i="5"/>
  <c r="BH553" i="5"/>
  <c r="BG553" i="5"/>
  <c r="BF553" i="5"/>
  <c r="BC553" i="5"/>
  <c r="BA553" i="5"/>
  <c r="BP553" i="5" s="1"/>
  <c r="AZ553" i="5"/>
  <c r="AY553" i="5"/>
  <c r="CJ545" i="5"/>
  <c r="CH545" i="5"/>
  <c r="CK545" i="5"/>
  <c r="CI545" i="5"/>
  <c r="CG545" i="5"/>
  <c r="CE545" i="5"/>
  <c r="CC545" i="5"/>
  <c r="CF545" i="5"/>
  <c r="CD545" i="5"/>
  <c r="CA545" i="5"/>
  <c r="BZ545" i="5"/>
  <c r="BY545" i="5"/>
  <c r="BW545" i="5"/>
  <c r="BX545" i="5"/>
  <c r="BV545" i="5"/>
  <c r="BU545" i="5"/>
  <c r="BS545" i="5"/>
  <c r="BR545" i="5"/>
  <c r="BT545" i="5"/>
  <c r="BO545" i="5"/>
  <c r="BQ545" i="5"/>
  <c r="BK545" i="5"/>
  <c r="BM545" i="5"/>
  <c r="BL545" i="5"/>
  <c r="BJ545" i="5"/>
  <c r="BI545" i="5"/>
  <c r="BE545" i="5"/>
  <c r="BD545" i="5"/>
  <c r="BH545" i="5"/>
  <c r="BG545" i="5"/>
  <c r="BF545" i="5"/>
  <c r="BA545" i="5"/>
  <c r="BP545" i="5" s="1"/>
  <c r="BC545" i="5"/>
  <c r="AZ545" i="5"/>
  <c r="AY545" i="5"/>
  <c r="CK537" i="5"/>
  <c r="CH537" i="5"/>
  <c r="CJ537" i="5"/>
  <c r="CI537" i="5"/>
  <c r="CE537" i="5"/>
  <c r="CG537" i="5"/>
  <c r="CC537" i="5"/>
  <c r="CF537" i="5"/>
  <c r="CD537" i="5"/>
  <c r="CA537" i="5"/>
  <c r="BZ537" i="5"/>
  <c r="BY537" i="5"/>
  <c r="BW537" i="5"/>
  <c r="BX537" i="5"/>
  <c r="BV537" i="5"/>
  <c r="BU537" i="5"/>
  <c r="BS537" i="5"/>
  <c r="BR537" i="5"/>
  <c r="BT537" i="5"/>
  <c r="BQ537" i="5"/>
  <c r="BO537" i="5"/>
  <c r="BK537" i="5"/>
  <c r="BM537" i="5"/>
  <c r="BL537" i="5"/>
  <c r="BJ537" i="5"/>
  <c r="BI537" i="5"/>
  <c r="BE537" i="5"/>
  <c r="BH537" i="5"/>
  <c r="BD537" i="5"/>
  <c r="BG537" i="5"/>
  <c r="BF537" i="5"/>
  <c r="BA537" i="5"/>
  <c r="BP537" i="5" s="1"/>
  <c r="AZ537" i="5"/>
  <c r="AY537" i="5"/>
  <c r="BC537" i="5"/>
  <c r="CH529" i="5"/>
  <c r="CI529" i="5"/>
  <c r="CG529" i="5"/>
  <c r="CE529" i="5"/>
  <c r="CJ529" i="5"/>
  <c r="CK529" i="5"/>
  <c r="CF529" i="5"/>
  <c r="CC529" i="5"/>
  <c r="CD529" i="5"/>
  <c r="CA529" i="5"/>
  <c r="BZ529" i="5"/>
  <c r="BW529" i="5"/>
  <c r="BY529" i="5"/>
  <c r="BX529" i="5"/>
  <c r="BU529" i="5"/>
  <c r="BV529" i="5"/>
  <c r="BT529" i="5"/>
  <c r="BS529" i="5"/>
  <c r="BR529" i="5"/>
  <c r="BO529" i="5"/>
  <c r="BQ529" i="5"/>
  <c r="BK529" i="5"/>
  <c r="BM529" i="5"/>
  <c r="BL529" i="5"/>
  <c r="BJ529" i="5"/>
  <c r="BI529" i="5"/>
  <c r="BE529" i="5"/>
  <c r="BD529" i="5"/>
  <c r="BG529" i="5"/>
  <c r="BH529" i="5"/>
  <c r="BF529" i="5"/>
  <c r="BA529" i="5"/>
  <c r="BP529" i="5" s="1"/>
  <c r="AZ529" i="5"/>
  <c r="AY529" i="5"/>
  <c r="BC529" i="5"/>
  <c r="CK521" i="5"/>
  <c r="CH521" i="5"/>
  <c r="CJ521" i="5"/>
  <c r="CI521" i="5"/>
  <c r="CE521" i="5"/>
  <c r="CC521" i="5"/>
  <c r="CG521" i="5"/>
  <c r="CD521" i="5"/>
  <c r="CF521" i="5"/>
  <c r="CA521" i="5"/>
  <c r="BZ521" i="5"/>
  <c r="BW521" i="5"/>
  <c r="BX521" i="5"/>
  <c r="BY521" i="5"/>
  <c r="BV521" i="5"/>
  <c r="BU521" i="5"/>
  <c r="BT521" i="5"/>
  <c r="BS521" i="5"/>
  <c r="BR521" i="5"/>
  <c r="BO521" i="5"/>
  <c r="BQ521" i="5"/>
  <c r="BK521" i="5"/>
  <c r="BM521" i="5"/>
  <c r="BL521" i="5"/>
  <c r="BI521" i="5"/>
  <c r="BJ521" i="5"/>
  <c r="BG521" i="5"/>
  <c r="BE521" i="5"/>
  <c r="BD521" i="5"/>
  <c r="BH521" i="5"/>
  <c r="BF521" i="5"/>
  <c r="BC521" i="5"/>
  <c r="BA521" i="5"/>
  <c r="BP521" i="5" s="1"/>
  <c r="AZ521" i="5"/>
  <c r="AY521" i="5"/>
  <c r="CJ513" i="5"/>
  <c r="CK513" i="5"/>
  <c r="CI513" i="5"/>
  <c r="CH513" i="5"/>
  <c r="CG513" i="5"/>
  <c r="CE513" i="5"/>
  <c r="CC513" i="5"/>
  <c r="CF513" i="5"/>
  <c r="CD513" i="5"/>
  <c r="CA513" i="5"/>
  <c r="BY513" i="5"/>
  <c r="BZ513" i="5"/>
  <c r="BW513" i="5"/>
  <c r="BX513" i="5"/>
  <c r="BV513" i="5"/>
  <c r="BU513" i="5"/>
  <c r="BS513" i="5"/>
  <c r="BR513" i="5"/>
  <c r="BT513" i="5"/>
  <c r="BO513" i="5"/>
  <c r="BQ513" i="5"/>
  <c r="BK513" i="5"/>
  <c r="BM513" i="5"/>
  <c r="BL513" i="5"/>
  <c r="BJ513" i="5"/>
  <c r="BI513" i="5"/>
  <c r="BE513" i="5"/>
  <c r="BD513" i="5"/>
  <c r="BG513" i="5"/>
  <c r="BH513" i="5"/>
  <c r="BF513" i="5"/>
  <c r="BA513" i="5"/>
  <c r="BP513" i="5" s="1"/>
  <c r="BC513" i="5"/>
  <c r="AZ513" i="5"/>
  <c r="AY513" i="5"/>
  <c r="CK505" i="5"/>
  <c r="CH505" i="5"/>
  <c r="CJ505" i="5"/>
  <c r="CI505" i="5"/>
  <c r="CE505" i="5"/>
  <c r="CF505" i="5"/>
  <c r="CG505" i="5"/>
  <c r="CC505" i="5"/>
  <c r="CD505" i="5"/>
  <c r="CA505" i="5"/>
  <c r="BZ505" i="5"/>
  <c r="BY505" i="5"/>
  <c r="BW505" i="5"/>
  <c r="BX505" i="5"/>
  <c r="BV505" i="5"/>
  <c r="BU505" i="5"/>
  <c r="BS505" i="5"/>
  <c r="BR505" i="5"/>
  <c r="BT505" i="5"/>
  <c r="BQ505" i="5"/>
  <c r="BO505" i="5"/>
  <c r="BK505" i="5"/>
  <c r="BM505" i="5"/>
  <c r="BL505" i="5"/>
  <c r="BJ505" i="5"/>
  <c r="BI505" i="5"/>
  <c r="BE505" i="5"/>
  <c r="BH505" i="5"/>
  <c r="BD505" i="5"/>
  <c r="BG505" i="5"/>
  <c r="BF505" i="5"/>
  <c r="BA505" i="5"/>
  <c r="BP505" i="5" s="1"/>
  <c r="AZ505" i="5"/>
  <c r="AY505" i="5"/>
  <c r="BC505" i="5"/>
  <c r="CK497" i="5"/>
  <c r="CH497" i="5"/>
  <c r="CI497" i="5"/>
  <c r="CG497" i="5"/>
  <c r="CE497" i="5"/>
  <c r="CJ497" i="5"/>
  <c r="CF497" i="5"/>
  <c r="CC497" i="5"/>
  <c r="CD497" i="5"/>
  <c r="CA497" i="5"/>
  <c r="BZ497" i="5"/>
  <c r="BW497" i="5"/>
  <c r="BY497" i="5"/>
  <c r="BX497" i="5"/>
  <c r="BU497" i="5"/>
  <c r="BV497" i="5"/>
  <c r="BT497" i="5"/>
  <c r="BS497" i="5"/>
  <c r="BR497" i="5"/>
  <c r="BO497" i="5"/>
  <c r="BQ497" i="5"/>
  <c r="BK497" i="5"/>
  <c r="BM497" i="5"/>
  <c r="BL497" i="5"/>
  <c r="BJ497" i="5"/>
  <c r="BI497" i="5"/>
  <c r="BE497" i="5"/>
  <c r="BD497" i="5"/>
  <c r="BG497" i="5"/>
  <c r="BH497" i="5"/>
  <c r="BF497" i="5"/>
  <c r="BA497" i="5"/>
  <c r="BP497" i="5" s="1"/>
  <c r="AZ497" i="5"/>
  <c r="AY497" i="5"/>
  <c r="BC497" i="5"/>
  <c r="CJ489" i="5"/>
  <c r="CH489" i="5"/>
  <c r="CI489" i="5"/>
  <c r="CE489" i="5"/>
  <c r="CK489" i="5"/>
  <c r="CC489" i="5"/>
  <c r="CG489" i="5"/>
  <c r="CF489" i="5"/>
  <c r="CD489" i="5"/>
  <c r="CA489" i="5"/>
  <c r="BZ489" i="5"/>
  <c r="BW489" i="5"/>
  <c r="BX489" i="5"/>
  <c r="BY489" i="5"/>
  <c r="BV489" i="5"/>
  <c r="BU489" i="5"/>
  <c r="BT489" i="5"/>
  <c r="BS489" i="5"/>
  <c r="BR489" i="5"/>
  <c r="BO489" i="5"/>
  <c r="BQ489" i="5"/>
  <c r="BK489" i="5"/>
  <c r="BM489" i="5"/>
  <c r="BL489" i="5"/>
  <c r="BI489" i="5"/>
  <c r="BJ489" i="5"/>
  <c r="BG489" i="5"/>
  <c r="BE489" i="5"/>
  <c r="BD489" i="5"/>
  <c r="BH489" i="5"/>
  <c r="BF489" i="5"/>
  <c r="BC489" i="5"/>
  <c r="BA489" i="5"/>
  <c r="BP489" i="5" s="1"/>
  <c r="AZ489" i="5"/>
  <c r="AY489" i="5"/>
  <c r="CI481" i="5"/>
  <c r="CJ481" i="5"/>
  <c r="CG481" i="5"/>
  <c r="CK481" i="5"/>
  <c r="CE481" i="5"/>
  <c r="CH481" i="5"/>
  <c r="CF481" i="5"/>
  <c r="CC481" i="5"/>
  <c r="CD481" i="5"/>
  <c r="CA481" i="5"/>
  <c r="BY481" i="5"/>
  <c r="BW481" i="5"/>
  <c r="BZ481" i="5"/>
  <c r="BX481" i="5"/>
  <c r="BV481" i="5"/>
  <c r="BU481" i="5"/>
  <c r="BS481" i="5"/>
  <c r="BR481" i="5"/>
  <c r="BT481" i="5"/>
  <c r="BO481" i="5"/>
  <c r="BQ481" i="5"/>
  <c r="BL481" i="5"/>
  <c r="BK481" i="5"/>
  <c r="BM481" i="5"/>
  <c r="BJ481" i="5"/>
  <c r="BI481" i="5"/>
  <c r="BE481" i="5"/>
  <c r="BD481" i="5"/>
  <c r="BG481" i="5"/>
  <c r="BH481" i="5"/>
  <c r="BF481" i="5"/>
  <c r="BA481" i="5"/>
  <c r="BP481" i="5" s="1"/>
  <c r="BC481" i="5"/>
  <c r="AZ481" i="5"/>
  <c r="AY481" i="5"/>
  <c r="CK473" i="5"/>
  <c r="CI473" i="5"/>
  <c r="CG473" i="5"/>
  <c r="CE473" i="5"/>
  <c r="CJ473" i="5"/>
  <c r="CC473" i="5"/>
  <c r="CH473" i="5"/>
  <c r="CF473" i="5"/>
  <c r="CD473" i="5"/>
  <c r="CA473" i="5"/>
  <c r="BZ473" i="5"/>
  <c r="BY473" i="5"/>
  <c r="BW473" i="5"/>
  <c r="BX473" i="5"/>
  <c r="BV473" i="5"/>
  <c r="BU473" i="5"/>
  <c r="BS473" i="5"/>
  <c r="BR473" i="5"/>
  <c r="BT473" i="5"/>
  <c r="BQ473" i="5"/>
  <c r="BO473" i="5"/>
  <c r="BL473" i="5"/>
  <c r="BK473" i="5"/>
  <c r="BM473" i="5"/>
  <c r="BJ473" i="5"/>
  <c r="BI473" i="5"/>
  <c r="BE473" i="5"/>
  <c r="BH473" i="5"/>
  <c r="BD473" i="5"/>
  <c r="BG473" i="5"/>
  <c r="BF473" i="5"/>
  <c r="BA473" i="5"/>
  <c r="BP473" i="5" s="1"/>
  <c r="AZ473" i="5"/>
  <c r="AY473" i="5"/>
  <c r="BC473" i="5"/>
  <c r="CK465" i="5"/>
  <c r="CH465" i="5"/>
  <c r="CJ465" i="5"/>
  <c r="CG465" i="5"/>
  <c r="CE465" i="5"/>
  <c r="CI465" i="5"/>
  <c r="CF465" i="5"/>
  <c r="CC465" i="5"/>
  <c r="CD465" i="5"/>
  <c r="CA465" i="5"/>
  <c r="BW465" i="5"/>
  <c r="BY465" i="5"/>
  <c r="BX465" i="5"/>
  <c r="BZ465" i="5"/>
  <c r="BU465" i="5"/>
  <c r="BV465" i="5"/>
  <c r="BT465" i="5"/>
  <c r="BS465" i="5"/>
  <c r="BR465" i="5"/>
  <c r="BO465" i="5"/>
  <c r="BQ465" i="5"/>
  <c r="BL465" i="5"/>
  <c r="BK465" i="5"/>
  <c r="BM465" i="5"/>
  <c r="BJ465" i="5"/>
  <c r="BI465" i="5"/>
  <c r="BE465" i="5"/>
  <c r="BD465" i="5"/>
  <c r="BG465" i="5"/>
  <c r="BH465" i="5"/>
  <c r="BF465" i="5"/>
  <c r="BA465" i="5"/>
  <c r="BP465" i="5" s="1"/>
  <c r="AZ465" i="5"/>
  <c r="AY465" i="5"/>
  <c r="BC465" i="5"/>
  <c r="CJ457" i="5"/>
  <c r="CK457" i="5"/>
  <c r="CG457" i="5"/>
  <c r="CI457" i="5"/>
  <c r="CH457" i="5"/>
  <c r="CE457" i="5"/>
  <c r="CC457" i="5"/>
  <c r="CF457" i="5"/>
  <c r="CD457" i="5"/>
  <c r="CA457" i="5"/>
  <c r="BZ457" i="5"/>
  <c r="BW457" i="5"/>
  <c r="BX457" i="5"/>
  <c r="BY457" i="5"/>
  <c r="BV457" i="5"/>
  <c r="BU457" i="5"/>
  <c r="BT457" i="5"/>
  <c r="BS457" i="5"/>
  <c r="BR457" i="5"/>
  <c r="BQ457" i="5"/>
  <c r="BL457" i="5"/>
  <c r="BK457" i="5"/>
  <c r="BM457" i="5"/>
  <c r="BI457" i="5"/>
  <c r="BJ457" i="5"/>
  <c r="BG457" i="5"/>
  <c r="BE457" i="5"/>
  <c r="BD457" i="5"/>
  <c r="BH457" i="5"/>
  <c r="BF457" i="5"/>
  <c r="BA457" i="5"/>
  <c r="AZ457" i="5"/>
  <c r="AY457" i="5"/>
  <c r="CK449" i="5"/>
  <c r="CJ449" i="5"/>
  <c r="CI449" i="5"/>
  <c r="CE449" i="5"/>
  <c r="CF449" i="5"/>
  <c r="CH449" i="5"/>
  <c r="CG449" i="5"/>
  <c r="CC449" i="5"/>
  <c r="CD449" i="5"/>
  <c r="CA449" i="5"/>
  <c r="BZ449" i="5"/>
  <c r="BY449" i="5"/>
  <c r="BW449" i="5"/>
  <c r="BX449" i="5"/>
  <c r="BV449" i="5"/>
  <c r="BU449" i="5"/>
  <c r="BS449" i="5"/>
  <c r="BR449" i="5"/>
  <c r="BT449" i="5"/>
  <c r="BO449" i="5"/>
  <c r="BQ449" i="5"/>
  <c r="BK449" i="5"/>
  <c r="BL449" i="5"/>
  <c r="BM449" i="5"/>
  <c r="BJ449" i="5"/>
  <c r="BI449" i="5"/>
  <c r="BE449" i="5"/>
  <c r="BD449" i="5"/>
  <c r="BG449" i="5"/>
  <c r="BH449" i="5"/>
  <c r="BF449" i="5"/>
  <c r="BA449" i="5"/>
  <c r="BP449" i="5" s="1"/>
  <c r="BC449" i="5"/>
  <c r="AZ449" i="5"/>
  <c r="AY449" i="5"/>
  <c r="CK441" i="5"/>
  <c r="CE441" i="5"/>
  <c r="CI441" i="5"/>
  <c r="CC441" i="5"/>
  <c r="CF441" i="5"/>
  <c r="CD441" i="5"/>
  <c r="CA441" i="5"/>
  <c r="BY441" i="5"/>
  <c r="BW441" i="5"/>
  <c r="BV441" i="5"/>
  <c r="BU441" i="5"/>
  <c r="BS441" i="5"/>
  <c r="BR441" i="5"/>
  <c r="BT441" i="5"/>
  <c r="BQ441" i="5"/>
  <c r="BO441" i="5"/>
  <c r="BK441" i="5"/>
  <c r="BM441" i="5"/>
  <c r="BJ441" i="5"/>
  <c r="BI441" i="5"/>
  <c r="BE441" i="5"/>
  <c r="BH441" i="5"/>
  <c r="BD441" i="5"/>
  <c r="BG441" i="5"/>
  <c r="BF441" i="5"/>
  <c r="BA441" i="5"/>
  <c r="BP441" i="5" s="1"/>
  <c r="AZ441" i="5"/>
  <c r="AY441" i="5"/>
  <c r="BC441" i="5"/>
  <c r="CK433" i="5"/>
  <c r="CE433" i="5"/>
  <c r="CF433" i="5"/>
  <c r="CI433" i="5"/>
  <c r="CC433" i="5"/>
  <c r="CD433" i="5"/>
  <c r="CA433" i="5"/>
  <c r="BW433" i="5"/>
  <c r="BY433" i="5"/>
  <c r="BU433" i="5"/>
  <c r="BV433" i="5"/>
  <c r="BT433" i="5"/>
  <c r="BS433" i="5"/>
  <c r="BR433" i="5"/>
  <c r="BO433" i="5"/>
  <c r="BQ433" i="5"/>
  <c r="BK433" i="5"/>
  <c r="BM433" i="5"/>
  <c r="BJ433" i="5"/>
  <c r="BI433" i="5"/>
  <c r="BE433" i="5"/>
  <c r="BD433" i="5"/>
  <c r="BG433" i="5"/>
  <c r="BH433" i="5"/>
  <c r="BF433" i="5"/>
  <c r="BC433" i="5"/>
  <c r="BA433" i="5"/>
  <c r="BP433" i="5" s="1"/>
  <c r="AZ433" i="5"/>
  <c r="AY433" i="5"/>
  <c r="CI425" i="5"/>
  <c r="CK425" i="5"/>
  <c r="CE425" i="5"/>
  <c r="CF425" i="5"/>
  <c r="CC425" i="5"/>
  <c r="CD425" i="5"/>
  <c r="CA425" i="5"/>
  <c r="BW425" i="5"/>
  <c r="BY425" i="5"/>
  <c r="BV425" i="5"/>
  <c r="BU425" i="5"/>
  <c r="BT425" i="5"/>
  <c r="BS425" i="5"/>
  <c r="BR425" i="5"/>
  <c r="BO425" i="5"/>
  <c r="BQ425" i="5"/>
  <c r="BK425" i="5"/>
  <c r="BM425" i="5"/>
  <c r="BI425" i="5"/>
  <c r="BJ425" i="5"/>
  <c r="BG425" i="5"/>
  <c r="BE425" i="5"/>
  <c r="BD425" i="5"/>
  <c r="BH425" i="5"/>
  <c r="BF425" i="5"/>
  <c r="BA425" i="5"/>
  <c r="BP425" i="5" s="1"/>
  <c r="AZ425" i="5"/>
  <c r="BC425" i="5"/>
  <c r="AY425" i="5"/>
  <c r="CK417" i="5"/>
  <c r="CE417" i="5"/>
  <c r="CI417" i="5"/>
  <c r="CF417" i="5"/>
  <c r="CC417" i="5"/>
  <c r="CD417" i="5"/>
  <c r="CA417" i="5"/>
  <c r="BY417" i="5"/>
  <c r="BW417" i="5"/>
  <c r="BV417" i="5"/>
  <c r="BU417" i="5"/>
  <c r="BS417" i="5"/>
  <c r="BR417" i="5"/>
  <c r="BT417" i="5"/>
  <c r="BQ417" i="5"/>
  <c r="BK417" i="5"/>
  <c r="BM417" i="5"/>
  <c r="BJ417" i="5"/>
  <c r="BI417" i="5"/>
  <c r="BE417" i="5"/>
  <c r="BD417" i="5"/>
  <c r="BG417" i="5"/>
  <c r="BH417" i="5"/>
  <c r="BF417" i="5"/>
  <c r="BA417" i="5"/>
  <c r="BP417" i="5" s="1"/>
  <c r="AZ417" i="5"/>
  <c r="AY417" i="5"/>
  <c r="CK409" i="5"/>
  <c r="CI409" i="5"/>
  <c r="CE409" i="5"/>
  <c r="CG409" i="5"/>
  <c r="CF409" i="5"/>
  <c r="CC409" i="5"/>
  <c r="CD409" i="5"/>
  <c r="CA409" i="5"/>
  <c r="BY409" i="5"/>
  <c r="BW409" i="5"/>
  <c r="BV409" i="5"/>
  <c r="BU409" i="5"/>
  <c r="BS409" i="5"/>
  <c r="BR409" i="5"/>
  <c r="BT409" i="5"/>
  <c r="BQ409" i="5"/>
  <c r="BO409" i="5"/>
  <c r="BK409" i="5"/>
  <c r="BM409" i="5"/>
  <c r="BJ409" i="5"/>
  <c r="BI409" i="5"/>
  <c r="BE409" i="5"/>
  <c r="BH409" i="5"/>
  <c r="BD409" i="5"/>
  <c r="BG409" i="5"/>
  <c r="BF409" i="5"/>
  <c r="BA409" i="5"/>
  <c r="BP409" i="5" s="1"/>
  <c r="AZ409" i="5"/>
  <c r="BC409" i="5"/>
  <c r="AY409" i="5"/>
  <c r="CI401" i="5"/>
  <c r="CK401" i="5"/>
  <c r="CE401" i="5"/>
  <c r="CF401" i="5"/>
  <c r="CC401" i="5"/>
  <c r="CD401" i="5"/>
  <c r="CA401" i="5"/>
  <c r="BW401" i="5"/>
  <c r="BY401" i="5"/>
  <c r="BU401" i="5"/>
  <c r="BV401" i="5"/>
  <c r="BT401" i="5"/>
  <c r="BS401" i="5"/>
  <c r="BR401" i="5"/>
  <c r="BQ401" i="5"/>
  <c r="BK401" i="5"/>
  <c r="BM401" i="5"/>
  <c r="BJ401" i="5"/>
  <c r="BI401" i="5"/>
  <c r="BE401" i="5"/>
  <c r="BD401" i="5"/>
  <c r="BG401" i="5"/>
  <c r="BH401" i="5"/>
  <c r="BF401" i="5"/>
  <c r="BA401" i="5"/>
  <c r="BP401" i="5" s="1"/>
  <c r="AZ401" i="5"/>
  <c r="AY401" i="5"/>
  <c r="CK393" i="5"/>
  <c r="CE393" i="5"/>
  <c r="CI393" i="5"/>
  <c r="CF393" i="5"/>
  <c r="CC393" i="5"/>
  <c r="CD393" i="5"/>
  <c r="CA393" i="5"/>
  <c r="BW393" i="5"/>
  <c r="BY393" i="5"/>
  <c r="BV393" i="5"/>
  <c r="BU393" i="5"/>
  <c r="BT393" i="5"/>
  <c r="BS393" i="5"/>
  <c r="BR393" i="5"/>
  <c r="BQ393" i="5"/>
  <c r="BK393" i="5"/>
  <c r="BM393" i="5"/>
  <c r="BI393" i="5"/>
  <c r="BJ393" i="5"/>
  <c r="BG393" i="5"/>
  <c r="BE393" i="5"/>
  <c r="BD393" i="5"/>
  <c r="BH393" i="5"/>
  <c r="BF393" i="5"/>
  <c r="BA393" i="5"/>
  <c r="BP393" i="5" s="1"/>
  <c r="AZ393" i="5"/>
  <c r="AY393" i="5"/>
  <c r="CI385" i="5"/>
  <c r="CK385" i="5"/>
  <c r="CE385" i="5"/>
  <c r="CC385" i="5"/>
  <c r="CF385" i="5"/>
  <c r="CD385" i="5"/>
  <c r="CA385" i="5"/>
  <c r="BY385" i="5"/>
  <c r="BW385" i="5"/>
  <c r="BV385" i="5"/>
  <c r="BU385" i="5"/>
  <c r="BS385" i="5"/>
  <c r="BR385" i="5"/>
  <c r="BT385" i="5"/>
  <c r="BQ385" i="5"/>
  <c r="BK385" i="5"/>
  <c r="BM385" i="5"/>
  <c r="BJ385" i="5"/>
  <c r="BI385" i="5"/>
  <c r="BE385" i="5"/>
  <c r="BD385" i="5"/>
  <c r="BG385" i="5"/>
  <c r="BH385" i="5"/>
  <c r="BF385" i="5"/>
  <c r="BA385" i="5"/>
  <c r="BP385" i="5" s="1"/>
  <c r="AZ385" i="5"/>
  <c r="AY385" i="5"/>
  <c r="CJ377" i="5"/>
  <c r="CK377" i="5"/>
  <c r="CI377" i="5"/>
  <c r="CG377" i="5"/>
  <c r="CE377" i="5"/>
  <c r="CH377" i="5"/>
  <c r="CF377" i="5"/>
  <c r="CC377" i="5"/>
  <c r="CD377" i="5"/>
  <c r="CA377" i="5"/>
  <c r="BZ377" i="5"/>
  <c r="BY377" i="5"/>
  <c r="BX377" i="5"/>
  <c r="BW377" i="5"/>
  <c r="BV377" i="5"/>
  <c r="BU377" i="5"/>
  <c r="BS377" i="5"/>
  <c r="BR377" i="5"/>
  <c r="BT377" i="5"/>
  <c r="BQ377" i="5"/>
  <c r="BO377" i="5"/>
  <c r="BK377" i="5"/>
  <c r="BL377" i="5"/>
  <c r="BM377" i="5"/>
  <c r="BJ377" i="5"/>
  <c r="BI377" i="5"/>
  <c r="BE377" i="5"/>
  <c r="BH377" i="5"/>
  <c r="BD377" i="5"/>
  <c r="BG377" i="5"/>
  <c r="BF377" i="5"/>
  <c r="BA377" i="5"/>
  <c r="BP377" i="5" s="1"/>
  <c r="AZ377" i="5"/>
  <c r="BC377" i="5"/>
  <c r="AY377" i="5"/>
  <c r="CK369" i="5"/>
  <c r="CJ369" i="5"/>
  <c r="CH369" i="5"/>
  <c r="CI369" i="5"/>
  <c r="CE369" i="5"/>
  <c r="CF369" i="5"/>
  <c r="CC369" i="5"/>
  <c r="CG369" i="5"/>
  <c r="CD369" i="5"/>
  <c r="CA369" i="5"/>
  <c r="BX369" i="5"/>
  <c r="BZ369" i="5"/>
  <c r="BW369" i="5"/>
  <c r="BY369" i="5"/>
  <c r="BU369" i="5"/>
  <c r="BV369" i="5"/>
  <c r="BT369" i="5"/>
  <c r="BR369" i="5"/>
  <c r="BS369" i="5"/>
  <c r="BO369" i="5"/>
  <c r="BQ369" i="5"/>
  <c r="BL369" i="5"/>
  <c r="BK369" i="5"/>
  <c r="BM369" i="5"/>
  <c r="BJ369" i="5"/>
  <c r="BI369" i="5"/>
  <c r="BE369" i="5"/>
  <c r="BD369" i="5"/>
  <c r="BG369" i="5"/>
  <c r="BH369" i="5"/>
  <c r="BF369" i="5"/>
  <c r="BC369" i="5"/>
  <c r="BA369" i="5"/>
  <c r="BP369" i="5" s="1"/>
  <c r="AZ369" i="5"/>
  <c r="AY369" i="5"/>
  <c r="CJ361" i="5"/>
  <c r="CK361" i="5"/>
  <c r="CI361" i="5"/>
  <c r="CG361" i="5"/>
  <c r="CE361" i="5"/>
  <c r="CF361" i="5"/>
  <c r="CC361" i="5"/>
  <c r="CH361" i="5"/>
  <c r="CD361" i="5"/>
  <c r="CA361" i="5"/>
  <c r="BZ361" i="5"/>
  <c r="BX361" i="5"/>
  <c r="BW361" i="5"/>
  <c r="BY361" i="5"/>
  <c r="BV361" i="5"/>
  <c r="BU361" i="5"/>
  <c r="BT361" i="5"/>
  <c r="BR361" i="5"/>
  <c r="BS361" i="5"/>
  <c r="BO361" i="5"/>
  <c r="BQ361" i="5"/>
  <c r="BL361" i="5"/>
  <c r="BK361" i="5"/>
  <c r="BM361" i="5"/>
  <c r="BI361" i="5"/>
  <c r="BJ361" i="5"/>
  <c r="BG361" i="5"/>
  <c r="BE361" i="5"/>
  <c r="BD361" i="5"/>
  <c r="BH361" i="5"/>
  <c r="BF361" i="5"/>
  <c r="BA361" i="5"/>
  <c r="BP361" i="5" s="1"/>
  <c r="AZ361" i="5"/>
  <c r="BC361" i="5"/>
  <c r="AY361" i="5"/>
  <c r="CK353" i="5"/>
  <c r="CJ353" i="5"/>
  <c r="CI353" i="5"/>
  <c r="CG353" i="5"/>
  <c r="CH353" i="5"/>
  <c r="CE353" i="5"/>
  <c r="CF353" i="5"/>
  <c r="CC353" i="5"/>
  <c r="CD353" i="5"/>
  <c r="CA353" i="5"/>
  <c r="BY353" i="5"/>
  <c r="BX353" i="5"/>
  <c r="BW353" i="5"/>
  <c r="BZ353" i="5"/>
  <c r="BV353" i="5"/>
  <c r="BU353" i="5"/>
  <c r="BS353" i="5"/>
  <c r="BR353" i="5"/>
  <c r="BT353" i="5"/>
  <c r="BO353" i="5"/>
  <c r="BQ353" i="5"/>
  <c r="BK353" i="5"/>
  <c r="BL353" i="5"/>
  <c r="BM353" i="5"/>
  <c r="BJ353" i="5"/>
  <c r="BI353" i="5"/>
  <c r="BE353" i="5"/>
  <c r="BD353" i="5"/>
  <c r="BG353" i="5"/>
  <c r="BH353" i="5"/>
  <c r="BF353" i="5"/>
  <c r="BC353" i="5"/>
  <c r="BA353" i="5"/>
  <c r="BP353" i="5" s="1"/>
  <c r="AZ353" i="5"/>
  <c r="AY353" i="5"/>
  <c r="CK345" i="5"/>
  <c r="CJ345" i="5"/>
  <c r="CG345" i="5"/>
  <c r="CI345" i="5"/>
  <c r="CE345" i="5"/>
  <c r="CH345" i="5"/>
  <c r="CC345" i="5"/>
  <c r="CF345" i="5"/>
  <c r="CD345" i="5"/>
  <c r="CA345" i="5"/>
  <c r="BZ345" i="5"/>
  <c r="BX345" i="5"/>
  <c r="BY345" i="5"/>
  <c r="BW345" i="5"/>
  <c r="BV345" i="5"/>
  <c r="BU345" i="5"/>
  <c r="BS345" i="5"/>
  <c r="BR345" i="5"/>
  <c r="BT345" i="5"/>
  <c r="BQ345" i="5"/>
  <c r="BO345" i="5"/>
  <c r="BK345" i="5"/>
  <c r="BL345" i="5"/>
  <c r="BM345" i="5"/>
  <c r="BJ345" i="5"/>
  <c r="BI345" i="5"/>
  <c r="BE345" i="5"/>
  <c r="BH345" i="5"/>
  <c r="BD345" i="5"/>
  <c r="BG345" i="5"/>
  <c r="BF345" i="5"/>
  <c r="BA345" i="5"/>
  <c r="BP345" i="5" s="1"/>
  <c r="AZ345" i="5"/>
  <c r="BC345" i="5"/>
  <c r="AY345" i="5"/>
  <c r="CK337" i="5"/>
  <c r="CJ337" i="5"/>
  <c r="CH337" i="5"/>
  <c r="CG337" i="5"/>
  <c r="CE337" i="5"/>
  <c r="CI337" i="5"/>
  <c r="CF337" i="5"/>
  <c r="CC337" i="5"/>
  <c r="CD337" i="5"/>
  <c r="CA337" i="5"/>
  <c r="BX337" i="5"/>
  <c r="BW337" i="5"/>
  <c r="BY337" i="5"/>
  <c r="BZ337" i="5"/>
  <c r="BU337" i="5"/>
  <c r="BV337" i="5"/>
  <c r="BT337" i="5"/>
  <c r="BS337" i="5"/>
  <c r="BR337" i="5"/>
  <c r="BQ337" i="5"/>
  <c r="BK337" i="5"/>
  <c r="BL337" i="5"/>
  <c r="BM337" i="5"/>
  <c r="BJ337" i="5"/>
  <c r="BI337" i="5"/>
  <c r="BG337" i="5"/>
  <c r="BE337" i="5"/>
  <c r="BD337" i="5"/>
  <c r="BH337" i="5"/>
  <c r="BF337" i="5"/>
  <c r="BA337" i="5"/>
  <c r="AZ337" i="5"/>
  <c r="AY337" i="5"/>
  <c r="CH329" i="5"/>
  <c r="CJ329" i="5"/>
  <c r="CK329" i="5"/>
  <c r="CE329" i="5"/>
  <c r="CI329" i="5"/>
  <c r="CC329" i="5"/>
  <c r="CG329" i="5"/>
  <c r="CF329" i="5"/>
  <c r="CD329" i="5"/>
  <c r="CA329" i="5"/>
  <c r="BZ329" i="5"/>
  <c r="BX329" i="5"/>
  <c r="BW329" i="5"/>
  <c r="BY329" i="5"/>
  <c r="BV329" i="5"/>
  <c r="BU329" i="5"/>
  <c r="BT329" i="5"/>
  <c r="BR329" i="5"/>
  <c r="BS329" i="5"/>
  <c r="BO329" i="5"/>
  <c r="BQ329" i="5"/>
  <c r="BK329" i="5"/>
  <c r="BL329" i="5"/>
  <c r="BM329" i="5"/>
  <c r="BI329" i="5"/>
  <c r="BJ329" i="5"/>
  <c r="BG329" i="5"/>
  <c r="BE329" i="5"/>
  <c r="BD329" i="5"/>
  <c r="BH329" i="5"/>
  <c r="BF329" i="5"/>
  <c r="BA329" i="5"/>
  <c r="BP329" i="5" s="1"/>
  <c r="AZ329" i="5"/>
  <c r="BC329" i="5"/>
  <c r="AY329" i="5"/>
  <c r="CK321" i="5"/>
  <c r="CJ321" i="5"/>
  <c r="CI321" i="5"/>
  <c r="CH321" i="5"/>
  <c r="CE321" i="5"/>
  <c r="CG321" i="5"/>
  <c r="CF321" i="5"/>
  <c r="CC321" i="5"/>
  <c r="CD321" i="5"/>
  <c r="CA321" i="5"/>
  <c r="BZ321" i="5"/>
  <c r="BY321" i="5"/>
  <c r="BX321" i="5"/>
  <c r="BW321" i="5"/>
  <c r="BV321" i="5"/>
  <c r="BU321" i="5"/>
  <c r="BS321" i="5"/>
  <c r="BR321" i="5"/>
  <c r="BT321" i="5"/>
  <c r="BQ321" i="5"/>
  <c r="BK321" i="5"/>
  <c r="BL321" i="5"/>
  <c r="BM321" i="5"/>
  <c r="BJ321" i="5"/>
  <c r="BI321" i="5"/>
  <c r="BG321" i="5"/>
  <c r="BE321" i="5"/>
  <c r="BD321" i="5"/>
  <c r="BH321" i="5"/>
  <c r="BF321" i="5"/>
  <c r="BA321" i="5"/>
  <c r="AZ321" i="5"/>
  <c r="AY321" i="5"/>
  <c r="CJ313" i="5"/>
  <c r="CK313" i="5"/>
  <c r="CH313" i="5"/>
  <c r="CE313" i="5"/>
  <c r="CI313" i="5"/>
  <c r="CG313" i="5"/>
  <c r="CC313" i="5"/>
  <c r="CF313" i="5"/>
  <c r="CD313" i="5"/>
  <c r="CA313" i="5"/>
  <c r="BZ313" i="5"/>
  <c r="BY313" i="5"/>
  <c r="BW313" i="5"/>
  <c r="BX313" i="5"/>
  <c r="BV313" i="5"/>
  <c r="BU313" i="5"/>
  <c r="BS313" i="5"/>
  <c r="BR313" i="5"/>
  <c r="BT313" i="5"/>
  <c r="BQ313" i="5"/>
  <c r="BO313" i="5"/>
  <c r="BK313" i="5"/>
  <c r="BL313" i="5"/>
  <c r="BM313" i="5"/>
  <c r="BJ313" i="5"/>
  <c r="BI313" i="5"/>
  <c r="BG313" i="5"/>
  <c r="BE313" i="5"/>
  <c r="BH313" i="5"/>
  <c r="BD313" i="5"/>
  <c r="BF313" i="5"/>
  <c r="BA313" i="5"/>
  <c r="BP313" i="5" s="1"/>
  <c r="AZ313" i="5"/>
  <c r="BC313" i="5"/>
  <c r="AY313" i="5"/>
  <c r="CK305" i="5"/>
  <c r="CE305" i="5"/>
  <c r="CI305" i="5"/>
  <c r="CF305" i="5"/>
  <c r="CC305" i="5"/>
  <c r="CD305" i="5"/>
  <c r="CA305" i="5"/>
  <c r="BW305" i="5"/>
  <c r="BY305" i="5"/>
  <c r="BU305" i="5"/>
  <c r="BV305" i="5"/>
  <c r="BT305" i="5"/>
  <c r="BS305" i="5"/>
  <c r="BR305" i="5"/>
  <c r="BQ305" i="5"/>
  <c r="BK305" i="5"/>
  <c r="BM305" i="5"/>
  <c r="BJ305" i="5"/>
  <c r="BI305" i="5"/>
  <c r="BG305" i="5"/>
  <c r="BE305" i="5"/>
  <c r="BD305" i="5"/>
  <c r="BH305" i="5"/>
  <c r="BF305" i="5"/>
  <c r="BA305" i="5"/>
  <c r="BP305" i="5" s="1"/>
  <c r="AZ305" i="5"/>
  <c r="AY305" i="5"/>
  <c r="CK297" i="5"/>
  <c r="CI297" i="5"/>
  <c r="CH297" i="5"/>
  <c r="CJ297" i="5"/>
  <c r="CE297" i="5"/>
  <c r="CG297" i="5"/>
  <c r="CF297" i="5"/>
  <c r="CC297" i="5"/>
  <c r="CD297" i="5"/>
  <c r="CA297" i="5"/>
  <c r="BZ297" i="5"/>
  <c r="BW297" i="5"/>
  <c r="BX297" i="5"/>
  <c r="BY297" i="5"/>
  <c r="BV297" i="5"/>
  <c r="BU297" i="5"/>
  <c r="BT297" i="5"/>
  <c r="BR297" i="5"/>
  <c r="BS297" i="5"/>
  <c r="BO297" i="5"/>
  <c r="BQ297" i="5"/>
  <c r="BK297" i="5"/>
  <c r="BL297" i="5"/>
  <c r="BM297" i="5"/>
  <c r="BI297" i="5"/>
  <c r="BJ297" i="5"/>
  <c r="BG297" i="5"/>
  <c r="BE297" i="5"/>
  <c r="BD297" i="5"/>
  <c r="BH297" i="5"/>
  <c r="BF297" i="5"/>
  <c r="BA297" i="5"/>
  <c r="BP297" i="5" s="1"/>
  <c r="AZ297" i="5"/>
  <c r="BC297" i="5"/>
  <c r="AY297" i="5"/>
  <c r="CK289" i="5"/>
  <c r="CE289" i="5"/>
  <c r="CI289" i="5"/>
  <c r="CF289" i="5"/>
  <c r="CC289" i="5"/>
  <c r="CD289" i="5"/>
  <c r="CA289" i="5"/>
  <c r="BY289" i="5"/>
  <c r="BW289" i="5"/>
  <c r="BV289" i="5"/>
  <c r="BU289" i="5"/>
  <c r="BS289" i="5"/>
  <c r="BR289" i="5"/>
  <c r="BT289" i="5"/>
  <c r="BO289" i="5"/>
  <c r="BQ289" i="5"/>
  <c r="BK289" i="5"/>
  <c r="BM289" i="5"/>
  <c r="BJ289" i="5"/>
  <c r="BI289" i="5"/>
  <c r="BG289" i="5"/>
  <c r="BE289" i="5"/>
  <c r="BD289" i="5"/>
  <c r="BH289" i="5"/>
  <c r="BF289" i="5"/>
  <c r="BC289" i="5"/>
  <c r="BA289" i="5"/>
  <c r="BP289" i="5" s="1"/>
  <c r="AZ289" i="5"/>
  <c r="AY289" i="5"/>
  <c r="CK281" i="5"/>
  <c r="CE281" i="5"/>
  <c r="CI281" i="5"/>
  <c r="CF281" i="5"/>
  <c r="CC281" i="5"/>
  <c r="CD281" i="5"/>
  <c r="CA281" i="5"/>
  <c r="BY281" i="5"/>
  <c r="BW281" i="5"/>
  <c r="BV281" i="5"/>
  <c r="BU281" i="5"/>
  <c r="BS281" i="5"/>
  <c r="BR281" i="5"/>
  <c r="BT281" i="5"/>
  <c r="BQ281" i="5"/>
  <c r="BK281" i="5"/>
  <c r="BM281" i="5"/>
  <c r="BJ281" i="5"/>
  <c r="BI281" i="5"/>
  <c r="BG281" i="5"/>
  <c r="BE281" i="5"/>
  <c r="BH281" i="5"/>
  <c r="BD281" i="5"/>
  <c r="BF281" i="5"/>
  <c r="BA281" i="5"/>
  <c r="BP281" i="5" s="1"/>
  <c r="AZ281" i="5"/>
  <c r="AY281" i="5"/>
  <c r="CK273" i="5"/>
  <c r="CJ273" i="5"/>
  <c r="CI273" i="5"/>
  <c r="CE273" i="5"/>
  <c r="CF273" i="5"/>
  <c r="CH273" i="5"/>
  <c r="CC273" i="5"/>
  <c r="CG273" i="5"/>
  <c r="CD273" i="5"/>
  <c r="CA273" i="5"/>
  <c r="BX273" i="5"/>
  <c r="BW273" i="5"/>
  <c r="BY273" i="5"/>
  <c r="BZ273" i="5"/>
  <c r="BU273" i="5"/>
  <c r="BV273" i="5"/>
  <c r="BT273" i="5"/>
  <c r="BS273" i="5"/>
  <c r="BR273" i="5"/>
  <c r="BO273" i="5"/>
  <c r="BQ273" i="5"/>
  <c r="BK273" i="5"/>
  <c r="BL273" i="5"/>
  <c r="BM273" i="5"/>
  <c r="BJ273" i="5"/>
  <c r="BI273" i="5"/>
  <c r="BG273" i="5"/>
  <c r="BE273" i="5"/>
  <c r="BD273" i="5"/>
  <c r="BH273" i="5"/>
  <c r="BF273" i="5"/>
  <c r="BC273" i="5"/>
  <c r="BA273" i="5"/>
  <c r="BP273" i="5" s="1"/>
  <c r="AZ273" i="5"/>
  <c r="AY273" i="5"/>
  <c r="CK265" i="5"/>
  <c r="CH265" i="5"/>
  <c r="CJ265" i="5"/>
  <c r="CI265" i="5"/>
  <c r="CE265" i="5"/>
  <c r="CG265" i="5"/>
  <c r="CF265" i="5"/>
  <c r="CC265" i="5"/>
  <c r="CD265" i="5"/>
  <c r="CA265" i="5"/>
  <c r="BZ265" i="5"/>
  <c r="BX265" i="5"/>
  <c r="BW265" i="5"/>
  <c r="BY265" i="5"/>
  <c r="BV265" i="5"/>
  <c r="BU265" i="5"/>
  <c r="BR265" i="5"/>
  <c r="BS265" i="5"/>
  <c r="BT265" i="5"/>
  <c r="BO265" i="5"/>
  <c r="BQ265" i="5"/>
  <c r="BK265" i="5"/>
  <c r="BM265" i="5"/>
  <c r="BL265" i="5"/>
  <c r="BI265" i="5"/>
  <c r="BJ265" i="5"/>
  <c r="BG265" i="5"/>
  <c r="BE265" i="5"/>
  <c r="BD265" i="5"/>
  <c r="BH265" i="5"/>
  <c r="BF265" i="5"/>
  <c r="BA265" i="5"/>
  <c r="BP265" i="5" s="1"/>
  <c r="AZ265" i="5"/>
  <c r="BC265" i="5"/>
  <c r="AY265" i="5"/>
  <c r="CJ257" i="5"/>
  <c r="CK257" i="5"/>
  <c r="CI257" i="5"/>
  <c r="CG257" i="5"/>
  <c r="CE257" i="5"/>
  <c r="CH257" i="5"/>
  <c r="CF257" i="5"/>
  <c r="CC257" i="5"/>
  <c r="CD257" i="5"/>
  <c r="CA257" i="5"/>
  <c r="BZ257" i="5"/>
  <c r="BY257" i="5"/>
  <c r="BX257" i="5"/>
  <c r="BW257" i="5"/>
  <c r="BV257" i="5"/>
  <c r="BU257" i="5"/>
  <c r="BS257" i="5"/>
  <c r="BT257" i="5"/>
  <c r="BR257" i="5"/>
  <c r="BO257" i="5"/>
  <c r="BQ257" i="5"/>
  <c r="BK257" i="5"/>
  <c r="BM257" i="5"/>
  <c r="BL257" i="5"/>
  <c r="BJ257" i="5"/>
  <c r="BI257" i="5"/>
  <c r="BG257" i="5"/>
  <c r="BE257" i="5"/>
  <c r="BD257" i="5"/>
  <c r="BH257" i="5"/>
  <c r="BF257" i="5"/>
  <c r="BC257" i="5"/>
  <c r="BA257" i="5"/>
  <c r="BP257" i="5" s="1"/>
  <c r="AZ257" i="5"/>
  <c r="AY257" i="5"/>
  <c r="CJ249" i="5"/>
  <c r="CK249" i="5"/>
  <c r="CI249" i="5"/>
  <c r="CG249" i="5"/>
  <c r="CE249" i="5"/>
  <c r="CF249" i="5"/>
  <c r="CH249" i="5"/>
  <c r="CC249" i="5"/>
  <c r="CD249" i="5"/>
  <c r="CA249" i="5"/>
  <c r="BZ249" i="5"/>
  <c r="BX249" i="5"/>
  <c r="BY249" i="5"/>
  <c r="BW249" i="5"/>
  <c r="BV249" i="5"/>
  <c r="BU249" i="5"/>
  <c r="BS249" i="5"/>
  <c r="BR249" i="5"/>
  <c r="BT249" i="5"/>
  <c r="BQ249" i="5"/>
  <c r="BO249" i="5"/>
  <c r="BK249" i="5"/>
  <c r="BL249" i="5"/>
  <c r="BM249" i="5"/>
  <c r="BJ249" i="5"/>
  <c r="BI249" i="5"/>
  <c r="BG249" i="5"/>
  <c r="BE249" i="5"/>
  <c r="BH249" i="5"/>
  <c r="BD249" i="5"/>
  <c r="BF249" i="5"/>
  <c r="BA249" i="5"/>
  <c r="BP249" i="5" s="1"/>
  <c r="AZ249" i="5"/>
  <c r="BC249" i="5"/>
  <c r="AY249" i="5"/>
  <c r="CK241" i="5"/>
  <c r="CJ241" i="5"/>
  <c r="CH241" i="5"/>
  <c r="CI241" i="5"/>
  <c r="CE241" i="5"/>
  <c r="CD241" i="5"/>
  <c r="CG241" i="5"/>
  <c r="CF241" i="5"/>
  <c r="CC241" i="5"/>
  <c r="BX241" i="5"/>
  <c r="CA241" i="5"/>
  <c r="BZ241" i="5"/>
  <c r="BW241" i="5"/>
  <c r="BY241" i="5"/>
  <c r="BU241" i="5"/>
  <c r="BV241" i="5"/>
  <c r="BT241" i="5"/>
  <c r="BS241" i="5"/>
  <c r="BR241" i="5"/>
  <c r="BO241" i="5"/>
  <c r="BQ241" i="5"/>
  <c r="BK241" i="5"/>
  <c r="BM241" i="5"/>
  <c r="BL241" i="5"/>
  <c r="BJ241" i="5"/>
  <c r="BI241" i="5"/>
  <c r="BG241" i="5"/>
  <c r="BE241" i="5"/>
  <c r="BD241" i="5"/>
  <c r="BH241" i="5"/>
  <c r="BF241" i="5"/>
  <c r="BC241" i="5"/>
  <c r="BA241" i="5"/>
  <c r="BP241" i="5" s="1"/>
  <c r="AZ241" i="5"/>
  <c r="AY241" i="5"/>
  <c r="CI233" i="5"/>
  <c r="CE233" i="5"/>
  <c r="CK233" i="5"/>
  <c r="CF233" i="5"/>
  <c r="CC233" i="5"/>
  <c r="CD233" i="5"/>
  <c r="CA233" i="5"/>
  <c r="BW233" i="5"/>
  <c r="BY233" i="5"/>
  <c r="BV233" i="5"/>
  <c r="BU233" i="5"/>
  <c r="BR233" i="5"/>
  <c r="BS233" i="5"/>
  <c r="BT233" i="5"/>
  <c r="BO233" i="5"/>
  <c r="BQ233" i="5"/>
  <c r="BK233" i="5"/>
  <c r="BM233" i="5"/>
  <c r="BI233" i="5"/>
  <c r="BJ233" i="5"/>
  <c r="BG233" i="5"/>
  <c r="BE233" i="5"/>
  <c r="BD233" i="5"/>
  <c r="BH233" i="5"/>
  <c r="BF233" i="5"/>
  <c r="BA233" i="5"/>
  <c r="BP233" i="5" s="1"/>
  <c r="AZ233" i="5"/>
  <c r="BC233" i="5"/>
  <c r="AY233" i="5"/>
  <c r="CJ225" i="5"/>
  <c r="CK225" i="5"/>
  <c r="CI225" i="5"/>
  <c r="CE225" i="5"/>
  <c r="CH225" i="5"/>
  <c r="CG225" i="5"/>
  <c r="CC225" i="5"/>
  <c r="CF225" i="5"/>
  <c r="CD225" i="5"/>
  <c r="CA225" i="5"/>
  <c r="BX225" i="5"/>
  <c r="BY225" i="5"/>
  <c r="BW225" i="5"/>
  <c r="BZ225" i="5"/>
  <c r="BV225" i="5"/>
  <c r="BU225" i="5"/>
  <c r="BS225" i="5"/>
  <c r="BT225" i="5"/>
  <c r="BR225" i="5"/>
  <c r="BO225" i="5"/>
  <c r="BQ225" i="5"/>
  <c r="BK225" i="5"/>
  <c r="BM225" i="5"/>
  <c r="BL225" i="5"/>
  <c r="BJ225" i="5"/>
  <c r="BI225" i="5"/>
  <c r="BG225" i="5"/>
  <c r="BE225" i="5"/>
  <c r="BD225" i="5"/>
  <c r="BH225" i="5"/>
  <c r="BF225" i="5"/>
  <c r="BC225" i="5"/>
  <c r="BA225" i="5"/>
  <c r="BP225" i="5" s="1"/>
  <c r="AZ225" i="5"/>
  <c r="AY225" i="5"/>
  <c r="CK217" i="5"/>
  <c r="CI217" i="5"/>
  <c r="CG217" i="5"/>
  <c r="CE217" i="5"/>
  <c r="CJ217" i="5"/>
  <c r="CF217" i="5"/>
  <c r="CH217" i="5"/>
  <c r="CC217" i="5"/>
  <c r="CD217" i="5"/>
  <c r="CA217" i="5"/>
  <c r="BZ217" i="5"/>
  <c r="BY217" i="5"/>
  <c r="BW217" i="5"/>
  <c r="BX217" i="5"/>
  <c r="BV217" i="5"/>
  <c r="BU217" i="5"/>
  <c r="BS217" i="5"/>
  <c r="BR217" i="5"/>
  <c r="BT217" i="5"/>
  <c r="BQ217" i="5"/>
  <c r="BO217" i="5"/>
  <c r="BK217" i="5"/>
  <c r="BL217" i="5"/>
  <c r="BM217" i="5"/>
  <c r="BJ217" i="5"/>
  <c r="BI217" i="5"/>
  <c r="BG217" i="5"/>
  <c r="BE217" i="5"/>
  <c r="BH217" i="5"/>
  <c r="BD217" i="5"/>
  <c r="BF217" i="5"/>
  <c r="BA217" i="5"/>
  <c r="BP217" i="5" s="1"/>
  <c r="AZ217" i="5"/>
  <c r="BC217" i="5"/>
  <c r="AY217" i="5"/>
  <c r="CK209" i="5"/>
  <c r="CJ209" i="5"/>
  <c r="CH209" i="5"/>
  <c r="CI209" i="5"/>
  <c r="CE209" i="5"/>
  <c r="CD209" i="5"/>
  <c r="CG209" i="5"/>
  <c r="CF209" i="5"/>
  <c r="CC209" i="5"/>
  <c r="CA209" i="5"/>
  <c r="BX209" i="5"/>
  <c r="BW209" i="5"/>
  <c r="BY209" i="5"/>
  <c r="BZ209" i="5"/>
  <c r="BU209" i="5"/>
  <c r="BV209" i="5"/>
  <c r="BT209" i="5"/>
  <c r="BS209" i="5"/>
  <c r="BR209" i="5"/>
  <c r="BO209" i="5"/>
  <c r="BQ209" i="5"/>
  <c r="BK209" i="5"/>
  <c r="BL209" i="5"/>
  <c r="BM209" i="5"/>
  <c r="BJ209" i="5"/>
  <c r="BI209" i="5"/>
  <c r="BG209" i="5"/>
  <c r="BE209" i="5"/>
  <c r="BD209" i="5"/>
  <c r="BH209" i="5"/>
  <c r="BF209" i="5"/>
  <c r="BC209" i="5"/>
  <c r="BA209" i="5"/>
  <c r="BP209" i="5" s="1"/>
  <c r="AZ209" i="5"/>
  <c r="AY209" i="5"/>
  <c r="CJ201" i="5"/>
  <c r="CK201" i="5"/>
  <c r="CH201" i="5"/>
  <c r="CG201" i="5"/>
  <c r="CE201" i="5"/>
  <c r="CI201" i="5"/>
  <c r="CC201" i="5"/>
  <c r="CF201" i="5"/>
  <c r="CD201" i="5"/>
  <c r="CA201" i="5"/>
  <c r="BZ201" i="5"/>
  <c r="BX201" i="5"/>
  <c r="BW201" i="5"/>
  <c r="BY201" i="5"/>
  <c r="BV201" i="5"/>
  <c r="BU201" i="5"/>
  <c r="BR201" i="5"/>
  <c r="BS201" i="5"/>
  <c r="BT201" i="5"/>
  <c r="BO201" i="5"/>
  <c r="BQ201" i="5"/>
  <c r="BK201" i="5"/>
  <c r="BL201" i="5"/>
  <c r="BM201" i="5"/>
  <c r="BI201" i="5"/>
  <c r="BJ201" i="5"/>
  <c r="BG201" i="5"/>
  <c r="BE201" i="5"/>
  <c r="BD201" i="5"/>
  <c r="BH201" i="5"/>
  <c r="BF201" i="5"/>
  <c r="BA201" i="5"/>
  <c r="BP201" i="5" s="1"/>
  <c r="AZ201" i="5"/>
  <c r="BC201" i="5"/>
  <c r="AY201" i="5"/>
  <c r="CK193" i="5"/>
  <c r="CI193" i="5"/>
  <c r="CE193" i="5"/>
  <c r="CF193" i="5"/>
  <c r="CC193" i="5"/>
  <c r="CD193" i="5"/>
  <c r="CA193" i="5"/>
  <c r="BY193" i="5"/>
  <c r="BW193" i="5"/>
  <c r="BV193" i="5"/>
  <c r="BU193" i="5"/>
  <c r="BS193" i="5"/>
  <c r="BT193" i="5"/>
  <c r="BR193" i="5"/>
  <c r="BQ193" i="5"/>
  <c r="BK193" i="5"/>
  <c r="BM193" i="5"/>
  <c r="BJ193" i="5"/>
  <c r="BI193" i="5"/>
  <c r="BG193" i="5"/>
  <c r="BE193" i="5"/>
  <c r="BD193" i="5"/>
  <c r="BH193" i="5"/>
  <c r="BF193" i="5"/>
  <c r="BA193" i="5"/>
  <c r="BP193" i="5" s="1"/>
  <c r="AZ193" i="5"/>
  <c r="AY193" i="5"/>
  <c r="CK185" i="5"/>
  <c r="CI185" i="5"/>
  <c r="CE185" i="5"/>
  <c r="CF185" i="5"/>
  <c r="CC185" i="5"/>
  <c r="CD185" i="5"/>
  <c r="CA185" i="5"/>
  <c r="BY185" i="5"/>
  <c r="BW185" i="5"/>
  <c r="BV185" i="5"/>
  <c r="BU185" i="5"/>
  <c r="BS185" i="5"/>
  <c r="BR185" i="5"/>
  <c r="BT185" i="5"/>
  <c r="BQ185" i="5"/>
  <c r="BK185" i="5"/>
  <c r="BM185" i="5"/>
  <c r="BJ185" i="5"/>
  <c r="BI185" i="5"/>
  <c r="BH185" i="5"/>
  <c r="BG185" i="5"/>
  <c r="BE185" i="5"/>
  <c r="BD185" i="5"/>
  <c r="BF185" i="5"/>
  <c r="BA185" i="5"/>
  <c r="BP185" i="5" s="1"/>
  <c r="AZ185" i="5"/>
  <c r="AY185" i="5"/>
  <c r="CK177" i="5"/>
  <c r="CE177" i="5"/>
  <c r="CI177" i="5"/>
  <c r="CD177" i="5"/>
  <c r="CF177" i="5"/>
  <c r="CC177" i="5"/>
  <c r="CA177" i="5"/>
  <c r="BW177" i="5"/>
  <c r="BY177" i="5"/>
  <c r="BU177" i="5"/>
  <c r="BV177" i="5"/>
  <c r="BT177" i="5"/>
  <c r="BS177" i="5"/>
  <c r="BR177" i="5"/>
  <c r="BO177" i="5"/>
  <c r="BQ177" i="5"/>
  <c r="BK177" i="5"/>
  <c r="BM177" i="5"/>
  <c r="BJ177" i="5"/>
  <c r="BI177" i="5"/>
  <c r="BH177" i="5"/>
  <c r="BG177" i="5"/>
  <c r="BE177" i="5"/>
  <c r="BD177" i="5"/>
  <c r="BF177" i="5"/>
  <c r="BC177" i="5"/>
  <c r="BA177" i="5"/>
  <c r="BP177" i="5" s="1"/>
  <c r="AZ177" i="5"/>
  <c r="AY177" i="5"/>
  <c r="CK169" i="5"/>
  <c r="CI169" i="5"/>
  <c r="CE169" i="5"/>
  <c r="CD169" i="5"/>
  <c r="CC169" i="5"/>
  <c r="CF169" i="5"/>
  <c r="CA169" i="5"/>
  <c r="BW169" i="5"/>
  <c r="BY169" i="5"/>
  <c r="BV169" i="5"/>
  <c r="BU169" i="5"/>
  <c r="BR169" i="5"/>
  <c r="BS169" i="5"/>
  <c r="BT169" i="5"/>
  <c r="BO169" i="5"/>
  <c r="BQ169" i="5"/>
  <c r="BK169" i="5"/>
  <c r="BM169" i="5"/>
  <c r="BI169" i="5"/>
  <c r="BJ169" i="5"/>
  <c r="BH169" i="5"/>
  <c r="BG169" i="5"/>
  <c r="BE169" i="5"/>
  <c r="BD169" i="5"/>
  <c r="BF169" i="5"/>
  <c r="BA169" i="5"/>
  <c r="BP169" i="5" s="1"/>
  <c r="AZ169" i="5"/>
  <c r="BC169" i="5"/>
  <c r="AY169" i="5"/>
  <c r="CJ161" i="5"/>
  <c r="CK161" i="5"/>
  <c r="CG161" i="5"/>
  <c r="CE161" i="5"/>
  <c r="CF161" i="5"/>
  <c r="CH161" i="5"/>
  <c r="CC161" i="5"/>
  <c r="CI161" i="5"/>
  <c r="CD161" i="5"/>
  <c r="CA161" i="5"/>
  <c r="BY161" i="5"/>
  <c r="BX161" i="5"/>
  <c r="BW161" i="5"/>
  <c r="BZ161" i="5"/>
  <c r="BV161" i="5"/>
  <c r="BU161" i="5"/>
  <c r="BS161" i="5"/>
  <c r="BT161" i="5"/>
  <c r="BR161" i="5"/>
  <c r="BO161" i="5"/>
  <c r="BQ161" i="5"/>
  <c r="BK161" i="5"/>
  <c r="BM161" i="5"/>
  <c r="BL161" i="5"/>
  <c r="BJ161" i="5"/>
  <c r="BI161" i="5"/>
  <c r="BH161" i="5"/>
  <c r="BG161" i="5"/>
  <c r="BE161" i="5"/>
  <c r="BD161" i="5"/>
  <c r="BF161" i="5"/>
  <c r="BC161" i="5"/>
  <c r="BA161" i="5"/>
  <c r="BP161" i="5" s="1"/>
  <c r="AZ161" i="5"/>
  <c r="AY161" i="5"/>
  <c r="CK153" i="5"/>
  <c r="CE153" i="5"/>
  <c r="CF153" i="5"/>
  <c r="CI153" i="5"/>
  <c r="CC153" i="5"/>
  <c r="CD153" i="5"/>
  <c r="CA153" i="5"/>
  <c r="BY153" i="5"/>
  <c r="BW153" i="5"/>
  <c r="BV153" i="5"/>
  <c r="BU153" i="5"/>
  <c r="BS153" i="5"/>
  <c r="BR153" i="5"/>
  <c r="BT153" i="5"/>
  <c r="BQ153" i="5"/>
  <c r="BK153" i="5"/>
  <c r="BM153" i="5"/>
  <c r="BJ153" i="5"/>
  <c r="BI153" i="5"/>
  <c r="BH153" i="5"/>
  <c r="BG153" i="5"/>
  <c r="BE153" i="5"/>
  <c r="BD153" i="5"/>
  <c r="BF153" i="5"/>
  <c r="BA153" i="5"/>
  <c r="BP153" i="5" s="1"/>
  <c r="AZ153" i="5"/>
  <c r="AY153" i="5"/>
  <c r="CK145" i="5"/>
  <c r="CI145" i="5"/>
  <c r="CE145" i="5"/>
  <c r="CD145" i="5"/>
  <c r="CC145" i="5"/>
  <c r="CF145" i="5"/>
  <c r="CA145" i="5"/>
  <c r="BW145" i="5"/>
  <c r="BY145" i="5"/>
  <c r="BU145" i="5"/>
  <c r="BV145" i="5"/>
  <c r="BT145" i="5"/>
  <c r="BS145" i="5"/>
  <c r="BR145" i="5"/>
  <c r="BO145" i="5"/>
  <c r="BQ145" i="5"/>
  <c r="BK145" i="5"/>
  <c r="BM145" i="5"/>
  <c r="BJ145" i="5"/>
  <c r="BI145" i="5"/>
  <c r="BH145" i="5"/>
  <c r="BG145" i="5"/>
  <c r="BE145" i="5"/>
  <c r="BD145" i="5"/>
  <c r="BF145" i="5"/>
  <c r="BC145" i="5"/>
  <c r="BA145" i="5"/>
  <c r="BP145" i="5" s="1"/>
  <c r="AZ145" i="5"/>
  <c r="AY145" i="5"/>
  <c r="CK137" i="5"/>
  <c r="CJ137" i="5"/>
  <c r="CE137" i="5"/>
  <c r="CI137" i="5"/>
  <c r="CH137" i="5"/>
  <c r="CG137" i="5"/>
  <c r="CF137" i="5"/>
  <c r="CC137" i="5"/>
  <c r="CD137" i="5"/>
  <c r="CA137" i="5"/>
  <c r="BZ137" i="5"/>
  <c r="BX137" i="5"/>
  <c r="BW137" i="5"/>
  <c r="BY137" i="5"/>
  <c r="BV137" i="5"/>
  <c r="BU137" i="5"/>
  <c r="BR137" i="5"/>
  <c r="BS137" i="5"/>
  <c r="BT137" i="5"/>
  <c r="BQ137" i="5"/>
  <c r="BK137" i="5"/>
  <c r="BL137" i="5"/>
  <c r="BM137" i="5"/>
  <c r="BI137" i="5"/>
  <c r="BJ137" i="5"/>
  <c r="BH137" i="5"/>
  <c r="BG137" i="5"/>
  <c r="BE137" i="5"/>
  <c r="BD137" i="5"/>
  <c r="BF137" i="5"/>
  <c r="BA137" i="5"/>
  <c r="BP137" i="5" s="1"/>
  <c r="AZ137" i="5"/>
  <c r="AY137" i="5"/>
  <c r="CI129" i="5"/>
  <c r="CK129" i="5"/>
  <c r="CE129" i="5"/>
  <c r="CF129" i="5"/>
  <c r="CC129" i="5"/>
  <c r="CD129" i="5"/>
  <c r="CA129" i="5"/>
  <c r="BY129" i="5"/>
  <c r="BW129" i="5"/>
  <c r="BV129" i="5"/>
  <c r="BU129" i="5"/>
  <c r="BS129" i="5"/>
  <c r="BT129" i="5"/>
  <c r="BR129" i="5"/>
  <c r="BO129" i="5"/>
  <c r="BQ129" i="5"/>
  <c r="BK129" i="5"/>
  <c r="BM129" i="5"/>
  <c r="BJ129" i="5"/>
  <c r="BI129" i="5"/>
  <c r="BH129" i="5"/>
  <c r="BG129" i="5"/>
  <c r="BE129" i="5"/>
  <c r="BD129" i="5"/>
  <c r="BF129" i="5"/>
  <c r="BC129" i="5"/>
  <c r="BA129" i="5"/>
  <c r="BP129" i="5" s="1"/>
  <c r="AZ129" i="5"/>
  <c r="AY129" i="5"/>
  <c r="CK121" i="5"/>
  <c r="CE121" i="5"/>
  <c r="CI121" i="5"/>
  <c r="CF121" i="5"/>
  <c r="CC121" i="5"/>
  <c r="CD121" i="5"/>
  <c r="CA121" i="5"/>
  <c r="BY121" i="5"/>
  <c r="BW121" i="5"/>
  <c r="BV121" i="5"/>
  <c r="BU121" i="5"/>
  <c r="BS121" i="5"/>
  <c r="BR121" i="5"/>
  <c r="BT121" i="5"/>
  <c r="BQ121" i="5"/>
  <c r="BK121" i="5"/>
  <c r="BM121" i="5"/>
  <c r="BN121" i="5"/>
  <c r="BJ121" i="5"/>
  <c r="BI121" i="5"/>
  <c r="BH121" i="5"/>
  <c r="BG121" i="5"/>
  <c r="BE121" i="5"/>
  <c r="BD121" i="5"/>
  <c r="BF121" i="5"/>
  <c r="BB121" i="5"/>
  <c r="BA121" i="5"/>
  <c r="BP121" i="5" s="1"/>
  <c r="AZ121" i="5"/>
  <c r="AY121" i="5"/>
  <c r="CK113" i="5"/>
  <c r="CI113" i="5"/>
  <c r="CE113" i="5"/>
  <c r="CD113" i="5"/>
  <c r="CC113" i="5"/>
  <c r="CF113" i="5"/>
  <c r="CA113" i="5"/>
  <c r="BW113" i="5"/>
  <c r="BY113" i="5"/>
  <c r="BU113" i="5"/>
  <c r="BV113" i="5"/>
  <c r="BT113" i="5"/>
  <c r="BS113" i="5"/>
  <c r="BR113" i="5"/>
  <c r="BQ113" i="5"/>
  <c r="BK113" i="5"/>
  <c r="BM113" i="5"/>
  <c r="BJ113" i="5"/>
  <c r="BI113" i="5"/>
  <c r="BH113" i="5"/>
  <c r="BG113" i="5"/>
  <c r="BE113" i="5"/>
  <c r="BD113" i="5"/>
  <c r="BF113" i="5"/>
  <c r="BA113" i="5"/>
  <c r="BP113" i="5" s="1"/>
  <c r="AZ113" i="5"/>
  <c r="AY113" i="5"/>
  <c r="CK105" i="5"/>
  <c r="CE105" i="5"/>
  <c r="CI105" i="5"/>
  <c r="CF105" i="5"/>
  <c r="CC105" i="5"/>
  <c r="CD105" i="5"/>
  <c r="CA105" i="5"/>
  <c r="BW105" i="5"/>
  <c r="BY105" i="5"/>
  <c r="BV105" i="5"/>
  <c r="BU105" i="5"/>
  <c r="BR105" i="5"/>
  <c r="BS105" i="5"/>
  <c r="BT105" i="5"/>
  <c r="BO105" i="5"/>
  <c r="BQ105" i="5"/>
  <c r="BK105" i="5"/>
  <c r="BM105" i="5"/>
  <c r="BI105" i="5"/>
  <c r="BJ105" i="5"/>
  <c r="BH105" i="5"/>
  <c r="BG105" i="5"/>
  <c r="BE105" i="5"/>
  <c r="BD105" i="5"/>
  <c r="BF105" i="5"/>
  <c r="BA105" i="5"/>
  <c r="BP105" i="5" s="1"/>
  <c r="AZ105" i="5"/>
  <c r="BC105" i="5"/>
  <c r="AY105" i="5"/>
  <c r="CK97" i="5"/>
  <c r="CJ97" i="5"/>
  <c r="CG97" i="5"/>
  <c r="CI97" i="5"/>
  <c r="CH97" i="5"/>
  <c r="CE97" i="5"/>
  <c r="CF97" i="5"/>
  <c r="CC97" i="5"/>
  <c r="CD97" i="5"/>
  <c r="CA97" i="5"/>
  <c r="BY97" i="5"/>
  <c r="BW97" i="5"/>
  <c r="BZ97" i="5"/>
  <c r="BX97" i="5"/>
  <c r="BV97" i="5"/>
  <c r="BU97" i="5"/>
  <c r="BS97" i="5"/>
  <c r="BT97" i="5"/>
  <c r="BR97" i="5"/>
  <c r="BQ97" i="5"/>
  <c r="BK97" i="5"/>
  <c r="BM97" i="5"/>
  <c r="BL97" i="5"/>
  <c r="BJ97" i="5"/>
  <c r="BI97" i="5"/>
  <c r="BH97" i="5"/>
  <c r="BG97" i="5"/>
  <c r="BE97" i="5"/>
  <c r="BD97" i="5"/>
  <c r="BF97" i="5"/>
  <c r="BA97" i="5"/>
  <c r="BP97" i="5" s="1"/>
  <c r="AZ97" i="5"/>
  <c r="AY97" i="5"/>
  <c r="CK89" i="5"/>
  <c r="CJ89" i="5"/>
  <c r="CI89" i="5"/>
  <c r="CG89" i="5"/>
  <c r="CE89" i="5"/>
  <c r="CF89" i="5"/>
  <c r="CH89" i="5"/>
  <c r="CC89" i="5"/>
  <c r="CD89" i="5"/>
  <c r="CA89" i="5"/>
  <c r="BZ89" i="5"/>
  <c r="BX89" i="5"/>
  <c r="BY89" i="5"/>
  <c r="BW89" i="5"/>
  <c r="BV89" i="5"/>
  <c r="BU89" i="5"/>
  <c r="BS89" i="5"/>
  <c r="BR89" i="5"/>
  <c r="BT89" i="5"/>
  <c r="BQ89" i="5"/>
  <c r="BK89" i="5"/>
  <c r="BL89" i="5"/>
  <c r="BM89" i="5"/>
  <c r="BJ89" i="5"/>
  <c r="BI89" i="5"/>
  <c r="BH89" i="5"/>
  <c r="BG89" i="5"/>
  <c r="BE89" i="5"/>
  <c r="BD89" i="5"/>
  <c r="BF89" i="5"/>
  <c r="BA89" i="5"/>
  <c r="BP89" i="5" s="1"/>
  <c r="AZ89" i="5"/>
  <c r="AY89" i="5"/>
  <c r="CK81" i="5"/>
  <c r="CI81" i="5"/>
  <c r="CE81" i="5"/>
  <c r="CD81" i="5"/>
  <c r="CF81" i="5"/>
  <c r="CC81" i="5"/>
  <c r="CA81" i="5"/>
  <c r="BW81" i="5"/>
  <c r="BY81" i="5"/>
  <c r="BU81" i="5"/>
  <c r="BV81" i="5"/>
  <c r="BT81" i="5"/>
  <c r="BS81" i="5"/>
  <c r="BR81" i="5"/>
  <c r="BO81" i="5"/>
  <c r="BQ81" i="5"/>
  <c r="BK81" i="5"/>
  <c r="BM81" i="5"/>
  <c r="BJ81" i="5"/>
  <c r="BI81" i="5"/>
  <c r="BH81" i="5"/>
  <c r="BG81" i="5"/>
  <c r="BE81" i="5"/>
  <c r="BD81" i="5"/>
  <c r="BF81" i="5"/>
  <c r="BC81" i="5"/>
  <c r="BA81" i="5"/>
  <c r="BP81" i="5" s="1"/>
  <c r="AZ81" i="5"/>
  <c r="AY81" i="5"/>
  <c r="CK73" i="5"/>
  <c r="CE73" i="5"/>
  <c r="CI73" i="5"/>
  <c r="CF73" i="5"/>
  <c r="CC73" i="5"/>
  <c r="CD73" i="5"/>
  <c r="CA73" i="5"/>
  <c r="BW73" i="5"/>
  <c r="BY73" i="5"/>
  <c r="BV73" i="5"/>
  <c r="BU73" i="5"/>
  <c r="BR73" i="5"/>
  <c r="BS73" i="5"/>
  <c r="BT73" i="5"/>
  <c r="BQ73" i="5"/>
  <c r="BK73" i="5"/>
  <c r="BM73" i="5"/>
  <c r="BI73" i="5"/>
  <c r="BJ73" i="5"/>
  <c r="BH73" i="5"/>
  <c r="BG73" i="5"/>
  <c r="BE73" i="5"/>
  <c r="BD73" i="5"/>
  <c r="BF73" i="5"/>
  <c r="BA73" i="5"/>
  <c r="BP73" i="5" s="1"/>
  <c r="AZ73" i="5"/>
  <c r="AY73" i="5"/>
  <c r="CK65" i="5"/>
  <c r="CI65" i="5"/>
  <c r="CE65" i="5"/>
  <c r="CF65" i="5"/>
  <c r="CC65" i="5"/>
  <c r="CD65" i="5"/>
  <c r="CA65" i="5"/>
  <c r="BY65" i="5"/>
  <c r="BW65" i="5"/>
  <c r="BV65" i="5"/>
  <c r="BU65" i="5"/>
  <c r="BS65" i="5"/>
  <c r="BT65" i="5"/>
  <c r="BR65" i="5"/>
  <c r="BO65" i="5"/>
  <c r="BQ65" i="5"/>
  <c r="BK65" i="5"/>
  <c r="BM65" i="5"/>
  <c r="BJ65" i="5"/>
  <c r="BI65" i="5"/>
  <c r="BH65" i="5"/>
  <c r="BG65" i="5"/>
  <c r="BE65" i="5"/>
  <c r="BD65" i="5"/>
  <c r="BF65" i="5"/>
  <c r="BA65" i="5"/>
  <c r="BP65" i="5" s="1"/>
  <c r="AZ65" i="5"/>
  <c r="AY65" i="5"/>
  <c r="CJ57" i="5"/>
  <c r="CK57" i="5"/>
  <c r="CG57" i="5"/>
  <c r="CI57" i="5"/>
  <c r="CE57" i="5"/>
  <c r="CF57" i="5"/>
  <c r="CC57" i="5"/>
  <c r="CH57" i="5"/>
  <c r="CD57" i="5"/>
  <c r="CA57" i="5"/>
  <c r="BZ57" i="5"/>
  <c r="BY57" i="5"/>
  <c r="BW57" i="5"/>
  <c r="BX57" i="5"/>
  <c r="BV57" i="5"/>
  <c r="BU57" i="5"/>
  <c r="BS57" i="5"/>
  <c r="BR57" i="5"/>
  <c r="BT57" i="5"/>
  <c r="BQ57" i="5"/>
  <c r="BK57" i="5"/>
  <c r="BL57" i="5"/>
  <c r="BM57" i="5"/>
  <c r="BJ57" i="5"/>
  <c r="BI57" i="5"/>
  <c r="BH57" i="5"/>
  <c r="BG57" i="5"/>
  <c r="BE57" i="5"/>
  <c r="BD57" i="5"/>
  <c r="BF57" i="5"/>
  <c r="BA57" i="5"/>
  <c r="BP57" i="5" s="1"/>
  <c r="AZ57" i="5"/>
  <c r="AY57" i="5"/>
  <c r="CK49" i="5"/>
  <c r="CJ49" i="5"/>
  <c r="CH49" i="5"/>
  <c r="CG49" i="5"/>
  <c r="CI49" i="5"/>
  <c r="CE49" i="5"/>
  <c r="CD49" i="5"/>
  <c r="CF49" i="5"/>
  <c r="CC49" i="5"/>
  <c r="CA49" i="5"/>
  <c r="BX49" i="5"/>
  <c r="BZ49" i="5"/>
  <c r="BW49" i="5"/>
  <c r="BY49" i="5"/>
  <c r="BU49" i="5"/>
  <c r="BV49" i="5"/>
  <c r="BT49" i="5"/>
  <c r="BS49" i="5"/>
  <c r="BR49" i="5"/>
  <c r="BO49" i="5"/>
  <c r="BQ49" i="5"/>
  <c r="BL49" i="5"/>
  <c r="BK49" i="5"/>
  <c r="BM49" i="5"/>
  <c r="BJ49" i="5"/>
  <c r="BI49" i="5"/>
  <c r="BH49" i="5"/>
  <c r="BG49" i="5"/>
  <c r="BE49" i="5"/>
  <c r="BD49" i="5"/>
  <c r="BF49" i="5"/>
  <c r="BC49" i="5"/>
  <c r="BA49" i="5"/>
  <c r="BP49" i="5" s="1"/>
  <c r="AZ49" i="5"/>
  <c r="AY49" i="5"/>
  <c r="CK41" i="5"/>
  <c r="CJ41" i="5"/>
  <c r="CI41" i="5"/>
  <c r="CH41" i="5"/>
  <c r="CE41" i="5"/>
  <c r="CG41" i="5"/>
  <c r="CF41" i="5"/>
  <c r="CD41" i="5"/>
  <c r="CC41" i="5"/>
  <c r="CA41" i="5"/>
  <c r="BZ41" i="5"/>
  <c r="BW41" i="5"/>
  <c r="BY41" i="5"/>
  <c r="BX41" i="5"/>
  <c r="BV41" i="5"/>
  <c r="BU41" i="5"/>
  <c r="BR41" i="5"/>
  <c r="BS41" i="5"/>
  <c r="BT41" i="5"/>
  <c r="BQ41" i="5"/>
  <c r="BK41" i="5"/>
  <c r="BL41" i="5"/>
  <c r="BM41" i="5"/>
  <c r="BI41" i="5"/>
  <c r="BJ41" i="5"/>
  <c r="BH41" i="5"/>
  <c r="BG41" i="5"/>
  <c r="BE41" i="5"/>
  <c r="BD41" i="5"/>
  <c r="BF41" i="5"/>
  <c r="BA41" i="5"/>
  <c r="AZ41" i="5"/>
  <c r="AY41" i="5"/>
  <c r="CK33" i="5"/>
  <c r="CI33" i="5"/>
  <c r="CE33" i="5"/>
  <c r="CF33" i="5"/>
  <c r="CC33" i="5"/>
  <c r="CD33" i="5"/>
  <c r="CA33" i="5"/>
  <c r="BY33" i="5"/>
  <c r="BW33" i="5"/>
  <c r="BV33" i="5"/>
  <c r="BU33" i="5"/>
  <c r="BS33" i="5"/>
  <c r="BT33" i="5"/>
  <c r="BR33" i="5"/>
  <c r="BO33" i="5"/>
  <c r="BQ33" i="5"/>
  <c r="BK33" i="5"/>
  <c r="BN33" i="5"/>
  <c r="BM33" i="5"/>
  <c r="BJ33" i="5"/>
  <c r="BI33" i="5"/>
  <c r="BH33" i="5"/>
  <c r="BG33" i="5"/>
  <c r="BE33" i="5"/>
  <c r="BD33" i="5"/>
  <c r="BF33" i="5"/>
  <c r="BC33" i="5"/>
  <c r="BB33" i="5"/>
  <c r="BA33" i="5"/>
  <c r="BP33" i="5" s="1"/>
  <c r="AZ33" i="5"/>
  <c r="AY33" i="5"/>
  <c r="CK25" i="5"/>
  <c r="CI25" i="5"/>
  <c r="CE25" i="5"/>
  <c r="CF25" i="5"/>
  <c r="CC25" i="5"/>
  <c r="CD25" i="5"/>
  <c r="CA25" i="5"/>
  <c r="BY25" i="5"/>
  <c r="BW25" i="5"/>
  <c r="BV25" i="5"/>
  <c r="BU25" i="5"/>
  <c r="BS25" i="5"/>
  <c r="BR25" i="5"/>
  <c r="BT25" i="5"/>
  <c r="BQ25" i="5"/>
  <c r="BK25" i="5"/>
  <c r="BM25" i="5"/>
  <c r="BJ25" i="5"/>
  <c r="BI25" i="5"/>
  <c r="BH25" i="5"/>
  <c r="BG25" i="5"/>
  <c r="BE25" i="5"/>
  <c r="BD25" i="5"/>
  <c r="BF25" i="5"/>
  <c r="BA25" i="5"/>
  <c r="BP25" i="5" s="1"/>
  <c r="AZ25" i="5"/>
  <c r="AY25" i="5"/>
  <c r="CK17" i="5"/>
  <c r="CI17" i="5"/>
  <c r="CE17" i="5"/>
  <c r="CD17" i="5"/>
  <c r="CF17" i="5"/>
  <c r="CC17" i="5"/>
  <c r="CA17" i="5"/>
  <c r="BW17" i="5"/>
  <c r="BY17" i="5"/>
  <c r="BU17" i="5"/>
  <c r="BV17" i="5"/>
  <c r="BT17" i="5"/>
  <c r="BS17" i="5"/>
  <c r="BR17" i="5"/>
  <c r="BQ17" i="5"/>
  <c r="BK17" i="5"/>
  <c r="BM17" i="5"/>
  <c r="BJ17" i="5"/>
  <c r="BH17" i="5"/>
  <c r="BI17" i="5"/>
  <c r="BG17" i="5"/>
  <c r="BE17" i="5"/>
  <c r="BD17" i="5"/>
  <c r="BF17" i="5"/>
  <c r="BC17" i="5"/>
  <c r="BA17" i="5"/>
  <c r="BP17" i="5" s="1"/>
  <c r="AZ17" i="5"/>
  <c r="AY17" i="5"/>
  <c r="CJ9" i="5"/>
  <c r="CK9" i="5"/>
  <c r="CI9" i="5"/>
  <c r="CE9" i="5"/>
  <c r="CH9" i="5"/>
  <c r="CF9" i="5"/>
  <c r="CC9" i="5"/>
  <c r="CG9" i="5"/>
  <c r="CD9" i="5"/>
  <c r="CA9" i="5"/>
  <c r="BZ9" i="5"/>
  <c r="BW9" i="5"/>
  <c r="BX9" i="5"/>
  <c r="BY9" i="5"/>
  <c r="BV9" i="5"/>
  <c r="BU9" i="5"/>
  <c r="BR9" i="5"/>
  <c r="BS9" i="5"/>
  <c r="BT9" i="5"/>
  <c r="BQ9" i="5"/>
  <c r="BK9" i="5"/>
  <c r="BL9" i="5"/>
  <c r="BM9" i="5"/>
  <c r="BI9" i="5"/>
  <c r="BJ9" i="5"/>
  <c r="BH9" i="5"/>
  <c r="BG9" i="5"/>
  <c r="BE9" i="5"/>
  <c r="BD9" i="5"/>
  <c r="BF9" i="5"/>
  <c r="BA9" i="5"/>
  <c r="BP9" i="5" s="1"/>
  <c r="AZ9" i="5"/>
  <c r="AY9" i="5"/>
  <c r="CK688" i="5"/>
  <c r="CJ688" i="5"/>
  <c r="CI688" i="5"/>
  <c r="CH688" i="5"/>
  <c r="CG688" i="5"/>
  <c r="CF688" i="5"/>
  <c r="CD688" i="5"/>
  <c r="CE688" i="5"/>
  <c r="CC688" i="5"/>
  <c r="BY688" i="5"/>
  <c r="BZ688" i="5"/>
  <c r="BV688" i="5"/>
  <c r="CA688" i="5"/>
  <c r="BX688" i="5"/>
  <c r="BW688" i="5"/>
  <c r="BU688" i="5"/>
  <c r="BT688" i="5"/>
  <c r="BS688" i="5"/>
  <c r="BR688" i="5"/>
  <c r="BQ688" i="5"/>
  <c r="BM688" i="5"/>
  <c r="BL688" i="5"/>
  <c r="BK688" i="5"/>
  <c r="BJ688" i="5"/>
  <c r="BI688" i="5"/>
  <c r="BD688" i="5"/>
  <c r="BH688" i="5"/>
  <c r="BG688" i="5"/>
  <c r="BF688" i="5"/>
  <c r="BE688" i="5"/>
  <c r="BA688" i="5"/>
  <c r="BP688" i="5" s="1"/>
  <c r="CK680" i="5"/>
  <c r="CI680" i="5"/>
  <c r="CE680" i="5"/>
  <c r="CD680" i="5"/>
  <c r="CC680" i="5"/>
  <c r="CF680" i="5"/>
  <c r="CA680" i="5"/>
  <c r="BY680" i="5"/>
  <c r="BV680" i="5"/>
  <c r="BU680" i="5"/>
  <c r="BW680" i="5"/>
  <c r="BT680" i="5"/>
  <c r="BS680" i="5"/>
  <c r="BR680" i="5"/>
  <c r="BQ680" i="5"/>
  <c r="BM680" i="5"/>
  <c r="BK680" i="5"/>
  <c r="BI680" i="5"/>
  <c r="BJ680" i="5"/>
  <c r="BD680" i="5"/>
  <c r="BG680" i="5"/>
  <c r="BH680" i="5"/>
  <c r="BF680" i="5"/>
  <c r="BE680" i="5"/>
  <c r="BA680" i="5"/>
  <c r="BP680" i="5" s="1"/>
  <c r="CK672" i="5"/>
  <c r="CI672" i="5"/>
  <c r="CF672" i="5"/>
  <c r="CE672" i="5"/>
  <c r="CD672" i="5"/>
  <c r="CC672" i="5"/>
  <c r="BY672" i="5"/>
  <c r="BV672" i="5"/>
  <c r="CA672" i="5"/>
  <c r="BU672" i="5"/>
  <c r="BW672" i="5"/>
  <c r="BS672" i="5"/>
  <c r="BR672" i="5"/>
  <c r="BT672" i="5"/>
  <c r="BQ672" i="5"/>
  <c r="BM672" i="5"/>
  <c r="BK672" i="5"/>
  <c r="BI672" i="5"/>
  <c r="BJ672" i="5"/>
  <c r="BD672" i="5"/>
  <c r="BH672" i="5"/>
  <c r="BG672" i="5"/>
  <c r="BF672" i="5"/>
  <c r="BE672" i="5"/>
  <c r="BA672" i="5"/>
  <c r="BP672" i="5" s="1"/>
  <c r="CK664" i="5"/>
  <c r="CI664" i="5"/>
  <c r="CF664" i="5"/>
  <c r="CE664" i="5"/>
  <c r="CD664" i="5"/>
  <c r="CC664" i="5"/>
  <c r="CA664" i="5"/>
  <c r="BY664" i="5"/>
  <c r="BV664" i="5"/>
  <c r="BW664" i="5"/>
  <c r="BU664" i="5"/>
  <c r="BS664" i="5"/>
  <c r="BR664" i="5"/>
  <c r="BT664" i="5"/>
  <c r="BQ664" i="5"/>
  <c r="BM664" i="5"/>
  <c r="BK664" i="5"/>
  <c r="BJ664" i="5"/>
  <c r="BI664" i="5"/>
  <c r="BD664" i="5"/>
  <c r="BG664" i="5"/>
  <c r="BH664" i="5"/>
  <c r="BF664" i="5"/>
  <c r="BE664" i="5"/>
  <c r="BA664" i="5"/>
  <c r="BP664" i="5" s="1"/>
  <c r="CJ656" i="5"/>
  <c r="CG656" i="5"/>
  <c r="CI656" i="5"/>
  <c r="CK656" i="5"/>
  <c r="CH656" i="5"/>
  <c r="CF656" i="5"/>
  <c r="CD656" i="5"/>
  <c r="CE656" i="5"/>
  <c r="CC656" i="5"/>
  <c r="BY656" i="5"/>
  <c r="CA656" i="5"/>
  <c r="BZ656" i="5"/>
  <c r="BX656" i="5"/>
  <c r="BV656" i="5"/>
  <c r="BW656" i="5"/>
  <c r="BU656" i="5"/>
  <c r="BT656" i="5"/>
  <c r="BS656" i="5"/>
  <c r="BR656" i="5"/>
  <c r="BQ656" i="5"/>
  <c r="BM656" i="5"/>
  <c r="BL656" i="5"/>
  <c r="BK656" i="5"/>
  <c r="BJ656" i="5"/>
  <c r="BI656" i="5"/>
  <c r="BD656" i="5"/>
  <c r="BH656" i="5"/>
  <c r="BG656" i="5"/>
  <c r="BF656" i="5"/>
  <c r="BE656" i="5"/>
  <c r="BA656" i="5"/>
  <c r="BP656" i="5" s="1"/>
  <c r="CJ648" i="5"/>
  <c r="CK648" i="5"/>
  <c r="CG648" i="5"/>
  <c r="CI648" i="5"/>
  <c r="CH648" i="5"/>
  <c r="CF648" i="5"/>
  <c r="CD648" i="5"/>
  <c r="CE648" i="5"/>
  <c r="CC648" i="5"/>
  <c r="CA648" i="5"/>
  <c r="BY648" i="5"/>
  <c r="BZ648" i="5"/>
  <c r="BX648" i="5"/>
  <c r="BV648" i="5"/>
  <c r="BU648" i="5"/>
  <c r="BW648" i="5"/>
  <c r="BT648" i="5"/>
  <c r="BS648" i="5"/>
  <c r="BR648" i="5"/>
  <c r="BQ648" i="5"/>
  <c r="BM648" i="5"/>
  <c r="BL648" i="5"/>
  <c r="BK648" i="5"/>
  <c r="BI648" i="5"/>
  <c r="BJ648" i="5"/>
  <c r="BD648" i="5"/>
  <c r="BG648" i="5"/>
  <c r="BH648" i="5"/>
  <c r="BF648" i="5"/>
  <c r="BE648" i="5"/>
  <c r="BA648" i="5"/>
  <c r="BP648" i="5" s="1"/>
  <c r="CK640" i="5"/>
  <c r="CH640" i="5"/>
  <c r="CI640" i="5"/>
  <c r="CG640" i="5"/>
  <c r="CF640" i="5"/>
  <c r="CJ640" i="5"/>
  <c r="CD640" i="5"/>
  <c r="CE640" i="5"/>
  <c r="CC640" i="5"/>
  <c r="BY640" i="5"/>
  <c r="CA640" i="5"/>
  <c r="BV640" i="5"/>
  <c r="BX640" i="5"/>
  <c r="BZ640" i="5"/>
  <c r="BU640" i="5"/>
  <c r="BW640" i="5"/>
  <c r="BS640" i="5"/>
  <c r="BR640" i="5"/>
  <c r="BT640" i="5"/>
  <c r="BQ640" i="5"/>
  <c r="BM640" i="5"/>
  <c r="BL640" i="5"/>
  <c r="BK640" i="5"/>
  <c r="BI640" i="5"/>
  <c r="BJ640" i="5"/>
  <c r="BD640" i="5"/>
  <c r="BH640" i="5"/>
  <c r="BG640" i="5"/>
  <c r="BF640" i="5"/>
  <c r="BE640" i="5"/>
  <c r="BA640" i="5"/>
  <c r="BP640" i="5" s="1"/>
  <c r="CK632" i="5"/>
  <c r="CI632" i="5"/>
  <c r="CF632" i="5"/>
  <c r="CE632" i="5"/>
  <c r="CD632" i="5"/>
  <c r="CA632" i="5"/>
  <c r="CC632" i="5"/>
  <c r="BY632" i="5"/>
  <c r="BV632" i="5"/>
  <c r="BW632" i="5"/>
  <c r="BU632" i="5"/>
  <c r="BS632" i="5"/>
  <c r="BR632" i="5"/>
  <c r="BT632" i="5"/>
  <c r="BQ632" i="5"/>
  <c r="BM632" i="5"/>
  <c r="BK632" i="5"/>
  <c r="BJ632" i="5"/>
  <c r="BI632" i="5"/>
  <c r="BD632" i="5"/>
  <c r="BG632" i="5"/>
  <c r="BH632" i="5"/>
  <c r="BF632" i="5"/>
  <c r="BE632" i="5"/>
  <c r="BA632" i="5"/>
  <c r="BP632" i="5" s="1"/>
  <c r="CK624" i="5"/>
  <c r="CI624" i="5"/>
  <c r="CF624" i="5"/>
  <c r="CE624" i="5"/>
  <c r="CD624" i="5"/>
  <c r="CC624" i="5"/>
  <c r="BY624" i="5"/>
  <c r="BV624" i="5"/>
  <c r="CA624" i="5"/>
  <c r="BW624" i="5"/>
  <c r="BU624" i="5"/>
  <c r="BT624" i="5"/>
  <c r="BS624" i="5"/>
  <c r="BR624" i="5"/>
  <c r="BQ624" i="5"/>
  <c r="BM624" i="5"/>
  <c r="BK624" i="5"/>
  <c r="BJ624" i="5"/>
  <c r="BI624" i="5"/>
  <c r="BD624" i="5"/>
  <c r="BH624" i="5"/>
  <c r="BG624" i="5"/>
  <c r="BF624" i="5"/>
  <c r="BE624" i="5"/>
  <c r="BB624" i="5"/>
  <c r="BA624" i="5"/>
  <c r="BP624" i="5" s="1"/>
  <c r="CK616" i="5"/>
  <c r="CH616" i="5"/>
  <c r="CG616" i="5"/>
  <c r="CJ616" i="5"/>
  <c r="CI616" i="5"/>
  <c r="CF616" i="5"/>
  <c r="CE616" i="5"/>
  <c r="CD616" i="5"/>
  <c r="CC616" i="5"/>
  <c r="CA616" i="5"/>
  <c r="BY616" i="5"/>
  <c r="BZ616" i="5"/>
  <c r="BV616" i="5"/>
  <c r="BX616" i="5"/>
  <c r="BU616" i="5"/>
  <c r="BW616" i="5"/>
  <c r="BT616" i="5"/>
  <c r="BS616" i="5"/>
  <c r="BR616" i="5"/>
  <c r="BQ616" i="5"/>
  <c r="BL616" i="5"/>
  <c r="BM616" i="5"/>
  <c r="BK616" i="5"/>
  <c r="BI616" i="5"/>
  <c r="BJ616" i="5"/>
  <c r="BD616" i="5"/>
  <c r="BG616" i="5"/>
  <c r="BH616" i="5"/>
  <c r="BF616" i="5"/>
  <c r="BE616" i="5"/>
  <c r="BA616" i="5"/>
  <c r="BP616" i="5" s="1"/>
  <c r="AY616" i="5"/>
  <c r="CJ608" i="5"/>
  <c r="CI608" i="5"/>
  <c r="CH608" i="5"/>
  <c r="CK608" i="5"/>
  <c r="CG608" i="5"/>
  <c r="CD608" i="5"/>
  <c r="CC608" i="5"/>
  <c r="CF608" i="5"/>
  <c r="CE608" i="5"/>
  <c r="BY608" i="5"/>
  <c r="BX608" i="5"/>
  <c r="BV608" i="5"/>
  <c r="BZ608" i="5"/>
  <c r="CA608" i="5"/>
  <c r="BU608" i="5"/>
  <c r="BW608" i="5"/>
  <c r="BS608" i="5"/>
  <c r="BR608" i="5"/>
  <c r="BT608" i="5"/>
  <c r="BQ608" i="5"/>
  <c r="BM608" i="5"/>
  <c r="BL608" i="5"/>
  <c r="BK608" i="5"/>
  <c r="BI608" i="5"/>
  <c r="BJ608" i="5"/>
  <c r="BD608" i="5"/>
  <c r="BH608" i="5"/>
  <c r="BG608" i="5"/>
  <c r="BF608" i="5"/>
  <c r="BE608" i="5"/>
  <c r="BA608" i="5"/>
  <c r="BP608" i="5" s="1"/>
  <c r="AY608" i="5"/>
  <c r="CK600" i="5"/>
  <c r="CJ600" i="5"/>
  <c r="CH600" i="5"/>
  <c r="CG600" i="5"/>
  <c r="CF600" i="5"/>
  <c r="CE600" i="5"/>
  <c r="CI600" i="5"/>
  <c r="CD600" i="5"/>
  <c r="CC600" i="5"/>
  <c r="CA600" i="5"/>
  <c r="BY600" i="5"/>
  <c r="BX600" i="5"/>
  <c r="BV600" i="5"/>
  <c r="BZ600" i="5"/>
  <c r="BW600" i="5"/>
  <c r="BU600" i="5"/>
  <c r="BS600" i="5"/>
  <c r="BR600" i="5"/>
  <c r="BT600" i="5"/>
  <c r="BQ600" i="5"/>
  <c r="BM600" i="5"/>
  <c r="BL600" i="5"/>
  <c r="BK600" i="5"/>
  <c r="BJ600" i="5"/>
  <c r="BI600" i="5"/>
  <c r="BD600" i="5"/>
  <c r="BG600" i="5"/>
  <c r="BH600" i="5"/>
  <c r="BF600" i="5"/>
  <c r="BE600" i="5"/>
  <c r="BA600" i="5"/>
  <c r="BP600" i="5" s="1"/>
  <c r="AY600" i="5"/>
  <c r="CK592" i="5"/>
  <c r="CI592" i="5"/>
  <c r="CD592" i="5"/>
  <c r="CE592" i="5"/>
  <c r="CF592" i="5"/>
  <c r="CC592" i="5"/>
  <c r="BY592" i="5"/>
  <c r="CA592" i="5"/>
  <c r="BV592" i="5"/>
  <c r="BW592" i="5"/>
  <c r="BU592" i="5"/>
  <c r="BT592" i="5"/>
  <c r="BS592" i="5"/>
  <c r="BR592" i="5"/>
  <c r="BQ592" i="5"/>
  <c r="BM592" i="5"/>
  <c r="BK592" i="5"/>
  <c r="BJ592" i="5"/>
  <c r="BI592" i="5"/>
  <c r="BD592" i="5"/>
  <c r="BH592" i="5"/>
  <c r="BG592" i="5"/>
  <c r="BF592" i="5"/>
  <c r="BE592" i="5"/>
  <c r="BA592" i="5"/>
  <c r="BP592" i="5" s="1"/>
  <c r="AY592" i="5"/>
  <c r="CK584" i="5"/>
  <c r="CI584" i="5"/>
  <c r="CF584" i="5"/>
  <c r="CD584" i="5"/>
  <c r="CE584" i="5"/>
  <c r="CC584" i="5"/>
  <c r="CA584" i="5"/>
  <c r="BY584" i="5"/>
  <c r="BV584" i="5"/>
  <c r="BU584" i="5"/>
  <c r="BW584" i="5"/>
  <c r="BT584" i="5"/>
  <c r="BS584" i="5"/>
  <c r="BR584" i="5"/>
  <c r="BQ584" i="5"/>
  <c r="BM584" i="5"/>
  <c r="BK584" i="5"/>
  <c r="BI584" i="5"/>
  <c r="BJ584" i="5"/>
  <c r="BD584" i="5"/>
  <c r="BG584" i="5"/>
  <c r="BH584" i="5"/>
  <c r="BF584" i="5"/>
  <c r="BE584" i="5"/>
  <c r="BA584" i="5"/>
  <c r="BP584" i="5" s="1"/>
  <c r="AY584" i="5"/>
  <c r="CK576" i="5"/>
  <c r="CH576" i="5"/>
  <c r="CJ576" i="5"/>
  <c r="CI576" i="5"/>
  <c r="CG576" i="5"/>
  <c r="CF576" i="5"/>
  <c r="CD576" i="5"/>
  <c r="CE576" i="5"/>
  <c r="CA576" i="5"/>
  <c r="CC576" i="5"/>
  <c r="BY576" i="5"/>
  <c r="BX576" i="5"/>
  <c r="BV576" i="5"/>
  <c r="BZ576" i="5"/>
  <c r="BU576" i="5"/>
  <c r="BW576" i="5"/>
  <c r="BS576" i="5"/>
  <c r="BR576" i="5"/>
  <c r="BT576" i="5"/>
  <c r="BQ576" i="5"/>
  <c r="BL576" i="5"/>
  <c r="BM576" i="5"/>
  <c r="BK576" i="5"/>
  <c r="BI576" i="5"/>
  <c r="BH576" i="5"/>
  <c r="BJ576" i="5"/>
  <c r="BD576" i="5"/>
  <c r="BG576" i="5"/>
  <c r="BF576" i="5"/>
  <c r="BE576" i="5"/>
  <c r="BA576" i="5"/>
  <c r="BP576" i="5" s="1"/>
  <c r="AY576" i="5"/>
  <c r="CK568" i="5"/>
  <c r="CI568" i="5"/>
  <c r="CG568" i="5"/>
  <c r="CJ568" i="5"/>
  <c r="CH568" i="5"/>
  <c r="CF568" i="5"/>
  <c r="CE568" i="5"/>
  <c r="CD568" i="5"/>
  <c r="CC568" i="5"/>
  <c r="CA568" i="5"/>
  <c r="BY568" i="5"/>
  <c r="BX568" i="5"/>
  <c r="BV568" i="5"/>
  <c r="BZ568" i="5"/>
  <c r="BW568" i="5"/>
  <c r="BU568" i="5"/>
  <c r="BS568" i="5"/>
  <c r="BR568" i="5"/>
  <c r="BT568" i="5"/>
  <c r="BQ568" i="5"/>
  <c r="BM568" i="5"/>
  <c r="BL568" i="5"/>
  <c r="BK568" i="5"/>
  <c r="BJ568" i="5"/>
  <c r="BI568" i="5"/>
  <c r="BH568" i="5"/>
  <c r="BD568" i="5"/>
  <c r="BG568" i="5"/>
  <c r="BF568" i="5"/>
  <c r="BE568" i="5"/>
  <c r="BA568" i="5"/>
  <c r="BP568" i="5" s="1"/>
  <c r="AY568" i="5"/>
  <c r="CK560" i="5"/>
  <c r="CI560" i="5"/>
  <c r="CJ560" i="5"/>
  <c r="CH560" i="5"/>
  <c r="CG560" i="5"/>
  <c r="CF560" i="5"/>
  <c r="CE560" i="5"/>
  <c r="CD560" i="5"/>
  <c r="CC560" i="5"/>
  <c r="CA560" i="5"/>
  <c r="BY560" i="5"/>
  <c r="BZ560" i="5"/>
  <c r="BX560" i="5"/>
  <c r="BV560" i="5"/>
  <c r="BW560" i="5"/>
  <c r="BU560" i="5"/>
  <c r="BT560" i="5"/>
  <c r="BS560" i="5"/>
  <c r="BR560" i="5"/>
  <c r="BQ560" i="5"/>
  <c r="BM560" i="5"/>
  <c r="BL560" i="5"/>
  <c r="BK560" i="5"/>
  <c r="BJ560" i="5"/>
  <c r="BI560" i="5"/>
  <c r="BH560" i="5"/>
  <c r="BD560" i="5"/>
  <c r="BG560" i="5"/>
  <c r="BF560" i="5"/>
  <c r="BE560" i="5"/>
  <c r="BA560" i="5"/>
  <c r="BP560" i="5" s="1"/>
  <c r="AY560" i="5"/>
  <c r="CK552" i="5"/>
  <c r="CI552" i="5"/>
  <c r="CH552" i="5"/>
  <c r="CG552" i="5"/>
  <c r="CJ552" i="5"/>
  <c r="CE552" i="5"/>
  <c r="CD552" i="5"/>
  <c r="CC552" i="5"/>
  <c r="CF552" i="5"/>
  <c r="CA552" i="5"/>
  <c r="BY552" i="5"/>
  <c r="BZ552" i="5"/>
  <c r="BX552" i="5"/>
  <c r="BV552" i="5"/>
  <c r="BU552" i="5"/>
  <c r="BW552" i="5"/>
  <c r="BT552" i="5"/>
  <c r="BS552" i="5"/>
  <c r="BR552" i="5"/>
  <c r="BQ552" i="5"/>
  <c r="BM552" i="5"/>
  <c r="BL552" i="5"/>
  <c r="BK552" i="5"/>
  <c r="BI552" i="5"/>
  <c r="BJ552" i="5"/>
  <c r="BH552" i="5"/>
  <c r="BD552" i="5"/>
  <c r="BG552" i="5"/>
  <c r="BF552" i="5"/>
  <c r="BE552" i="5"/>
  <c r="BA552" i="5"/>
  <c r="BP552" i="5" s="1"/>
  <c r="AY552" i="5"/>
  <c r="CK544" i="5"/>
  <c r="CJ544" i="5"/>
  <c r="CI544" i="5"/>
  <c r="CH544" i="5"/>
  <c r="CG544" i="5"/>
  <c r="CF544" i="5"/>
  <c r="CE544" i="5"/>
  <c r="CD544" i="5"/>
  <c r="CC544" i="5"/>
  <c r="CA544" i="5"/>
  <c r="BY544" i="5"/>
  <c r="BX544" i="5"/>
  <c r="BV544" i="5"/>
  <c r="BZ544" i="5"/>
  <c r="BU544" i="5"/>
  <c r="BW544" i="5"/>
  <c r="BS544" i="5"/>
  <c r="BR544" i="5"/>
  <c r="BT544" i="5"/>
  <c r="BQ544" i="5"/>
  <c r="BO544" i="5"/>
  <c r="BN544" i="5"/>
  <c r="BM544" i="5"/>
  <c r="BL544" i="5"/>
  <c r="BK544" i="5"/>
  <c r="BI544" i="5"/>
  <c r="BH544" i="5"/>
  <c r="BJ544" i="5"/>
  <c r="BD544" i="5"/>
  <c r="BG544" i="5"/>
  <c r="BF544" i="5"/>
  <c r="BE544" i="5"/>
  <c r="BB544" i="5"/>
  <c r="BA544" i="5"/>
  <c r="BP544" i="5" s="1"/>
  <c r="BC544" i="5"/>
  <c r="AY544" i="5"/>
  <c r="CK536" i="5"/>
  <c r="CI536" i="5"/>
  <c r="CJ536" i="5"/>
  <c r="CF536" i="5"/>
  <c r="CE536" i="5"/>
  <c r="CG536" i="5"/>
  <c r="CH536" i="5"/>
  <c r="CD536" i="5"/>
  <c r="CC536" i="5"/>
  <c r="CA536" i="5"/>
  <c r="BY536" i="5"/>
  <c r="BX536" i="5"/>
  <c r="BV536" i="5"/>
  <c r="BZ536" i="5"/>
  <c r="BW536" i="5"/>
  <c r="BU536" i="5"/>
  <c r="BS536" i="5"/>
  <c r="BR536" i="5"/>
  <c r="BT536" i="5"/>
  <c r="BQ536" i="5"/>
  <c r="BM536" i="5"/>
  <c r="BL536" i="5"/>
  <c r="BK536" i="5"/>
  <c r="BJ536" i="5"/>
  <c r="BI536" i="5"/>
  <c r="BH536" i="5"/>
  <c r="BD536" i="5"/>
  <c r="BG536" i="5"/>
  <c r="BF536" i="5"/>
  <c r="BE536" i="5"/>
  <c r="BA536" i="5"/>
  <c r="BP536" i="5" s="1"/>
  <c r="AY536" i="5"/>
  <c r="CK528" i="5"/>
  <c r="CJ528" i="5"/>
  <c r="CH528" i="5"/>
  <c r="CG528" i="5"/>
  <c r="CI528" i="5"/>
  <c r="CF528" i="5"/>
  <c r="CD528" i="5"/>
  <c r="CE528" i="5"/>
  <c r="CC528" i="5"/>
  <c r="CA528" i="5"/>
  <c r="BY528" i="5"/>
  <c r="BZ528" i="5"/>
  <c r="BX528" i="5"/>
  <c r="BV528" i="5"/>
  <c r="BU528" i="5"/>
  <c r="BW528" i="5"/>
  <c r="BT528" i="5"/>
  <c r="BS528" i="5"/>
  <c r="BR528" i="5"/>
  <c r="BQ528" i="5"/>
  <c r="BM528" i="5"/>
  <c r="BL528" i="5"/>
  <c r="BK528" i="5"/>
  <c r="BJ528" i="5"/>
  <c r="BI528" i="5"/>
  <c r="BH528" i="5"/>
  <c r="BD528" i="5"/>
  <c r="BG528" i="5"/>
  <c r="BF528" i="5"/>
  <c r="BE528" i="5"/>
  <c r="BA528" i="5"/>
  <c r="BP528" i="5" s="1"/>
  <c r="AY528" i="5"/>
  <c r="CK520" i="5"/>
  <c r="CJ520" i="5"/>
  <c r="CI520" i="5"/>
  <c r="CH520" i="5"/>
  <c r="CF520" i="5"/>
  <c r="CG520" i="5"/>
  <c r="CE520" i="5"/>
  <c r="CD520" i="5"/>
  <c r="CC520" i="5"/>
  <c r="CA520" i="5"/>
  <c r="BY520" i="5"/>
  <c r="BX520" i="5"/>
  <c r="BV520" i="5"/>
  <c r="BZ520" i="5"/>
  <c r="BW520" i="5"/>
  <c r="BU520" i="5"/>
  <c r="BT520" i="5"/>
  <c r="BS520" i="5"/>
  <c r="BR520" i="5"/>
  <c r="BQ520" i="5"/>
  <c r="BM520" i="5"/>
  <c r="BL520" i="5"/>
  <c r="BK520" i="5"/>
  <c r="BI520" i="5"/>
  <c r="BJ520" i="5"/>
  <c r="BH520" i="5"/>
  <c r="BD520" i="5"/>
  <c r="BF520" i="5"/>
  <c r="BG520" i="5"/>
  <c r="BE520" i="5"/>
  <c r="BA520" i="5"/>
  <c r="BP520" i="5" s="1"/>
  <c r="AY520" i="5"/>
  <c r="CK512" i="5"/>
  <c r="CJ512" i="5"/>
  <c r="CH512" i="5"/>
  <c r="CD512" i="5"/>
  <c r="CG512" i="5"/>
  <c r="CI512" i="5"/>
  <c r="CF512" i="5"/>
  <c r="CE512" i="5"/>
  <c r="CA512" i="5"/>
  <c r="CC512" i="5"/>
  <c r="BY512" i="5"/>
  <c r="BZ512" i="5"/>
  <c r="BX512" i="5"/>
  <c r="BV512" i="5"/>
  <c r="BU512" i="5"/>
  <c r="BW512" i="5"/>
  <c r="BS512" i="5"/>
  <c r="BR512" i="5"/>
  <c r="BT512" i="5"/>
  <c r="BQ512" i="5"/>
  <c r="BM512" i="5"/>
  <c r="BL512" i="5"/>
  <c r="BK512" i="5"/>
  <c r="BI512" i="5"/>
  <c r="BH512" i="5"/>
  <c r="BJ512" i="5"/>
  <c r="BD512" i="5"/>
  <c r="BG512" i="5"/>
  <c r="BF512" i="5"/>
  <c r="BE512" i="5"/>
  <c r="BA512" i="5"/>
  <c r="BP512" i="5" s="1"/>
  <c r="AY512" i="5"/>
  <c r="CK504" i="5"/>
  <c r="CJ504" i="5"/>
  <c r="CI504" i="5"/>
  <c r="CH504" i="5"/>
  <c r="CF504" i="5"/>
  <c r="CD504" i="5"/>
  <c r="CE504" i="5"/>
  <c r="CG504" i="5"/>
  <c r="CC504" i="5"/>
  <c r="CA504" i="5"/>
  <c r="BY504" i="5"/>
  <c r="BX504" i="5"/>
  <c r="BV504" i="5"/>
  <c r="BZ504" i="5"/>
  <c r="BW504" i="5"/>
  <c r="BU504" i="5"/>
  <c r="BS504" i="5"/>
  <c r="BR504" i="5"/>
  <c r="BT504" i="5"/>
  <c r="BQ504" i="5"/>
  <c r="BM504" i="5"/>
  <c r="BL504" i="5"/>
  <c r="BK504" i="5"/>
  <c r="BJ504" i="5"/>
  <c r="BI504" i="5"/>
  <c r="BH504" i="5"/>
  <c r="BD504" i="5"/>
  <c r="BG504" i="5"/>
  <c r="BF504" i="5"/>
  <c r="BE504" i="5"/>
  <c r="BA504" i="5"/>
  <c r="BP504" i="5" s="1"/>
  <c r="AY504" i="5"/>
  <c r="CK496" i="5"/>
  <c r="CJ496" i="5"/>
  <c r="CI496" i="5"/>
  <c r="CH496" i="5"/>
  <c r="CG496" i="5"/>
  <c r="CD496" i="5"/>
  <c r="CF496" i="5"/>
  <c r="CE496" i="5"/>
  <c r="BZ496" i="5"/>
  <c r="CA496" i="5"/>
  <c r="CC496" i="5"/>
  <c r="BY496" i="5"/>
  <c r="BX496" i="5"/>
  <c r="BV496" i="5"/>
  <c r="BU496" i="5"/>
  <c r="BW496" i="5"/>
  <c r="BT496" i="5"/>
  <c r="BS496" i="5"/>
  <c r="BR496" i="5"/>
  <c r="BQ496" i="5"/>
  <c r="BO496" i="5"/>
  <c r="BN496" i="5"/>
  <c r="BM496" i="5"/>
  <c r="BL496" i="5"/>
  <c r="BK496" i="5"/>
  <c r="BJ496" i="5"/>
  <c r="BI496" i="5"/>
  <c r="BH496" i="5"/>
  <c r="BD496" i="5"/>
  <c r="BG496" i="5"/>
  <c r="BF496" i="5"/>
  <c r="BE496" i="5"/>
  <c r="BB496" i="5"/>
  <c r="BA496" i="5"/>
  <c r="BP496" i="5" s="1"/>
  <c r="AY496" i="5"/>
  <c r="BC496" i="5"/>
  <c r="CK488" i="5"/>
  <c r="CJ488" i="5"/>
  <c r="CI488" i="5"/>
  <c r="CD488" i="5"/>
  <c r="CH488" i="5"/>
  <c r="CG488" i="5"/>
  <c r="CF488" i="5"/>
  <c r="CE488" i="5"/>
  <c r="CC488" i="5"/>
  <c r="CA488" i="5"/>
  <c r="BY488" i="5"/>
  <c r="BX488" i="5"/>
  <c r="BV488" i="5"/>
  <c r="BZ488" i="5"/>
  <c r="BW488" i="5"/>
  <c r="BU488" i="5"/>
  <c r="BT488" i="5"/>
  <c r="BS488" i="5"/>
  <c r="BR488" i="5"/>
  <c r="BQ488" i="5"/>
  <c r="BM488" i="5"/>
  <c r="BL488" i="5"/>
  <c r="BK488" i="5"/>
  <c r="BI488" i="5"/>
  <c r="BJ488" i="5"/>
  <c r="BH488" i="5"/>
  <c r="BD488" i="5"/>
  <c r="BF488" i="5"/>
  <c r="BG488" i="5"/>
  <c r="BE488" i="5"/>
  <c r="BA488" i="5"/>
  <c r="BP488" i="5" s="1"/>
  <c r="AY488" i="5"/>
  <c r="CK480" i="5"/>
  <c r="CH480" i="5"/>
  <c r="CI480" i="5"/>
  <c r="CG480" i="5"/>
  <c r="CJ480" i="5"/>
  <c r="CD480" i="5"/>
  <c r="CF480" i="5"/>
  <c r="CC480" i="5"/>
  <c r="CE480" i="5"/>
  <c r="CA480" i="5"/>
  <c r="BZ480" i="5"/>
  <c r="BY480" i="5"/>
  <c r="BV480" i="5"/>
  <c r="BX480" i="5"/>
  <c r="BU480" i="5"/>
  <c r="BW480" i="5"/>
  <c r="BS480" i="5"/>
  <c r="BR480" i="5"/>
  <c r="BT480" i="5"/>
  <c r="BQ480" i="5"/>
  <c r="BM480" i="5"/>
  <c r="BL480" i="5"/>
  <c r="BK480" i="5"/>
  <c r="BI480" i="5"/>
  <c r="BH480" i="5"/>
  <c r="BJ480" i="5"/>
  <c r="BD480" i="5"/>
  <c r="BG480" i="5"/>
  <c r="BF480" i="5"/>
  <c r="BE480" i="5"/>
  <c r="BA480" i="5"/>
  <c r="BP480" i="5" s="1"/>
  <c r="AY480" i="5"/>
  <c r="CK472" i="5"/>
  <c r="CH472" i="5"/>
  <c r="CJ472" i="5"/>
  <c r="CG472" i="5"/>
  <c r="CF472" i="5"/>
  <c r="CD472" i="5"/>
  <c r="CE472" i="5"/>
  <c r="CI472" i="5"/>
  <c r="CC472" i="5"/>
  <c r="CA472" i="5"/>
  <c r="BY472" i="5"/>
  <c r="BZ472" i="5"/>
  <c r="BV472" i="5"/>
  <c r="BX472" i="5"/>
  <c r="BW472" i="5"/>
  <c r="BU472" i="5"/>
  <c r="BS472" i="5"/>
  <c r="BR472" i="5"/>
  <c r="BT472" i="5"/>
  <c r="BQ472" i="5"/>
  <c r="BM472" i="5"/>
  <c r="BL472" i="5"/>
  <c r="BK472" i="5"/>
  <c r="BJ472" i="5"/>
  <c r="BI472" i="5"/>
  <c r="BH472" i="5"/>
  <c r="BD472" i="5"/>
  <c r="BG472" i="5"/>
  <c r="BF472" i="5"/>
  <c r="BE472" i="5"/>
  <c r="BA472" i="5"/>
  <c r="BP472" i="5" s="1"/>
  <c r="AY472" i="5"/>
  <c r="CK464" i="5"/>
  <c r="CH464" i="5"/>
  <c r="CG464" i="5"/>
  <c r="CI464" i="5"/>
  <c r="CJ464" i="5"/>
  <c r="CD464" i="5"/>
  <c r="CF464" i="5"/>
  <c r="CE464" i="5"/>
  <c r="CC464" i="5"/>
  <c r="BZ464" i="5"/>
  <c r="CA464" i="5"/>
  <c r="BY464" i="5"/>
  <c r="BV464" i="5"/>
  <c r="BX464" i="5"/>
  <c r="BU464" i="5"/>
  <c r="BW464" i="5"/>
  <c r="BT464" i="5"/>
  <c r="BS464" i="5"/>
  <c r="BR464" i="5"/>
  <c r="BQ464" i="5"/>
  <c r="BM464" i="5"/>
  <c r="BL464" i="5"/>
  <c r="BK464" i="5"/>
  <c r="BJ464" i="5"/>
  <c r="BI464" i="5"/>
  <c r="BH464" i="5"/>
  <c r="BD464" i="5"/>
  <c r="BG464" i="5"/>
  <c r="BF464" i="5"/>
  <c r="BE464" i="5"/>
  <c r="BA464" i="5"/>
  <c r="BP464" i="5" s="1"/>
  <c r="AY464" i="5"/>
  <c r="CK456" i="5"/>
  <c r="CH456" i="5"/>
  <c r="CI456" i="5"/>
  <c r="CJ456" i="5"/>
  <c r="CG456" i="5"/>
  <c r="CD456" i="5"/>
  <c r="CF456" i="5"/>
  <c r="CE456" i="5"/>
  <c r="CC456" i="5"/>
  <c r="CA456" i="5"/>
  <c r="BY456" i="5"/>
  <c r="BZ456" i="5"/>
  <c r="BV456" i="5"/>
  <c r="BX456" i="5"/>
  <c r="BW456" i="5"/>
  <c r="BU456" i="5"/>
  <c r="BT456" i="5"/>
  <c r="BS456" i="5"/>
  <c r="BR456" i="5"/>
  <c r="BQ456" i="5"/>
  <c r="BM456" i="5"/>
  <c r="BL456" i="5"/>
  <c r="BK456" i="5"/>
  <c r="BI456" i="5"/>
  <c r="BJ456" i="5"/>
  <c r="BH456" i="5"/>
  <c r="BD456" i="5"/>
  <c r="BF456" i="5"/>
  <c r="BG456" i="5"/>
  <c r="BE456" i="5"/>
  <c r="BA456" i="5"/>
  <c r="BP456" i="5" s="1"/>
  <c r="AY456" i="5"/>
  <c r="CK448" i="5"/>
  <c r="CJ448" i="5"/>
  <c r="CI448" i="5"/>
  <c r="CG448" i="5"/>
  <c r="CH448" i="5"/>
  <c r="CD448" i="5"/>
  <c r="CF448" i="5"/>
  <c r="CE448" i="5"/>
  <c r="CA448" i="5"/>
  <c r="CC448" i="5"/>
  <c r="BZ448" i="5"/>
  <c r="BY448" i="5"/>
  <c r="BV448" i="5"/>
  <c r="BX448" i="5"/>
  <c r="BU448" i="5"/>
  <c r="BW448" i="5"/>
  <c r="BS448" i="5"/>
  <c r="BR448" i="5"/>
  <c r="BT448" i="5"/>
  <c r="BQ448" i="5"/>
  <c r="BO448" i="5"/>
  <c r="BL448" i="5"/>
  <c r="BM448" i="5"/>
  <c r="BK448" i="5"/>
  <c r="BI448" i="5"/>
  <c r="BH448" i="5"/>
  <c r="BJ448" i="5"/>
  <c r="BD448" i="5"/>
  <c r="BG448" i="5"/>
  <c r="BF448" i="5"/>
  <c r="BE448" i="5"/>
  <c r="BA448" i="5"/>
  <c r="BP448" i="5" s="1"/>
  <c r="BC448" i="5"/>
  <c r="AY448" i="5"/>
  <c r="CK440" i="5"/>
  <c r="CI440" i="5"/>
  <c r="CF440" i="5"/>
  <c r="CD440" i="5"/>
  <c r="CE440" i="5"/>
  <c r="CA440" i="5"/>
  <c r="CC440" i="5"/>
  <c r="BY440" i="5"/>
  <c r="BV440" i="5"/>
  <c r="BW440" i="5"/>
  <c r="BU440" i="5"/>
  <c r="BS440" i="5"/>
  <c r="BR440" i="5"/>
  <c r="BT440" i="5"/>
  <c r="BQ440" i="5"/>
  <c r="BM440" i="5"/>
  <c r="BK440" i="5"/>
  <c r="BJ440" i="5"/>
  <c r="BI440" i="5"/>
  <c r="BH440" i="5"/>
  <c r="BD440" i="5"/>
  <c r="BG440" i="5"/>
  <c r="BF440" i="5"/>
  <c r="BE440" i="5"/>
  <c r="BA440" i="5"/>
  <c r="BP440" i="5" s="1"/>
  <c r="AY440" i="5"/>
  <c r="CK432" i="5"/>
  <c r="CJ432" i="5"/>
  <c r="CH432" i="5"/>
  <c r="CI432" i="5"/>
  <c r="CG432" i="5"/>
  <c r="CD432" i="5"/>
  <c r="CF432" i="5"/>
  <c r="CE432" i="5"/>
  <c r="BZ432" i="5"/>
  <c r="CC432" i="5"/>
  <c r="CA432" i="5"/>
  <c r="BY432" i="5"/>
  <c r="BV432" i="5"/>
  <c r="BX432" i="5"/>
  <c r="BU432" i="5"/>
  <c r="BW432" i="5"/>
  <c r="BT432" i="5"/>
  <c r="BS432" i="5"/>
  <c r="BR432" i="5"/>
  <c r="BQ432" i="5"/>
  <c r="BL432" i="5"/>
  <c r="BM432" i="5"/>
  <c r="BK432" i="5"/>
  <c r="BJ432" i="5"/>
  <c r="BI432" i="5"/>
  <c r="BH432" i="5"/>
  <c r="BD432" i="5"/>
  <c r="BG432" i="5"/>
  <c r="BF432" i="5"/>
  <c r="BE432" i="5"/>
  <c r="BA432" i="5"/>
  <c r="BP432" i="5" s="1"/>
  <c r="AZ432" i="5"/>
  <c r="AY432" i="5"/>
  <c r="CK424" i="5"/>
  <c r="CJ424" i="5"/>
  <c r="CI424" i="5"/>
  <c r="CH424" i="5"/>
  <c r="CG424" i="5"/>
  <c r="CD424" i="5"/>
  <c r="CF424" i="5"/>
  <c r="CE424" i="5"/>
  <c r="CC424" i="5"/>
  <c r="CA424" i="5"/>
  <c r="BY424" i="5"/>
  <c r="BX424" i="5"/>
  <c r="BV424" i="5"/>
  <c r="BZ424" i="5"/>
  <c r="BW424" i="5"/>
  <c r="BU424" i="5"/>
  <c r="BT424" i="5"/>
  <c r="BS424" i="5"/>
  <c r="BR424" i="5"/>
  <c r="BQ424" i="5"/>
  <c r="BM424" i="5"/>
  <c r="BL424" i="5"/>
  <c r="BK424" i="5"/>
  <c r="BI424" i="5"/>
  <c r="BJ424" i="5"/>
  <c r="BH424" i="5"/>
  <c r="BD424" i="5"/>
  <c r="BF424" i="5"/>
  <c r="BG424" i="5"/>
  <c r="BE424" i="5"/>
  <c r="BA424" i="5"/>
  <c r="BP424" i="5" s="1"/>
  <c r="AZ424" i="5"/>
  <c r="AY424" i="5"/>
  <c r="CK416" i="5"/>
  <c r="CI416" i="5"/>
  <c r="CD416" i="5"/>
  <c r="CF416" i="5"/>
  <c r="CE416" i="5"/>
  <c r="CC416" i="5"/>
  <c r="CA416" i="5"/>
  <c r="BY416" i="5"/>
  <c r="BV416" i="5"/>
  <c r="BU416" i="5"/>
  <c r="BW416" i="5"/>
  <c r="BS416" i="5"/>
  <c r="BR416" i="5"/>
  <c r="BT416" i="5"/>
  <c r="BQ416" i="5"/>
  <c r="BO416" i="5"/>
  <c r="BN416" i="5"/>
  <c r="BM416" i="5"/>
  <c r="BK416" i="5"/>
  <c r="BI416" i="5"/>
  <c r="BH416" i="5"/>
  <c r="BJ416" i="5"/>
  <c r="BD416" i="5"/>
  <c r="BG416" i="5"/>
  <c r="BF416" i="5"/>
  <c r="BE416" i="5"/>
  <c r="BB416" i="5"/>
  <c r="BA416" i="5"/>
  <c r="BP416" i="5" s="1"/>
  <c r="AZ416" i="5"/>
  <c r="AY416" i="5"/>
  <c r="BC416" i="5"/>
  <c r="CK408" i="5"/>
  <c r="CI408" i="5"/>
  <c r="CF408" i="5"/>
  <c r="CD408" i="5"/>
  <c r="CE408" i="5"/>
  <c r="CC408" i="5"/>
  <c r="CA408" i="5"/>
  <c r="BY408" i="5"/>
  <c r="BV408" i="5"/>
  <c r="BW408" i="5"/>
  <c r="BU408" i="5"/>
  <c r="BS408" i="5"/>
  <c r="BR408" i="5"/>
  <c r="BT408" i="5"/>
  <c r="BQ408" i="5"/>
  <c r="BM408" i="5"/>
  <c r="BK408" i="5"/>
  <c r="BJ408" i="5"/>
  <c r="BI408" i="5"/>
  <c r="BH408" i="5"/>
  <c r="BD408" i="5"/>
  <c r="BG408" i="5"/>
  <c r="BF408" i="5"/>
  <c r="BE408" i="5"/>
  <c r="BA408" i="5"/>
  <c r="AZ408" i="5"/>
  <c r="AY408" i="5"/>
  <c r="CK400" i="5"/>
  <c r="CI400" i="5"/>
  <c r="CD400" i="5"/>
  <c r="CF400" i="5"/>
  <c r="CE400" i="5"/>
  <c r="CC400" i="5"/>
  <c r="CA400" i="5"/>
  <c r="BY400" i="5"/>
  <c r="BV400" i="5"/>
  <c r="BU400" i="5"/>
  <c r="BW400" i="5"/>
  <c r="BT400" i="5"/>
  <c r="BS400" i="5"/>
  <c r="BR400" i="5"/>
  <c r="BQ400" i="5"/>
  <c r="BO400" i="5"/>
  <c r="BM400" i="5"/>
  <c r="BK400" i="5"/>
  <c r="BJ400" i="5"/>
  <c r="BI400" i="5"/>
  <c r="BH400" i="5"/>
  <c r="BD400" i="5"/>
  <c r="BG400" i="5"/>
  <c r="BF400" i="5"/>
  <c r="BE400" i="5"/>
  <c r="BA400" i="5"/>
  <c r="BP400" i="5" s="1"/>
  <c r="AZ400" i="5"/>
  <c r="AY400" i="5"/>
  <c r="BC400" i="5"/>
  <c r="CK392" i="5"/>
  <c r="CJ392" i="5"/>
  <c r="CH392" i="5"/>
  <c r="CG392" i="5"/>
  <c r="CI392" i="5"/>
  <c r="CD392" i="5"/>
  <c r="CF392" i="5"/>
  <c r="CE392" i="5"/>
  <c r="CC392" i="5"/>
  <c r="CA392" i="5"/>
  <c r="BY392" i="5"/>
  <c r="BX392" i="5"/>
  <c r="BZ392" i="5"/>
  <c r="BV392" i="5"/>
  <c r="BW392" i="5"/>
  <c r="BU392" i="5"/>
  <c r="BT392" i="5"/>
  <c r="BS392" i="5"/>
  <c r="BR392" i="5"/>
  <c r="BQ392" i="5"/>
  <c r="BL392" i="5"/>
  <c r="BM392" i="5"/>
  <c r="BK392" i="5"/>
  <c r="BI392" i="5"/>
  <c r="BJ392" i="5"/>
  <c r="BH392" i="5"/>
  <c r="BD392" i="5"/>
  <c r="BF392" i="5"/>
  <c r="BG392" i="5"/>
  <c r="BE392" i="5"/>
  <c r="BA392" i="5"/>
  <c r="BP392" i="5" s="1"/>
  <c r="AZ392" i="5"/>
  <c r="AY392" i="5"/>
  <c r="CK384" i="5"/>
  <c r="CI384" i="5"/>
  <c r="CD384" i="5"/>
  <c r="CF384" i="5"/>
  <c r="CC384" i="5"/>
  <c r="CE384" i="5"/>
  <c r="CA384" i="5"/>
  <c r="BY384" i="5"/>
  <c r="BV384" i="5"/>
  <c r="BU384" i="5"/>
  <c r="BW384" i="5"/>
  <c r="BS384" i="5"/>
  <c r="BR384" i="5"/>
  <c r="BT384" i="5"/>
  <c r="BQ384" i="5"/>
  <c r="BN384" i="5"/>
  <c r="BM384" i="5"/>
  <c r="BK384" i="5"/>
  <c r="BI384" i="5"/>
  <c r="BH384" i="5"/>
  <c r="BJ384" i="5"/>
  <c r="BD384" i="5"/>
  <c r="BG384" i="5"/>
  <c r="BF384" i="5"/>
  <c r="BE384" i="5"/>
  <c r="BB384" i="5"/>
  <c r="BA384" i="5"/>
  <c r="BP384" i="5" s="1"/>
  <c r="AZ384" i="5"/>
  <c r="AY384" i="5"/>
  <c r="BC384" i="5"/>
  <c r="CK376" i="5"/>
  <c r="CI376" i="5"/>
  <c r="CF376" i="5"/>
  <c r="CD376" i="5"/>
  <c r="CE376" i="5"/>
  <c r="CC376" i="5"/>
  <c r="CA376" i="5"/>
  <c r="BY376" i="5"/>
  <c r="BV376" i="5"/>
  <c r="BW376" i="5"/>
  <c r="BU376" i="5"/>
  <c r="BS376" i="5"/>
  <c r="BR376" i="5"/>
  <c r="BT376" i="5"/>
  <c r="BQ376" i="5"/>
  <c r="BM376" i="5"/>
  <c r="BK376" i="5"/>
  <c r="BJ376" i="5"/>
  <c r="BI376" i="5"/>
  <c r="BH376" i="5"/>
  <c r="BD376" i="5"/>
  <c r="BG376" i="5"/>
  <c r="BF376" i="5"/>
  <c r="BE376" i="5"/>
  <c r="BA376" i="5"/>
  <c r="BP376" i="5" s="1"/>
  <c r="AZ376" i="5"/>
  <c r="AY376" i="5"/>
  <c r="CK368" i="5"/>
  <c r="CH368" i="5"/>
  <c r="CJ368" i="5"/>
  <c r="CI368" i="5"/>
  <c r="CG368" i="5"/>
  <c r="CD368" i="5"/>
  <c r="CF368" i="5"/>
  <c r="CE368" i="5"/>
  <c r="CC368" i="5"/>
  <c r="BZ368" i="5"/>
  <c r="CA368" i="5"/>
  <c r="BY368" i="5"/>
  <c r="BV368" i="5"/>
  <c r="BX368" i="5"/>
  <c r="BU368" i="5"/>
  <c r="BW368" i="5"/>
  <c r="BT368" i="5"/>
  <c r="BR368" i="5"/>
  <c r="BS368" i="5"/>
  <c r="BQ368" i="5"/>
  <c r="BM368" i="5"/>
  <c r="BL368" i="5"/>
  <c r="BK368" i="5"/>
  <c r="BJ368" i="5"/>
  <c r="BI368" i="5"/>
  <c r="BH368" i="5"/>
  <c r="BD368" i="5"/>
  <c r="BG368" i="5"/>
  <c r="BF368" i="5"/>
  <c r="BE368" i="5"/>
  <c r="BA368" i="5"/>
  <c r="BP368" i="5" s="1"/>
  <c r="AZ368" i="5"/>
  <c r="AY368" i="5"/>
  <c r="CK360" i="5"/>
  <c r="CH360" i="5"/>
  <c r="CJ360" i="5"/>
  <c r="CI360" i="5"/>
  <c r="CD360" i="5"/>
  <c r="CG360" i="5"/>
  <c r="CF360" i="5"/>
  <c r="CE360" i="5"/>
  <c r="CC360" i="5"/>
  <c r="CA360" i="5"/>
  <c r="BY360" i="5"/>
  <c r="BV360" i="5"/>
  <c r="BZ360" i="5"/>
  <c r="BX360" i="5"/>
  <c r="BW360" i="5"/>
  <c r="BU360" i="5"/>
  <c r="BT360" i="5"/>
  <c r="BR360" i="5"/>
  <c r="BS360" i="5"/>
  <c r="BQ360" i="5"/>
  <c r="BM360" i="5"/>
  <c r="BL360" i="5"/>
  <c r="BK360" i="5"/>
  <c r="BI360" i="5"/>
  <c r="BJ360" i="5"/>
  <c r="BH360" i="5"/>
  <c r="BD360" i="5"/>
  <c r="BF360" i="5"/>
  <c r="BG360" i="5"/>
  <c r="BE360" i="5"/>
  <c r="BA360" i="5"/>
  <c r="BP360" i="5" s="1"/>
  <c r="AZ360" i="5"/>
  <c r="AY360" i="5"/>
  <c r="CK352" i="5"/>
  <c r="CJ352" i="5"/>
  <c r="CI352" i="5"/>
  <c r="CH352" i="5"/>
  <c r="CD352" i="5"/>
  <c r="CG352" i="5"/>
  <c r="CF352" i="5"/>
  <c r="CE352" i="5"/>
  <c r="CC352" i="5"/>
  <c r="CA352" i="5"/>
  <c r="BZ352" i="5"/>
  <c r="BY352" i="5"/>
  <c r="BX352" i="5"/>
  <c r="BV352" i="5"/>
  <c r="BU352" i="5"/>
  <c r="BW352" i="5"/>
  <c r="BR352" i="5"/>
  <c r="BT352" i="5"/>
  <c r="BS352" i="5"/>
  <c r="BQ352" i="5"/>
  <c r="BO352" i="5"/>
  <c r="BL352" i="5"/>
  <c r="BN352" i="5"/>
  <c r="BM352" i="5"/>
  <c r="BK352" i="5"/>
  <c r="BI352" i="5"/>
  <c r="BH352" i="5"/>
  <c r="BJ352" i="5"/>
  <c r="BD352" i="5"/>
  <c r="BG352" i="5"/>
  <c r="BF352" i="5"/>
  <c r="BE352" i="5"/>
  <c r="BB352" i="5"/>
  <c r="BA352" i="5"/>
  <c r="BP352" i="5" s="1"/>
  <c r="AZ352" i="5"/>
  <c r="AY352" i="5"/>
  <c r="BC352" i="5"/>
  <c r="CK344" i="5"/>
  <c r="CJ344" i="5"/>
  <c r="CH344" i="5"/>
  <c r="CG344" i="5"/>
  <c r="CF344" i="5"/>
  <c r="CD344" i="5"/>
  <c r="CI344" i="5"/>
  <c r="CE344" i="5"/>
  <c r="CC344" i="5"/>
  <c r="CA344" i="5"/>
  <c r="BY344" i="5"/>
  <c r="BX344" i="5"/>
  <c r="BZ344" i="5"/>
  <c r="BV344" i="5"/>
  <c r="BW344" i="5"/>
  <c r="BU344" i="5"/>
  <c r="BS344" i="5"/>
  <c r="BR344" i="5"/>
  <c r="BT344" i="5"/>
  <c r="BQ344" i="5"/>
  <c r="BL344" i="5"/>
  <c r="BM344" i="5"/>
  <c r="BK344" i="5"/>
  <c r="BJ344" i="5"/>
  <c r="BI344" i="5"/>
  <c r="BH344" i="5"/>
  <c r="BD344" i="5"/>
  <c r="BG344" i="5"/>
  <c r="BF344" i="5"/>
  <c r="BE344" i="5"/>
  <c r="BA344" i="5"/>
  <c r="BP344" i="5" s="1"/>
  <c r="AZ344" i="5"/>
  <c r="AY344" i="5"/>
  <c r="CK336" i="5"/>
  <c r="CJ336" i="5"/>
  <c r="CD336" i="5"/>
  <c r="CG336" i="5"/>
  <c r="CF336" i="5"/>
  <c r="CH336" i="5"/>
  <c r="CI336" i="5"/>
  <c r="CC336" i="5"/>
  <c r="CE336" i="5"/>
  <c r="BZ336" i="5"/>
  <c r="CA336" i="5"/>
  <c r="BY336" i="5"/>
  <c r="BX336" i="5"/>
  <c r="BV336" i="5"/>
  <c r="BU336" i="5"/>
  <c r="BW336" i="5"/>
  <c r="BT336" i="5"/>
  <c r="BS336" i="5"/>
  <c r="BR336" i="5"/>
  <c r="BQ336" i="5"/>
  <c r="BO336" i="5"/>
  <c r="BL336" i="5"/>
  <c r="BM336" i="5"/>
  <c r="BK336" i="5"/>
  <c r="BJ336" i="5"/>
  <c r="BI336" i="5"/>
  <c r="BH336" i="5"/>
  <c r="BD336" i="5"/>
  <c r="BF336" i="5"/>
  <c r="BG336" i="5"/>
  <c r="BE336" i="5"/>
  <c r="BA336" i="5"/>
  <c r="BP336" i="5" s="1"/>
  <c r="AZ336" i="5"/>
  <c r="AY336" i="5"/>
  <c r="BC336" i="5"/>
  <c r="CK328" i="5"/>
  <c r="CJ328" i="5"/>
  <c r="CI328" i="5"/>
  <c r="CG328" i="5"/>
  <c r="CH328" i="5"/>
  <c r="CD328" i="5"/>
  <c r="CF328" i="5"/>
  <c r="CE328" i="5"/>
  <c r="CC328" i="5"/>
  <c r="CA328" i="5"/>
  <c r="BY328" i="5"/>
  <c r="BX328" i="5"/>
  <c r="BZ328" i="5"/>
  <c r="BV328" i="5"/>
  <c r="BW328" i="5"/>
  <c r="BU328" i="5"/>
  <c r="BT328" i="5"/>
  <c r="BR328" i="5"/>
  <c r="BS328" i="5"/>
  <c r="BQ328" i="5"/>
  <c r="BL328" i="5"/>
  <c r="BM328" i="5"/>
  <c r="BK328" i="5"/>
  <c r="BI328" i="5"/>
  <c r="BJ328" i="5"/>
  <c r="BH328" i="5"/>
  <c r="BD328" i="5"/>
  <c r="BG328" i="5"/>
  <c r="BF328" i="5"/>
  <c r="BE328" i="5"/>
  <c r="BA328" i="5"/>
  <c r="BP328" i="5" s="1"/>
  <c r="AZ328" i="5"/>
  <c r="AY328" i="5"/>
  <c r="CK320" i="5"/>
  <c r="CJ320" i="5"/>
  <c r="CG320" i="5"/>
  <c r="CI320" i="5"/>
  <c r="CD320" i="5"/>
  <c r="CH320" i="5"/>
  <c r="CF320" i="5"/>
  <c r="CC320" i="5"/>
  <c r="CE320" i="5"/>
  <c r="CA320" i="5"/>
  <c r="BZ320" i="5"/>
  <c r="BY320" i="5"/>
  <c r="BX320" i="5"/>
  <c r="BV320" i="5"/>
  <c r="BU320" i="5"/>
  <c r="BW320" i="5"/>
  <c r="BR320" i="5"/>
  <c r="BT320" i="5"/>
  <c r="BS320" i="5"/>
  <c r="BQ320" i="5"/>
  <c r="BL320" i="5"/>
  <c r="BN320" i="5"/>
  <c r="BM320" i="5"/>
  <c r="BK320" i="5"/>
  <c r="BI320" i="5"/>
  <c r="BH320" i="5"/>
  <c r="BJ320" i="5"/>
  <c r="BD320" i="5"/>
  <c r="BF320" i="5"/>
  <c r="BG320" i="5"/>
  <c r="BE320" i="5"/>
  <c r="BB320" i="5"/>
  <c r="BA320" i="5"/>
  <c r="BP320" i="5" s="1"/>
  <c r="AZ320" i="5"/>
  <c r="AY320" i="5"/>
  <c r="CK312" i="5"/>
  <c r="CI312" i="5"/>
  <c r="CF312" i="5"/>
  <c r="CD312" i="5"/>
  <c r="CE312" i="5"/>
  <c r="CC312" i="5"/>
  <c r="CA312" i="5"/>
  <c r="BY312" i="5"/>
  <c r="BV312" i="5"/>
  <c r="BW312" i="5"/>
  <c r="BU312" i="5"/>
  <c r="BS312" i="5"/>
  <c r="BR312" i="5"/>
  <c r="BT312" i="5"/>
  <c r="BQ312" i="5"/>
  <c r="BM312" i="5"/>
  <c r="BK312" i="5"/>
  <c r="BJ312" i="5"/>
  <c r="BI312" i="5"/>
  <c r="BH312" i="5"/>
  <c r="BD312" i="5"/>
  <c r="BG312" i="5"/>
  <c r="BF312" i="5"/>
  <c r="BE312" i="5"/>
  <c r="BA312" i="5"/>
  <c r="BP312" i="5" s="1"/>
  <c r="AZ312" i="5"/>
  <c r="AY312" i="5"/>
  <c r="CK304" i="5"/>
  <c r="CJ304" i="5"/>
  <c r="CI304" i="5"/>
  <c r="CH304" i="5"/>
  <c r="CG304" i="5"/>
  <c r="CD304" i="5"/>
  <c r="CF304" i="5"/>
  <c r="CE304" i="5"/>
  <c r="CC304" i="5"/>
  <c r="BZ304" i="5"/>
  <c r="CA304" i="5"/>
  <c r="BY304" i="5"/>
  <c r="BX304" i="5"/>
  <c r="BV304" i="5"/>
  <c r="BU304" i="5"/>
  <c r="BW304" i="5"/>
  <c r="BT304" i="5"/>
  <c r="BS304" i="5"/>
  <c r="BR304" i="5"/>
  <c r="BQ304" i="5"/>
  <c r="BL304" i="5"/>
  <c r="BM304" i="5"/>
  <c r="BK304" i="5"/>
  <c r="BJ304" i="5"/>
  <c r="BI304" i="5"/>
  <c r="BH304" i="5"/>
  <c r="BD304" i="5"/>
  <c r="BF304" i="5"/>
  <c r="BG304" i="5"/>
  <c r="BE304" i="5"/>
  <c r="BA304" i="5"/>
  <c r="BP304" i="5" s="1"/>
  <c r="AZ304" i="5"/>
  <c r="AY304" i="5"/>
  <c r="CK296" i="5"/>
  <c r="CD296" i="5"/>
  <c r="CF296" i="5"/>
  <c r="CE296" i="5"/>
  <c r="CI296" i="5"/>
  <c r="CC296" i="5"/>
  <c r="CA296" i="5"/>
  <c r="BY296" i="5"/>
  <c r="BV296" i="5"/>
  <c r="BW296" i="5"/>
  <c r="BU296" i="5"/>
  <c r="BT296" i="5"/>
  <c r="BR296" i="5"/>
  <c r="BS296" i="5"/>
  <c r="BQ296" i="5"/>
  <c r="BM296" i="5"/>
  <c r="BK296" i="5"/>
  <c r="BI296" i="5"/>
  <c r="BJ296" i="5"/>
  <c r="BH296" i="5"/>
  <c r="BD296" i="5"/>
  <c r="BG296" i="5"/>
  <c r="BF296" i="5"/>
  <c r="BE296" i="5"/>
  <c r="BA296" i="5"/>
  <c r="BP296" i="5" s="1"/>
  <c r="AZ296" i="5"/>
  <c r="AY296" i="5"/>
  <c r="CK288" i="5"/>
  <c r="CI288" i="5"/>
  <c r="CH288" i="5"/>
  <c r="CJ288" i="5"/>
  <c r="CG288" i="5"/>
  <c r="CD288" i="5"/>
  <c r="CF288" i="5"/>
  <c r="CE288" i="5"/>
  <c r="CC288" i="5"/>
  <c r="CA288" i="5"/>
  <c r="BX288" i="5"/>
  <c r="BZ288" i="5"/>
  <c r="BY288" i="5"/>
  <c r="BV288" i="5"/>
  <c r="BU288" i="5"/>
  <c r="BW288" i="5"/>
  <c r="BR288" i="5"/>
  <c r="BT288" i="5"/>
  <c r="BS288" i="5"/>
  <c r="BQ288" i="5"/>
  <c r="BO288" i="5"/>
  <c r="BN288" i="5"/>
  <c r="BM288" i="5"/>
  <c r="BL288" i="5"/>
  <c r="BK288" i="5"/>
  <c r="BI288" i="5"/>
  <c r="BH288" i="5"/>
  <c r="BJ288" i="5"/>
  <c r="BD288" i="5"/>
  <c r="BF288" i="5"/>
  <c r="BG288" i="5"/>
  <c r="BE288" i="5"/>
  <c r="BB288" i="5"/>
  <c r="BA288" i="5"/>
  <c r="BP288" i="5" s="1"/>
  <c r="AZ288" i="5"/>
  <c r="AY288" i="5"/>
  <c r="BC288" i="5"/>
  <c r="CK280" i="5"/>
  <c r="CI280" i="5"/>
  <c r="CJ280" i="5"/>
  <c r="CG280" i="5"/>
  <c r="CH280" i="5"/>
  <c r="CF280" i="5"/>
  <c r="CD280" i="5"/>
  <c r="CE280" i="5"/>
  <c r="CC280" i="5"/>
  <c r="CA280" i="5"/>
  <c r="BY280" i="5"/>
  <c r="BZ280" i="5"/>
  <c r="BV280" i="5"/>
  <c r="BX280" i="5"/>
  <c r="BW280" i="5"/>
  <c r="BU280" i="5"/>
  <c r="BT280" i="5"/>
  <c r="BS280" i="5"/>
  <c r="BR280" i="5"/>
  <c r="BQ280" i="5"/>
  <c r="BM280" i="5"/>
  <c r="BL280" i="5"/>
  <c r="BK280" i="5"/>
  <c r="BJ280" i="5"/>
  <c r="BI280" i="5"/>
  <c r="BH280" i="5"/>
  <c r="BD280" i="5"/>
  <c r="BG280" i="5"/>
  <c r="BF280" i="5"/>
  <c r="BE280" i="5"/>
  <c r="BA280" i="5"/>
  <c r="BP280" i="5" s="1"/>
  <c r="AZ280" i="5"/>
  <c r="AY280" i="5"/>
  <c r="CK272" i="5"/>
  <c r="CJ272" i="5"/>
  <c r="CI272" i="5"/>
  <c r="CH272" i="5"/>
  <c r="CD272" i="5"/>
  <c r="CG272" i="5"/>
  <c r="CF272" i="5"/>
  <c r="CE272" i="5"/>
  <c r="CC272" i="5"/>
  <c r="BZ272" i="5"/>
  <c r="CA272" i="5"/>
  <c r="BY272" i="5"/>
  <c r="BX272" i="5"/>
  <c r="BV272" i="5"/>
  <c r="BU272" i="5"/>
  <c r="BT272" i="5"/>
  <c r="BW272" i="5"/>
  <c r="BS272" i="5"/>
  <c r="BR272" i="5"/>
  <c r="BQ272" i="5"/>
  <c r="BN272" i="5"/>
  <c r="BL272" i="5"/>
  <c r="BM272" i="5"/>
  <c r="BK272" i="5"/>
  <c r="BJ272" i="5"/>
  <c r="BI272" i="5"/>
  <c r="BH272" i="5"/>
  <c r="BD272" i="5"/>
  <c r="BF272" i="5"/>
  <c r="BG272" i="5"/>
  <c r="BE272" i="5"/>
  <c r="BB272" i="5"/>
  <c r="BA272" i="5"/>
  <c r="BP272" i="5" s="1"/>
  <c r="AZ272" i="5"/>
  <c r="AY272" i="5"/>
  <c r="CK264" i="5"/>
  <c r="CJ264" i="5"/>
  <c r="CG264" i="5"/>
  <c r="CF264" i="5"/>
  <c r="CH264" i="5"/>
  <c r="CD264" i="5"/>
  <c r="CI264" i="5"/>
  <c r="CE264" i="5"/>
  <c r="CC264" i="5"/>
  <c r="CA264" i="5"/>
  <c r="BY264" i="5"/>
  <c r="BZ264" i="5"/>
  <c r="BV264" i="5"/>
  <c r="BX264" i="5"/>
  <c r="BW264" i="5"/>
  <c r="BU264" i="5"/>
  <c r="BT264" i="5"/>
  <c r="BR264" i="5"/>
  <c r="BS264" i="5"/>
  <c r="BQ264" i="5"/>
  <c r="BM264" i="5"/>
  <c r="BL264" i="5"/>
  <c r="BK264" i="5"/>
  <c r="BI264" i="5"/>
  <c r="BJ264" i="5"/>
  <c r="BH264" i="5"/>
  <c r="BD264" i="5"/>
  <c r="BG264" i="5"/>
  <c r="BF264" i="5"/>
  <c r="BE264" i="5"/>
  <c r="BA264" i="5"/>
  <c r="BP264" i="5" s="1"/>
  <c r="AZ264" i="5"/>
  <c r="AY264" i="5"/>
  <c r="CK256" i="5"/>
  <c r="CJ256" i="5"/>
  <c r="CH256" i="5"/>
  <c r="CF256" i="5"/>
  <c r="CG256" i="5"/>
  <c r="CD256" i="5"/>
  <c r="CI256" i="5"/>
  <c r="CE256" i="5"/>
  <c r="CC256" i="5"/>
  <c r="CA256" i="5"/>
  <c r="BZ256" i="5"/>
  <c r="BY256" i="5"/>
  <c r="BV256" i="5"/>
  <c r="BX256" i="5"/>
  <c r="BU256" i="5"/>
  <c r="BT256" i="5"/>
  <c r="BW256" i="5"/>
  <c r="BR256" i="5"/>
  <c r="BS256" i="5"/>
  <c r="BQ256" i="5"/>
  <c r="BO256" i="5"/>
  <c r="BN256" i="5"/>
  <c r="BM256" i="5"/>
  <c r="BL256" i="5"/>
  <c r="BK256" i="5"/>
  <c r="BI256" i="5"/>
  <c r="BH256" i="5"/>
  <c r="BJ256" i="5"/>
  <c r="BD256" i="5"/>
  <c r="BF256" i="5"/>
  <c r="BG256" i="5"/>
  <c r="BE256" i="5"/>
  <c r="BB256" i="5"/>
  <c r="BA256" i="5"/>
  <c r="BP256" i="5" s="1"/>
  <c r="AZ256" i="5"/>
  <c r="AY256" i="5"/>
  <c r="BC256" i="5"/>
  <c r="CK248" i="5"/>
  <c r="CI248" i="5"/>
  <c r="CF248" i="5"/>
  <c r="CD248" i="5"/>
  <c r="CE248" i="5"/>
  <c r="CC248" i="5"/>
  <c r="CA248" i="5"/>
  <c r="BY248" i="5"/>
  <c r="BV248" i="5"/>
  <c r="BW248" i="5"/>
  <c r="BU248" i="5"/>
  <c r="BT248" i="5"/>
  <c r="BS248" i="5"/>
  <c r="BR248" i="5"/>
  <c r="BQ248" i="5"/>
  <c r="BM248" i="5"/>
  <c r="BK248" i="5"/>
  <c r="BJ248" i="5"/>
  <c r="BI248" i="5"/>
  <c r="BH248" i="5"/>
  <c r="BD248" i="5"/>
  <c r="BG248" i="5"/>
  <c r="BF248" i="5"/>
  <c r="BE248" i="5"/>
  <c r="BA248" i="5"/>
  <c r="BP248" i="5" s="1"/>
  <c r="AZ248" i="5"/>
  <c r="AY248" i="5"/>
  <c r="CK240" i="5"/>
  <c r="CF240" i="5"/>
  <c r="CD240" i="5"/>
  <c r="CI240" i="5"/>
  <c r="CE240" i="5"/>
  <c r="CC240" i="5"/>
  <c r="CA240" i="5"/>
  <c r="BY240" i="5"/>
  <c r="BV240" i="5"/>
  <c r="BU240" i="5"/>
  <c r="BT240" i="5"/>
  <c r="BW240" i="5"/>
  <c r="BS240" i="5"/>
  <c r="BR240" i="5"/>
  <c r="BQ240" i="5"/>
  <c r="BM240" i="5"/>
  <c r="BK240" i="5"/>
  <c r="BJ240" i="5"/>
  <c r="BI240" i="5"/>
  <c r="BH240" i="5"/>
  <c r="BD240" i="5"/>
  <c r="BF240" i="5"/>
  <c r="BG240" i="5"/>
  <c r="BE240" i="5"/>
  <c r="BA240" i="5"/>
  <c r="BP240" i="5" s="1"/>
  <c r="AZ240" i="5"/>
  <c r="AY240" i="5"/>
  <c r="CK232" i="5"/>
  <c r="CF232" i="5"/>
  <c r="CD232" i="5"/>
  <c r="CG232" i="5"/>
  <c r="CI232" i="5"/>
  <c r="CE232" i="5"/>
  <c r="CC232" i="5"/>
  <c r="CA232" i="5"/>
  <c r="BY232" i="5"/>
  <c r="BV232" i="5"/>
  <c r="BW232" i="5"/>
  <c r="BU232" i="5"/>
  <c r="BT232" i="5"/>
  <c r="BR232" i="5"/>
  <c r="BS232" i="5"/>
  <c r="BQ232" i="5"/>
  <c r="BM232" i="5"/>
  <c r="BK232" i="5"/>
  <c r="BI232" i="5"/>
  <c r="BJ232" i="5"/>
  <c r="BH232" i="5"/>
  <c r="BD232" i="5"/>
  <c r="BG232" i="5"/>
  <c r="BF232" i="5"/>
  <c r="BE232" i="5"/>
  <c r="BA232" i="5"/>
  <c r="BP232" i="5" s="1"/>
  <c r="AZ232" i="5"/>
  <c r="AY232" i="5"/>
  <c r="CK224" i="5"/>
  <c r="CI224" i="5"/>
  <c r="CF224" i="5"/>
  <c r="CD224" i="5"/>
  <c r="CE224" i="5"/>
  <c r="CC224" i="5"/>
  <c r="CA224" i="5"/>
  <c r="BY224" i="5"/>
  <c r="BV224" i="5"/>
  <c r="BU224" i="5"/>
  <c r="BT224" i="5"/>
  <c r="BW224" i="5"/>
  <c r="BR224" i="5"/>
  <c r="BS224" i="5"/>
  <c r="BQ224" i="5"/>
  <c r="BO224" i="5"/>
  <c r="BM224" i="5"/>
  <c r="BK224" i="5"/>
  <c r="BI224" i="5"/>
  <c r="BH224" i="5"/>
  <c r="BJ224" i="5"/>
  <c r="BD224" i="5"/>
  <c r="BF224" i="5"/>
  <c r="BG224" i="5"/>
  <c r="BE224" i="5"/>
  <c r="BA224" i="5"/>
  <c r="BP224" i="5" s="1"/>
  <c r="AZ224" i="5"/>
  <c r="AY224" i="5"/>
  <c r="BC224" i="5"/>
  <c r="CK216" i="5"/>
  <c r="CJ216" i="5"/>
  <c r="CH216" i="5"/>
  <c r="CF216" i="5"/>
  <c r="CD216" i="5"/>
  <c r="CG216" i="5"/>
  <c r="CI216" i="5"/>
  <c r="CE216" i="5"/>
  <c r="CC216" i="5"/>
  <c r="CA216" i="5"/>
  <c r="BY216" i="5"/>
  <c r="BZ216" i="5"/>
  <c r="BV216" i="5"/>
  <c r="BX216" i="5"/>
  <c r="BW216" i="5"/>
  <c r="BU216" i="5"/>
  <c r="BT216" i="5"/>
  <c r="BS216" i="5"/>
  <c r="BR216" i="5"/>
  <c r="BQ216" i="5"/>
  <c r="BL216" i="5"/>
  <c r="BM216" i="5"/>
  <c r="BK216" i="5"/>
  <c r="BJ216" i="5"/>
  <c r="BI216" i="5"/>
  <c r="BH216" i="5"/>
  <c r="BD216" i="5"/>
  <c r="BG216" i="5"/>
  <c r="BF216" i="5"/>
  <c r="BE216" i="5"/>
  <c r="BA216" i="5"/>
  <c r="BP216" i="5" s="1"/>
  <c r="AZ216" i="5"/>
  <c r="AY216" i="5"/>
  <c r="CK208" i="5"/>
  <c r="CF208" i="5"/>
  <c r="CD208" i="5"/>
  <c r="CI208" i="5"/>
  <c r="CJ208" i="5"/>
  <c r="CG208" i="5"/>
  <c r="CH208" i="5"/>
  <c r="CC208" i="5"/>
  <c r="CE208" i="5"/>
  <c r="BZ208" i="5"/>
  <c r="CA208" i="5"/>
  <c r="BY208" i="5"/>
  <c r="BX208" i="5"/>
  <c r="BV208" i="5"/>
  <c r="BU208" i="5"/>
  <c r="BT208" i="5"/>
  <c r="BW208" i="5"/>
  <c r="BS208" i="5"/>
  <c r="BR208" i="5"/>
  <c r="BQ208" i="5"/>
  <c r="BL208" i="5"/>
  <c r="BM208" i="5"/>
  <c r="BK208" i="5"/>
  <c r="BJ208" i="5"/>
  <c r="BI208" i="5"/>
  <c r="BH208" i="5"/>
  <c r="BD208" i="5"/>
  <c r="BF208" i="5"/>
  <c r="BG208" i="5"/>
  <c r="BE208" i="5"/>
  <c r="BA208" i="5"/>
  <c r="BP208" i="5" s="1"/>
  <c r="AZ208" i="5"/>
  <c r="AY208" i="5"/>
  <c r="CK200" i="5"/>
  <c r="CJ200" i="5"/>
  <c r="CI200" i="5"/>
  <c r="CF200" i="5"/>
  <c r="CD200" i="5"/>
  <c r="CG200" i="5"/>
  <c r="CH200" i="5"/>
  <c r="CE200" i="5"/>
  <c r="CC200" i="5"/>
  <c r="CA200" i="5"/>
  <c r="BY200" i="5"/>
  <c r="BX200" i="5"/>
  <c r="BZ200" i="5"/>
  <c r="BV200" i="5"/>
  <c r="BW200" i="5"/>
  <c r="BU200" i="5"/>
  <c r="BT200" i="5"/>
  <c r="BR200" i="5"/>
  <c r="BS200" i="5"/>
  <c r="BQ200" i="5"/>
  <c r="BL200" i="5"/>
  <c r="BM200" i="5"/>
  <c r="BK200" i="5"/>
  <c r="BI200" i="5"/>
  <c r="BJ200" i="5"/>
  <c r="BH200" i="5"/>
  <c r="BD200" i="5"/>
  <c r="BG200" i="5"/>
  <c r="BF200" i="5"/>
  <c r="BE200" i="5"/>
  <c r="BA200" i="5"/>
  <c r="BP200" i="5" s="1"/>
  <c r="AZ200" i="5"/>
  <c r="AY200" i="5"/>
  <c r="CK192" i="5"/>
  <c r="CF192" i="5"/>
  <c r="CI192" i="5"/>
  <c r="CD192" i="5"/>
  <c r="CE192" i="5"/>
  <c r="CC192" i="5"/>
  <c r="CA192" i="5"/>
  <c r="BY192" i="5"/>
  <c r="BV192" i="5"/>
  <c r="BU192" i="5"/>
  <c r="BT192" i="5"/>
  <c r="BW192" i="5"/>
  <c r="BR192" i="5"/>
  <c r="BS192" i="5"/>
  <c r="BQ192" i="5"/>
  <c r="BO192" i="5"/>
  <c r="BN192" i="5"/>
  <c r="BM192" i="5"/>
  <c r="BK192" i="5"/>
  <c r="BI192" i="5"/>
  <c r="BH192" i="5"/>
  <c r="BJ192" i="5"/>
  <c r="BD192" i="5"/>
  <c r="BF192" i="5"/>
  <c r="BG192" i="5"/>
  <c r="BE192" i="5"/>
  <c r="BB192" i="5"/>
  <c r="BA192" i="5"/>
  <c r="BP192" i="5" s="1"/>
  <c r="AZ192" i="5"/>
  <c r="AY192" i="5"/>
  <c r="BC192" i="5"/>
  <c r="CK184" i="5"/>
  <c r="CI184" i="5"/>
  <c r="CF184" i="5"/>
  <c r="CD184" i="5"/>
  <c r="CE184" i="5"/>
  <c r="CC184" i="5"/>
  <c r="CA184" i="5"/>
  <c r="BY184" i="5"/>
  <c r="BV184" i="5"/>
  <c r="BW184" i="5"/>
  <c r="BU184" i="5"/>
  <c r="BT184" i="5"/>
  <c r="BS184" i="5"/>
  <c r="BR184" i="5"/>
  <c r="BQ184" i="5"/>
  <c r="BO184" i="5"/>
  <c r="BM184" i="5"/>
  <c r="BK184" i="5"/>
  <c r="BJ184" i="5"/>
  <c r="BI184" i="5"/>
  <c r="BH184" i="5"/>
  <c r="BD184" i="5"/>
  <c r="BG184" i="5"/>
  <c r="BF184" i="5"/>
  <c r="BE184" i="5"/>
  <c r="BA184" i="5"/>
  <c r="BP184" i="5" s="1"/>
  <c r="AZ184" i="5"/>
  <c r="BC184" i="5"/>
  <c r="AY184" i="5"/>
  <c r="CK176" i="5"/>
  <c r="CJ176" i="5"/>
  <c r="CI176" i="5"/>
  <c r="CF176" i="5"/>
  <c r="CG176" i="5"/>
  <c r="CD176" i="5"/>
  <c r="CH176" i="5"/>
  <c r="CE176" i="5"/>
  <c r="CC176" i="5"/>
  <c r="BZ176" i="5"/>
  <c r="CA176" i="5"/>
  <c r="BY176" i="5"/>
  <c r="BV176" i="5"/>
  <c r="BX176" i="5"/>
  <c r="BU176" i="5"/>
  <c r="BT176" i="5"/>
  <c r="BW176" i="5"/>
  <c r="BS176" i="5"/>
  <c r="BR176" i="5"/>
  <c r="BQ176" i="5"/>
  <c r="BO176" i="5"/>
  <c r="BM176" i="5"/>
  <c r="BL176" i="5"/>
  <c r="BK176" i="5"/>
  <c r="BJ176" i="5"/>
  <c r="BI176" i="5"/>
  <c r="BH176" i="5"/>
  <c r="BD176" i="5"/>
  <c r="BF176" i="5"/>
  <c r="BG176" i="5"/>
  <c r="BE176" i="5"/>
  <c r="BA176" i="5"/>
  <c r="BP176" i="5" s="1"/>
  <c r="AZ176" i="5"/>
  <c r="AY176" i="5"/>
  <c r="BC176" i="5"/>
  <c r="CK168" i="5"/>
  <c r="CF168" i="5"/>
  <c r="CI168" i="5"/>
  <c r="CD168" i="5"/>
  <c r="CE168" i="5"/>
  <c r="CC168" i="5"/>
  <c r="CA168" i="5"/>
  <c r="BY168" i="5"/>
  <c r="BV168" i="5"/>
  <c r="BW168" i="5"/>
  <c r="BU168" i="5"/>
  <c r="BT168" i="5"/>
  <c r="BR168" i="5"/>
  <c r="BS168" i="5"/>
  <c r="BQ168" i="5"/>
  <c r="BO168" i="5"/>
  <c r="BN168" i="5"/>
  <c r="BM168" i="5"/>
  <c r="BK168" i="5"/>
  <c r="BI168" i="5"/>
  <c r="BJ168" i="5"/>
  <c r="BH168" i="5"/>
  <c r="BD168" i="5"/>
  <c r="BG168" i="5"/>
  <c r="BF168" i="5"/>
  <c r="BE168" i="5"/>
  <c r="BB168" i="5"/>
  <c r="BA168" i="5"/>
  <c r="BP168" i="5" s="1"/>
  <c r="AZ168" i="5"/>
  <c r="BC168" i="5"/>
  <c r="AY168" i="5"/>
  <c r="CK160" i="5"/>
  <c r="CJ160" i="5"/>
  <c r="CH160" i="5"/>
  <c r="CI160" i="5"/>
  <c r="CF160" i="5"/>
  <c r="CD160" i="5"/>
  <c r="CG160" i="5"/>
  <c r="CE160" i="5"/>
  <c r="CC160" i="5"/>
  <c r="CA160" i="5"/>
  <c r="BZ160" i="5"/>
  <c r="BY160" i="5"/>
  <c r="BX160" i="5"/>
  <c r="BV160" i="5"/>
  <c r="BU160" i="5"/>
  <c r="BT160" i="5"/>
  <c r="BW160" i="5"/>
  <c r="BR160" i="5"/>
  <c r="BS160" i="5"/>
  <c r="BQ160" i="5"/>
  <c r="BO160" i="5"/>
  <c r="BN160" i="5"/>
  <c r="BM160" i="5"/>
  <c r="BL160" i="5"/>
  <c r="BK160" i="5"/>
  <c r="BI160" i="5"/>
  <c r="BH160" i="5"/>
  <c r="BJ160" i="5"/>
  <c r="BD160" i="5"/>
  <c r="BF160" i="5"/>
  <c r="BG160" i="5"/>
  <c r="BE160" i="5"/>
  <c r="BB160" i="5"/>
  <c r="BA160" i="5"/>
  <c r="BP160" i="5" s="1"/>
  <c r="AZ160" i="5"/>
  <c r="AY160" i="5"/>
  <c r="BC160" i="5"/>
  <c r="CK152" i="5"/>
  <c r="CI152" i="5"/>
  <c r="CF152" i="5"/>
  <c r="CJ152" i="5"/>
  <c r="CH152" i="5"/>
  <c r="CD152" i="5"/>
  <c r="CE152" i="5"/>
  <c r="CG152" i="5"/>
  <c r="CC152" i="5"/>
  <c r="CA152" i="5"/>
  <c r="BY152" i="5"/>
  <c r="BZ152" i="5"/>
  <c r="BX152" i="5"/>
  <c r="BV152" i="5"/>
  <c r="BW152" i="5"/>
  <c r="BU152" i="5"/>
  <c r="BT152" i="5"/>
  <c r="BS152" i="5"/>
  <c r="BR152" i="5"/>
  <c r="BQ152" i="5"/>
  <c r="BM152" i="5"/>
  <c r="BL152" i="5"/>
  <c r="BK152" i="5"/>
  <c r="BJ152" i="5"/>
  <c r="BI152" i="5"/>
  <c r="BH152" i="5"/>
  <c r="BD152" i="5"/>
  <c r="BG152" i="5"/>
  <c r="BF152" i="5"/>
  <c r="BE152" i="5"/>
  <c r="BA152" i="5"/>
  <c r="BP152" i="5" s="1"/>
  <c r="AZ152" i="5"/>
  <c r="AY152" i="5"/>
  <c r="CK144" i="5"/>
  <c r="CH144" i="5"/>
  <c r="CF144" i="5"/>
  <c r="CI144" i="5"/>
  <c r="CG144" i="5"/>
  <c r="CD144" i="5"/>
  <c r="CJ144" i="5"/>
  <c r="CE144" i="5"/>
  <c r="CC144" i="5"/>
  <c r="BZ144" i="5"/>
  <c r="CA144" i="5"/>
  <c r="BY144" i="5"/>
  <c r="BX144" i="5"/>
  <c r="BV144" i="5"/>
  <c r="BU144" i="5"/>
  <c r="BT144" i="5"/>
  <c r="BW144" i="5"/>
  <c r="BS144" i="5"/>
  <c r="BR144" i="5"/>
  <c r="BQ144" i="5"/>
  <c r="BO144" i="5"/>
  <c r="BN144" i="5"/>
  <c r="BM144" i="5"/>
  <c r="BL144" i="5"/>
  <c r="BK144" i="5"/>
  <c r="BJ144" i="5"/>
  <c r="BI144" i="5"/>
  <c r="BH144" i="5"/>
  <c r="BD144" i="5"/>
  <c r="BF144" i="5"/>
  <c r="BG144" i="5"/>
  <c r="BE144" i="5"/>
  <c r="BB144" i="5"/>
  <c r="BA144" i="5"/>
  <c r="BP144" i="5" s="1"/>
  <c r="AZ144" i="5"/>
  <c r="AY144" i="5"/>
  <c r="BC144" i="5"/>
  <c r="CK136" i="5"/>
  <c r="CJ136" i="5"/>
  <c r="CF136" i="5"/>
  <c r="CH136" i="5"/>
  <c r="CI136" i="5"/>
  <c r="CD136" i="5"/>
  <c r="CG136" i="5"/>
  <c r="CC136" i="5"/>
  <c r="CE136" i="5"/>
  <c r="CA136" i="5"/>
  <c r="BY136" i="5"/>
  <c r="BZ136" i="5"/>
  <c r="BV136" i="5"/>
  <c r="BX136" i="5"/>
  <c r="BW136" i="5"/>
  <c r="BU136" i="5"/>
  <c r="BT136" i="5"/>
  <c r="BR136" i="5"/>
  <c r="BS136" i="5"/>
  <c r="BQ136" i="5"/>
  <c r="BO136" i="5"/>
  <c r="BN136" i="5"/>
  <c r="BL136" i="5"/>
  <c r="BM136" i="5"/>
  <c r="BK136" i="5"/>
  <c r="BI136" i="5"/>
  <c r="BJ136" i="5"/>
  <c r="BH136" i="5"/>
  <c r="BD136" i="5"/>
  <c r="BG136" i="5"/>
  <c r="BF136" i="5"/>
  <c r="BE136" i="5"/>
  <c r="BB136" i="5"/>
  <c r="BA136" i="5"/>
  <c r="BP136" i="5" s="1"/>
  <c r="AZ136" i="5"/>
  <c r="BC136" i="5"/>
  <c r="AY136" i="5"/>
  <c r="CK128" i="5"/>
  <c r="CF128" i="5"/>
  <c r="CI128" i="5"/>
  <c r="CD128" i="5"/>
  <c r="CE128" i="5"/>
  <c r="CC128" i="5"/>
  <c r="CA128" i="5"/>
  <c r="BY128" i="5"/>
  <c r="BV128" i="5"/>
  <c r="BU128" i="5"/>
  <c r="BT128" i="5"/>
  <c r="BW128" i="5"/>
  <c r="BR128" i="5"/>
  <c r="BS128" i="5"/>
  <c r="BQ128" i="5"/>
  <c r="BO128" i="5"/>
  <c r="BN128" i="5"/>
  <c r="BM128" i="5"/>
  <c r="BK128" i="5"/>
  <c r="BI128" i="5"/>
  <c r="BH128" i="5"/>
  <c r="BJ128" i="5"/>
  <c r="BD128" i="5"/>
  <c r="BF128" i="5"/>
  <c r="BG128" i="5"/>
  <c r="BE128" i="5"/>
  <c r="BB128" i="5"/>
  <c r="BA128" i="5"/>
  <c r="BP128" i="5" s="1"/>
  <c r="AZ128" i="5"/>
  <c r="AY128" i="5"/>
  <c r="BC128" i="5"/>
  <c r="CK120" i="5"/>
  <c r="CI120" i="5"/>
  <c r="CH120" i="5"/>
  <c r="CJ120" i="5"/>
  <c r="CF120" i="5"/>
  <c r="CD120" i="5"/>
  <c r="CE120" i="5"/>
  <c r="CG120" i="5"/>
  <c r="CC120" i="5"/>
  <c r="CA120" i="5"/>
  <c r="BY120" i="5"/>
  <c r="BX120" i="5"/>
  <c r="BV120" i="5"/>
  <c r="BZ120" i="5"/>
  <c r="BW120" i="5"/>
  <c r="BU120" i="5"/>
  <c r="BT120" i="5"/>
  <c r="BS120" i="5"/>
  <c r="BR120" i="5"/>
  <c r="BQ120" i="5"/>
  <c r="BM120" i="5"/>
  <c r="BL120" i="5"/>
  <c r="BK120" i="5"/>
  <c r="BJ120" i="5"/>
  <c r="BI120" i="5"/>
  <c r="BH120" i="5"/>
  <c r="BD120" i="5"/>
  <c r="BG120" i="5"/>
  <c r="BF120" i="5"/>
  <c r="BE120" i="5"/>
  <c r="BA120" i="5"/>
  <c r="BP120" i="5" s="1"/>
  <c r="AZ120" i="5"/>
  <c r="AY120" i="5"/>
  <c r="CK112" i="5"/>
  <c r="CF112" i="5"/>
  <c r="CD112" i="5"/>
  <c r="CI112" i="5"/>
  <c r="CE112" i="5"/>
  <c r="CC112" i="5"/>
  <c r="CA112" i="5"/>
  <c r="BY112" i="5"/>
  <c r="BV112" i="5"/>
  <c r="BU112" i="5"/>
  <c r="BT112" i="5"/>
  <c r="BW112" i="5"/>
  <c r="BS112" i="5"/>
  <c r="BR112" i="5"/>
  <c r="BQ112" i="5"/>
  <c r="BO112" i="5"/>
  <c r="BM112" i="5"/>
  <c r="BK112" i="5"/>
  <c r="BJ112" i="5"/>
  <c r="BI112" i="5"/>
  <c r="BH112" i="5"/>
  <c r="BD112" i="5"/>
  <c r="BF112" i="5"/>
  <c r="BG112" i="5"/>
  <c r="BE112" i="5"/>
  <c r="BA112" i="5"/>
  <c r="BP112" i="5" s="1"/>
  <c r="AZ112" i="5"/>
  <c r="AY112" i="5"/>
  <c r="BC112" i="5"/>
  <c r="CK104" i="5"/>
  <c r="CJ104" i="5"/>
  <c r="CF104" i="5"/>
  <c r="CH104" i="5"/>
  <c r="CI104" i="5"/>
  <c r="CD104" i="5"/>
  <c r="CG104" i="5"/>
  <c r="CE104" i="5"/>
  <c r="CC104" i="5"/>
  <c r="CA104" i="5"/>
  <c r="BY104" i="5"/>
  <c r="BV104" i="5"/>
  <c r="BX104" i="5"/>
  <c r="BZ104" i="5"/>
  <c r="BW104" i="5"/>
  <c r="BU104" i="5"/>
  <c r="BT104" i="5"/>
  <c r="BR104" i="5"/>
  <c r="BQ104" i="5"/>
  <c r="BS104" i="5"/>
  <c r="BL104" i="5"/>
  <c r="BM104" i="5"/>
  <c r="BK104" i="5"/>
  <c r="BI104" i="5"/>
  <c r="BJ104" i="5"/>
  <c r="BH104" i="5"/>
  <c r="BD104" i="5"/>
  <c r="BG104" i="5"/>
  <c r="BF104" i="5"/>
  <c r="BE104" i="5"/>
  <c r="BA104" i="5"/>
  <c r="BP104" i="5" s="1"/>
  <c r="AZ104" i="5"/>
  <c r="AY104" i="5"/>
  <c r="CK96" i="5"/>
  <c r="CJ96" i="5"/>
  <c r="CF96" i="5"/>
  <c r="CI96" i="5"/>
  <c r="CG96" i="5"/>
  <c r="CD96" i="5"/>
  <c r="CH96" i="5"/>
  <c r="CC96" i="5"/>
  <c r="CE96" i="5"/>
  <c r="CA96" i="5"/>
  <c r="BZ96" i="5"/>
  <c r="BY96" i="5"/>
  <c r="BX96" i="5"/>
  <c r="BV96" i="5"/>
  <c r="BU96" i="5"/>
  <c r="BT96" i="5"/>
  <c r="BW96" i="5"/>
  <c r="BR96" i="5"/>
  <c r="BQ96" i="5"/>
  <c r="BS96" i="5"/>
  <c r="BO96" i="5"/>
  <c r="BN96" i="5"/>
  <c r="BM96" i="5"/>
  <c r="BL96" i="5"/>
  <c r="BK96" i="5"/>
  <c r="BI96" i="5"/>
  <c r="BH96" i="5"/>
  <c r="BJ96" i="5"/>
  <c r="BD96" i="5"/>
  <c r="BF96" i="5"/>
  <c r="BG96" i="5"/>
  <c r="BE96" i="5"/>
  <c r="BB96" i="5"/>
  <c r="BA96" i="5"/>
  <c r="BP96" i="5" s="1"/>
  <c r="AZ96" i="5"/>
  <c r="AY96" i="5"/>
  <c r="BC96" i="5"/>
  <c r="CK88" i="5"/>
  <c r="CH88" i="5"/>
  <c r="CF88" i="5"/>
  <c r="CD88" i="5"/>
  <c r="CJ88" i="5"/>
  <c r="CG88" i="5"/>
  <c r="CE88" i="5"/>
  <c r="CI88" i="5"/>
  <c r="CC88" i="5"/>
  <c r="CA88" i="5"/>
  <c r="BY88" i="5"/>
  <c r="BZ88" i="5"/>
  <c r="BV88" i="5"/>
  <c r="BX88" i="5"/>
  <c r="BW88" i="5"/>
  <c r="BU88" i="5"/>
  <c r="BT88" i="5"/>
  <c r="BS88" i="5"/>
  <c r="BR88" i="5"/>
  <c r="BQ88" i="5"/>
  <c r="BO88" i="5"/>
  <c r="BL88" i="5"/>
  <c r="BM88" i="5"/>
  <c r="BK88" i="5"/>
  <c r="BJ88" i="5"/>
  <c r="BI88" i="5"/>
  <c r="BH88" i="5"/>
  <c r="BD88" i="5"/>
  <c r="BG88" i="5"/>
  <c r="BF88" i="5"/>
  <c r="BE88" i="5"/>
  <c r="BA88" i="5"/>
  <c r="BP88" i="5" s="1"/>
  <c r="AZ88" i="5"/>
  <c r="BC88" i="5"/>
  <c r="AY88" i="5"/>
  <c r="CK80" i="5"/>
  <c r="CJ80" i="5"/>
  <c r="CI80" i="5"/>
  <c r="CH80" i="5"/>
  <c r="CF80" i="5"/>
  <c r="CD80" i="5"/>
  <c r="CG80" i="5"/>
  <c r="CC80" i="5"/>
  <c r="CE80" i="5"/>
  <c r="BZ80" i="5"/>
  <c r="BX80" i="5"/>
  <c r="CA80" i="5"/>
  <c r="BY80" i="5"/>
  <c r="BV80" i="5"/>
  <c r="BU80" i="5"/>
  <c r="BT80" i="5"/>
  <c r="BW80" i="5"/>
  <c r="BS80" i="5"/>
  <c r="BR80" i="5"/>
  <c r="BQ80" i="5"/>
  <c r="BM80" i="5"/>
  <c r="BL80" i="5"/>
  <c r="BK80" i="5"/>
  <c r="BJ80" i="5"/>
  <c r="BI80" i="5"/>
  <c r="BH80" i="5"/>
  <c r="BD80" i="5"/>
  <c r="BF80" i="5"/>
  <c r="BG80" i="5"/>
  <c r="BE80" i="5"/>
  <c r="BA80" i="5"/>
  <c r="BP80" i="5" s="1"/>
  <c r="AZ80" i="5"/>
  <c r="AY80" i="5"/>
  <c r="CK72" i="5"/>
  <c r="CJ72" i="5"/>
  <c r="CH72" i="5"/>
  <c r="CF72" i="5"/>
  <c r="CI72" i="5"/>
  <c r="CD72" i="5"/>
  <c r="CG72" i="5"/>
  <c r="CE72" i="5"/>
  <c r="CC72" i="5"/>
  <c r="CA72" i="5"/>
  <c r="BY72" i="5"/>
  <c r="BX72" i="5"/>
  <c r="BZ72" i="5"/>
  <c r="BV72" i="5"/>
  <c r="BW72" i="5"/>
  <c r="BU72" i="5"/>
  <c r="BT72" i="5"/>
  <c r="BR72" i="5"/>
  <c r="BQ72" i="5"/>
  <c r="BS72" i="5"/>
  <c r="BL72" i="5"/>
  <c r="BM72" i="5"/>
  <c r="BK72" i="5"/>
  <c r="BI72" i="5"/>
  <c r="BJ72" i="5"/>
  <c r="BH72" i="5"/>
  <c r="BD72" i="5"/>
  <c r="BG72" i="5"/>
  <c r="BF72" i="5"/>
  <c r="BE72" i="5"/>
  <c r="BA72" i="5"/>
  <c r="BP72" i="5" s="1"/>
  <c r="AZ72" i="5"/>
  <c r="AY72" i="5"/>
  <c r="CK64" i="5"/>
  <c r="CF64" i="5"/>
  <c r="CI64" i="5"/>
  <c r="CD64" i="5"/>
  <c r="CE64" i="5"/>
  <c r="CC64" i="5"/>
  <c r="CA64" i="5"/>
  <c r="BY64" i="5"/>
  <c r="BV64" i="5"/>
  <c r="BU64" i="5"/>
  <c r="BT64" i="5"/>
  <c r="BW64" i="5"/>
  <c r="BR64" i="5"/>
  <c r="BQ64" i="5"/>
  <c r="BS64" i="5"/>
  <c r="BO64" i="5"/>
  <c r="BM64" i="5"/>
  <c r="BK64" i="5"/>
  <c r="BI64" i="5"/>
  <c r="BH64" i="5"/>
  <c r="BJ64" i="5"/>
  <c r="BD64" i="5"/>
  <c r="BF64" i="5"/>
  <c r="BG64" i="5"/>
  <c r="BE64" i="5"/>
  <c r="BA64" i="5"/>
  <c r="BP64" i="5" s="1"/>
  <c r="AZ64" i="5"/>
  <c r="AY64" i="5"/>
  <c r="CK56" i="5"/>
  <c r="CJ56" i="5"/>
  <c r="CI56" i="5"/>
  <c r="CF56" i="5"/>
  <c r="CH56" i="5"/>
  <c r="CG56" i="5"/>
  <c r="CD56" i="5"/>
  <c r="CE56" i="5"/>
  <c r="CC56" i="5"/>
  <c r="CA56" i="5"/>
  <c r="BY56" i="5"/>
  <c r="BX56" i="5"/>
  <c r="BV56" i="5"/>
  <c r="BZ56" i="5"/>
  <c r="BW56" i="5"/>
  <c r="BU56" i="5"/>
  <c r="BT56" i="5"/>
  <c r="BS56" i="5"/>
  <c r="BR56" i="5"/>
  <c r="BQ56" i="5"/>
  <c r="BL56" i="5"/>
  <c r="BM56" i="5"/>
  <c r="BN56" i="5"/>
  <c r="BK56" i="5"/>
  <c r="BJ56" i="5"/>
  <c r="BI56" i="5"/>
  <c r="BH56" i="5"/>
  <c r="BD56" i="5"/>
  <c r="BG56" i="5"/>
  <c r="BF56" i="5"/>
  <c r="BE56" i="5"/>
  <c r="BB56" i="5"/>
  <c r="BA56" i="5"/>
  <c r="BP56" i="5" s="1"/>
  <c r="AZ56" i="5"/>
  <c r="AY56" i="5"/>
  <c r="CK48" i="5"/>
  <c r="CF48" i="5"/>
  <c r="CD48" i="5"/>
  <c r="CI48" i="5"/>
  <c r="CE48" i="5"/>
  <c r="CC48" i="5"/>
  <c r="CA48" i="5"/>
  <c r="BY48" i="5"/>
  <c r="BV48" i="5"/>
  <c r="BU48" i="5"/>
  <c r="BT48" i="5"/>
  <c r="BW48" i="5"/>
  <c r="BS48" i="5"/>
  <c r="BR48" i="5"/>
  <c r="BQ48" i="5"/>
  <c r="BO48" i="5"/>
  <c r="BN48" i="5"/>
  <c r="BM48" i="5"/>
  <c r="BK48" i="5"/>
  <c r="BJ48" i="5"/>
  <c r="BI48" i="5"/>
  <c r="BH48" i="5"/>
  <c r="BD48" i="5"/>
  <c r="BF48" i="5"/>
  <c r="BG48" i="5"/>
  <c r="BE48" i="5"/>
  <c r="BB48" i="5"/>
  <c r="BA48" i="5"/>
  <c r="BP48" i="5" s="1"/>
  <c r="AZ48" i="5"/>
  <c r="AY48" i="5"/>
  <c r="BC48" i="5"/>
  <c r="CK40" i="5"/>
  <c r="CJ40" i="5"/>
  <c r="CF40" i="5"/>
  <c r="CG40" i="5"/>
  <c r="CD40" i="5"/>
  <c r="CI40" i="5"/>
  <c r="CH40" i="5"/>
  <c r="CE40" i="5"/>
  <c r="CC40" i="5"/>
  <c r="CA40" i="5"/>
  <c r="BY40" i="5"/>
  <c r="BX40" i="5"/>
  <c r="BV40" i="5"/>
  <c r="BZ40" i="5"/>
  <c r="BW40" i="5"/>
  <c r="BU40" i="5"/>
  <c r="BT40" i="5"/>
  <c r="BR40" i="5"/>
  <c r="BQ40" i="5"/>
  <c r="BS40" i="5"/>
  <c r="BL40" i="5"/>
  <c r="BM40" i="5"/>
  <c r="BK40" i="5"/>
  <c r="BI40" i="5"/>
  <c r="BJ40" i="5"/>
  <c r="BH40" i="5"/>
  <c r="BD40" i="5"/>
  <c r="BG40" i="5"/>
  <c r="BF40" i="5"/>
  <c r="BE40" i="5"/>
  <c r="BA40" i="5"/>
  <c r="BP40" i="5" s="1"/>
  <c r="AZ40" i="5"/>
  <c r="AY40" i="5"/>
  <c r="CK32" i="5"/>
  <c r="CF32" i="5"/>
  <c r="CI32" i="5"/>
  <c r="CD32" i="5"/>
  <c r="CE32" i="5"/>
  <c r="CC32" i="5"/>
  <c r="CA32" i="5"/>
  <c r="BY32" i="5"/>
  <c r="BV32" i="5"/>
  <c r="BU32" i="5"/>
  <c r="BT32" i="5"/>
  <c r="BW32" i="5"/>
  <c r="BR32" i="5"/>
  <c r="BQ32" i="5"/>
  <c r="BS32" i="5"/>
  <c r="BM32" i="5"/>
  <c r="BK32" i="5"/>
  <c r="BI32" i="5"/>
  <c r="BH32" i="5"/>
  <c r="BJ32" i="5"/>
  <c r="BD32" i="5"/>
  <c r="BF32" i="5"/>
  <c r="BG32" i="5"/>
  <c r="BE32" i="5"/>
  <c r="BA32" i="5"/>
  <c r="BP32" i="5" s="1"/>
  <c r="AZ32" i="5"/>
  <c r="AY32" i="5"/>
  <c r="CK24" i="5"/>
  <c r="CF24" i="5"/>
  <c r="CG24" i="5"/>
  <c r="CI24" i="5"/>
  <c r="CD24" i="5"/>
  <c r="CE24" i="5"/>
  <c r="CC24" i="5"/>
  <c r="CA24" i="5"/>
  <c r="BY24" i="5"/>
  <c r="BV24" i="5"/>
  <c r="BW24" i="5"/>
  <c r="BT24" i="5"/>
  <c r="BU24" i="5"/>
  <c r="BS24" i="5"/>
  <c r="BR24" i="5"/>
  <c r="BQ24" i="5"/>
  <c r="BO24" i="5"/>
  <c r="BM24" i="5"/>
  <c r="BN24" i="5"/>
  <c r="BK24" i="5"/>
  <c r="BJ24" i="5"/>
  <c r="BI24" i="5"/>
  <c r="BH24" i="5"/>
  <c r="BD24" i="5"/>
  <c r="BG24" i="5"/>
  <c r="BF24" i="5"/>
  <c r="BE24" i="5"/>
  <c r="BB24" i="5"/>
  <c r="BA24" i="5"/>
  <c r="BP24" i="5" s="1"/>
  <c r="AZ24" i="5"/>
  <c r="BC24" i="5"/>
  <c r="AY24" i="5"/>
  <c r="CK16" i="5"/>
  <c r="CI16" i="5"/>
  <c r="CF16" i="5"/>
  <c r="CD16" i="5"/>
  <c r="CE16" i="5"/>
  <c r="CC16" i="5"/>
  <c r="CA16" i="5"/>
  <c r="BY16" i="5"/>
  <c r="BV16" i="5"/>
  <c r="BU16" i="5"/>
  <c r="BT16" i="5"/>
  <c r="BW16" i="5"/>
  <c r="BS16" i="5"/>
  <c r="BR16" i="5"/>
  <c r="BQ16" i="5"/>
  <c r="BO16" i="5"/>
  <c r="BM16" i="5"/>
  <c r="BK16" i="5"/>
  <c r="BJ16" i="5"/>
  <c r="BH16" i="5"/>
  <c r="BI16" i="5"/>
  <c r="BD16" i="5"/>
  <c r="BF16" i="5"/>
  <c r="BG16" i="5"/>
  <c r="BE16" i="5"/>
  <c r="BA16" i="5"/>
  <c r="BP16" i="5" s="1"/>
  <c r="AZ16" i="5"/>
  <c r="AY16" i="5"/>
  <c r="BC16" i="5"/>
  <c r="CK8" i="5"/>
  <c r="CF8" i="5"/>
  <c r="CD8" i="5"/>
  <c r="CI8" i="5"/>
  <c r="CE8" i="5"/>
  <c r="CC8" i="5"/>
  <c r="CA8" i="5"/>
  <c r="BY8" i="5"/>
  <c r="BV8" i="5"/>
  <c r="BW8" i="5"/>
  <c r="BU8" i="5"/>
  <c r="BT8" i="5"/>
  <c r="BR8" i="5"/>
  <c r="BQ8" i="5"/>
  <c r="BS8" i="5"/>
  <c r="BM8" i="5"/>
  <c r="BK8" i="5"/>
  <c r="BI8" i="5"/>
  <c r="BJ8" i="5"/>
  <c r="BH8" i="5"/>
  <c r="BD8" i="5"/>
  <c r="BG8" i="5"/>
  <c r="BF8" i="5"/>
  <c r="BE8" i="5"/>
  <c r="BA8" i="5"/>
  <c r="BP8" i="5" s="1"/>
  <c r="AZ8" i="5"/>
  <c r="AY8" i="5"/>
  <c r="AW701" i="5"/>
  <c r="AW702" i="5" s="1"/>
  <c r="AY688" i="5"/>
  <c r="AY656" i="5"/>
  <c r="AY624" i="5"/>
  <c r="AZ688" i="5"/>
  <c r="AZ656" i="5"/>
  <c r="AZ624" i="5"/>
  <c r="AZ592" i="5"/>
  <c r="AZ560" i="5"/>
  <c r="AZ528" i="5"/>
  <c r="AZ496" i="5"/>
  <c r="AZ464" i="5"/>
  <c r="AU357" i="5"/>
  <c r="BN357" i="5" s="1"/>
  <c r="AU365" i="5"/>
  <c r="BN365" i="5" s="1"/>
  <c r="AU373" i="5"/>
  <c r="BN373" i="5" s="1"/>
  <c r="AU381" i="5"/>
  <c r="BN381" i="5" s="1"/>
  <c r="AU389" i="5"/>
  <c r="BB389" i="5" s="1"/>
  <c r="AU397" i="5"/>
  <c r="BN397" i="5" s="1"/>
  <c r="AU405" i="5"/>
  <c r="BB405" i="5" s="1"/>
  <c r="AU413" i="5"/>
  <c r="BN413" i="5" s="1"/>
  <c r="AU421" i="5"/>
  <c r="AU429" i="5"/>
  <c r="BN429" i="5" s="1"/>
  <c r="AU437" i="5"/>
  <c r="BN437" i="5" s="1"/>
  <c r="AU445" i="5"/>
  <c r="BB445" i="5" s="1"/>
  <c r="AU453" i="5"/>
  <c r="BN453" i="5" s="1"/>
  <c r="AU461" i="5"/>
  <c r="BB461" i="5" s="1"/>
  <c r="AU469" i="5"/>
  <c r="BB469" i="5" s="1"/>
  <c r="AU477" i="5"/>
  <c r="BN477" i="5" s="1"/>
  <c r="AU485" i="5"/>
  <c r="BN485" i="5" s="1"/>
  <c r="AU493" i="5"/>
  <c r="BN493" i="5" s="1"/>
  <c r="AU501" i="5"/>
  <c r="BB501" i="5" s="1"/>
  <c r="AU509" i="5"/>
  <c r="BB509" i="5" s="1"/>
  <c r="AU517" i="5"/>
  <c r="BB517" i="5" s="1"/>
  <c r="AU525" i="5"/>
  <c r="BN525" i="5" s="1"/>
  <c r="AU533" i="5"/>
  <c r="BB533" i="5" s="1"/>
  <c r="AU541" i="5"/>
  <c r="BB541" i="5" s="1"/>
  <c r="AU549" i="5"/>
  <c r="BB549" i="5" s="1"/>
  <c r="AU557" i="5"/>
  <c r="BN557" i="5" s="1"/>
  <c r="AU565" i="5"/>
  <c r="BB565" i="5" s="1"/>
  <c r="AU573" i="5"/>
  <c r="BN573" i="5" s="1"/>
  <c r="AU581" i="5"/>
  <c r="BB581" i="5" s="1"/>
  <c r="AU589" i="5"/>
  <c r="BN589" i="5" s="1"/>
  <c r="AU597" i="5"/>
  <c r="BN597" i="5" s="1"/>
  <c r="AU605" i="5"/>
  <c r="BN605" i="5" s="1"/>
  <c r="AU613" i="5"/>
  <c r="BB613" i="5" s="1"/>
  <c r="AU621" i="5"/>
  <c r="BN621" i="5" s="1"/>
  <c r="AU629" i="5"/>
  <c r="BN629" i="5" s="1"/>
  <c r="AU637" i="5"/>
  <c r="BB637" i="5" s="1"/>
  <c r="AU645" i="5"/>
  <c r="BB645" i="5" s="1"/>
  <c r="AU653" i="5"/>
  <c r="BB653" i="5" s="1"/>
  <c r="AU661" i="5"/>
  <c r="BN661" i="5" s="1"/>
  <c r="AU669" i="5"/>
  <c r="BB669" i="5" s="1"/>
  <c r="AU677" i="5"/>
  <c r="BN677" i="5" s="1"/>
  <c r="AU685" i="5"/>
  <c r="BB685" i="5" s="1"/>
  <c r="AU693" i="5"/>
  <c r="BB693" i="5" s="1"/>
  <c r="AV5" i="5"/>
  <c r="BC5" i="5" s="1"/>
  <c r="AV13" i="5"/>
  <c r="BC13" i="5" s="1"/>
  <c r="AV21" i="5"/>
  <c r="BC21" i="5" s="1"/>
  <c r="AV29" i="5"/>
  <c r="BC29" i="5" s="1"/>
  <c r="AV37" i="5"/>
  <c r="BC37" i="5" s="1"/>
  <c r="AV45" i="5"/>
  <c r="AV53" i="5"/>
  <c r="BO53" i="5" s="1"/>
  <c r="AV61" i="5"/>
  <c r="BC61" i="5" s="1"/>
  <c r="AV69" i="5"/>
  <c r="BC69" i="5" s="1"/>
  <c r="AV77" i="5"/>
  <c r="BO77" i="5" s="1"/>
  <c r="AV85" i="5"/>
  <c r="BC85" i="5" s="1"/>
  <c r="AV93" i="5"/>
  <c r="BC93" i="5" s="1"/>
  <c r="AV101" i="5"/>
  <c r="BO101" i="5" s="1"/>
  <c r="AV109" i="5"/>
  <c r="BC109" i="5" s="1"/>
  <c r="AV117" i="5"/>
  <c r="BO117" i="5" s="1"/>
  <c r="AV125" i="5"/>
  <c r="BO125" i="5" s="1"/>
  <c r="AV133" i="5"/>
  <c r="BC133" i="5" s="1"/>
  <c r="AV141" i="5"/>
  <c r="BC141" i="5" s="1"/>
  <c r="AV149" i="5"/>
  <c r="BC149" i="5" s="1"/>
  <c r="AV157" i="5"/>
  <c r="AV165" i="5"/>
  <c r="BC165" i="5" s="1"/>
  <c r="AV173" i="5"/>
  <c r="BC173" i="5" s="1"/>
  <c r="AV181" i="5"/>
  <c r="BO181" i="5" s="1"/>
  <c r="AV189" i="5"/>
  <c r="BC189" i="5" s="1"/>
  <c r="AV197" i="5"/>
  <c r="AV205" i="5"/>
  <c r="BC205" i="5" s="1"/>
  <c r="AV213" i="5"/>
  <c r="BO213" i="5" s="1"/>
  <c r="AV221" i="5"/>
  <c r="BC221" i="5" s="1"/>
  <c r="AV229" i="5"/>
  <c r="BC229" i="5" s="1"/>
  <c r="AV237" i="5"/>
  <c r="BC237" i="5" s="1"/>
  <c r="AV245" i="5"/>
  <c r="BC245" i="5" s="1"/>
  <c r="AV253" i="5"/>
  <c r="BC253" i="5" s="1"/>
  <c r="AV261" i="5"/>
  <c r="BO261" i="5" s="1"/>
  <c r="AV269" i="5"/>
  <c r="BC269" i="5" s="1"/>
  <c r="AV277" i="5"/>
  <c r="BO277" i="5" s="1"/>
  <c r="AV285" i="5"/>
  <c r="AV293" i="5"/>
  <c r="BC293" i="5" s="1"/>
  <c r="AV301" i="5"/>
  <c r="BC301" i="5" s="1"/>
  <c r="AV309" i="5"/>
  <c r="BO309" i="5" s="1"/>
  <c r="AV317" i="5"/>
  <c r="BO317" i="5" s="1"/>
  <c r="AV325" i="5"/>
  <c r="BC325" i="5" s="1"/>
  <c r="AV333" i="5"/>
  <c r="BO333" i="5" s="1"/>
  <c r="AV341" i="5"/>
  <c r="BC341" i="5" s="1"/>
  <c r="AV349" i="5"/>
  <c r="BC349" i="5" s="1"/>
  <c r="AV357" i="5"/>
  <c r="BO357" i="5" s="1"/>
  <c r="AV365" i="5"/>
  <c r="BC365" i="5" s="1"/>
  <c r="AV373" i="5"/>
  <c r="BO373" i="5" s="1"/>
  <c r="AV381" i="5"/>
  <c r="BO381" i="5" s="1"/>
  <c r="AV389" i="5"/>
  <c r="BC389" i="5" s="1"/>
  <c r="AV397" i="5"/>
  <c r="BC397" i="5" s="1"/>
  <c r="AV405" i="5"/>
  <c r="BC405" i="5" s="1"/>
  <c r="AV413" i="5"/>
  <c r="BO413" i="5" s="1"/>
  <c r="AV421" i="5"/>
  <c r="AV429" i="5"/>
  <c r="BC429" i="5" s="1"/>
  <c r="AV437" i="5"/>
  <c r="BC437" i="5" s="1"/>
  <c r="AV445" i="5"/>
  <c r="BO445" i="5" s="1"/>
  <c r="AV453" i="5"/>
  <c r="BO453" i="5" s="1"/>
  <c r="AV461" i="5"/>
  <c r="BC461" i="5" s="1"/>
  <c r="AV469" i="5"/>
  <c r="BC469" i="5" s="1"/>
  <c r="AV477" i="5"/>
  <c r="BC477" i="5" s="1"/>
  <c r="AV485" i="5"/>
  <c r="BO485" i="5" s="1"/>
  <c r="AV493" i="5"/>
  <c r="BC493" i="5" s="1"/>
  <c r="AV501" i="5"/>
  <c r="BO501" i="5" s="1"/>
  <c r="AV509" i="5"/>
  <c r="BC509" i="5" s="1"/>
  <c r="AV517" i="5"/>
  <c r="BC517" i="5" s="1"/>
  <c r="AV525" i="5"/>
  <c r="BC525" i="5" s="1"/>
  <c r="AV533" i="5"/>
  <c r="BO533" i="5" s="1"/>
  <c r="AV541" i="5"/>
  <c r="BC541" i="5" s="1"/>
  <c r="AV549" i="5"/>
  <c r="BC549" i="5" s="1"/>
  <c r="AV557" i="5"/>
  <c r="BC557" i="5" s="1"/>
  <c r="AV565" i="5"/>
  <c r="BO565" i="5" s="1"/>
  <c r="AV573" i="5"/>
  <c r="BO573" i="5" s="1"/>
  <c r="AV581" i="5"/>
  <c r="BC581" i="5" s="1"/>
  <c r="AV589" i="5"/>
  <c r="BC589" i="5" s="1"/>
  <c r="AV597" i="5"/>
  <c r="BO597" i="5" s="1"/>
  <c r="AV605" i="5"/>
  <c r="BO605" i="5" s="1"/>
  <c r="AV613" i="5"/>
  <c r="BO613" i="5" s="1"/>
  <c r="AV621" i="5"/>
  <c r="BO621" i="5" s="1"/>
  <c r="AV629" i="5"/>
  <c r="BC629" i="5" s="1"/>
  <c r="AV637" i="5"/>
  <c r="BO637" i="5" s="1"/>
  <c r="AV645" i="5"/>
  <c r="BO645" i="5" s="1"/>
  <c r="AV653" i="5"/>
  <c r="BO653" i="5" s="1"/>
  <c r="AV661" i="5"/>
  <c r="BO661" i="5" s="1"/>
  <c r="AV669" i="5"/>
  <c r="BO669" i="5" s="1"/>
  <c r="AV677" i="5"/>
  <c r="BO677" i="5" s="1"/>
  <c r="AV685" i="5"/>
  <c r="BO685" i="5" s="1"/>
  <c r="AV693" i="5"/>
  <c r="BC693" i="5" s="1"/>
  <c r="AY664" i="5"/>
  <c r="AY632" i="5"/>
  <c r="AZ680" i="5"/>
  <c r="AZ648" i="5"/>
  <c r="AZ616" i="5"/>
  <c r="AZ584" i="5"/>
  <c r="AZ552" i="5"/>
  <c r="AZ520" i="5"/>
  <c r="AZ488" i="5"/>
  <c r="AZ456" i="5"/>
  <c r="CL701" i="5"/>
  <c r="CL702" i="5" s="1"/>
  <c r="C12" i="7"/>
  <c r="C13" i="7"/>
  <c r="C14" i="7"/>
  <c r="E51" i="9"/>
  <c r="BQ524" i="5" l="1"/>
  <c r="BF21" i="5"/>
  <c r="BS21" i="5"/>
  <c r="CD21" i="5"/>
  <c r="BG45" i="5"/>
  <c r="BR45" i="5"/>
  <c r="CC45" i="5"/>
  <c r="BJ173" i="5"/>
  <c r="BY173" i="5"/>
  <c r="BG228" i="5"/>
  <c r="BU228" i="5"/>
  <c r="CC228" i="5"/>
  <c r="CF36" i="5"/>
  <c r="BC393" i="5"/>
  <c r="BG36" i="5"/>
  <c r="BJ476" i="5"/>
  <c r="BY476" i="5"/>
  <c r="BB21" i="5"/>
  <c r="BI21" i="5"/>
  <c r="BU21" i="5"/>
  <c r="CF21" i="5"/>
  <c r="BH45" i="5"/>
  <c r="BT45" i="5"/>
  <c r="CA45" i="5"/>
  <c r="CJ45" i="5"/>
  <c r="BE173" i="5"/>
  <c r="BS173" i="5"/>
  <c r="AV228" i="5"/>
  <c r="BO228" i="5" s="1"/>
  <c r="BJ228" i="5"/>
  <c r="BS228" i="5"/>
  <c r="BY228" i="5"/>
  <c r="BL36" i="5"/>
  <c r="AZ636" i="5"/>
  <c r="BK36" i="5"/>
  <c r="AZ36" i="5"/>
  <c r="BU36" i="5"/>
  <c r="BJ636" i="5"/>
  <c r="CI36" i="5"/>
  <c r="AV476" i="5"/>
  <c r="BC476" i="5" s="1"/>
  <c r="BS476" i="5"/>
  <c r="CF476" i="5"/>
  <c r="AU36" i="5"/>
  <c r="BN36" i="5" s="1"/>
  <c r="BQ36" i="5"/>
  <c r="CJ36" i="5"/>
  <c r="BM636" i="5"/>
  <c r="AZ204" i="5"/>
  <c r="BM204" i="5"/>
  <c r="BY204" i="5"/>
  <c r="CK204" i="5"/>
  <c r="BX508" i="5"/>
  <c r="AV36" i="5"/>
  <c r="BO36" i="5" s="1"/>
  <c r="BR36" i="5"/>
  <c r="CE36" i="5"/>
  <c r="CI508" i="5"/>
  <c r="BR524" i="5"/>
  <c r="BH476" i="5"/>
  <c r="BV476" i="5"/>
  <c r="CK476" i="5"/>
  <c r="AY652" i="5"/>
  <c r="AU818" i="5"/>
  <c r="BI636" i="5"/>
  <c r="BI36" i="5"/>
  <c r="BZ36" i="5"/>
  <c r="CH36" i="5"/>
  <c r="BY508" i="5"/>
  <c r="CC636" i="5"/>
  <c r="AV524" i="5"/>
  <c r="BC524" i="5" s="1"/>
  <c r="BX524" i="5"/>
  <c r="BH652" i="5"/>
  <c r="BN317" i="5"/>
  <c r="BB317" i="5"/>
  <c r="BG524" i="5"/>
  <c r="CA524" i="5"/>
  <c r="BZ652" i="5"/>
  <c r="BF508" i="5"/>
  <c r="AU636" i="5"/>
  <c r="BN636" i="5" s="1"/>
  <c r="CH636" i="5"/>
  <c r="AZ236" i="5"/>
  <c r="BQ236" i="5"/>
  <c r="CC236" i="5"/>
  <c r="BL524" i="5"/>
  <c r="CD524" i="5"/>
  <c r="BI620" i="5"/>
  <c r="BV620" i="5"/>
  <c r="BI84" i="5"/>
  <c r="CA84" i="5"/>
  <c r="BA148" i="5"/>
  <c r="BS148" i="5"/>
  <c r="CK148" i="5"/>
  <c r="BN65" i="5"/>
  <c r="CH508" i="5"/>
  <c r="BS636" i="5"/>
  <c r="AT821" i="5"/>
  <c r="AZ53" i="5"/>
  <c r="BH53" i="5"/>
  <c r="BV53" i="5"/>
  <c r="CF53" i="5"/>
  <c r="BA85" i="5"/>
  <c r="BP85" i="5" s="1"/>
  <c r="BH85" i="5"/>
  <c r="BT85" i="5"/>
  <c r="CA85" i="5"/>
  <c r="CJ85" i="5"/>
  <c r="AZ109" i="5"/>
  <c r="BI109" i="5"/>
  <c r="BV109" i="5"/>
  <c r="CF109" i="5"/>
  <c r="BB125" i="5"/>
  <c r="BL125" i="5"/>
  <c r="BU125" i="5"/>
  <c r="CF125" i="5"/>
  <c r="AY133" i="5"/>
  <c r="BK133" i="5"/>
  <c r="BV133" i="5"/>
  <c r="CD133" i="5"/>
  <c r="AZ181" i="5"/>
  <c r="BG181" i="5"/>
  <c r="BT181" i="5"/>
  <c r="CD181" i="5"/>
  <c r="BD189" i="5"/>
  <c r="BM189" i="5"/>
  <c r="BY189" i="5"/>
  <c r="BA237" i="5"/>
  <c r="BP237" i="5" s="1"/>
  <c r="BI237" i="5"/>
  <c r="BR237" i="5"/>
  <c r="CC237" i="5"/>
  <c r="BA36" i="5"/>
  <c r="BP36" i="5" s="1"/>
  <c r="BM36" i="5"/>
  <c r="BX36" i="5"/>
  <c r="AV73" i="5"/>
  <c r="BO73" i="5" s="1"/>
  <c r="BA476" i="5"/>
  <c r="BP476" i="5" s="1"/>
  <c r="BQ476" i="5"/>
  <c r="CC476" i="5"/>
  <c r="BA508" i="5"/>
  <c r="BP508" i="5" s="1"/>
  <c r="BU636" i="5"/>
  <c r="BD524" i="5"/>
  <c r="BW524" i="5"/>
  <c r="CH524" i="5"/>
  <c r="BG652" i="5"/>
  <c r="AU49" i="5"/>
  <c r="BM508" i="5"/>
  <c r="AY636" i="5"/>
  <c r="BX636" i="5"/>
  <c r="BR508" i="5"/>
  <c r="BF36" i="5"/>
  <c r="BS36" i="5"/>
  <c r="BY36" i="5"/>
  <c r="AU508" i="5"/>
  <c r="BN508" i="5" s="1"/>
  <c r="BZ508" i="5"/>
  <c r="BG636" i="5"/>
  <c r="BY636" i="5"/>
  <c r="AT832" i="5"/>
  <c r="AY832" i="5"/>
  <c r="BD156" i="5"/>
  <c r="BN184" i="5"/>
  <c r="BB184" i="5"/>
  <c r="BC193" i="5"/>
  <c r="BO193" i="5"/>
  <c r="BN88" i="5"/>
  <c r="BB88" i="5"/>
  <c r="BA652" i="5"/>
  <c r="BP652" i="5" s="1"/>
  <c r="CE652" i="5"/>
  <c r="BE652" i="5"/>
  <c r="AX821" i="5"/>
  <c r="BD476" i="5"/>
  <c r="BM476" i="5"/>
  <c r="BZ476" i="5"/>
  <c r="CE476" i="5"/>
  <c r="BT652" i="5"/>
  <c r="AU176" i="5"/>
  <c r="AZ476" i="5"/>
  <c r="BF476" i="5"/>
  <c r="BR476" i="5"/>
  <c r="CA476" i="5"/>
  <c r="BL508" i="5"/>
  <c r="CG508" i="5"/>
  <c r="AU224" i="5"/>
  <c r="BP92" i="5"/>
  <c r="CD652" i="5"/>
  <c r="AU832" i="5"/>
  <c r="CF696" i="5"/>
  <c r="AU821" i="5"/>
  <c r="BA636" i="5"/>
  <c r="BP636" i="5" s="1"/>
  <c r="CA636" i="5"/>
  <c r="AV320" i="5"/>
  <c r="AV25" i="5"/>
  <c r="BU12" i="5"/>
  <c r="BC56" i="5"/>
  <c r="BO56" i="5"/>
  <c r="AY821" i="5"/>
  <c r="AY828" i="5"/>
  <c r="AT834" i="5"/>
  <c r="AU828" i="5"/>
  <c r="BH236" i="5"/>
  <c r="BT236" i="5"/>
  <c r="CG236" i="5"/>
  <c r="BK524" i="5"/>
  <c r="BZ524" i="5"/>
  <c r="CK524" i="5"/>
  <c r="AV620" i="5"/>
  <c r="BO620" i="5" s="1"/>
  <c r="BL620" i="5"/>
  <c r="BZ620" i="5"/>
  <c r="CK620" i="5"/>
  <c r="BX652" i="5"/>
  <c r="BH84" i="5"/>
  <c r="BV84" i="5"/>
  <c r="AU148" i="5"/>
  <c r="BN148" i="5" s="1"/>
  <c r="BI148" i="5"/>
  <c r="BY148" i="5"/>
  <c r="CI696" i="5"/>
  <c r="AV818" i="5"/>
  <c r="BD236" i="5"/>
  <c r="AS792" i="5"/>
  <c r="BH508" i="5"/>
  <c r="CC508" i="5"/>
  <c r="AU696" i="5"/>
  <c r="BN696" i="5" s="1"/>
  <c r="BI236" i="5"/>
  <c r="BW236" i="5"/>
  <c r="CF236" i="5"/>
  <c r="BF524" i="5"/>
  <c r="BS524" i="5"/>
  <c r="CI524" i="5"/>
  <c r="BD620" i="5"/>
  <c r="BM620" i="5"/>
  <c r="CA620" i="5"/>
  <c r="CJ620" i="5"/>
  <c r="BF84" i="5"/>
  <c r="BU84" i="5"/>
  <c r="CE84" i="5"/>
  <c r="BD148" i="5"/>
  <c r="BQ148" i="5"/>
  <c r="CD148" i="5"/>
  <c r="BL652" i="5"/>
  <c r="CI652" i="5"/>
  <c r="BQ652" i="5"/>
  <c r="AT828" i="5"/>
  <c r="BA828" i="5"/>
  <c r="AU834" i="5"/>
  <c r="BA834" i="5"/>
  <c r="AV821" i="5"/>
  <c r="CC4" i="5"/>
  <c r="AX748" i="5"/>
  <c r="AX749" i="5" s="1"/>
  <c r="BA821" i="5"/>
  <c r="AX828" i="5"/>
  <c r="AV828" i="5"/>
  <c r="AX834" i="5"/>
  <c r="BN73" i="5"/>
  <c r="BB73" i="5"/>
  <c r="BO385" i="5"/>
  <c r="BC385" i="5"/>
  <c r="CA696" i="5"/>
  <c r="AY834" i="5"/>
  <c r="BA832" i="5"/>
  <c r="BF125" i="5"/>
  <c r="BM125" i="5"/>
  <c r="BZ125" i="5"/>
  <c r="CG125" i="5"/>
  <c r="AY36" i="5"/>
  <c r="BH36" i="5"/>
  <c r="BW36" i="5"/>
  <c r="CD36" i="5"/>
  <c r="AU444" i="5"/>
  <c r="BJ444" i="5"/>
  <c r="BT444" i="5"/>
  <c r="BE604" i="5"/>
  <c r="BM604" i="5"/>
  <c r="BX604" i="5"/>
  <c r="BP404" i="5"/>
  <c r="AU524" i="5"/>
  <c r="BB524" i="5" s="1"/>
  <c r="BH524" i="5"/>
  <c r="BT524" i="5"/>
  <c r="CF524" i="5"/>
  <c r="AY556" i="5"/>
  <c r="BF588" i="5"/>
  <c r="BR588" i="5"/>
  <c r="CA588" i="5"/>
  <c r="CK588" i="5"/>
  <c r="BS652" i="5"/>
  <c r="BP84" i="5"/>
  <c r="CC696" i="5"/>
  <c r="AV832" i="5"/>
  <c r="BG508" i="5"/>
  <c r="BW508" i="5"/>
  <c r="CK508" i="5"/>
  <c r="AU204" i="5"/>
  <c r="BN204" i="5" s="1"/>
  <c r="BH204" i="5"/>
  <c r="BU204" i="5"/>
  <c r="CD204" i="5"/>
  <c r="BK556" i="5"/>
  <c r="AU448" i="5"/>
  <c r="AS799" i="5"/>
  <c r="BD84" i="5"/>
  <c r="BD116" i="5"/>
  <c r="BD180" i="5"/>
  <c r="BD404" i="5"/>
  <c r="AX832" i="5"/>
  <c r="AV834" i="5"/>
  <c r="AS800" i="5"/>
  <c r="AS801" i="5"/>
  <c r="AS802" i="5"/>
  <c r="AS784" i="5"/>
  <c r="AS785" i="5" s="1"/>
  <c r="AU173" i="5"/>
  <c r="CC173" i="5"/>
  <c r="BT173" i="5"/>
  <c r="BH173" i="5"/>
  <c r="AZ173" i="5"/>
  <c r="CI12" i="5"/>
  <c r="CF12" i="5"/>
  <c r="CA12" i="5"/>
  <c r="BD508" i="5"/>
  <c r="BQ508" i="5"/>
  <c r="CA508" i="5"/>
  <c r="CJ508" i="5"/>
  <c r="AU652" i="5"/>
  <c r="BN652" i="5" s="1"/>
  <c r="BI652" i="5"/>
  <c r="BW652" i="5"/>
  <c r="CF652" i="5"/>
  <c r="AU16" i="5"/>
  <c r="AS796" i="5"/>
  <c r="AS804" i="5"/>
  <c r="AZ652" i="5"/>
  <c r="BK652" i="5"/>
  <c r="BV652" i="5"/>
  <c r="CJ652" i="5"/>
  <c r="AS798" i="5"/>
  <c r="G346" i="10"/>
  <c r="AS807" i="5"/>
  <c r="AS808" i="5" s="1"/>
  <c r="AS793" i="5"/>
  <c r="AS811" i="5"/>
  <c r="AS812" i="5" s="1"/>
  <c r="AS786" i="5"/>
  <c r="AZ508" i="5"/>
  <c r="BJ508" i="5"/>
  <c r="BT508" i="5"/>
  <c r="CF508" i="5"/>
  <c r="BF636" i="5"/>
  <c r="BT636" i="5"/>
  <c r="CI636" i="5"/>
  <c r="BF244" i="5"/>
  <c r="BW244" i="5"/>
  <c r="CK244" i="5"/>
  <c r="BA204" i="5"/>
  <c r="BP204" i="5" s="1"/>
  <c r="BL204" i="5"/>
  <c r="BT204" i="5"/>
  <c r="AU236" i="5"/>
  <c r="BN236" i="5" s="1"/>
  <c r="BF236" i="5"/>
  <c r="BR236" i="5"/>
  <c r="BY236" i="5"/>
  <c r="BE300" i="5"/>
  <c r="BQ300" i="5"/>
  <c r="BX300" i="5"/>
  <c r="AZ332" i="5"/>
  <c r="BJ332" i="5"/>
  <c r="BU332" i="5"/>
  <c r="BF364" i="5"/>
  <c r="BQ364" i="5"/>
  <c r="BZ364" i="5"/>
  <c r="AY396" i="5"/>
  <c r="BI396" i="5"/>
  <c r="BU396" i="5"/>
  <c r="BF492" i="5"/>
  <c r="BQ492" i="5"/>
  <c r="BZ492" i="5"/>
  <c r="AY524" i="5"/>
  <c r="BJ524" i="5"/>
  <c r="BU524" i="5"/>
  <c r="BA588" i="5"/>
  <c r="BP588" i="5" s="1"/>
  <c r="BL588" i="5"/>
  <c r="BW588" i="5"/>
  <c r="AU620" i="5"/>
  <c r="BN620" i="5" s="1"/>
  <c r="BG620" i="5"/>
  <c r="BR620" i="5"/>
  <c r="BX620" i="5"/>
  <c r="BD652" i="5"/>
  <c r="BM652" i="5"/>
  <c r="CA652" i="5"/>
  <c r="CH652" i="5"/>
  <c r="AU84" i="5"/>
  <c r="BN84" i="5" s="1"/>
  <c r="BG84" i="5"/>
  <c r="BQ84" i="5"/>
  <c r="AY148" i="5"/>
  <c r="BH148" i="5"/>
  <c r="BW148" i="5"/>
  <c r="AS787" i="5"/>
  <c r="AS789" i="5"/>
  <c r="AS790" i="5"/>
  <c r="E346" i="10"/>
  <c r="AS791" i="5"/>
  <c r="AV508" i="5"/>
  <c r="BO508" i="5" s="1"/>
  <c r="BK508" i="5"/>
  <c r="BV508" i="5"/>
  <c r="CE508" i="5"/>
  <c r="BH636" i="5"/>
  <c r="BV636" i="5"/>
  <c r="CK636" i="5"/>
  <c r="BP308" i="5"/>
  <c r="BP372" i="5"/>
  <c r="BF652" i="5"/>
  <c r="BR652" i="5"/>
  <c r="BY652" i="5"/>
  <c r="CK652" i="5"/>
  <c r="BP148" i="5"/>
  <c r="AS795" i="5"/>
  <c r="AS803" i="5"/>
  <c r="BO272" i="5"/>
  <c r="BC272" i="5"/>
  <c r="AT797" i="5"/>
  <c r="AX775" i="5"/>
  <c r="AX776" i="5" s="1"/>
  <c r="AU808" i="5"/>
  <c r="AT808" i="5"/>
  <c r="AS775" i="5"/>
  <c r="AS776" i="5" s="1"/>
  <c r="AT775" i="5"/>
  <c r="AT776" i="5" s="1"/>
  <c r="I11" i="42"/>
  <c r="I39" i="42" s="1"/>
  <c r="AB39" i="42" s="1"/>
  <c r="G335" i="10"/>
  <c r="AU806" i="5"/>
  <c r="G11" i="42"/>
  <c r="E335" i="10"/>
  <c r="AT788" i="5"/>
  <c r="AY818" i="5"/>
  <c r="AT806" i="5"/>
  <c r="BA818" i="5"/>
  <c r="AV576" i="5"/>
  <c r="AS809" i="5"/>
  <c r="AS810" i="5" s="1"/>
  <c r="AX818" i="5"/>
  <c r="AU797" i="5"/>
  <c r="AA11" i="43"/>
  <c r="J11" i="43"/>
  <c r="G39" i="43"/>
  <c r="AB11" i="43"/>
  <c r="AB45" i="43" s="1"/>
  <c r="F67" i="43"/>
  <c r="F75" i="42"/>
  <c r="F80" i="42" s="1"/>
  <c r="BR556" i="5"/>
  <c r="CI556" i="5"/>
  <c r="CK28" i="5"/>
  <c r="BC121" i="5"/>
  <c r="BO121" i="5"/>
  <c r="BA696" i="5"/>
  <c r="BC305" i="5"/>
  <c r="BE636" i="5"/>
  <c r="BR636" i="5"/>
  <c r="CD636" i="5"/>
  <c r="AX773" i="5"/>
  <c r="AX774" i="5" s="1"/>
  <c r="I11" i="41"/>
  <c r="I39" i="41" s="1"/>
  <c r="AB39" i="41" s="1"/>
  <c r="G324" i="10"/>
  <c r="AT773" i="5"/>
  <c r="AT774" i="5" s="1"/>
  <c r="AS773" i="5"/>
  <c r="AS774" i="5" s="1"/>
  <c r="G11" i="41"/>
  <c r="E324" i="10"/>
  <c r="F75" i="41"/>
  <c r="F80" i="41" s="1"/>
  <c r="CF52" i="5"/>
  <c r="BS28" i="5"/>
  <c r="BD244" i="5"/>
  <c r="BQ244" i="5"/>
  <c r="CD244" i="5"/>
  <c r="L13" i="39"/>
  <c r="N12" i="39"/>
  <c r="H313" i="10"/>
  <c r="N10" i="39"/>
  <c r="H301" i="10"/>
  <c r="G291" i="10"/>
  <c r="H291" i="10" s="1"/>
  <c r="G39" i="38"/>
  <c r="J39" i="38" s="1"/>
  <c r="AA10" i="39"/>
  <c r="AA44" i="39" s="1"/>
  <c r="L38" i="39"/>
  <c r="L41" i="39" s="1"/>
  <c r="AB11" i="38"/>
  <c r="AB45" i="38" s="1"/>
  <c r="H303" i="10"/>
  <c r="G13" i="39"/>
  <c r="AB11" i="40"/>
  <c r="AB45" i="40" s="1"/>
  <c r="E304" i="10"/>
  <c r="D304" i="10"/>
  <c r="D307" i="10" s="1"/>
  <c r="H302" i="10"/>
  <c r="AX771" i="5"/>
  <c r="AX772" i="5" s="1"/>
  <c r="J10" i="39"/>
  <c r="G12" i="38"/>
  <c r="G40" i="38" s="1"/>
  <c r="E292" i="10"/>
  <c r="E290" i="10"/>
  <c r="G10" i="38"/>
  <c r="I13" i="39"/>
  <c r="G304" i="10"/>
  <c r="J11" i="39"/>
  <c r="AT771" i="5"/>
  <c r="AT772" i="5" s="1"/>
  <c r="AS771" i="5"/>
  <c r="AS772" i="5" s="1"/>
  <c r="J11" i="38"/>
  <c r="G39" i="39"/>
  <c r="AB11" i="39"/>
  <c r="AB45" i="39" s="1"/>
  <c r="AA11" i="39"/>
  <c r="AT769" i="5"/>
  <c r="AT770" i="5" s="1"/>
  <c r="AS769" i="5"/>
  <c r="AS770" i="5" s="1"/>
  <c r="K304" i="10"/>
  <c r="L304" i="10"/>
  <c r="F13" i="39"/>
  <c r="F16" i="39" s="1"/>
  <c r="F38" i="39"/>
  <c r="F41" i="39" s="1"/>
  <c r="F43" i="39" s="1"/>
  <c r="G39" i="40"/>
  <c r="J11" i="40"/>
  <c r="L279" i="10"/>
  <c r="F304" i="10"/>
  <c r="J12" i="39"/>
  <c r="I40" i="39"/>
  <c r="J40" i="39" s="1"/>
  <c r="F67" i="40"/>
  <c r="M13" i="39"/>
  <c r="M38" i="39"/>
  <c r="M41" i="39" s="1"/>
  <c r="AB10" i="39"/>
  <c r="I38" i="39"/>
  <c r="J38" i="39" s="1"/>
  <c r="J292" i="10"/>
  <c r="L12" i="38"/>
  <c r="K292" i="10"/>
  <c r="M12" i="38"/>
  <c r="I10" i="38"/>
  <c r="G290" i="10"/>
  <c r="G292" i="10"/>
  <c r="I12" i="38"/>
  <c r="I40" i="38" s="1"/>
  <c r="L10" i="38"/>
  <c r="J290" i="10"/>
  <c r="K290" i="10"/>
  <c r="M10" i="38"/>
  <c r="M38" i="38" s="1"/>
  <c r="F75" i="39"/>
  <c r="F80" i="39" s="1"/>
  <c r="F67" i="38"/>
  <c r="K282" i="10"/>
  <c r="H281" i="10"/>
  <c r="BB633" i="5"/>
  <c r="BB765" i="5" s="1"/>
  <c r="BB766" i="5" s="1"/>
  <c r="AU765" i="5"/>
  <c r="AU766" i="5" s="1"/>
  <c r="BD12" i="5"/>
  <c r="AV633" i="5"/>
  <c r="AT765" i="5"/>
  <c r="AT766" i="5" s="1"/>
  <c r="AS765" i="5"/>
  <c r="AS766" i="5" s="1"/>
  <c r="BP633" i="5"/>
  <c r="BP765" i="5" s="1"/>
  <c r="BP766" i="5" s="1"/>
  <c r="BA765" i="5"/>
  <c r="BA766" i="5" s="1"/>
  <c r="BF12" i="5"/>
  <c r="N40" i="37"/>
  <c r="L41" i="37"/>
  <c r="I13" i="37"/>
  <c r="BK12" i="5"/>
  <c r="AX760" i="5"/>
  <c r="AX761" i="5" s="1"/>
  <c r="AX762" i="5"/>
  <c r="AX763" i="5" s="1"/>
  <c r="H280" i="10"/>
  <c r="AT762" i="5"/>
  <c r="AT763" i="5" s="1"/>
  <c r="AS762" i="5"/>
  <c r="AS763" i="5" s="1"/>
  <c r="N38" i="37"/>
  <c r="AT760" i="5"/>
  <c r="AT761" i="5" s="1"/>
  <c r="AS760" i="5"/>
  <c r="AS761" i="5" s="1"/>
  <c r="G282" i="10"/>
  <c r="L281" i="10"/>
  <c r="F38" i="37"/>
  <c r="F41" i="37" s="1"/>
  <c r="F43" i="37" s="1"/>
  <c r="F13" i="37"/>
  <c r="F16" i="37" s="1"/>
  <c r="G39" i="37"/>
  <c r="AB11" i="37"/>
  <c r="AB45" i="37" s="1"/>
  <c r="AA11" i="37"/>
  <c r="J11" i="37"/>
  <c r="J282" i="10"/>
  <c r="I11" i="36"/>
  <c r="I39" i="36" s="1"/>
  <c r="AB39" i="36" s="1"/>
  <c r="G269" i="10"/>
  <c r="M41" i="37"/>
  <c r="J40" i="37"/>
  <c r="M13" i="37"/>
  <c r="J12" i="37"/>
  <c r="G11" i="36"/>
  <c r="E269" i="10"/>
  <c r="H38" i="37"/>
  <c r="H41" i="37" s="1"/>
  <c r="H13" i="37"/>
  <c r="E282" i="10"/>
  <c r="H279" i="10"/>
  <c r="D282" i="10"/>
  <c r="D285" i="10" s="1"/>
  <c r="N10" i="37"/>
  <c r="N13" i="37" s="1"/>
  <c r="G38" i="37"/>
  <c r="G13" i="37"/>
  <c r="AA10" i="37"/>
  <c r="J10" i="37"/>
  <c r="AB10" i="37"/>
  <c r="I38" i="37"/>
  <c r="AB38" i="37" s="1"/>
  <c r="F67" i="37"/>
  <c r="F67" i="36"/>
  <c r="BO401" i="5"/>
  <c r="BM12" i="5"/>
  <c r="BQ12" i="5"/>
  <c r="G236" i="10"/>
  <c r="AV296" i="5"/>
  <c r="I11" i="34"/>
  <c r="I39" i="34" s="1"/>
  <c r="AB39" i="34" s="1"/>
  <c r="E247" i="10"/>
  <c r="H247" i="10" s="1"/>
  <c r="G258" i="10"/>
  <c r="AW728" i="5"/>
  <c r="E258" i="10"/>
  <c r="J11" i="35"/>
  <c r="AB11" i="35"/>
  <c r="AB45" i="35" s="1"/>
  <c r="BO484" i="5"/>
  <c r="AX752" i="5"/>
  <c r="AX753" i="5" s="1"/>
  <c r="AT754" i="5"/>
  <c r="AT755" i="5" s="1"/>
  <c r="AS754" i="5"/>
  <c r="AS755" i="5" s="1"/>
  <c r="AT752" i="5"/>
  <c r="AT753" i="5" s="1"/>
  <c r="AS752" i="5"/>
  <c r="AS753" i="5" s="1"/>
  <c r="AV617" i="5"/>
  <c r="AT756" i="5"/>
  <c r="AT757" i="5" s="1"/>
  <c r="AS756" i="5"/>
  <c r="AS757" i="5" s="1"/>
  <c r="AX754" i="5"/>
  <c r="AX755" i="5" s="1"/>
  <c r="BP484" i="5"/>
  <c r="AX756" i="5"/>
  <c r="AX757" i="5" s="1"/>
  <c r="AB11" i="34"/>
  <c r="AA11" i="34"/>
  <c r="G39" i="34"/>
  <c r="BB617" i="5"/>
  <c r="BP457" i="5"/>
  <c r="AV457" i="5"/>
  <c r="AT750" i="5"/>
  <c r="AT751" i="5" s="1"/>
  <c r="AS750" i="5"/>
  <c r="AS751" i="5" s="1"/>
  <c r="G11" i="33"/>
  <c r="E236" i="10"/>
  <c r="BP617" i="5"/>
  <c r="AX750" i="5"/>
  <c r="AX751" i="5" s="1"/>
  <c r="BN457" i="5"/>
  <c r="BN484" i="5"/>
  <c r="G39" i="35"/>
  <c r="AA11" i="35"/>
  <c r="F75" i="35"/>
  <c r="F80" i="35" s="1"/>
  <c r="D227" i="10"/>
  <c r="D230" i="10" s="1"/>
  <c r="H225" i="10"/>
  <c r="F67" i="34"/>
  <c r="F67" i="33"/>
  <c r="AT748" i="5"/>
  <c r="AT749" i="5" s="1"/>
  <c r="AS748" i="5"/>
  <c r="AS749" i="5" s="1"/>
  <c r="H224" i="10"/>
  <c r="L224" i="10"/>
  <c r="L227" i="10" s="1"/>
  <c r="N10" i="32"/>
  <c r="AZ12" i="5"/>
  <c r="BV12" i="5"/>
  <c r="AV636" i="5"/>
  <c r="BC636" i="5" s="1"/>
  <c r="BK636" i="5"/>
  <c r="BZ636" i="5"/>
  <c r="CE636" i="5"/>
  <c r="AU244" i="5"/>
  <c r="BG244" i="5"/>
  <c r="BS244" i="5"/>
  <c r="J12" i="32"/>
  <c r="G40" i="32"/>
  <c r="J40" i="32" s="1"/>
  <c r="I38" i="32"/>
  <c r="AB38" i="32" s="1"/>
  <c r="AB10" i="32"/>
  <c r="I13" i="32"/>
  <c r="J11" i="32"/>
  <c r="I39" i="32"/>
  <c r="AB39" i="32" s="1"/>
  <c r="F227" i="10"/>
  <c r="M13" i="32"/>
  <c r="E227" i="10"/>
  <c r="AA10" i="32"/>
  <c r="G38" i="32"/>
  <c r="G13" i="32"/>
  <c r="J13" i="32" s="1"/>
  <c r="G15" i="32" s="1"/>
  <c r="G16" i="32" s="1"/>
  <c r="J10" i="32"/>
  <c r="L13" i="32"/>
  <c r="L40" i="32"/>
  <c r="N12" i="32"/>
  <c r="F13" i="32"/>
  <c r="F16" i="32" s="1"/>
  <c r="F38" i="32"/>
  <c r="F41" i="32" s="1"/>
  <c r="F43" i="32" s="1"/>
  <c r="G39" i="32"/>
  <c r="AB11" i="32"/>
  <c r="AA11" i="32"/>
  <c r="H226" i="10"/>
  <c r="M41" i="32"/>
  <c r="N38" i="32"/>
  <c r="F67" i="32"/>
  <c r="BE12" i="5"/>
  <c r="CD12" i="5"/>
  <c r="AU52" i="5"/>
  <c r="BN52" i="5" s="1"/>
  <c r="BB376" i="5"/>
  <c r="G11" i="31"/>
  <c r="E214" i="10"/>
  <c r="I11" i="31"/>
  <c r="I39" i="31" s="1"/>
  <c r="AB39" i="31" s="1"/>
  <c r="G214" i="10"/>
  <c r="F67" i="31"/>
  <c r="BA52" i="5"/>
  <c r="BP52" i="5" s="1"/>
  <c r="BN53" i="5"/>
  <c r="BZ53" i="5" s="1"/>
  <c r="AX741" i="5"/>
  <c r="AX742" i="5" s="1"/>
  <c r="BN253" i="5"/>
  <c r="AV12" i="5"/>
  <c r="BO12" i="5" s="1"/>
  <c r="BR12" i="5"/>
  <c r="CE12" i="5"/>
  <c r="BJ52" i="5"/>
  <c r="AT744" i="5"/>
  <c r="AT745" i="5" s="1"/>
  <c r="AS744" i="5"/>
  <c r="AS745" i="5" s="1"/>
  <c r="E203" i="10"/>
  <c r="BH52" i="5"/>
  <c r="I11" i="30"/>
  <c r="G203" i="10"/>
  <c r="AA11" i="30"/>
  <c r="AA45" i="30" s="1"/>
  <c r="AB11" i="30"/>
  <c r="F75" i="30"/>
  <c r="F80" i="30" s="1"/>
  <c r="AT741" i="5"/>
  <c r="AT742" i="5" s="1"/>
  <c r="AS741" i="5"/>
  <c r="AS742" i="5" s="1"/>
  <c r="BU52" i="5"/>
  <c r="BV52" i="5"/>
  <c r="BK28" i="5"/>
  <c r="BH696" i="5"/>
  <c r="E181" i="10"/>
  <c r="H181" i="10" s="1"/>
  <c r="G11" i="25"/>
  <c r="G39" i="25" s="1"/>
  <c r="AA39" i="25" s="1"/>
  <c r="I11" i="28"/>
  <c r="I39" i="28" s="1"/>
  <c r="AB39" i="28" s="1"/>
  <c r="I11" i="25"/>
  <c r="I39" i="25" s="1"/>
  <c r="AB39" i="25" s="1"/>
  <c r="G11" i="29"/>
  <c r="G39" i="29" s="1"/>
  <c r="I11" i="29"/>
  <c r="I39" i="29" s="1"/>
  <c r="AB39" i="29" s="1"/>
  <c r="M41" i="26"/>
  <c r="G11" i="24"/>
  <c r="AB11" i="24" s="1"/>
  <c r="AB45" i="24" s="1"/>
  <c r="AX739" i="5"/>
  <c r="AX740" i="5" s="1"/>
  <c r="AX731" i="5"/>
  <c r="AX732" i="5" s="1"/>
  <c r="CL728" i="5"/>
  <c r="E126" i="10" s="1"/>
  <c r="G11" i="27"/>
  <c r="E170" i="10"/>
  <c r="AT739" i="5"/>
  <c r="AT740" i="5" s="1"/>
  <c r="AS739" i="5"/>
  <c r="AS740" i="5" s="1"/>
  <c r="AA11" i="28"/>
  <c r="G39" i="28"/>
  <c r="AB11" i="28"/>
  <c r="BN421" i="5"/>
  <c r="AT737" i="5"/>
  <c r="AT738" i="5" s="1"/>
  <c r="AS737" i="5"/>
  <c r="AS738" i="5" s="1"/>
  <c r="G137" i="10"/>
  <c r="H137" i="10" s="1"/>
  <c r="AX737" i="5"/>
  <c r="AX738" i="5" s="1"/>
  <c r="H192" i="10"/>
  <c r="BO421" i="5"/>
  <c r="BP421" i="5"/>
  <c r="CM728" i="5"/>
  <c r="I11" i="23" s="1"/>
  <c r="I39" i="23" s="1"/>
  <c r="AB39" i="23" s="1"/>
  <c r="N38" i="26"/>
  <c r="I11" i="27"/>
  <c r="I39" i="27" s="1"/>
  <c r="AB39" i="27" s="1"/>
  <c r="G170" i="10"/>
  <c r="F67" i="29"/>
  <c r="N13" i="26"/>
  <c r="H160" i="10"/>
  <c r="F67" i="28"/>
  <c r="K161" i="10"/>
  <c r="F75" i="27"/>
  <c r="F80" i="27" s="1"/>
  <c r="G161" i="10"/>
  <c r="AT729" i="5"/>
  <c r="AT730" i="5" s="1"/>
  <c r="AS729" i="5"/>
  <c r="AS730" i="5" s="1"/>
  <c r="J161" i="10"/>
  <c r="G13" i="26"/>
  <c r="J12" i="26"/>
  <c r="G40" i="26"/>
  <c r="J40" i="26" s="1"/>
  <c r="AA10" i="26"/>
  <c r="G38" i="26"/>
  <c r="AB10" i="26"/>
  <c r="I38" i="26"/>
  <c r="I13" i="26"/>
  <c r="L158" i="10"/>
  <c r="H148" i="10"/>
  <c r="AT735" i="5"/>
  <c r="AT736" i="5" s="1"/>
  <c r="AS735" i="5"/>
  <c r="AS736" i="5" s="1"/>
  <c r="H38" i="26"/>
  <c r="H41" i="26" s="1"/>
  <c r="H13" i="26"/>
  <c r="AX735" i="5"/>
  <c r="AX736" i="5" s="1"/>
  <c r="J10" i="26"/>
  <c r="H159" i="10"/>
  <c r="AT731" i="5"/>
  <c r="AT732" i="5" s="1"/>
  <c r="AS731" i="5"/>
  <c r="AS732" i="5" s="1"/>
  <c r="L160" i="10"/>
  <c r="D161" i="10"/>
  <c r="D164" i="10" s="1"/>
  <c r="AA11" i="26"/>
  <c r="J11" i="26"/>
  <c r="G39" i="26"/>
  <c r="AB11" i="26"/>
  <c r="AB45" i="26" s="1"/>
  <c r="BP408" i="5"/>
  <c r="L13" i="26"/>
  <c r="L40" i="26"/>
  <c r="F13" i="26"/>
  <c r="F16" i="26" s="1"/>
  <c r="F40" i="26"/>
  <c r="F41" i="26" s="1"/>
  <c r="F43" i="26" s="1"/>
  <c r="AX729" i="5"/>
  <c r="AX730" i="5" s="1"/>
  <c r="E161" i="10"/>
  <c r="H158" i="10"/>
  <c r="F67" i="26"/>
  <c r="F67" i="25"/>
  <c r="F75" i="24"/>
  <c r="F80" i="24" s="1"/>
  <c r="F67" i="23"/>
  <c r="BN356" i="5"/>
  <c r="BO356" i="5"/>
  <c r="AT727" i="5"/>
  <c r="AS727" i="5"/>
  <c r="BP356" i="5"/>
  <c r="AX727" i="5"/>
  <c r="AX726" i="5"/>
  <c r="AV337" i="5"/>
  <c r="AT726" i="5"/>
  <c r="AS726" i="5"/>
  <c r="AX725" i="5"/>
  <c r="BN337" i="5"/>
  <c r="BP337" i="5"/>
  <c r="BN321" i="5"/>
  <c r="BP285" i="5"/>
  <c r="AU285" i="5"/>
  <c r="BB285" i="5" s="1"/>
  <c r="AT724" i="5"/>
  <c r="AS724" i="5"/>
  <c r="AV321" i="5"/>
  <c r="AT725" i="5"/>
  <c r="AS725" i="5"/>
  <c r="G11" i="19"/>
  <c r="AA11" i="19" s="1"/>
  <c r="AX724" i="5"/>
  <c r="I11" i="22"/>
  <c r="I39" i="22" s="1"/>
  <c r="AB39" i="22" s="1"/>
  <c r="G115" i="10"/>
  <c r="BP321" i="5"/>
  <c r="CB321" i="5" s="1"/>
  <c r="BC285" i="5"/>
  <c r="G11" i="22"/>
  <c r="E115" i="10"/>
  <c r="BR52" i="5"/>
  <c r="BI4" i="5"/>
  <c r="F67" i="22"/>
  <c r="I11" i="21"/>
  <c r="I39" i="21" s="1"/>
  <c r="AB39" i="21" s="1"/>
  <c r="G104" i="10"/>
  <c r="AT721" i="5"/>
  <c r="AT722" i="5" s="1"/>
  <c r="AS721" i="5"/>
  <c r="AS722" i="5" s="1"/>
  <c r="AX721" i="5"/>
  <c r="AX722" i="5" s="1"/>
  <c r="G11" i="21"/>
  <c r="E104" i="10"/>
  <c r="I11" i="19"/>
  <c r="I39" i="19" s="1"/>
  <c r="AB39" i="19" s="1"/>
  <c r="F67" i="21"/>
  <c r="BG12" i="5"/>
  <c r="BS12" i="5"/>
  <c r="AY508" i="5"/>
  <c r="BI508" i="5"/>
  <c r="BU508" i="5"/>
  <c r="CA52" i="5"/>
  <c r="BA556" i="5"/>
  <c r="BP556" i="5" s="1"/>
  <c r="BI696" i="5"/>
  <c r="BM556" i="5"/>
  <c r="BJ696" i="5"/>
  <c r="BZ556" i="5"/>
  <c r="BM696" i="5"/>
  <c r="BY556" i="5"/>
  <c r="CC556" i="5"/>
  <c r="BC376" i="5"/>
  <c r="BO376" i="5"/>
  <c r="BJ12" i="5"/>
  <c r="BY12" i="5"/>
  <c r="AY52" i="5"/>
  <c r="CD52" i="5"/>
  <c r="BE556" i="5"/>
  <c r="BT696" i="5"/>
  <c r="BG52" i="5"/>
  <c r="CC52" i="5"/>
  <c r="BL556" i="5"/>
  <c r="BS696" i="5"/>
  <c r="AU12" i="5"/>
  <c r="BN12" i="5" s="1"/>
  <c r="BI12" i="5"/>
  <c r="BT12" i="5"/>
  <c r="CK12" i="5"/>
  <c r="BK52" i="5"/>
  <c r="CK52" i="5"/>
  <c r="AV28" i="5"/>
  <c r="BC28" i="5" s="1"/>
  <c r="AV52" i="5"/>
  <c r="BC52" i="5" s="1"/>
  <c r="BS52" i="5"/>
  <c r="BI28" i="5"/>
  <c r="CE4" i="5"/>
  <c r="AU556" i="5"/>
  <c r="BN556" i="5" s="1"/>
  <c r="BV556" i="5"/>
  <c r="AV696" i="5"/>
  <c r="BO696" i="5" s="1"/>
  <c r="BU696" i="5"/>
  <c r="BF556" i="5"/>
  <c r="CA556" i="5"/>
  <c r="BE696" i="5"/>
  <c r="BW696" i="5"/>
  <c r="BN113" i="5"/>
  <c r="BB113" i="5"/>
  <c r="CC28" i="5"/>
  <c r="AZ556" i="5"/>
  <c r="BQ556" i="5"/>
  <c r="CG556" i="5"/>
  <c r="BG696" i="5"/>
  <c r="BY696" i="5"/>
  <c r="BD556" i="5"/>
  <c r="BU556" i="5"/>
  <c r="CH556" i="5"/>
  <c r="BJ556" i="5"/>
  <c r="BX556" i="5"/>
  <c r="CJ556" i="5"/>
  <c r="BS44" i="5"/>
  <c r="AU400" i="5"/>
  <c r="BM28" i="5"/>
  <c r="BH556" i="5"/>
  <c r="BW556" i="5"/>
  <c r="CE556" i="5"/>
  <c r="AZ696" i="5"/>
  <c r="BQ696" i="5"/>
  <c r="CD696" i="5"/>
  <c r="AU40" i="5"/>
  <c r="BC40" i="5"/>
  <c r="BO40" i="5"/>
  <c r="BC153" i="5"/>
  <c r="BF28" i="5"/>
  <c r="BS4" i="5"/>
  <c r="BB189" i="5"/>
  <c r="BN189" i="5"/>
  <c r="AU72" i="5"/>
  <c r="AY12" i="5"/>
  <c r="BH12" i="5"/>
  <c r="BW12" i="5"/>
  <c r="BF52" i="5"/>
  <c r="BW52" i="5"/>
  <c r="BO72" i="5"/>
  <c r="BC72" i="5"/>
  <c r="BE52" i="5"/>
  <c r="BQ52" i="5"/>
  <c r="CE52" i="5"/>
  <c r="AV652" i="5"/>
  <c r="BO652" i="5" s="1"/>
  <c r="BJ652" i="5"/>
  <c r="BU652" i="5"/>
  <c r="BU684" i="5"/>
  <c r="BB112" i="5"/>
  <c r="BN112" i="5"/>
  <c r="BO113" i="5"/>
  <c r="AY684" i="5"/>
  <c r="BD52" i="5"/>
  <c r="CB52" i="5" s="1"/>
  <c r="BM52" i="5"/>
  <c r="BY52" i="5"/>
  <c r="AZ28" i="5"/>
  <c r="CI28" i="5"/>
  <c r="BQ4" i="5"/>
  <c r="AU44" i="5"/>
  <c r="BN44" i="5" s="1"/>
  <c r="AU152" i="5"/>
  <c r="AZ52" i="5"/>
  <c r="BI52" i="5"/>
  <c r="BT52" i="5"/>
  <c r="CA28" i="5"/>
  <c r="BK4" i="5"/>
  <c r="BJ684" i="5"/>
  <c r="BN245" i="5"/>
  <c r="BB245" i="5"/>
  <c r="BC152" i="5"/>
  <c r="BO152" i="5"/>
  <c r="BG4" i="5"/>
  <c r="BH44" i="5"/>
  <c r="J11" i="20"/>
  <c r="CF44" i="5"/>
  <c r="BG556" i="5"/>
  <c r="BS556" i="5"/>
  <c r="CF556" i="5"/>
  <c r="BF696" i="5"/>
  <c r="BR696" i="5"/>
  <c r="CE696" i="5"/>
  <c r="AV8" i="5"/>
  <c r="AU672" i="5"/>
  <c r="BQ20" i="5"/>
  <c r="AU28" i="5"/>
  <c r="BN28" i="5" s="1"/>
  <c r="BT28" i="5"/>
  <c r="AY4" i="5"/>
  <c r="CG4" i="5"/>
  <c r="BQ428" i="5"/>
  <c r="AU336" i="5"/>
  <c r="BF684" i="5"/>
  <c r="BS20" i="5"/>
  <c r="BO624" i="5"/>
  <c r="BB129" i="5"/>
  <c r="BZ129" i="5" s="1"/>
  <c r="CJ428" i="5"/>
  <c r="AV556" i="5"/>
  <c r="BC556" i="5" s="1"/>
  <c r="BI556" i="5"/>
  <c r="BT556" i="5"/>
  <c r="CD556" i="5"/>
  <c r="AZ20" i="5"/>
  <c r="AV312" i="5"/>
  <c r="AY696" i="5"/>
  <c r="BK696" i="5"/>
  <c r="BV696" i="5"/>
  <c r="AU120" i="5"/>
  <c r="BF20" i="5"/>
  <c r="BV20" i="5"/>
  <c r="CE20" i="5"/>
  <c r="AU20" i="5"/>
  <c r="BB20" i="5" s="1"/>
  <c r="BN8" i="5"/>
  <c r="BB8" i="5"/>
  <c r="BC120" i="5"/>
  <c r="BO120" i="5"/>
  <c r="BB369" i="5"/>
  <c r="AX705" i="5"/>
  <c r="AX706" i="5" s="1"/>
  <c r="G60" i="10"/>
  <c r="H60" i="10" s="1"/>
  <c r="BY684" i="5"/>
  <c r="BD696" i="5"/>
  <c r="BN576" i="5"/>
  <c r="BB576" i="5"/>
  <c r="BD28" i="5"/>
  <c r="BV28" i="5"/>
  <c r="CA4" i="5"/>
  <c r="CE684" i="5"/>
  <c r="BB25" i="5"/>
  <c r="BZ25" i="5" s="1"/>
  <c r="BJ28" i="5"/>
  <c r="BY28" i="5"/>
  <c r="BE4" i="5"/>
  <c r="CD4" i="5"/>
  <c r="G11" i="13"/>
  <c r="G39" i="13" s="1"/>
  <c r="G71" i="10"/>
  <c r="E93" i="10"/>
  <c r="BR684" i="5"/>
  <c r="BB193" i="5"/>
  <c r="BZ193" i="5" s="1"/>
  <c r="CA684" i="5"/>
  <c r="BA684" i="5"/>
  <c r="BP684" i="5" s="1"/>
  <c r="CC684" i="5"/>
  <c r="BH684" i="5"/>
  <c r="CK684" i="5"/>
  <c r="I11" i="14"/>
  <c r="I39" i="14" s="1"/>
  <c r="AB39" i="14" s="1"/>
  <c r="H82" i="10"/>
  <c r="I11" i="13"/>
  <c r="I39" i="13" s="1"/>
  <c r="AB39" i="13" s="1"/>
  <c r="BB180" i="5"/>
  <c r="BD428" i="5"/>
  <c r="AX719" i="5"/>
  <c r="AX720" i="5" s="1"/>
  <c r="BV428" i="5"/>
  <c r="G11" i="17"/>
  <c r="AA11" i="17" s="1"/>
  <c r="G93" i="10"/>
  <c r="BC73" i="5"/>
  <c r="BO281" i="5"/>
  <c r="BG28" i="5"/>
  <c r="BU28" i="5"/>
  <c r="BH4" i="5"/>
  <c r="CF4" i="5"/>
  <c r="BE44" i="5"/>
  <c r="BQ684" i="5"/>
  <c r="BJ20" i="5"/>
  <c r="AU81" i="5"/>
  <c r="BE428" i="5"/>
  <c r="E71" i="10"/>
  <c r="I11" i="16"/>
  <c r="I39" i="16" s="1"/>
  <c r="AB39" i="16" s="1"/>
  <c r="BC197" i="5"/>
  <c r="BB385" i="5"/>
  <c r="BZ385" i="5" s="1"/>
  <c r="BZ269" i="5"/>
  <c r="BN604" i="5"/>
  <c r="BN268" i="5"/>
  <c r="BU428" i="5"/>
  <c r="BO440" i="5"/>
  <c r="BB105" i="5"/>
  <c r="BB689" i="5"/>
  <c r="BA28" i="5"/>
  <c r="BP28" i="5" s="1"/>
  <c r="BR28" i="5"/>
  <c r="CF28" i="5"/>
  <c r="AZ4" i="5"/>
  <c r="BW4" i="5"/>
  <c r="BV44" i="5"/>
  <c r="CD428" i="5"/>
  <c r="AU684" i="5"/>
  <c r="BB684" i="5" s="1"/>
  <c r="BS684" i="5"/>
  <c r="BP197" i="5"/>
  <c r="CB197" i="5" s="1"/>
  <c r="AX717" i="5"/>
  <c r="AX718" i="5" s="1"/>
  <c r="AU197" i="5"/>
  <c r="AT719" i="5"/>
  <c r="AT720" i="5" s="1"/>
  <c r="AS719" i="5"/>
  <c r="AS720" i="5" s="1"/>
  <c r="G39" i="20"/>
  <c r="AB11" i="20"/>
  <c r="AB45" i="20" s="1"/>
  <c r="AA11" i="20"/>
  <c r="AT717" i="5"/>
  <c r="AT718" i="5" s="1"/>
  <c r="AS717" i="5"/>
  <c r="AS718" i="5" s="1"/>
  <c r="AZ428" i="5"/>
  <c r="BE684" i="5"/>
  <c r="BZ684" i="5"/>
  <c r="G11" i="16"/>
  <c r="G39" i="16" s="1"/>
  <c r="AA39" i="16" s="1"/>
  <c r="AC39" i="16" s="1"/>
  <c r="H49" i="10"/>
  <c r="F67" i="20"/>
  <c r="BE715" i="5"/>
  <c r="BE716" i="5" s="1"/>
  <c r="BG715" i="5"/>
  <c r="BG716" i="5" s="1"/>
  <c r="H16" i="10"/>
  <c r="CK715" i="5"/>
  <c r="CK716" i="5" s="1"/>
  <c r="F67" i="19"/>
  <c r="BT715" i="5"/>
  <c r="BT716" i="5" s="1"/>
  <c r="BN109" i="5"/>
  <c r="BB109" i="5"/>
  <c r="BN312" i="5"/>
  <c r="BB312" i="5"/>
  <c r="BC417" i="5"/>
  <c r="BO417" i="5"/>
  <c r="BB433" i="5"/>
  <c r="BZ433" i="5" s="1"/>
  <c r="BF715" i="5"/>
  <c r="BF716" i="5" s="1"/>
  <c r="BQ715" i="5"/>
  <c r="BQ716" i="5" s="1"/>
  <c r="CI715" i="5"/>
  <c r="CI716" i="5" s="1"/>
  <c r="E27" i="10"/>
  <c r="H27" i="10" s="1"/>
  <c r="BN164" i="5"/>
  <c r="BN715" i="5" s="1"/>
  <c r="BN716" i="5" s="1"/>
  <c r="AU715" i="5"/>
  <c r="AU716" i="5" s="1"/>
  <c r="BR715" i="5"/>
  <c r="BR716" i="5" s="1"/>
  <c r="CA715" i="5"/>
  <c r="CA716" i="5" s="1"/>
  <c r="BO164" i="5"/>
  <c r="AV715" i="5"/>
  <c r="AV716" i="5" s="1"/>
  <c r="BJ715" i="5"/>
  <c r="BJ716" i="5" s="1"/>
  <c r="BS715" i="5"/>
  <c r="BS716" i="5" s="1"/>
  <c r="BY715" i="5"/>
  <c r="BY716" i="5" s="1"/>
  <c r="BE28" i="5"/>
  <c r="BQ28" i="5"/>
  <c r="CE28" i="5"/>
  <c r="BW44" i="5"/>
  <c r="BS428" i="5"/>
  <c r="BU20" i="5"/>
  <c r="AY715" i="5"/>
  <c r="AY716" i="5" s="1"/>
  <c r="BH715" i="5"/>
  <c r="BH716" i="5" s="1"/>
  <c r="BU715" i="5"/>
  <c r="BU716" i="5" s="1"/>
  <c r="CD715" i="5"/>
  <c r="CD716" i="5" s="1"/>
  <c r="AT715" i="5"/>
  <c r="AT716" i="5" s="1"/>
  <c r="AS715" i="5"/>
  <c r="AS716" i="5" s="1"/>
  <c r="AZ715" i="5"/>
  <c r="AZ716" i="5" s="1"/>
  <c r="BI715" i="5"/>
  <c r="BI716" i="5" s="1"/>
  <c r="BW715" i="5"/>
  <c r="BW716" i="5" s="1"/>
  <c r="CC715" i="5"/>
  <c r="CC716" i="5" s="1"/>
  <c r="BP164" i="5"/>
  <c r="BP715" i="5" s="1"/>
  <c r="BP716" i="5" s="1"/>
  <c r="BA715" i="5"/>
  <c r="BA716" i="5" s="1"/>
  <c r="BK715" i="5"/>
  <c r="BK716" i="5" s="1"/>
  <c r="CE715" i="5"/>
  <c r="CE716" i="5" s="1"/>
  <c r="BY428" i="5"/>
  <c r="BD20" i="5"/>
  <c r="CI20" i="5"/>
  <c r="BD715" i="5"/>
  <c r="BD716" i="5" s="1"/>
  <c r="BV715" i="5"/>
  <c r="BV716" i="5" s="1"/>
  <c r="CF715" i="5"/>
  <c r="CF716" i="5" s="1"/>
  <c r="BM715" i="5"/>
  <c r="BM716" i="5" s="1"/>
  <c r="CG715" i="5"/>
  <c r="CG716" i="5" s="1"/>
  <c r="BN296" i="5"/>
  <c r="BB296" i="5"/>
  <c r="BI44" i="5"/>
  <c r="CI44" i="5"/>
  <c r="BO460" i="5"/>
  <c r="BO632" i="5"/>
  <c r="BO348" i="5"/>
  <c r="BJ44" i="5"/>
  <c r="BM20" i="5"/>
  <c r="BC157" i="5"/>
  <c r="AU157" i="5"/>
  <c r="AT713" i="5"/>
  <c r="AT714" i="5" s="1"/>
  <c r="AS713" i="5"/>
  <c r="AS714" i="5" s="1"/>
  <c r="BA44" i="5"/>
  <c r="BP44" i="5" s="1"/>
  <c r="BT44" i="5"/>
  <c r="AX713" i="5"/>
  <c r="AX714" i="5" s="1"/>
  <c r="G38" i="10"/>
  <c r="I11" i="15"/>
  <c r="I39" i="15" s="1"/>
  <c r="AB39" i="15" s="1"/>
  <c r="CB520" i="5"/>
  <c r="E38" i="10"/>
  <c r="G11" i="15"/>
  <c r="G39" i="18"/>
  <c r="AB11" i="18"/>
  <c r="AB45" i="18" s="1"/>
  <c r="AA11" i="18"/>
  <c r="J11" i="18"/>
  <c r="I39" i="17"/>
  <c r="AB39" i="17" s="1"/>
  <c r="BB153" i="5"/>
  <c r="BZ153" i="5" s="1"/>
  <c r="BB457" i="5"/>
  <c r="BB473" i="5"/>
  <c r="BP157" i="5"/>
  <c r="CB157" i="5" s="1"/>
  <c r="BB124" i="5"/>
  <c r="BZ124" i="5" s="1"/>
  <c r="AT709" i="5"/>
  <c r="AT710" i="5" s="1"/>
  <c r="AS709" i="5"/>
  <c r="AS710" i="5" s="1"/>
  <c r="AT711" i="5"/>
  <c r="AT712" i="5" s="1"/>
  <c r="AS711" i="5"/>
  <c r="AS712" i="5" s="1"/>
  <c r="BO380" i="5"/>
  <c r="BC604" i="5"/>
  <c r="BF44" i="5"/>
  <c r="CD44" i="5"/>
  <c r="BI428" i="5"/>
  <c r="CK428" i="5"/>
  <c r="BE20" i="5"/>
  <c r="CA20" i="5"/>
  <c r="AX709" i="5"/>
  <c r="AX710" i="5" s="1"/>
  <c r="AX711" i="5"/>
  <c r="AX712" i="5" s="1"/>
  <c r="BN332" i="5"/>
  <c r="F67" i="18"/>
  <c r="F67" i="17"/>
  <c r="CB148" i="5"/>
  <c r="F67" i="16"/>
  <c r="CB192" i="5"/>
  <c r="F67" i="15"/>
  <c r="BC672" i="5"/>
  <c r="BO672" i="5"/>
  <c r="BN64" i="5"/>
  <c r="BZ64" i="5" s="1"/>
  <c r="CB592" i="5"/>
  <c r="BB241" i="5"/>
  <c r="BB585" i="5"/>
  <c r="BB601" i="5"/>
  <c r="BZ601" i="5" s="1"/>
  <c r="BC187" i="5"/>
  <c r="BG44" i="5"/>
  <c r="BU44" i="5"/>
  <c r="CK44" i="5"/>
  <c r="CB236" i="5"/>
  <c r="BK428" i="5"/>
  <c r="CF428" i="5"/>
  <c r="BL684" i="5"/>
  <c r="CF684" i="5"/>
  <c r="BK20" i="5"/>
  <c r="CD20" i="5"/>
  <c r="AT705" i="5"/>
  <c r="AT706" i="5" s="1"/>
  <c r="AS705" i="5"/>
  <c r="AS706" i="5" s="1"/>
  <c r="BC45" i="5"/>
  <c r="BP41" i="5"/>
  <c r="BC185" i="5"/>
  <c r="BN513" i="5"/>
  <c r="BC196" i="5"/>
  <c r="CB516" i="5"/>
  <c r="BB676" i="5"/>
  <c r="AT703" i="5"/>
  <c r="AT704" i="5" s="1"/>
  <c r="AS703" i="5"/>
  <c r="AS704" i="5" s="1"/>
  <c r="CB168" i="5"/>
  <c r="BB337" i="5"/>
  <c r="BB577" i="5"/>
  <c r="BN617" i="5"/>
  <c r="CB633" i="5"/>
  <c r="CB765" i="5" s="1"/>
  <c r="CB766" i="5" s="1"/>
  <c r="AX703" i="5"/>
  <c r="AX704" i="5" s="1"/>
  <c r="AU45" i="5"/>
  <c r="AT707" i="5"/>
  <c r="AT708" i="5" s="1"/>
  <c r="AS707" i="5"/>
  <c r="AS708" i="5" s="1"/>
  <c r="BB636" i="5"/>
  <c r="AX707" i="5"/>
  <c r="AX708" i="5" s="1"/>
  <c r="G39" i="14"/>
  <c r="AB11" i="14"/>
  <c r="AA11" i="14"/>
  <c r="CB208" i="5"/>
  <c r="BN305" i="5"/>
  <c r="BZ305" i="5" s="1"/>
  <c r="BN449" i="5"/>
  <c r="AV44" i="5"/>
  <c r="BC44" i="5" s="1"/>
  <c r="BQ44" i="5"/>
  <c r="CE44" i="5"/>
  <c r="BG428" i="5"/>
  <c r="CA428" i="5"/>
  <c r="BG20" i="5"/>
  <c r="BY20" i="5"/>
  <c r="BP45" i="5"/>
  <c r="CB45" i="5" s="1"/>
  <c r="BN476" i="5"/>
  <c r="F67" i="14"/>
  <c r="CB56" i="5"/>
  <c r="CB320" i="5"/>
  <c r="CB292" i="5"/>
  <c r="BZ184" i="5"/>
  <c r="CB429" i="5"/>
  <c r="CB637" i="5"/>
  <c r="F67" i="13"/>
  <c r="BZ181" i="5"/>
  <c r="BZ317" i="5"/>
  <c r="CB389" i="5"/>
  <c r="CB437" i="5"/>
  <c r="CB316" i="5"/>
  <c r="CB256" i="5"/>
  <c r="CB112" i="5"/>
  <c r="CB260" i="5"/>
  <c r="CB219" i="5"/>
  <c r="CB629" i="5"/>
  <c r="CB661" i="5"/>
  <c r="CB97" i="5"/>
  <c r="BN489" i="5"/>
  <c r="CB312" i="5"/>
  <c r="BB17" i="5"/>
  <c r="BZ17" i="5" s="1"/>
  <c r="BX121" i="5"/>
  <c r="BB164" i="5"/>
  <c r="BB715" i="5" s="1"/>
  <c r="BB716" i="5" s="1"/>
  <c r="BO500" i="5"/>
  <c r="BC356" i="5"/>
  <c r="BB516" i="5"/>
  <c r="BC116" i="5"/>
  <c r="BO568" i="5"/>
  <c r="BB217" i="5"/>
  <c r="BB329" i="5"/>
  <c r="CB521" i="5"/>
  <c r="BC220" i="5"/>
  <c r="BB436" i="5"/>
  <c r="BB532" i="5"/>
  <c r="BC620" i="5"/>
  <c r="BZ384" i="5"/>
  <c r="BN201" i="5"/>
  <c r="BX289" i="5"/>
  <c r="BB393" i="5"/>
  <c r="BZ393" i="5" s="1"/>
  <c r="BB521" i="5"/>
  <c r="CB53" i="5"/>
  <c r="BB324" i="5"/>
  <c r="BB580" i="5"/>
  <c r="BZ580" i="5" s="1"/>
  <c r="BN188" i="5"/>
  <c r="BZ188" i="5" s="1"/>
  <c r="CB88" i="5"/>
  <c r="CB272" i="5"/>
  <c r="CB352" i="5"/>
  <c r="BZ376" i="5"/>
  <c r="BO536" i="5"/>
  <c r="CB680" i="5"/>
  <c r="BB353" i="5"/>
  <c r="BN537" i="5"/>
  <c r="CB181" i="5"/>
  <c r="CB653" i="5"/>
  <c r="BN60" i="5"/>
  <c r="BZ60" i="5" s="1"/>
  <c r="BC124" i="5"/>
  <c r="CB196" i="5"/>
  <c r="CB484" i="5"/>
  <c r="BB36" i="5"/>
  <c r="BC212" i="5"/>
  <c r="BC372" i="5"/>
  <c r="BA4" i="5"/>
  <c r="BP4" i="5" s="1"/>
  <c r="BU4" i="5"/>
  <c r="CK4" i="5"/>
  <c r="AY44" i="5"/>
  <c r="BM44" i="5"/>
  <c r="CC44" i="5"/>
  <c r="BC364" i="5"/>
  <c r="AV428" i="5"/>
  <c r="BC428" i="5" s="1"/>
  <c r="BR428" i="5"/>
  <c r="CI428" i="5"/>
  <c r="BG684" i="5"/>
  <c r="BW684" i="5"/>
  <c r="CI684" i="5"/>
  <c r="BA20" i="5"/>
  <c r="BP20" i="5" s="1"/>
  <c r="BR20" i="5"/>
  <c r="CC20" i="5"/>
  <c r="BN649" i="5"/>
  <c r="BO436" i="5"/>
  <c r="CB564" i="5"/>
  <c r="BZ33" i="5"/>
  <c r="BX145" i="5"/>
  <c r="BB177" i="5"/>
  <c r="BZ177" i="5" s="1"/>
  <c r="CB201" i="5"/>
  <c r="BB345" i="5"/>
  <c r="BB497" i="5"/>
  <c r="BB561" i="5"/>
  <c r="CB673" i="5"/>
  <c r="CB213" i="5"/>
  <c r="BZ229" i="5"/>
  <c r="CB253" i="5"/>
  <c r="CB373" i="5"/>
  <c r="BC676" i="5"/>
  <c r="CB36" i="5"/>
  <c r="CB156" i="5"/>
  <c r="BO308" i="5"/>
  <c r="BC596" i="5"/>
  <c r="AV4" i="5"/>
  <c r="BJ4" i="5"/>
  <c r="BT4" i="5"/>
  <c r="AZ44" i="5"/>
  <c r="BK44" i="5"/>
  <c r="BY44" i="5"/>
  <c r="BA428" i="5"/>
  <c r="BP428" i="5" s="1"/>
  <c r="BL428" i="5"/>
  <c r="BZ428" i="5"/>
  <c r="CG428" i="5"/>
  <c r="BD684" i="5"/>
  <c r="BM684" i="5"/>
  <c r="BX684" i="5"/>
  <c r="CG684" i="5"/>
  <c r="AV20" i="5"/>
  <c r="BC20" i="5" s="1"/>
  <c r="BI20" i="5"/>
  <c r="BT20" i="5"/>
  <c r="CK20" i="5"/>
  <c r="BO148" i="5"/>
  <c r="CB104" i="5"/>
  <c r="BX17" i="5"/>
  <c r="BB145" i="5"/>
  <c r="BZ145" i="5" s="1"/>
  <c r="BX193" i="5"/>
  <c r="BB401" i="5"/>
  <c r="BZ401" i="5" s="1"/>
  <c r="BX409" i="5"/>
  <c r="BB529" i="5"/>
  <c r="BB644" i="5"/>
  <c r="BC300" i="5"/>
  <c r="AV104" i="5"/>
  <c r="AU104" i="5"/>
  <c r="BB316" i="5"/>
  <c r="AX701" i="5"/>
  <c r="AX702" i="5" s="1"/>
  <c r="BB92" i="5"/>
  <c r="BZ92" i="5" s="1"/>
  <c r="BO156" i="5"/>
  <c r="BB340" i="5"/>
  <c r="BC564" i="5"/>
  <c r="CB268" i="5"/>
  <c r="AV80" i="5"/>
  <c r="AU80" i="5"/>
  <c r="CB504" i="5"/>
  <c r="CB57" i="5"/>
  <c r="BX129" i="5"/>
  <c r="BX169" i="5"/>
  <c r="BB249" i="5"/>
  <c r="BX281" i="5"/>
  <c r="BX385" i="5"/>
  <c r="BX393" i="5"/>
  <c r="BX401" i="5"/>
  <c r="BN625" i="5"/>
  <c r="BZ625" i="5" s="1"/>
  <c r="BB61" i="5"/>
  <c r="BZ61" i="5" s="1"/>
  <c r="CB597" i="5"/>
  <c r="BC292" i="5"/>
  <c r="BN292" i="5"/>
  <c r="BC12" i="5"/>
  <c r="BB284" i="5"/>
  <c r="BC472" i="5"/>
  <c r="BC600" i="5"/>
  <c r="BB209" i="5"/>
  <c r="BB265" i="5"/>
  <c r="BB505" i="5"/>
  <c r="CB553" i="5"/>
  <c r="BB593" i="5"/>
  <c r="CB649" i="5"/>
  <c r="BN657" i="5"/>
  <c r="BZ13" i="5"/>
  <c r="CB29" i="5"/>
  <c r="BB388" i="5"/>
  <c r="BZ388" i="5" s="1"/>
  <c r="BB420" i="5"/>
  <c r="CB644" i="5"/>
  <c r="BO219" i="5"/>
  <c r="CB380" i="5"/>
  <c r="BO244" i="5"/>
  <c r="CB628" i="5"/>
  <c r="BH428" i="5"/>
  <c r="BT428" i="5"/>
  <c r="CC428" i="5"/>
  <c r="CB16" i="5"/>
  <c r="CB328" i="5"/>
  <c r="CB424" i="5"/>
  <c r="BX33" i="5"/>
  <c r="CB241" i="5"/>
  <c r="CB472" i="5"/>
  <c r="CB480" i="5"/>
  <c r="BO504" i="5"/>
  <c r="BZ73" i="5"/>
  <c r="BX185" i="5"/>
  <c r="CB329" i="5"/>
  <c r="BB465" i="5"/>
  <c r="CB165" i="5"/>
  <c r="BB572" i="5"/>
  <c r="AY428" i="5"/>
  <c r="BJ428" i="5"/>
  <c r="BW428" i="5"/>
  <c r="CH428" i="5"/>
  <c r="BB556" i="5"/>
  <c r="AZ684" i="5"/>
  <c r="BK684" i="5"/>
  <c r="BV684" i="5"/>
  <c r="CH684" i="5"/>
  <c r="AV32" i="5"/>
  <c r="AU32" i="5"/>
  <c r="BX25" i="5"/>
  <c r="BB273" i="5"/>
  <c r="BX441" i="5"/>
  <c r="BN196" i="5"/>
  <c r="BZ196" i="5" s="1"/>
  <c r="BB228" i="5"/>
  <c r="BB100" i="5"/>
  <c r="BZ100" i="5" s="1"/>
  <c r="BB140" i="5"/>
  <c r="BZ140" i="5" s="1"/>
  <c r="BB609" i="5"/>
  <c r="BZ609" i="5" s="1"/>
  <c r="G11" i="12"/>
  <c r="E5" i="10"/>
  <c r="H5" i="10" s="1"/>
  <c r="BZ192" i="5"/>
  <c r="BZ121" i="5"/>
  <c r="BB289" i="5"/>
  <c r="BZ289" i="5" s="1"/>
  <c r="CB353" i="5"/>
  <c r="CB385" i="5"/>
  <c r="BB409" i="5"/>
  <c r="BZ409" i="5" s="1"/>
  <c r="BN641" i="5"/>
  <c r="BN361" i="5"/>
  <c r="BB361" i="5"/>
  <c r="BN297" i="5"/>
  <c r="BB297" i="5"/>
  <c r="BB233" i="5"/>
  <c r="BN233" i="5"/>
  <c r="BN169" i="5"/>
  <c r="BB169" i="5"/>
  <c r="BZ253" i="5"/>
  <c r="CB580" i="5"/>
  <c r="BN540" i="5"/>
  <c r="BC668" i="5"/>
  <c r="BO251" i="5"/>
  <c r="BC251" i="5"/>
  <c r="BO140" i="5"/>
  <c r="BN444" i="5"/>
  <c r="BB444" i="5"/>
  <c r="CB9" i="5"/>
  <c r="CB217" i="5"/>
  <c r="BN225" i="5"/>
  <c r="BN281" i="5"/>
  <c r="BB281" i="5"/>
  <c r="CB69" i="5"/>
  <c r="CB228" i="5"/>
  <c r="BB260" i="5"/>
  <c r="BZ260" i="5" s="1"/>
  <c r="BO420" i="5"/>
  <c r="BN219" i="5"/>
  <c r="BN252" i="5"/>
  <c r="BB252" i="5"/>
  <c r="BN380" i="5"/>
  <c r="BB380" i="5"/>
  <c r="BN628" i="5"/>
  <c r="BB628" i="5"/>
  <c r="BL672" i="5"/>
  <c r="BB161" i="5"/>
  <c r="CB313" i="5"/>
  <c r="BZ277" i="5"/>
  <c r="CB357" i="5"/>
  <c r="CB365" i="5"/>
  <c r="BB612" i="5"/>
  <c r="BN612" i="5"/>
  <c r="BC284" i="5"/>
  <c r="BN244" i="5"/>
  <c r="BB244" i="5"/>
  <c r="BN276" i="5"/>
  <c r="BB276" i="5"/>
  <c r="BZ168" i="5"/>
  <c r="CB248" i="5"/>
  <c r="CB280" i="5"/>
  <c r="CB624" i="5"/>
  <c r="BO664" i="5"/>
  <c r="CB273" i="5"/>
  <c r="CB457" i="5"/>
  <c r="BN553" i="5"/>
  <c r="BN569" i="5"/>
  <c r="BZ569" i="5" s="1"/>
  <c r="BB665" i="5"/>
  <c r="BZ237" i="5"/>
  <c r="CB293" i="5"/>
  <c r="BZ309" i="5"/>
  <c r="CB533" i="5"/>
  <c r="CB573" i="5"/>
  <c r="BC228" i="5"/>
  <c r="BC484" i="5"/>
  <c r="BO612" i="5"/>
  <c r="BC612" i="5"/>
  <c r="BN596" i="5"/>
  <c r="BB596" i="5"/>
  <c r="BN417" i="5"/>
  <c r="BZ417" i="5" s="1"/>
  <c r="BB481" i="5"/>
  <c r="BO548" i="5"/>
  <c r="BC548" i="5"/>
  <c r="BC412" i="5"/>
  <c r="CB184" i="5"/>
  <c r="CB224" i="5"/>
  <c r="CB408" i="5"/>
  <c r="CB440" i="5"/>
  <c r="CB496" i="5"/>
  <c r="CB512" i="5"/>
  <c r="CB137" i="5"/>
  <c r="BN257" i="5"/>
  <c r="BB321" i="5"/>
  <c r="BB545" i="5"/>
  <c r="BZ77" i="5"/>
  <c r="CB93" i="5"/>
  <c r="BZ141" i="5"/>
  <c r="CB221" i="5"/>
  <c r="BB452" i="5"/>
  <c r="BN404" i="5"/>
  <c r="BZ404" i="5" s="1"/>
  <c r="CB216" i="5"/>
  <c r="BZ624" i="5"/>
  <c r="BL113" i="5"/>
  <c r="BN220" i="5"/>
  <c r="BZ220" i="5" s="1"/>
  <c r="CB692" i="5"/>
  <c r="CB476" i="5"/>
  <c r="CB604" i="5"/>
  <c r="BD636" i="5"/>
  <c r="CB636" i="5" s="1"/>
  <c r="BL636" i="5"/>
  <c r="BW636" i="5"/>
  <c r="AY28" i="5"/>
  <c r="BH28" i="5"/>
  <c r="BW28" i="5"/>
  <c r="CB180" i="5"/>
  <c r="CB340" i="5"/>
  <c r="CB500" i="5"/>
  <c r="BC660" i="5"/>
  <c r="BN660" i="5"/>
  <c r="BD4" i="5"/>
  <c r="BM4" i="5"/>
  <c r="BV4" i="5"/>
  <c r="CI4" i="5"/>
  <c r="BB68" i="5"/>
  <c r="BZ68" i="5" s="1"/>
  <c r="BC132" i="5"/>
  <c r="BN132" i="5"/>
  <c r="BZ132" i="5" s="1"/>
  <c r="BD44" i="5"/>
  <c r="BR44" i="5"/>
  <c r="BO204" i="5"/>
  <c r="BN300" i="5"/>
  <c r="AU428" i="5"/>
  <c r="BF428" i="5"/>
  <c r="BM428" i="5"/>
  <c r="BX428" i="5"/>
  <c r="BC588" i="5"/>
  <c r="AV684" i="5"/>
  <c r="BI684" i="5"/>
  <c r="BT684" i="5"/>
  <c r="CD684" i="5"/>
  <c r="AY20" i="5"/>
  <c r="BH20" i="5"/>
  <c r="BW20" i="5"/>
  <c r="AV41" i="5"/>
  <c r="AU41" i="5"/>
  <c r="AV216" i="5"/>
  <c r="AU216" i="5"/>
  <c r="AV248" i="5"/>
  <c r="AU248" i="5"/>
  <c r="AZ440" i="5"/>
  <c r="AU440" i="5"/>
  <c r="AZ504" i="5"/>
  <c r="AU504" i="5"/>
  <c r="AZ568" i="5"/>
  <c r="AU568" i="5"/>
  <c r="AZ632" i="5"/>
  <c r="AU632" i="5"/>
  <c r="AV688" i="5"/>
  <c r="AU688" i="5"/>
  <c r="BO524" i="5"/>
  <c r="AV57" i="5"/>
  <c r="AU57" i="5"/>
  <c r="AV89" i="5"/>
  <c r="AU89" i="5"/>
  <c r="CB140" i="5"/>
  <c r="BO444" i="5"/>
  <c r="CB572" i="5"/>
  <c r="CB92" i="5"/>
  <c r="CB308" i="5"/>
  <c r="CB596" i="5"/>
  <c r="AU4" i="5"/>
  <c r="BN4" i="5" s="1"/>
  <c r="BF4" i="5"/>
  <c r="BR4" i="5"/>
  <c r="BC236" i="5"/>
  <c r="CB556" i="5"/>
  <c r="CB652" i="5"/>
  <c r="BP696" i="5"/>
  <c r="AV640" i="5"/>
  <c r="AU640" i="5"/>
  <c r="AV264" i="5"/>
  <c r="AU264" i="5"/>
  <c r="AV328" i="5"/>
  <c r="AU328" i="5"/>
  <c r="AV392" i="5"/>
  <c r="AU392" i="5"/>
  <c r="AV456" i="5"/>
  <c r="AU456" i="5"/>
  <c r="AV520" i="5"/>
  <c r="AU520" i="5"/>
  <c r="AV584" i="5"/>
  <c r="AU584" i="5"/>
  <c r="AY648" i="5"/>
  <c r="AU648" i="5"/>
  <c r="AV432" i="5"/>
  <c r="AU432" i="5"/>
  <c r="AV656" i="5"/>
  <c r="AU656" i="5"/>
  <c r="CB116" i="5"/>
  <c r="CB204" i="5"/>
  <c r="CB364" i="5"/>
  <c r="BB396" i="5"/>
  <c r="BZ396" i="5" s="1"/>
  <c r="CB524" i="5"/>
  <c r="BB652" i="5"/>
  <c r="AV464" i="5"/>
  <c r="AU464" i="5"/>
  <c r="AV304" i="5"/>
  <c r="AU304" i="5"/>
  <c r="AV97" i="5"/>
  <c r="AU97" i="5"/>
  <c r="AV480" i="5"/>
  <c r="AU480" i="5"/>
  <c r="CB468" i="5"/>
  <c r="BB204" i="5"/>
  <c r="BN524" i="5"/>
  <c r="BC652" i="5"/>
  <c r="AV368" i="5"/>
  <c r="AU368" i="5"/>
  <c r="AV200" i="5"/>
  <c r="AU200" i="5"/>
  <c r="AV232" i="5"/>
  <c r="AU232" i="5"/>
  <c r="AV280" i="5"/>
  <c r="AU280" i="5"/>
  <c r="AV344" i="5"/>
  <c r="AU344" i="5"/>
  <c r="AV408" i="5"/>
  <c r="AU408" i="5"/>
  <c r="AZ472" i="5"/>
  <c r="AU472" i="5"/>
  <c r="AZ536" i="5"/>
  <c r="AU536" i="5"/>
  <c r="AZ600" i="5"/>
  <c r="AU600" i="5"/>
  <c r="AZ664" i="5"/>
  <c r="AU664" i="5"/>
  <c r="CB212" i="5"/>
  <c r="BC108" i="5"/>
  <c r="AV560" i="5"/>
  <c r="AU560" i="5"/>
  <c r="AV137" i="5"/>
  <c r="AU137" i="5"/>
  <c r="BC508" i="5"/>
  <c r="BB692" i="5"/>
  <c r="BZ692" i="5" s="1"/>
  <c r="AV9" i="5"/>
  <c r="AU9" i="5"/>
  <c r="AV592" i="5"/>
  <c r="AU592" i="5"/>
  <c r="AV208" i="5"/>
  <c r="AU208" i="5"/>
  <c r="AV240" i="5"/>
  <c r="AU240" i="5"/>
  <c r="AV360" i="5"/>
  <c r="AU360" i="5"/>
  <c r="AV424" i="5"/>
  <c r="AU424" i="5"/>
  <c r="AV488" i="5"/>
  <c r="AU488" i="5"/>
  <c r="AV552" i="5"/>
  <c r="AU552" i="5"/>
  <c r="AV616" i="5"/>
  <c r="AU616" i="5"/>
  <c r="AY680" i="5"/>
  <c r="AU680" i="5"/>
  <c r="AV608" i="5"/>
  <c r="AU608" i="5"/>
  <c r="AV512" i="5"/>
  <c r="AU512" i="5"/>
  <c r="AV528" i="5"/>
  <c r="AU528" i="5"/>
  <c r="BL629" i="5"/>
  <c r="BL84" i="5"/>
  <c r="CB456" i="5"/>
  <c r="CB145" i="5"/>
  <c r="CB136" i="5"/>
  <c r="BZ24" i="5"/>
  <c r="CB40" i="5"/>
  <c r="BZ48" i="5"/>
  <c r="CB288" i="5"/>
  <c r="CB336" i="5"/>
  <c r="CB360" i="5"/>
  <c r="CB488" i="5"/>
  <c r="CB672" i="5"/>
  <c r="CB17" i="5"/>
  <c r="BZ65" i="5"/>
  <c r="BL105" i="5"/>
  <c r="CB593" i="5"/>
  <c r="CB5" i="5"/>
  <c r="CB269" i="5"/>
  <c r="CB341" i="5"/>
  <c r="CB445" i="5"/>
  <c r="CB60" i="5"/>
  <c r="CB548" i="5"/>
  <c r="CB676" i="5"/>
  <c r="CB508" i="5"/>
  <c r="CB460" i="5"/>
  <c r="CB72" i="5"/>
  <c r="BZ416" i="5"/>
  <c r="CB544" i="5"/>
  <c r="CB576" i="5"/>
  <c r="BL664" i="5"/>
  <c r="BZ113" i="5"/>
  <c r="CB161" i="5"/>
  <c r="CB185" i="5"/>
  <c r="CB209" i="5"/>
  <c r="CB345" i="5"/>
  <c r="BZ21" i="5"/>
  <c r="CB37" i="5"/>
  <c r="CB85" i="5"/>
  <c r="CB101" i="5"/>
  <c r="CB109" i="5"/>
  <c r="CB133" i="5"/>
  <c r="CB245" i="5"/>
  <c r="CB325" i="5"/>
  <c r="BL389" i="5"/>
  <c r="CB453" i="5"/>
  <c r="CB541" i="5"/>
  <c r="CB581" i="5"/>
  <c r="CB605" i="5"/>
  <c r="CB124" i="5"/>
  <c r="BL100" i="5"/>
  <c r="BL108" i="5"/>
  <c r="CB84" i="5"/>
  <c r="CB96" i="5"/>
  <c r="CB128" i="5"/>
  <c r="CB160" i="5"/>
  <c r="CB384" i="5"/>
  <c r="CB392" i="5"/>
  <c r="BX400" i="5"/>
  <c r="CB560" i="5"/>
  <c r="CB600" i="5"/>
  <c r="CB688" i="5"/>
  <c r="CB33" i="5"/>
  <c r="CB89" i="5"/>
  <c r="BZ105" i="5"/>
  <c r="CB121" i="5"/>
  <c r="CB193" i="5"/>
  <c r="CB225" i="5"/>
  <c r="CB257" i="5"/>
  <c r="CB489" i="5"/>
  <c r="CB617" i="5"/>
  <c r="CB665" i="5"/>
  <c r="CB681" i="5"/>
  <c r="CB117" i="5"/>
  <c r="BZ149" i="5"/>
  <c r="CB285" i="5"/>
  <c r="CB461" i="5"/>
  <c r="CB549" i="5"/>
  <c r="CB589" i="5"/>
  <c r="CB613" i="5"/>
  <c r="CB669" i="5"/>
  <c r="CB693" i="5"/>
  <c r="CB452" i="5"/>
  <c r="CB187" i="5"/>
  <c r="CB76" i="5"/>
  <c r="CB540" i="5"/>
  <c r="CB668" i="5"/>
  <c r="CB108" i="5"/>
  <c r="CB620" i="5"/>
  <c r="CB264" i="5"/>
  <c r="BL296" i="5"/>
  <c r="CB432" i="5"/>
  <c r="CB552" i="5"/>
  <c r="BL592" i="5"/>
  <c r="CB664" i="5"/>
  <c r="BL680" i="5"/>
  <c r="CB129" i="5"/>
  <c r="CB361" i="5"/>
  <c r="CB401" i="5"/>
  <c r="CB641" i="5"/>
  <c r="CB697" i="5"/>
  <c r="CB13" i="5"/>
  <c r="BX109" i="5"/>
  <c r="BZ165" i="5"/>
  <c r="BZ715" i="5" s="1"/>
  <c r="BZ716" i="5" s="1"/>
  <c r="CB189" i="5"/>
  <c r="CB229" i="5"/>
  <c r="CB317" i="5"/>
  <c r="CB333" i="5"/>
  <c r="CB349" i="5"/>
  <c r="BL397" i="5"/>
  <c r="CB469" i="5"/>
  <c r="CB501" i="5"/>
  <c r="CB677" i="5"/>
  <c r="CB324" i="5"/>
  <c r="CB388" i="5"/>
  <c r="CB12" i="5"/>
  <c r="CB252" i="5"/>
  <c r="CB348" i="5"/>
  <c r="CB276" i="5"/>
  <c r="CB372" i="5"/>
  <c r="BL692" i="5"/>
  <c r="CB332" i="5"/>
  <c r="F67" i="12"/>
  <c r="BX64" i="5"/>
  <c r="CB80" i="5"/>
  <c r="CB296" i="5"/>
  <c r="CB169" i="5"/>
  <c r="CB265" i="5"/>
  <c r="CB61" i="5"/>
  <c r="BL109" i="5"/>
  <c r="CB141" i="5"/>
  <c r="CB397" i="5"/>
  <c r="CB477" i="5"/>
  <c r="CB509" i="5"/>
  <c r="CB685" i="5"/>
  <c r="CB612" i="5"/>
  <c r="CB251" i="5"/>
  <c r="CB188" i="5"/>
  <c r="CB436" i="5"/>
  <c r="CB532" i="5"/>
  <c r="CB300" i="5"/>
  <c r="CB48" i="5"/>
  <c r="BZ128" i="5"/>
  <c r="CB144" i="5"/>
  <c r="CB152" i="5"/>
  <c r="CB232" i="5"/>
  <c r="CB240" i="5"/>
  <c r="CB304" i="5"/>
  <c r="CB368" i="5"/>
  <c r="CB448" i="5"/>
  <c r="CB536" i="5"/>
  <c r="CB568" i="5"/>
  <c r="CB584" i="5"/>
  <c r="CB648" i="5"/>
  <c r="BL65" i="5"/>
  <c r="CB377" i="5"/>
  <c r="CB77" i="5"/>
  <c r="CB261" i="5"/>
  <c r="BL285" i="5"/>
  <c r="CB413" i="5"/>
  <c r="CB517" i="5"/>
  <c r="CB565" i="5"/>
  <c r="CB645" i="5"/>
  <c r="CB356" i="5"/>
  <c r="BL187" i="5"/>
  <c r="CB660" i="5"/>
  <c r="CB68" i="5"/>
  <c r="CB132" i="5"/>
  <c r="CB396" i="5"/>
  <c r="CB492" i="5"/>
  <c r="CB588" i="5"/>
  <c r="CB625" i="5"/>
  <c r="BX625" i="5"/>
  <c r="CB149" i="5"/>
  <c r="BX149" i="5"/>
  <c r="CB173" i="5"/>
  <c r="BX173" i="5"/>
  <c r="CB233" i="5"/>
  <c r="BX233" i="5"/>
  <c r="CB433" i="5"/>
  <c r="BX433" i="5"/>
  <c r="CB621" i="5"/>
  <c r="BX621" i="5"/>
  <c r="CB81" i="5"/>
  <c r="BX81" i="5"/>
  <c r="CB153" i="5"/>
  <c r="BX153" i="5"/>
  <c r="CB237" i="5"/>
  <c r="BX237" i="5"/>
  <c r="CB65" i="5"/>
  <c r="BX65" i="5"/>
  <c r="CB73" i="5"/>
  <c r="BX73" i="5"/>
  <c r="CB277" i="5"/>
  <c r="BX277" i="5"/>
  <c r="CB113" i="5"/>
  <c r="BX113" i="5"/>
  <c r="CB305" i="5"/>
  <c r="BX305" i="5"/>
  <c r="CB425" i="5"/>
  <c r="BX425" i="5"/>
  <c r="CB609" i="5"/>
  <c r="BX609" i="5"/>
  <c r="CB309" i="5"/>
  <c r="BX309" i="5"/>
  <c r="CB381" i="5"/>
  <c r="BX381" i="5"/>
  <c r="CB421" i="5"/>
  <c r="BX421" i="5"/>
  <c r="CB177" i="5"/>
  <c r="BX177" i="5"/>
  <c r="CB417" i="5"/>
  <c r="BX417" i="5"/>
  <c r="CB601" i="5"/>
  <c r="BX601" i="5"/>
  <c r="CB405" i="5"/>
  <c r="BX405" i="5"/>
  <c r="CB105" i="5"/>
  <c r="BX105" i="5"/>
  <c r="CB569" i="5"/>
  <c r="BX569" i="5"/>
  <c r="CB21" i="5"/>
  <c r="BX21" i="5"/>
  <c r="BX8" i="5"/>
  <c r="BL48" i="5"/>
  <c r="BL64" i="5"/>
  <c r="BX184" i="5"/>
  <c r="BX240" i="5"/>
  <c r="BX248" i="5"/>
  <c r="BX296" i="5"/>
  <c r="BL376" i="5"/>
  <c r="BL400" i="5"/>
  <c r="BL416" i="5"/>
  <c r="BX440" i="5"/>
  <c r="BL632" i="5"/>
  <c r="BO648" i="5"/>
  <c r="BO680" i="5"/>
  <c r="BL33" i="5"/>
  <c r="BB185" i="5"/>
  <c r="BZ185" i="5" s="1"/>
  <c r="BL289" i="5"/>
  <c r="CB337" i="5"/>
  <c r="CB369" i="5"/>
  <c r="BL393" i="5"/>
  <c r="BL401" i="5"/>
  <c r="BB441" i="5"/>
  <c r="BZ441" i="5" s="1"/>
  <c r="CB577" i="5"/>
  <c r="BN633" i="5"/>
  <c r="BN765" i="5" s="1"/>
  <c r="BN766" i="5" s="1"/>
  <c r="BX13" i="5"/>
  <c r="BO61" i="5"/>
  <c r="BO93" i="5"/>
  <c r="BC101" i="5"/>
  <c r="BC117" i="5"/>
  <c r="BL117" i="5"/>
  <c r="BC125" i="5"/>
  <c r="BX165" i="5"/>
  <c r="BX715" i="5" s="1"/>
  <c r="BX716" i="5" s="1"/>
  <c r="BO189" i="5"/>
  <c r="BO205" i="5"/>
  <c r="BC213" i="5"/>
  <c r="BO229" i="5"/>
  <c r="BL253" i="5"/>
  <c r="BC277" i="5"/>
  <c r="BL277" i="5"/>
  <c r="BO285" i="5"/>
  <c r="BO301" i="5"/>
  <c r="BC309" i="5"/>
  <c r="BL309" i="5"/>
  <c r="BO325" i="5"/>
  <c r="BC333" i="5"/>
  <c r="BN389" i="5"/>
  <c r="BZ389" i="5" s="1"/>
  <c r="BX397" i="5"/>
  <c r="BC413" i="5"/>
  <c r="BO437" i="5"/>
  <c r="BL445" i="5"/>
  <c r="BC453" i="5"/>
  <c r="BN461" i="5"/>
  <c r="BN469" i="5"/>
  <c r="BO477" i="5"/>
  <c r="BC485" i="5"/>
  <c r="BO493" i="5"/>
  <c r="BC501" i="5"/>
  <c r="BN517" i="5"/>
  <c r="BO525" i="5"/>
  <c r="BC533" i="5"/>
  <c r="BN549" i="5"/>
  <c r="BO557" i="5"/>
  <c r="BC565" i="5"/>
  <c r="BL565" i="5"/>
  <c r="BB573" i="5"/>
  <c r="BN645" i="5"/>
  <c r="BZ645" i="5" s="1"/>
  <c r="BC685" i="5"/>
  <c r="CK207" i="5"/>
  <c r="CJ207" i="5"/>
  <c r="CH207" i="5"/>
  <c r="CI207" i="5"/>
  <c r="CG207" i="5"/>
  <c r="CF207" i="5"/>
  <c r="CE207" i="5"/>
  <c r="CC207" i="5"/>
  <c r="CD207" i="5"/>
  <c r="CA207" i="5"/>
  <c r="BZ207" i="5"/>
  <c r="BY207" i="5"/>
  <c r="BX207" i="5"/>
  <c r="BU207" i="5"/>
  <c r="BT207" i="5"/>
  <c r="BW207" i="5"/>
  <c r="BV207" i="5"/>
  <c r="BS207" i="5"/>
  <c r="BQ207" i="5"/>
  <c r="BR207" i="5"/>
  <c r="BL207" i="5"/>
  <c r="BM207" i="5"/>
  <c r="BJ207" i="5"/>
  <c r="BI207" i="5"/>
  <c r="BH207" i="5"/>
  <c r="BK207" i="5"/>
  <c r="BF207" i="5"/>
  <c r="BG207" i="5"/>
  <c r="BE207" i="5"/>
  <c r="BD207" i="5"/>
  <c r="BA207" i="5"/>
  <c r="BP207" i="5" s="1"/>
  <c r="AZ207" i="5"/>
  <c r="AY207" i="5"/>
  <c r="AU207" i="5"/>
  <c r="BN207" i="5" s="1"/>
  <c r="AV207" i="5"/>
  <c r="BC207" i="5" s="1"/>
  <c r="BC260" i="5"/>
  <c r="BX260" i="5"/>
  <c r="CI335" i="5"/>
  <c r="CK335" i="5"/>
  <c r="CF335" i="5"/>
  <c r="CE335" i="5"/>
  <c r="CC335" i="5"/>
  <c r="CD335" i="5"/>
  <c r="CA335" i="5"/>
  <c r="BY335" i="5"/>
  <c r="BU335" i="5"/>
  <c r="BT335" i="5"/>
  <c r="BW335" i="5"/>
  <c r="BV335" i="5"/>
  <c r="BS335" i="5"/>
  <c r="BQ335" i="5"/>
  <c r="BR335" i="5"/>
  <c r="BM335" i="5"/>
  <c r="BJ335" i="5"/>
  <c r="BI335" i="5"/>
  <c r="BH335" i="5"/>
  <c r="BK335" i="5"/>
  <c r="BF335" i="5"/>
  <c r="BG335" i="5"/>
  <c r="BE335" i="5"/>
  <c r="BD335" i="5"/>
  <c r="BA335" i="5"/>
  <c r="BP335" i="5" s="1"/>
  <c r="AZ335" i="5"/>
  <c r="AY335" i="5"/>
  <c r="AU335" i="5"/>
  <c r="BN335" i="5" s="1"/>
  <c r="AV335" i="5"/>
  <c r="BC335" i="5" s="1"/>
  <c r="BC388" i="5"/>
  <c r="CJ495" i="5"/>
  <c r="CI495" i="5"/>
  <c r="CK495" i="5"/>
  <c r="CG495" i="5"/>
  <c r="CH495" i="5"/>
  <c r="CE495" i="5"/>
  <c r="CC495" i="5"/>
  <c r="CF495" i="5"/>
  <c r="CD495" i="5"/>
  <c r="CA495" i="5"/>
  <c r="BZ495" i="5"/>
  <c r="BX495" i="5"/>
  <c r="BY495" i="5"/>
  <c r="BT495" i="5"/>
  <c r="BW495" i="5"/>
  <c r="BV495" i="5"/>
  <c r="BS495" i="5"/>
  <c r="BQ495" i="5"/>
  <c r="BU495" i="5"/>
  <c r="BR495" i="5"/>
  <c r="BM495" i="5"/>
  <c r="BL495" i="5"/>
  <c r="BJ495" i="5"/>
  <c r="BI495" i="5"/>
  <c r="BH495" i="5"/>
  <c r="BK495" i="5"/>
  <c r="BG495" i="5"/>
  <c r="BF495" i="5"/>
  <c r="BE495" i="5"/>
  <c r="BD495" i="5"/>
  <c r="BA495" i="5"/>
  <c r="BP495" i="5" s="1"/>
  <c r="AZ495" i="5"/>
  <c r="AY495" i="5"/>
  <c r="AU495" i="5"/>
  <c r="BB495" i="5" s="1"/>
  <c r="AV495" i="5"/>
  <c r="BO495" i="5" s="1"/>
  <c r="BB548" i="5"/>
  <c r="BL580" i="5"/>
  <c r="CK655" i="5"/>
  <c r="CJ655" i="5"/>
  <c r="CH655" i="5"/>
  <c r="CG655" i="5"/>
  <c r="CI655" i="5"/>
  <c r="CF655" i="5"/>
  <c r="CE655" i="5"/>
  <c r="CD655" i="5"/>
  <c r="CA655" i="5"/>
  <c r="CC655" i="5"/>
  <c r="BZ655" i="5"/>
  <c r="BY655" i="5"/>
  <c r="BW655" i="5"/>
  <c r="BT655" i="5"/>
  <c r="BX655" i="5"/>
  <c r="BV655" i="5"/>
  <c r="BS655" i="5"/>
  <c r="BQ655" i="5"/>
  <c r="BU655" i="5"/>
  <c r="BR655" i="5"/>
  <c r="BM655" i="5"/>
  <c r="BL655" i="5"/>
  <c r="BJ655" i="5"/>
  <c r="BI655" i="5"/>
  <c r="BH655" i="5"/>
  <c r="BK655" i="5"/>
  <c r="BG655" i="5"/>
  <c r="BF655" i="5"/>
  <c r="BE655" i="5"/>
  <c r="BD655" i="5"/>
  <c r="BA655" i="5"/>
  <c r="BP655" i="5" s="1"/>
  <c r="AZ655" i="5"/>
  <c r="AY655" i="5"/>
  <c r="AU655" i="5"/>
  <c r="BB655" i="5" s="1"/>
  <c r="AV655" i="5"/>
  <c r="BC655" i="5" s="1"/>
  <c r="CB100" i="5"/>
  <c r="BC164" i="5"/>
  <c r="BC715" i="5" s="1"/>
  <c r="BC716" i="5" s="1"/>
  <c r="BL251" i="5"/>
  <c r="CJ283" i="5"/>
  <c r="CK283" i="5"/>
  <c r="CI283" i="5"/>
  <c r="CD283" i="5"/>
  <c r="CF283" i="5"/>
  <c r="CE283" i="5"/>
  <c r="CH283" i="5"/>
  <c r="CG283" i="5"/>
  <c r="CA283" i="5"/>
  <c r="CC283" i="5"/>
  <c r="BZ283" i="5"/>
  <c r="BY283" i="5"/>
  <c r="BX283" i="5"/>
  <c r="BW283" i="5"/>
  <c r="BV283" i="5"/>
  <c r="BU283" i="5"/>
  <c r="BT283" i="5"/>
  <c r="BS283" i="5"/>
  <c r="BQ283" i="5"/>
  <c r="BR283" i="5"/>
  <c r="BL283" i="5"/>
  <c r="BJ283" i="5"/>
  <c r="BM283" i="5"/>
  <c r="BH283" i="5"/>
  <c r="BK283" i="5"/>
  <c r="BI283" i="5"/>
  <c r="BF283" i="5"/>
  <c r="BE283" i="5"/>
  <c r="BD283" i="5"/>
  <c r="BG283" i="5"/>
  <c r="BA283" i="5"/>
  <c r="BP283" i="5" s="1"/>
  <c r="AZ283" i="5"/>
  <c r="AV283" i="5"/>
  <c r="BO283" i="5" s="1"/>
  <c r="AU283" i="5"/>
  <c r="BN283" i="5" s="1"/>
  <c r="AY283" i="5"/>
  <c r="CK539" i="5"/>
  <c r="CH539" i="5"/>
  <c r="CI539" i="5"/>
  <c r="CG539" i="5"/>
  <c r="CJ539" i="5"/>
  <c r="CF539" i="5"/>
  <c r="CE539" i="5"/>
  <c r="CD539" i="5"/>
  <c r="CA539" i="5"/>
  <c r="CC539" i="5"/>
  <c r="BZ539" i="5"/>
  <c r="BY539" i="5"/>
  <c r="BX539" i="5"/>
  <c r="BW539" i="5"/>
  <c r="BV539" i="5"/>
  <c r="BT539" i="5"/>
  <c r="BU539" i="5"/>
  <c r="BS539" i="5"/>
  <c r="BQ539" i="5"/>
  <c r="BR539" i="5"/>
  <c r="BL539" i="5"/>
  <c r="BJ539" i="5"/>
  <c r="BM539" i="5"/>
  <c r="BH539" i="5"/>
  <c r="BK539" i="5"/>
  <c r="BI539" i="5"/>
  <c r="BG539" i="5"/>
  <c r="BF539" i="5"/>
  <c r="BE539" i="5"/>
  <c r="BD539" i="5"/>
  <c r="BA539" i="5"/>
  <c r="BP539" i="5" s="1"/>
  <c r="AZ539" i="5"/>
  <c r="AV539" i="5"/>
  <c r="BO539" i="5" s="1"/>
  <c r="AU539" i="5"/>
  <c r="BN539" i="5" s="1"/>
  <c r="AY539" i="5"/>
  <c r="CH258" i="5"/>
  <c r="CJ258" i="5"/>
  <c r="CK258" i="5"/>
  <c r="CG258" i="5"/>
  <c r="CI258" i="5"/>
  <c r="CF258" i="5"/>
  <c r="CE258" i="5"/>
  <c r="CC258" i="5"/>
  <c r="CD258" i="5"/>
  <c r="BZ258" i="5"/>
  <c r="CA258" i="5"/>
  <c r="BY258" i="5"/>
  <c r="BX258" i="5"/>
  <c r="BW258" i="5"/>
  <c r="BV258" i="5"/>
  <c r="BU258" i="5"/>
  <c r="BS258" i="5"/>
  <c r="BT258" i="5"/>
  <c r="BR258" i="5"/>
  <c r="BQ258" i="5"/>
  <c r="BL258" i="5"/>
  <c r="BM258" i="5"/>
  <c r="BG258" i="5"/>
  <c r="BJ258" i="5"/>
  <c r="BK258" i="5"/>
  <c r="BI258" i="5"/>
  <c r="BH258" i="5"/>
  <c r="BF258" i="5"/>
  <c r="BE258" i="5"/>
  <c r="BD258" i="5"/>
  <c r="BA258" i="5"/>
  <c r="BP258" i="5" s="1"/>
  <c r="AZ258" i="5"/>
  <c r="AY258" i="5"/>
  <c r="AV258" i="5"/>
  <c r="BO258" i="5" s="1"/>
  <c r="AU258" i="5"/>
  <c r="BN258" i="5" s="1"/>
  <c r="CK290" i="5"/>
  <c r="CJ290" i="5"/>
  <c r="CG290" i="5"/>
  <c r="CI290" i="5"/>
  <c r="CF290" i="5"/>
  <c r="CD290" i="5"/>
  <c r="CH290" i="5"/>
  <c r="CC290" i="5"/>
  <c r="CE290" i="5"/>
  <c r="BZ290" i="5"/>
  <c r="CA290" i="5"/>
  <c r="BY290" i="5"/>
  <c r="BX290" i="5"/>
  <c r="BW290" i="5"/>
  <c r="BV290" i="5"/>
  <c r="BU290" i="5"/>
  <c r="BS290" i="5"/>
  <c r="BT290" i="5"/>
  <c r="BR290" i="5"/>
  <c r="BQ290" i="5"/>
  <c r="BL290" i="5"/>
  <c r="BM290" i="5"/>
  <c r="BG290" i="5"/>
  <c r="BJ290" i="5"/>
  <c r="BK290" i="5"/>
  <c r="BI290" i="5"/>
  <c r="BH290" i="5"/>
  <c r="BF290" i="5"/>
  <c r="BE290" i="5"/>
  <c r="BD290" i="5"/>
  <c r="BA290" i="5"/>
  <c r="BP290" i="5" s="1"/>
  <c r="AZ290" i="5"/>
  <c r="AY290" i="5"/>
  <c r="AV290" i="5"/>
  <c r="BC290" i="5" s="1"/>
  <c r="AU290" i="5"/>
  <c r="BN290" i="5" s="1"/>
  <c r="CK322" i="5"/>
  <c r="CI322" i="5"/>
  <c r="CH322" i="5"/>
  <c r="CG322" i="5"/>
  <c r="CF322" i="5"/>
  <c r="CJ322" i="5"/>
  <c r="CD322" i="5"/>
  <c r="CE322" i="5"/>
  <c r="CC322" i="5"/>
  <c r="BZ322" i="5"/>
  <c r="CA322" i="5"/>
  <c r="BY322" i="5"/>
  <c r="BX322" i="5"/>
  <c r="BW322" i="5"/>
  <c r="BV322" i="5"/>
  <c r="BU322" i="5"/>
  <c r="BS322" i="5"/>
  <c r="BT322" i="5"/>
  <c r="BR322" i="5"/>
  <c r="BQ322" i="5"/>
  <c r="BL322" i="5"/>
  <c r="BM322" i="5"/>
  <c r="BG322" i="5"/>
  <c r="BJ322" i="5"/>
  <c r="BK322" i="5"/>
  <c r="BI322" i="5"/>
  <c r="BH322" i="5"/>
  <c r="BF322" i="5"/>
  <c r="BE322" i="5"/>
  <c r="BD322" i="5"/>
  <c r="BA322" i="5"/>
  <c r="BP322" i="5" s="1"/>
  <c r="AZ322" i="5"/>
  <c r="AY322" i="5"/>
  <c r="AV322" i="5"/>
  <c r="BO322" i="5" s="1"/>
  <c r="AU322" i="5"/>
  <c r="BN322" i="5" s="1"/>
  <c r="CK354" i="5"/>
  <c r="CJ354" i="5"/>
  <c r="CH354" i="5"/>
  <c r="CF354" i="5"/>
  <c r="CG354" i="5"/>
  <c r="CI354" i="5"/>
  <c r="CE354" i="5"/>
  <c r="CD354" i="5"/>
  <c r="CC354" i="5"/>
  <c r="BZ354" i="5"/>
  <c r="CA354" i="5"/>
  <c r="BY354" i="5"/>
  <c r="BX354" i="5"/>
  <c r="BW354" i="5"/>
  <c r="BV354" i="5"/>
  <c r="BU354" i="5"/>
  <c r="BS354" i="5"/>
  <c r="BT354" i="5"/>
  <c r="BR354" i="5"/>
  <c r="BQ354" i="5"/>
  <c r="BL354" i="5"/>
  <c r="BM354" i="5"/>
  <c r="BG354" i="5"/>
  <c r="BJ354" i="5"/>
  <c r="BK354" i="5"/>
  <c r="BI354" i="5"/>
  <c r="BH354" i="5"/>
  <c r="BF354" i="5"/>
  <c r="BE354" i="5"/>
  <c r="BD354" i="5"/>
  <c r="BA354" i="5"/>
  <c r="BP354" i="5" s="1"/>
  <c r="AZ354" i="5"/>
  <c r="AY354" i="5"/>
  <c r="AV354" i="5"/>
  <c r="BO354" i="5" s="1"/>
  <c r="AU354" i="5"/>
  <c r="BN354" i="5" s="1"/>
  <c r="CK386" i="5"/>
  <c r="CF386" i="5"/>
  <c r="CI386" i="5"/>
  <c r="CD386" i="5"/>
  <c r="CC386" i="5"/>
  <c r="CE386" i="5"/>
  <c r="CA386" i="5"/>
  <c r="BY386" i="5"/>
  <c r="BW386" i="5"/>
  <c r="BV386" i="5"/>
  <c r="BU386" i="5"/>
  <c r="BS386" i="5"/>
  <c r="BT386" i="5"/>
  <c r="BR386" i="5"/>
  <c r="BQ386" i="5"/>
  <c r="BM386" i="5"/>
  <c r="BG386" i="5"/>
  <c r="BJ386" i="5"/>
  <c r="BK386" i="5"/>
  <c r="BI386" i="5"/>
  <c r="BH386" i="5"/>
  <c r="BF386" i="5"/>
  <c r="BE386" i="5"/>
  <c r="BD386" i="5"/>
  <c r="BA386" i="5"/>
  <c r="BP386" i="5" s="1"/>
  <c r="AZ386" i="5"/>
  <c r="AY386" i="5"/>
  <c r="AV386" i="5"/>
  <c r="BO386" i="5" s="1"/>
  <c r="AU386" i="5"/>
  <c r="BN386" i="5" s="1"/>
  <c r="CK418" i="5"/>
  <c r="CI418" i="5"/>
  <c r="CF418" i="5"/>
  <c r="CJ418" i="5"/>
  <c r="CH418" i="5"/>
  <c r="CG418" i="5"/>
  <c r="CD418" i="5"/>
  <c r="CE418" i="5"/>
  <c r="CC418" i="5"/>
  <c r="BZ418" i="5"/>
  <c r="CA418" i="5"/>
  <c r="BY418" i="5"/>
  <c r="BW418" i="5"/>
  <c r="BX418" i="5"/>
  <c r="BV418" i="5"/>
  <c r="BU418" i="5"/>
  <c r="BS418" i="5"/>
  <c r="BT418" i="5"/>
  <c r="BR418" i="5"/>
  <c r="BQ418" i="5"/>
  <c r="BL418" i="5"/>
  <c r="BM418" i="5"/>
  <c r="BG418" i="5"/>
  <c r="BJ418" i="5"/>
  <c r="BK418" i="5"/>
  <c r="BI418" i="5"/>
  <c r="BH418" i="5"/>
  <c r="BF418" i="5"/>
  <c r="BE418" i="5"/>
  <c r="BD418" i="5"/>
  <c r="BA418" i="5"/>
  <c r="BP418" i="5" s="1"/>
  <c r="AZ418" i="5"/>
  <c r="AY418" i="5"/>
  <c r="AV418" i="5"/>
  <c r="BO418" i="5" s="1"/>
  <c r="AU418" i="5"/>
  <c r="BN418" i="5" s="1"/>
  <c r="CJ450" i="5"/>
  <c r="CH450" i="5"/>
  <c r="CI450" i="5"/>
  <c r="CF450" i="5"/>
  <c r="CD450" i="5"/>
  <c r="CK450" i="5"/>
  <c r="CG450" i="5"/>
  <c r="CC450" i="5"/>
  <c r="BZ450" i="5"/>
  <c r="CE450" i="5"/>
  <c r="CA450" i="5"/>
  <c r="BY450" i="5"/>
  <c r="BW450" i="5"/>
  <c r="BX450" i="5"/>
  <c r="BV450" i="5"/>
  <c r="BS450" i="5"/>
  <c r="BT450" i="5"/>
  <c r="BU450" i="5"/>
  <c r="BR450" i="5"/>
  <c r="BQ450" i="5"/>
  <c r="BL450" i="5"/>
  <c r="BM450" i="5"/>
  <c r="BG450" i="5"/>
  <c r="BJ450" i="5"/>
  <c r="BK450" i="5"/>
  <c r="BI450" i="5"/>
  <c r="BH450" i="5"/>
  <c r="BF450" i="5"/>
  <c r="BE450" i="5"/>
  <c r="BD450" i="5"/>
  <c r="BA450" i="5"/>
  <c r="AZ450" i="5"/>
  <c r="AY450" i="5"/>
  <c r="AV450" i="5"/>
  <c r="AU450" i="5"/>
  <c r="CK482" i="5"/>
  <c r="CJ482" i="5"/>
  <c r="CH482" i="5"/>
  <c r="CI482" i="5"/>
  <c r="CF482" i="5"/>
  <c r="CG482" i="5"/>
  <c r="CE482" i="5"/>
  <c r="CD482" i="5"/>
  <c r="CC482" i="5"/>
  <c r="BZ482" i="5"/>
  <c r="CA482" i="5"/>
  <c r="BY482" i="5"/>
  <c r="BW482" i="5"/>
  <c r="BX482" i="5"/>
  <c r="BV482" i="5"/>
  <c r="BS482" i="5"/>
  <c r="BT482" i="5"/>
  <c r="BU482" i="5"/>
  <c r="BR482" i="5"/>
  <c r="BQ482" i="5"/>
  <c r="BL482" i="5"/>
  <c r="BM482" i="5"/>
  <c r="BG482" i="5"/>
  <c r="BJ482" i="5"/>
  <c r="BK482" i="5"/>
  <c r="BI482" i="5"/>
  <c r="BH482" i="5"/>
  <c r="BF482" i="5"/>
  <c r="BE482" i="5"/>
  <c r="BD482" i="5"/>
  <c r="BA482" i="5"/>
  <c r="BP482" i="5" s="1"/>
  <c r="AZ482" i="5"/>
  <c r="AY482" i="5"/>
  <c r="AV482" i="5"/>
  <c r="BO482" i="5" s="1"/>
  <c r="AU482" i="5"/>
  <c r="BN482" i="5" s="1"/>
  <c r="CK514" i="5"/>
  <c r="CG514" i="5"/>
  <c r="CF514" i="5"/>
  <c r="CI514" i="5"/>
  <c r="CH514" i="5"/>
  <c r="CJ514" i="5"/>
  <c r="CD514" i="5"/>
  <c r="CE514" i="5"/>
  <c r="CC514" i="5"/>
  <c r="BZ514" i="5"/>
  <c r="CA514" i="5"/>
  <c r="BY514" i="5"/>
  <c r="BW514" i="5"/>
  <c r="BX514" i="5"/>
  <c r="BV514" i="5"/>
  <c r="BS514" i="5"/>
  <c r="BT514" i="5"/>
  <c r="BU514" i="5"/>
  <c r="BR514" i="5"/>
  <c r="BQ514" i="5"/>
  <c r="BL514" i="5"/>
  <c r="BM514" i="5"/>
  <c r="BG514" i="5"/>
  <c r="BJ514" i="5"/>
  <c r="BK514" i="5"/>
  <c r="BI514" i="5"/>
  <c r="BH514" i="5"/>
  <c r="BF514" i="5"/>
  <c r="BE514" i="5"/>
  <c r="BD514" i="5"/>
  <c r="BA514" i="5"/>
  <c r="BP514" i="5" s="1"/>
  <c r="AZ514" i="5"/>
  <c r="AY514" i="5"/>
  <c r="AV514" i="5"/>
  <c r="BO514" i="5" s="1"/>
  <c r="AU514" i="5"/>
  <c r="BN514" i="5" s="1"/>
  <c r="CK546" i="5"/>
  <c r="CI546" i="5"/>
  <c r="CG546" i="5"/>
  <c r="CF546" i="5"/>
  <c r="CJ546" i="5"/>
  <c r="CH546" i="5"/>
  <c r="CD546" i="5"/>
  <c r="CC546" i="5"/>
  <c r="CE546" i="5"/>
  <c r="CA546" i="5"/>
  <c r="BY546" i="5"/>
  <c r="BX546" i="5"/>
  <c r="BZ546" i="5"/>
  <c r="BW546" i="5"/>
  <c r="BV546" i="5"/>
  <c r="BS546" i="5"/>
  <c r="BT546" i="5"/>
  <c r="BU546" i="5"/>
  <c r="BR546" i="5"/>
  <c r="BQ546" i="5"/>
  <c r="BL546" i="5"/>
  <c r="BM546" i="5"/>
  <c r="BJ546" i="5"/>
  <c r="BK546" i="5"/>
  <c r="BI546" i="5"/>
  <c r="BH546" i="5"/>
  <c r="BF546" i="5"/>
  <c r="BE546" i="5"/>
  <c r="BG546" i="5"/>
  <c r="BD546" i="5"/>
  <c r="BA546" i="5"/>
  <c r="BP546" i="5" s="1"/>
  <c r="AZ546" i="5"/>
  <c r="AY546" i="5"/>
  <c r="AV546" i="5"/>
  <c r="BO546" i="5" s="1"/>
  <c r="AU546" i="5"/>
  <c r="BN546" i="5" s="1"/>
  <c r="CK578" i="5"/>
  <c r="CJ578" i="5"/>
  <c r="CI578" i="5"/>
  <c r="CG578" i="5"/>
  <c r="CH578" i="5"/>
  <c r="CF578" i="5"/>
  <c r="CD578" i="5"/>
  <c r="CE578" i="5"/>
  <c r="CC578" i="5"/>
  <c r="CA578" i="5"/>
  <c r="BY578" i="5"/>
  <c r="BX578" i="5"/>
  <c r="BZ578" i="5"/>
  <c r="BW578" i="5"/>
  <c r="BV578" i="5"/>
  <c r="BS578" i="5"/>
  <c r="BT578" i="5"/>
  <c r="BU578" i="5"/>
  <c r="BR578" i="5"/>
  <c r="BQ578" i="5"/>
  <c r="BL578" i="5"/>
  <c r="BM578" i="5"/>
  <c r="BJ578" i="5"/>
  <c r="BK578" i="5"/>
  <c r="BI578" i="5"/>
  <c r="BH578" i="5"/>
  <c r="BF578" i="5"/>
  <c r="BE578" i="5"/>
  <c r="BG578" i="5"/>
  <c r="BD578" i="5"/>
  <c r="BA578" i="5"/>
  <c r="BP578" i="5" s="1"/>
  <c r="AZ578" i="5"/>
  <c r="AY578" i="5"/>
  <c r="AV578" i="5"/>
  <c r="BO578" i="5" s="1"/>
  <c r="AU578" i="5"/>
  <c r="BN578" i="5" s="1"/>
  <c r="CK610" i="5"/>
  <c r="CJ610" i="5"/>
  <c r="CG610" i="5"/>
  <c r="CI610" i="5"/>
  <c r="CF610" i="5"/>
  <c r="CH610" i="5"/>
  <c r="CE610" i="5"/>
  <c r="CD610" i="5"/>
  <c r="CC610" i="5"/>
  <c r="CA610" i="5"/>
  <c r="BY610" i="5"/>
  <c r="BX610" i="5"/>
  <c r="BZ610" i="5"/>
  <c r="BW610" i="5"/>
  <c r="BV610" i="5"/>
  <c r="BS610" i="5"/>
  <c r="BT610" i="5"/>
  <c r="BU610" i="5"/>
  <c r="BR610" i="5"/>
  <c r="BQ610" i="5"/>
  <c r="BL610" i="5"/>
  <c r="BM610" i="5"/>
  <c r="BJ610" i="5"/>
  <c r="BK610" i="5"/>
  <c r="BI610" i="5"/>
  <c r="BH610" i="5"/>
  <c r="BF610" i="5"/>
  <c r="BE610" i="5"/>
  <c r="BG610" i="5"/>
  <c r="BD610" i="5"/>
  <c r="BA610" i="5"/>
  <c r="BP610" i="5" s="1"/>
  <c r="AZ610" i="5"/>
  <c r="AY610" i="5"/>
  <c r="AV610" i="5"/>
  <c r="BO610" i="5" s="1"/>
  <c r="AU610" i="5"/>
  <c r="BN610" i="5" s="1"/>
  <c r="CK642" i="5"/>
  <c r="CJ642" i="5"/>
  <c r="CG642" i="5"/>
  <c r="CI642" i="5"/>
  <c r="CF642" i="5"/>
  <c r="CH642" i="5"/>
  <c r="CD642" i="5"/>
  <c r="CC642" i="5"/>
  <c r="CE642" i="5"/>
  <c r="CA642" i="5"/>
  <c r="BY642" i="5"/>
  <c r="BZ642" i="5"/>
  <c r="BX642" i="5"/>
  <c r="BW642" i="5"/>
  <c r="BV642" i="5"/>
  <c r="BS642" i="5"/>
  <c r="BT642" i="5"/>
  <c r="BU642" i="5"/>
  <c r="BR642" i="5"/>
  <c r="BQ642" i="5"/>
  <c r="BL642" i="5"/>
  <c r="BM642" i="5"/>
  <c r="BJ642" i="5"/>
  <c r="BK642" i="5"/>
  <c r="BI642" i="5"/>
  <c r="BH642" i="5"/>
  <c r="BF642" i="5"/>
  <c r="BE642" i="5"/>
  <c r="BG642" i="5"/>
  <c r="BD642" i="5"/>
  <c r="BA642" i="5"/>
  <c r="BP642" i="5" s="1"/>
  <c r="AZ642" i="5"/>
  <c r="AV642" i="5"/>
  <c r="BC642" i="5" s="1"/>
  <c r="AU642" i="5"/>
  <c r="BN642" i="5" s="1"/>
  <c r="AY642" i="5"/>
  <c r="CK674" i="5"/>
  <c r="CH674" i="5"/>
  <c r="CJ674" i="5"/>
  <c r="CG674" i="5"/>
  <c r="CI674" i="5"/>
  <c r="CF674" i="5"/>
  <c r="CD674" i="5"/>
  <c r="CE674" i="5"/>
  <c r="CC674" i="5"/>
  <c r="CA674" i="5"/>
  <c r="BY674" i="5"/>
  <c r="BZ674" i="5"/>
  <c r="BW674" i="5"/>
  <c r="BV674" i="5"/>
  <c r="BX674" i="5"/>
  <c r="BS674" i="5"/>
  <c r="BT674" i="5"/>
  <c r="BU674" i="5"/>
  <c r="BR674" i="5"/>
  <c r="BQ674" i="5"/>
  <c r="BM674" i="5"/>
  <c r="BL674" i="5"/>
  <c r="BJ674" i="5"/>
  <c r="BK674" i="5"/>
  <c r="BI674" i="5"/>
  <c r="BH674" i="5"/>
  <c r="BF674" i="5"/>
  <c r="BE674" i="5"/>
  <c r="BG674" i="5"/>
  <c r="BD674" i="5"/>
  <c r="BA674" i="5"/>
  <c r="BP674" i="5" s="1"/>
  <c r="AZ674" i="5"/>
  <c r="AV674" i="5"/>
  <c r="BO674" i="5" s="1"/>
  <c r="AU674" i="5"/>
  <c r="BN674" i="5" s="1"/>
  <c r="AY674" i="5"/>
  <c r="BX188" i="5"/>
  <c r="BN412" i="5"/>
  <c r="BZ412" i="5" s="1"/>
  <c r="BX412" i="5"/>
  <c r="CK455" i="5"/>
  <c r="CJ455" i="5"/>
  <c r="CI455" i="5"/>
  <c r="CH455" i="5"/>
  <c r="CF455" i="5"/>
  <c r="CG455" i="5"/>
  <c r="CE455" i="5"/>
  <c r="CD455" i="5"/>
  <c r="CC455" i="5"/>
  <c r="CA455" i="5"/>
  <c r="BZ455" i="5"/>
  <c r="BX455" i="5"/>
  <c r="BY455" i="5"/>
  <c r="BW455" i="5"/>
  <c r="BT455" i="5"/>
  <c r="BV455" i="5"/>
  <c r="BS455" i="5"/>
  <c r="BU455" i="5"/>
  <c r="BQ455" i="5"/>
  <c r="BR455" i="5"/>
  <c r="BM455" i="5"/>
  <c r="BL455" i="5"/>
  <c r="BJ455" i="5"/>
  <c r="BK455" i="5"/>
  <c r="BI455" i="5"/>
  <c r="BH455" i="5"/>
  <c r="BF455" i="5"/>
  <c r="BG455" i="5"/>
  <c r="BE455" i="5"/>
  <c r="BD455" i="5"/>
  <c r="BA455" i="5"/>
  <c r="BP455" i="5" s="1"/>
  <c r="AZ455" i="5"/>
  <c r="AY455" i="5"/>
  <c r="AU455" i="5"/>
  <c r="BN455" i="5" s="1"/>
  <c r="AV455" i="5"/>
  <c r="BC455" i="5" s="1"/>
  <c r="BB508" i="5"/>
  <c r="BO636" i="5"/>
  <c r="CG3" i="5"/>
  <c r="CF3" i="5"/>
  <c r="CK3" i="5"/>
  <c r="CD3" i="5"/>
  <c r="CI3" i="5"/>
  <c r="CE3" i="5"/>
  <c r="CA3" i="5"/>
  <c r="CC3" i="5"/>
  <c r="BY3" i="5"/>
  <c r="BU3" i="5"/>
  <c r="BV3" i="5"/>
  <c r="BW3" i="5"/>
  <c r="BT3" i="5"/>
  <c r="BS3" i="5"/>
  <c r="BR3" i="5"/>
  <c r="BQ3" i="5"/>
  <c r="BK3" i="5"/>
  <c r="BJ3" i="5"/>
  <c r="BM3" i="5"/>
  <c r="BH3" i="5"/>
  <c r="BI3" i="5"/>
  <c r="BG3" i="5"/>
  <c r="BF3" i="5"/>
  <c r="BE3" i="5"/>
  <c r="BD3" i="5"/>
  <c r="BA3" i="5"/>
  <c r="BP3" i="5" s="1"/>
  <c r="AZ3" i="5"/>
  <c r="AV3" i="5"/>
  <c r="BO3" i="5" s="1"/>
  <c r="AU3" i="5"/>
  <c r="BN3" i="5" s="1"/>
  <c r="AY3" i="5"/>
  <c r="CI35" i="5"/>
  <c r="CF35" i="5"/>
  <c r="CG35" i="5"/>
  <c r="CD35" i="5"/>
  <c r="CK35" i="5"/>
  <c r="CE35" i="5"/>
  <c r="CC35" i="5"/>
  <c r="CA35" i="5"/>
  <c r="BY35" i="5"/>
  <c r="BV35" i="5"/>
  <c r="BW35" i="5"/>
  <c r="BU35" i="5"/>
  <c r="BT35" i="5"/>
  <c r="BS35" i="5"/>
  <c r="BR35" i="5"/>
  <c r="BQ35" i="5"/>
  <c r="BK35" i="5"/>
  <c r="BJ35" i="5"/>
  <c r="BM35" i="5"/>
  <c r="BH35" i="5"/>
  <c r="BI35" i="5"/>
  <c r="BG35" i="5"/>
  <c r="BF35" i="5"/>
  <c r="BE35" i="5"/>
  <c r="BD35" i="5"/>
  <c r="BA35" i="5"/>
  <c r="BP35" i="5" s="1"/>
  <c r="AZ35" i="5"/>
  <c r="AV35" i="5"/>
  <c r="BO35" i="5" s="1"/>
  <c r="AU35" i="5"/>
  <c r="BN35" i="5" s="1"/>
  <c r="AY35" i="5"/>
  <c r="CJ67" i="5"/>
  <c r="CK67" i="5"/>
  <c r="CI67" i="5"/>
  <c r="CF67" i="5"/>
  <c r="CG67" i="5"/>
  <c r="CD67" i="5"/>
  <c r="CH67" i="5"/>
  <c r="CE67" i="5"/>
  <c r="CC67" i="5"/>
  <c r="CA67" i="5"/>
  <c r="BX67" i="5"/>
  <c r="BZ67" i="5"/>
  <c r="BY67" i="5"/>
  <c r="BV67" i="5"/>
  <c r="BW67" i="5"/>
  <c r="BU67" i="5"/>
  <c r="BT67" i="5"/>
  <c r="BS67" i="5"/>
  <c r="BR67" i="5"/>
  <c r="BQ67" i="5"/>
  <c r="BK67" i="5"/>
  <c r="BJ67" i="5"/>
  <c r="BL67" i="5"/>
  <c r="BM67" i="5"/>
  <c r="BH67" i="5"/>
  <c r="BI67" i="5"/>
  <c r="BG67" i="5"/>
  <c r="BF67" i="5"/>
  <c r="BE67" i="5"/>
  <c r="BD67" i="5"/>
  <c r="BA67" i="5"/>
  <c r="BP67" i="5" s="1"/>
  <c r="AZ67" i="5"/>
  <c r="AV67" i="5"/>
  <c r="BO67" i="5" s="1"/>
  <c r="AU67" i="5"/>
  <c r="BB67" i="5" s="1"/>
  <c r="AY67" i="5"/>
  <c r="CK99" i="5"/>
  <c r="CI99" i="5"/>
  <c r="CF99" i="5"/>
  <c r="CD99" i="5"/>
  <c r="CE99" i="5"/>
  <c r="CG99" i="5"/>
  <c r="CA99" i="5"/>
  <c r="CC99" i="5"/>
  <c r="BY99" i="5"/>
  <c r="BV99" i="5"/>
  <c r="BW99" i="5"/>
  <c r="BU99" i="5"/>
  <c r="BT99" i="5"/>
  <c r="BS99" i="5"/>
  <c r="BR99" i="5"/>
  <c r="BQ99" i="5"/>
  <c r="BK99" i="5"/>
  <c r="BJ99" i="5"/>
  <c r="BM99" i="5"/>
  <c r="BH99" i="5"/>
  <c r="BI99" i="5"/>
  <c r="BG99" i="5"/>
  <c r="BF99" i="5"/>
  <c r="BE99" i="5"/>
  <c r="BD99" i="5"/>
  <c r="BA99" i="5"/>
  <c r="BP99" i="5" s="1"/>
  <c r="AZ99" i="5"/>
  <c r="AV99" i="5"/>
  <c r="BO99" i="5" s="1"/>
  <c r="AU99" i="5"/>
  <c r="BN99" i="5" s="1"/>
  <c r="AY99" i="5"/>
  <c r="CK131" i="5"/>
  <c r="CI131" i="5"/>
  <c r="CF131" i="5"/>
  <c r="CD131" i="5"/>
  <c r="CE131" i="5"/>
  <c r="CA131" i="5"/>
  <c r="CC131" i="5"/>
  <c r="BY131" i="5"/>
  <c r="BV131" i="5"/>
  <c r="BW131" i="5"/>
  <c r="BU131" i="5"/>
  <c r="BT131" i="5"/>
  <c r="BS131" i="5"/>
  <c r="BR131" i="5"/>
  <c r="BQ131" i="5"/>
  <c r="BJ131" i="5"/>
  <c r="BM131" i="5"/>
  <c r="BH131" i="5"/>
  <c r="BK131" i="5"/>
  <c r="BI131" i="5"/>
  <c r="BG131" i="5"/>
  <c r="BF131" i="5"/>
  <c r="BE131" i="5"/>
  <c r="BD131" i="5"/>
  <c r="BA131" i="5"/>
  <c r="BP131" i="5" s="1"/>
  <c r="AZ131" i="5"/>
  <c r="AV131" i="5"/>
  <c r="BO131" i="5" s="1"/>
  <c r="AY131" i="5"/>
  <c r="AU131" i="5"/>
  <c r="BN131" i="5" s="1"/>
  <c r="CK163" i="5"/>
  <c r="CI163" i="5"/>
  <c r="CF163" i="5"/>
  <c r="CD163" i="5"/>
  <c r="CE163" i="5"/>
  <c r="CC163" i="5"/>
  <c r="CA163" i="5"/>
  <c r="BY163" i="5"/>
  <c r="BV163" i="5"/>
  <c r="BW163" i="5"/>
  <c r="BU163" i="5"/>
  <c r="BT163" i="5"/>
  <c r="BS163" i="5"/>
  <c r="BR163" i="5"/>
  <c r="BQ163" i="5"/>
  <c r="BJ163" i="5"/>
  <c r="BM163" i="5"/>
  <c r="BH163" i="5"/>
  <c r="BK163" i="5"/>
  <c r="BI163" i="5"/>
  <c r="BG163" i="5"/>
  <c r="BF163" i="5"/>
  <c r="BE163" i="5"/>
  <c r="BD163" i="5"/>
  <c r="BA163" i="5"/>
  <c r="BP163" i="5" s="1"/>
  <c r="AZ163" i="5"/>
  <c r="AV163" i="5"/>
  <c r="BC163" i="5" s="1"/>
  <c r="AY163" i="5"/>
  <c r="AU163" i="5"/>
  <c r="BN163" i="5" s="1"/>
  <c r="CJ339" i="5"/>
  <c r="CK339" i="5"/>
  <c r="CI339" i="5"/>
  <c r="CG339" i="5"/>
  <c r="CH339" i="5"/>
  <c r="CD339" i="5"/>
  <c r="CF339" i="5"/>
  <c r="CE339" i="5"/>
  <c r="CC339" i="5"/>
  <c r="CA339" i="5"/>
  <c r="BX339" i="5"/>
  <c r="BY339" i="5"/>
  <c r="BZ339" i="5"/>
  <c r="BV339" i="5"/>
  <c r="BW339" i="5"/>
  <c r="BU339" i="5"/>
  <c r="BT339" i="5"/>
  <c r="BS339" i="5"/>
  <c r="BQ339" i="5"/>
  <c r="BR339" i="5"/>
  <c r="BL339" i="5"/>
  <c r="BJ339" i="5"/>
  <c r="BM339" i="5"/>
  <c r="BH339" i="5"/>
  <c r="BK339" i="5"/>
  <c r="BI339" i="5"/>
  <c r="BG339" i="5"/>
  <c r="BF339" i="5"/>
  <c r="BE339" i="5"/>
  <c r="BD339" i="5"/>
  <c r="BA339" i="5"/>
  <c r="BP339" i="5" s="1"/>
  <c r="AZ339" i="5"/>
  <c r="AV339" i="5"/>
  <c r="BC339" i="5" s="1"/>
  <c r="AY339" i="5"/>
  <c r="AU339" i="5"/>
  <c r="BB339" i="5" s="1"/>
  <c r="CJ595" i="5"/>
  <c r="CI595" i="5"/>
  <c r="CK595" i="5"/>
  <c r="CG595" i="5"/>
  <c r="CH595" i="5"/>
  <c r="CE595" i="5"/>
  <c r="CF595" i="5"/>
  <c r="CD595" i="5"/>
  <c r="CC595" i="5"/>
  <c r="CA595" i="5"/>
  <c r="BZ595" i="5"/>
  <c r="BY595" i="5"/>
  <c r="BX595" i="5"/>
  <c r="BV595" i="5"/>
  <c r="BW595" i="5"/>
  <c r="BT595" i="5"/>
  <c r="BU595" i="5"/>
  <c r="BS595" i="5"/>
  <c r="BQ595" i="5"/>
  <c r="BR595" i="5"/>
  <c r="BL595" i="5"/>
  <c r="BJ595" i="5"/>
  <c r="BM595" i="5"/>
  <c r="BH595" i="5"/>
  <c r="BK595" i="5"/>
  <c r="BI595" i="5"/>
  <c r="BG595" i="5"/>
  <c r="BF595" i="5"/>
  <c r="BE595" i="5"/>
  <c r="BD595" i="5"/>
  <c r="BA595" i="5"/>
  <c r="BP595" i="5" s="1"/>
  <c r="AZ595" i="5"/>
  <c r="AV595" i="5"/>
  <c r="BO595" i="5" s="1"/>
  <c r="AY595" i="5"/>
  <c r="AU595" i="5"/>
  <c r="BB595" i="5" s="1"/>
  <c r="CK143" i="5"/>
  <c r="CI143" i="5"/>
  <c r="CF143" i="5"/>
  <c r="CE143" i="5"/>
  <c r="CC143" i="5"/>
  <c r="CD143" i="5"/>
  <c r="CA143" i="5"/>
  <c r="BY143" i="5"/>
  <c r="BU143" i="5"/>
  <c r="BT143" i="5"/>
  <c r="BW143" i="5"/>
  <c r="BV143" i="5"/>
  <c r="BS143" i="5"/>
  <c r="BR143" i="5"/>
  <c r="BQ143" i="5"/>
  <c r="BM143" i="5"/>
  <c r="BJ143" i="5"/>
  <c r="BI143" i="5"/>
  <c r="BH143" i="5"/>
  <c r="BK143" i="5"/>
  <c r="BF143" i="5"/>
  <c r="BG143" i="5"/>
  <c r="BE143" i="5"/>
  <c r="BD143" i="5"/>
  <c r="BA143" i="5"/>
  <c r="BP143" i="5" s="1"/>
  <c r="AZ143" i="5"/>
  <c r="AY143" i="5"/>
  <c r="AU143" i="5"/>
  <c r="BN143" i="5" s="1"/>
  <c r="AV143" i="5"/>
  <c r="BO143" i="5" s="1"/>
  <c r="BN156" i="5"/>
  <c r="BZ156" i="5" s="1"/>
  <c r="BO180" i="5"/>
  <c r="BC276" i="5"/>
  <c r="BB308" i="5"/>
  <c r="CK383" i="5"/>
  <c r="CH383" i="5"/>
  <c r="CJ383" i="5"/>
  <c r="CI383" i="5"/>
  <c r="CG383" i="5"/>
  <c r="CE383" i="5"/>
  <c r="CF383" i="5"/>
  <c r="CD383" i="5"/>
  <c r="CC383" i="5"/>
  <c r="CA383" i="5"/>
  <c r="BZ383" i="5"/>
  <c r="BX383" i="5"/>
  <c r="BY383" i="5"/>
  <c r="BV383" i="5"/>
  <c r="BU383" i="5"/>
  <c r="BT383" i="5"/>
  <c r="BW383" i="5"/>
  <c r="BS383" i="5"/>
  <c r="BQ383" i="5"/>
  <c r="BR383" i="5"/>
  <c r="BM383" i="5"/>
  <c r="BL383" i="5"/>
  <c r="BJ383" i="5"/>
  <c r="BI383" i="5"/>
  <c r="BH383" i="5"/>
  <c r="BK383" i="5"/>
  <c r="BG383" i="5"/>
  <c r="BF383" i="5"/>
  <c r="BE383" i="5"/>
  <c r="BD383" i="5"/>
  <c r="BA383" i="5"/>
  <c r="BP383" i="5" s="1"/>
  <c r="AZ383" i="5"/>
  <c r="AY383" i="5"/>
  <c r="AU383" i="5"/>
  <c r="BB383" i="5" s="1"/>
  <c r="AV383" i="5"/>
  <c r="BO383" i="5" s="1"/>
  <c r="BC404" i="5"/>
  <c r="CK511" i="5"/>
  <c r="CI511" i="5"/>
  <c r="CG511" i="5"/>
  <c r="CH511" i="5"/>
  <c r="CJ511" i="5"/>
  <c r="CE511" i="5"/>
  <c r="CF511" i="5"/>
  <c r="CD511" i="5"/>
  <c r="CA511" i="5"/>
  <c r="CC511" i="5"/>
  <c r="BZ511" i="5"/>
  <c r="BX511" i="5"/>
  <c r="BY511" i="5"/>
  <c r="BV511" i="5"/>
  <c r="BT511" i="5"/>
  <c r="BW511" i="5"/>
  <c r="BS511" i="5"/>
  <c r="BQ511" i="5"/>
  <c r="BU511" i="5"/>
  <c r="BR511" i="5"/>
  <c r="BM511" i="5"/>
  <c r="BL511" i="5"/>
  <c r="BJ511" i="5"/>
  <c r="BI511" i="5"/>
  <c r="BH511" i="5"/>
  <c r="BK511" i="5"/>
  <c r="BG511" i="5"/>
  <c r="BF511" i="5"/>
  <c r="BE511" i="5"/>
  <c r="BD511" i="5"/>
  <c r="BA511" i="5"/>
  <c r="BP511" i="5" s="1"/>
  <c r="AZ511" i="5"/>
  <c r="AY511" i="5"/>
  <c r="AU511" i="5"/>
  <c r="BB511" i="5" s="1"/>
  <c r="AV511" i="5"/>
  <c r="BC511" i="5" s="1"/>
  <c r="BO692" i="5"/>
  <c r="CJ203" i="5"/>
  <c r="CF203" i="5"/>
  <c r="CI203" i="5"/>
  <c r="CK203" i="5"/>
  <c r="CH203" i="5"/>
  <c r="CD203" i="5"/>
  <c r="CG203" i="5"/>
  <c r="CE203" i="5"/>
  <c r="CA203" i="5"/>
  <c r="CC203" i="5"/>
  <c r="BZ203" i="5"/>
  <c r="BY203" i="5"/>
  <c r="BX203" i="5"/>
  <c r="BW203" i="5"/>
  <c r="BV203" i="5"/>
  <c r="BU203" i="5"/>
  <c r="BT203" i="5"/>
  <c r="BS203" i="5"/>
  <c r="BQ203" i="5"/>
  <c r="BR203" i="5"/>
  <c r="BJ203" i="5"/>
  <c r="BL203" i="5"/>
  <c r="BM203" i="5"/>
  <c r="BH203" i="5"/>
  <c r="BK203" i="5"/>
  <c r="BI203" i="5"/>
  <c r="BF203" i="5"/>
  <c r="BE203" i="5"/>
  <c r="BD203" i="5"/>
  <c r="BG203" i="5"/>
  <c r="BA203" i="5"/>
  <c r="BP203" i="5" s="1"/>
  <c r="AZ203" i="5"/>
  <c r="AV203" i="5"/>
  <c r="BO203" i="5" s="1"/>
  <c r="AU203" i="5"/>
  <c r="BB203" i="5" s="1"/>
  <c r="AY203" i="5"/>
  <c r="CI395" i="5"/>
  <c r="CK395" i="5"/>
  <c r="CD395" i="5"/>
  <c r="CF395" i="5"/>
  <c r="CE395" i="5"/>
  <c r="CC395" i="5"/>
  <c r="CA395" i="5"/>
  <c r="BY395" i="5"/>
  <c r="BW395" i="5"/>
  <c r="BV395" i="5"/>
  <c r="BU395" i="5"/>
  <c r="BT395" i="5"/>
  <c r="BS395" i="5"/>
  <c r="BQ395" i="5"/>
  <c r="BR395" i="5"/>
  <c r="BJ395" i="5"/>
  <c r="BM395" i="5"/>
  <c r="BH395" i="5"/>
  <c r="BK395" i="5"/>
  <c r="BI395" i="5"/>
  <c r="BG395" i="5"/>
  <c r="BF395" i="5"/>
  <c r="BE395" i="5"/>
  <c r="BD395" i="5"/>
  <c r="BA395" i="5"/>
  <c r="BP395" i="5" s="1"/>
  <c r="AZ395" i="5"/>
  <c r="AV395" i="5"/>
  <c r="BC395" i="5" s="1"/>
  <c r="AU395" i="5"/>
  <c r="BN395" i="5" s="1"/>
  <c r="AY395" i="5"/>
  <c r="CK651" i="5"/>
  <c r="CJ651" i="5"/>
  <c r="CG651" i="5"/>
  <c r="CI651" i="5"/>
  <c r="CH651" i="5"/>
  <c r="CD651" i="5"/>
  <c r="CF651" i="5"/>
  <c r="CE651" i="5"/>
  <c r="CC651" i="5"/>
  <c r="CA651" i="5"/>
  <c r="BY651" i="5"/>
  <c r="BZ651" i="5"/>
  <c r="BV651" i="5"/>
  <c r="BX651" i="5"/>
  <c r="BW651" i="5"/>
  <c r="BT651" i="5"/>
  <c r="BU651" i="5"/>
  <c r="BS651" i="5"/>
  <c r="BQ651" i="5"/>
  <c r="BR651" i="5"/>
  <c r="BL651" i="5"/>
  <c r="BJ651" i="5"/>
  <c r="BM651" i="5"/>
  <c r="BH651" i="5"/>
  <c r="BK651" i="5"/>
  <c r="BI651" i="5"/>
  <c r="BG651" i="5"/>
  <c r="BF651" i="5"/>
  <c r="BE651" i="5"/>
  <c r="BD651" i="5"/>
  <c r="BA651" i="5"/>
  <c r="BP651" i="5" s="1"/>
  <c r="AZ651" i="5"/>
  <c r="AV651" i="5"/>
  <c r="BC651" i="5" s="1"/>
  <c r="AU651" i="5"/>
  <c r="BN651" i="5" s="1"/>
  <c r="AY651" i="5"/>
  <c r="CI86" i="5"/>
  <c r="CK86" i="5"/>
  <c r="CF86" i="5"/>
  <c r="CE86" i="5"/>
  <c r="CD86" i="5"/>
  <c r="CC86" i="5"/>
  <c r="CA86" i="5"/>
  <c r="BY86" i="5"/>
  <c r="BW86" i="5"/>
  <c r="BU86" i="5"/>
  <c r="BV86" i="5"/>
  <c r="BS86" i="5"/>
  <c r="BR86" i="5"/>
  <c r="BT86" i="5"/>
  <c r="BQ86" i="5"/>
  <c r="BM86" i="5"/>
  <c r="BK86" i="5"/>
  <c r="BJ86" i="5"/>
  <c r="BI86" i="5"/>
  <c r="BH86" i="5"/>
  <c r="BG86" i="5"/>
  <c r="BF86" i="5"/>
  <c r="BE86" i="5"/>
  <c r="BD86" i="5"/>
  <c r="AZ86" i="5"/>
  <c r="AY86" i="5"/>
  <c r="BA86" i="5"/>
  <c r="BP86" i="5" s="1"/>
  <c r="AU86" i="5"/>
  <c r="BB86" i="5" s="1"/>
  <c r="AV86" i="5"/>
  <c r="BO86" i="5" s="1"/>
  <c r="CK142" i="5"/>
  <c r="CJ142" i="5"/>
  <c r="CI142" i="5"/>
  <c r="CF142" i="5"/>
  <c r="CG142" i="5"/>
  <c r="CE142" i="5"/>
  <c r="CH142" i="5"/>
  <c r="CC142" i="5"/>
  <c r="CD142" i="5"/>
  <c r="BZ142" i="5"/>
  <c r="CA142" i="5"/>
  <c r="BW142" i="5"/>
  <c r="BY142" i="5"/>
  <c r="BX142" i="5"/>
  <c r="BU142" i="5"/>
  <c r="BS142" i="5"/>
  <c r="BV142" i="5"/>
  <c r="BR142" i="5"/>
  <c r="BT142" i="5"/>
  <c r="BQ142" i="5"/>
  <c r="BM142" i="5"/>
  <c r="BL142" i="5"/>
  <c r="BJ142" i="5"/>
  <c r="BI142" i="5"/>
  <c r="BH142" i="5"/>
  <c r="BK142" i="5"/>
  <c r="BG142" i="5"/>
  <c r="BF142" i="5"/>
  <c r="BE142" i="5"/>
  <c r="BD142" i="5"/>
  <c r="AZ142" i="5"/>
  <c r="BA142" i="5"/>
  <c r="BP142" i="5" s="1"/>
  <c r="AY142" i="5"/>
  <c r="AU142" i="5"/>
  <c r="BB142" i="5" s="1"/>
  <c r="AV142" i="5"/>
  <c r="BO142" i="5" s="1"/>
  <c r="CK174" i="5"/>
  <c r="CI174" i="5"/>
  <c r="CF174" i="5"/>
  <c r="CE174" i="5"/>
  <c r="CD174" i="5"/>
  <c r="CC174" i="5"/>
  <c r="CA174" i="5"/>
  <c r="BW174" i="5"/>
  <c r="BY174" i="5"/>
  <c r="BU174" i="5"/>
  <c r="BS174" i="5"/>
  <c r="BV174" i="5"/>
  <c r="BT174" i="5"/>
  <c r="BQ174" i="5"/>
  <c r="BR174" i="5"/>
  <c r="BM174" i="5"/>
  <c r="BJ174" i="5"/>
  <c r="BI174" i="5"/>
  <c r="BH174" i="5"/>
  <c r="BK174" i="5"/>
  <c r="BG174" i="5"/>
  <c r="BF174" i="5"/>
  <c r="BE174" i="5"/>
  <c r="BD174" i="5"/>
  <c r="AZ174" i="5"/>
  <c r="BA174" i="5"/>
  <c r="BP174" i="5" s="1"/>
  <c r="AY174" i="5"/>
  <c r="AU174" i="5"/>
  <c r="BN174" i="5" s="1"/>
  <c r="AV174" i="5"/>
  <c r="BC174" i="5" s="1"/>
  <c r="CJ206" i="5"/>
  <c r="CI206" i="5"/>
  <c r="CK206" i="5"/>
  <c r="CG206" i="5"/>
  <c r="CF206" i="5"/>
  <c r="CH206" i="5"/>
  <c r="CE206" i="5"/>
  <c r="CC206" i="5"/>
  <c r="CD206" i="5"/>
  <c r="BZ206" i="5"/>
  <c r="BX206" i="5"/>
  <c r="CA206" i="5"/>
  <c r="BW206" i="5"/>
  <c r="BY206" i="5"/>
  <c r="BU206" i="5"/>
  <c r="BS206" i="5"/>
  <c r="BV206" i="5"/>
  <c r="BT206" i="5"/>
  <c r="BQ206" i="5"/>
  <c r="BR206" i="5"/>
  <c r="BM206" i="5"/>
  <c r="BL206" i="5"/>
  <c r="BJ206" i="5"/>
  <c r="BI206" i="5"/>
  <c r="BH206" i="5"/>
  <c r="BK206" i="5"/>
  <c r="BG206" i="5"/>
  <c r="BF206" i="5"/>
  <c r="BE206" i="5"/>
  <c r="BD206" i="5"/>
  <c r="AZ206" i="5"/>
  <c r="BA206" i="5"/>
  <c r="BP206" i="5" s="1"/>
  <c r="AY206" i="5"/>
  <c r="AU206" i="5"/>
  <c r="BN206" i="5" s="1"/>
  <c r="AV206" i="5"/>
  <c r="BC206" i="5" s="1"/>
  <c r="CI238" i="5"/>
  <c r="CK238" i="5"/>
  <c r="CF238" i="5"/>
  <c r="CE238" i="5"/>
  <c r="CC238" i="5"/>
  <c r="CD238" i="5"/>
  <c r="CA238" i="5"/>
  <c r="BW238" i="5"/>
  <c r="BY238" i="5"/>
  <c r="BU238" i="5"/>
  <c r="BS238" i="5"/>
  <c r="BV238" i="5"/>
  <c r="BT238" i="5"/>
  <c r="BQ238" i="5"/>
  <c r="BR238" i="5"/>
  <c r="BM238" i="5"/>
  <c r="BJ238" i="5"/>
  <c r="BI238" i="5"/>
  <c r="BH238" i="5"/>
  <c r="BK238" i="5"/>
  <c r="BG238" i="5"/>
  <c r="BF238" i="5"/>
  <c r="BE238" i="5"/>
  <c r="BD238" i="5"/>
  <c r="AZ238" i="5"/>
  <c r="BA238" i="5"/>
  <c r="BP238" i="5" s="1"/>
  <c r="AY238" i="5"/>
  <c r="AU238" i="5"/>
  <c r="BN238" i="5" s="1"/>
  <c r="AV238" i="5"/>
  <c r="BO238" i="5" s="1"/>
  <c r="CJ270" i="5"/>
  <c r="CI270" i="5"/>
  <c r="CH270" i="5"/>
  <c r="CK270" i="5"/>
  <c r="CG270" i="5"/>
  <c r="CF270" i="5"/>
  <c r="CE270" i="5"/>
  <c r="CD270" i="5"/>
  <c r="CC270" i="5"/>
  <c r="BZ270" i="5"/>
  <c r="CA270" i="5"/>
  <c r="BW270" i="5"/>
  <c r="BY270" i="5"/>
  <c r="BX270" i="5"/>
  <c r="BU270" i="5"/>
  <c r="BS270" i="5"/>
  <c r="BV270" i="5"/>
  <c r="BT270" i="5"/>
  <c r="BQ270" i="5"/>
  <c r="BR270" i="5"/>
  <c r="BL270" i="5"/>
  <c r="BM270" i="5"/>
  <c r="BJ270" i="5"/>
  <c r="BI270" i="5"/>
  <c r="BH270" i="5"/>
  <c r="BK270" i="5"/>
  <c r="BG270" i="5"/>
  <c r="BF270" i="5"/>
  <c r="BE270" i="5"/>
  <c r="BD270" i="5"/>
  <c r="AZ270" i="5"/>
  <c r="BA270" i="5"/>
  <c r="BP270" i="5" s="1"/>
  <c r="AY270" i="5"/>
  <c r="AU270" i="5"/>
  <c r="BB270" i="5" s="1"/>
  <c r="AV270" i="5"/>
  <c r="BO270" i="5" s="1"/>
  <c r="CK302" i="5"/>
  <c r="CI302" i="5"/>
  <c r="CH302" i="5"/>
  <c r="CJ302" i="5"/>
  <c r="CG302" i="5"/>
  <c r="CF302" i="5"/>
  <c r="CE302" i="5"/>
  <c r="CD302" i="5"/>
  <c r="CC302" i="5"/>
  <c r="BZ302" i="5"/>
  <c r="CA302" i="5"/>
  <c r="BX302" i="5"/>
  <c r="BW302" i="5"/>
  <c r="BY302" i="5"/>
  <c r="BU302" i="5"/>
  <c r="BS302" i="5"/>
  <c r="BV302" i="5"/>
  <c r="BT302" i="5"/>
  <c r="BQ302" i="5"/>
  <c r="BR302" i="5"/>
  <c r="BM302" i="5"/>
  <c r="BL302" i="5"/>
  <c r="BJ302" i="5"/>
  <c r="BI302" i="5"/>
  <c r="BH302" i="5"/>
  <c r="BK302" i="5"/>
  <c r="BG302" i="5"/>
  <c r="BF302" i="5"/>
  <c r="BE302" i="5"/>
  <c r="BD302" i="5"/>
  <c r="AZ302" i="5"/>
  <c r="BA302" i="5"/>
  <c r="BP302" i="5" s="1"/>
  <c r="AY302" i="5"/>
  <c r="AU302" i="5"/>
  <c r="BN302" i="5" s="1"/>
  <c r="AV302" i="5"/>
  <c r="BO302" i="5" s="1"/>
  <c r="CI334" i="5"/>
  <c r="CH334" i="5"/>
  <c r="CK334" i="5"/>
  <c r="CJ334" i="5"/>
  <c r="CF334" i="5"/>
  <c r="CE334" i="5"/>
  <c r="CG334" i="5"/>
  <c r="CD334" i="5"/>
  <c r="CC334" i="5"/>
  <c r="BZ334" i="5"/>
  <c r="CA334" i="5"/>
  <c r="BW334" i="5"/>
  <c r="BY334" i="5"/>
  <c r="BX334" i="5"/>
  <c r="BU334" i="5"/>
  <c r="BS334" i="5"/>
  <c r="BV334" i="5"/>
  <c r="BT334" i="5"/>
  <c r="BQ334" i="5"/>
  <c r="BR334" i="5"/>
  <c r="BM334" i="5"/>
  <c r="BL334" i="5"/>
  <c r="BJ334" i="5"/>
  <c r="BI334" i="5"/>
  <c r="BH334" i="5"/>
  <c r="BK334" i="5"/>
  <c r="BG334" i="5"/>
  <c r="BF334" i="5"/>
  <c r="BE334" i="5"/>
  <c r="BD334" i="5"/>
  <c r="AZ334" i="5"/>
  <c r="BA334" i="5"/>
  <c r="BP334" i="5" s="1"/>
  <c r="AY334" i="5"/>
  <c r="AU334" i="5"/>
  <c r="BN334" i="5" s="1"/>
  <c r="AV334" i="5"/>
  <c r="BO334" i="5" s="1"/>
  <c r="CI366" i="5"/>
  <c r="CJ366" i="5"/>
  <c r="CH366" i="5"/>
  <c r="CG366" i="5"/>
  <c r="CK366" i="5"/>
  <c r="CF366" i="5"/>
  <c r="CE366" i="5"/>
  <c r="CC366" i="5"/>
  <c r="CD366" i="5"/>
  <c r="BZ366" i="5"/>
  <c r="CA366" i="5"/>
  <c r="BW366" i="5"/>
  <c r="BY366" i="5"/>
  <c r="BX366" i="5"/>
  <c r="BU366" i="5"/>
  <c r="BV366" i="5"/>
  <c r="BS366" i="5"/>
  <c r="BT366" i="5"/>
  <c r="BQ366" i="5"/>
  <c r="BR366" i="5"/>
  <c r="BM366" i="5"/>
  <c r="BL366" i="5"/>
  <c r="BJ366" i="5"/>
  <c r="BI366" i="5"/>
  <c r="BH366" i="5"/>
  <c r="BK366" i="5"/>
  <c r="BG366" i="5"/>
  <c r="BF366" i="5"/>
  <c r="BE366" i="5"/>
  <c r="AZ366" i="5"/>
  <c r="BD366" i="5"/>
  <c r="BA366" i="5"/>
  <c r="AY366" i="5"/>
  <c r="AU366" i="5"/>
  <c r="AV366" i="5"/>
  <c r="CI398" i="5"/>
  <c r="CK398" i="5"/>
  <c r="CF398" i="5"/>
  <c r="CE398" i="5"/>
  <c r="CD398" i="5"/>
  <c r="CC398" i="5"/>
  <c r="CA398" i="5"/>
  <c r="BW398" i="5"/>
  <c r="BY398" i="5"/>
  <c r="BU398" i="5"/>
  <c r="BV398" i="5"/>
  <c r="BS398" i="5"/>
  <c r="BT398" i="5"/>
  <c r="BQ398" i="5"/>
  <c r="BR398" i="5"/>
  <c r="BM398" i="5"/>
  <c r="BJ398" i="5"/>
  <c r="BI398" i="5"/>
  <c r="BH398" i="5"/>
  <c r="BK398" i="5"/>
  <c r="BG398" i="5"/>
  <c r="BF398" i="5"/>
  <c r="BE398" i="5"/>
  <c r="AZ398" i="5"/>
  <c r="BD398" i="5"/>
  <c r="BA398" i="5"/>
  <c r="BP398" i="5" s="1"/>
  <c r="AY398" i="5"/>
  <c r="AU398" i="5"/>
  <c r="BB398" i="5" s="1"/>
  <c r="AV398" i="5"/>
  <c r="BO398" i="5" s="1"/>
  <c r="CK430" i="5"/>
  <c r="CI430" i="5"/>
  <c r="CF430" i="5"/>
  <c r="CE430" i="5"/>
  <c r="CD430" i="5"/>
  <c r="CC430" i="5"/>
  <c r="CA430" i="5"/>
  <c r="BW430" i="5"/>
  <c r="BY430" i="5"/>
  <c r="BV430" i="5"/>
  <c r="BS430" i="5"/>
  <c r="BU430" i="5"/>
  <c r="BT430" i="5"/>
  <c r="BQ430" i="5"/>
  <c r="BR430" i="5"/>
  <c r="BM430" i="5"/>
  <c r="BJ430" i="5"/>
  <c r="BI430" i="5"/>
  <c r="BH430" i="5"/>
  <c r="BK430" i="5"/>
  <c r="BG430" i="5"/>
  <c r="BF430" i="5"/>
  <c r="BE430" i="5"/>
  <c r="AZ430" i="5"/>
  <c r="BD430" i="5"/>
  <c r="BA430" i="5"/>
  <c r="AY430" i="5"/>
  <c r="AU430" i="5"/>
  <c r="AV430" i="5"/>
  <c r="CI462" i="5"/>
  <c r="CK462" i="5"/>
  <c r="CG462" i="5"/>
  <c r="CJ462" i="5"/>
  <c r="CH462" i="5"/>
  <c r="CF462" i="5"/>
  <c r="CE462" i="5"/>
  <c r="CD462" i="5"/>
  <c r="BZ462" i="5"/>
  <c r="CA462" i="5"/>
  <c r="CC462" i="5"/>
  <c r="BW462" i="5"/>
  <c r="BY462" i="5"/>
  <c r="BX462" i="5"/>
  <c r="BV462" i="5"/>
  <c r="BS462" i="5"/>
  <c r="BU462" i="5"/>
  <c r="BT462" i="5"/>
  <c r="BQ462" i="5"/>
  <c r="BR462" i="5"/>
  <c r="BM462" i="5"/>
  <c r="BL462" i="5"/>
  <c r="BJ462" i="5"/>
  <c r="BI462" i="5"/>
  <c r="BH462" i="5"/>
  <c r="BK462" i="5"/>
  <c r="BG462" i="5"/>
  <c r="BF462" i="5"/>
  <c r="BE462" i="5"/>
  <c r="AZ462" i="5"/>
  <c r="BD462" i="5"/>
  <c r="BA462" i="5"/>
  <c r="AY462" i="5"/>
  <c r="AU462" i="5"/>
  <c r="AV462" i="5"/>
  <c r="CI494" i="5"/>
  <c r="CK494" i="5"/>
  <c r="CJ494" i="5"/>
  <c r="CF494" i="5"/>
  <c r="CG494" i="5"/>
  <c r="CE494" i="5"/>
  <c r="CH494" i="5"/>
  <c r="CC494" i="5"/>
  <c r="CD494" i="5"/>
  <c r="BZ494" i="5"/>
  <c r="CA494" i="5"/>
  <c r="BW494" i="5"/>
  <c r="BX494" i="5"/>
  <c r="BY494" i="5"/>
  <c r="BV494" i="5"/>
  <c r="BS494" i="5"/>
  <c r="BU494" i="5"/>
  <c r="BT494" i="5"/>
  <c r="BQ494" i="5"/>
  <c r="BR494" i="5"/>
  <c r="BM494" i="5"/>
  <c r="BL494" i="5"/>
  <c r="BJ494" i="5"/>
  <c r="BI494" i="5"/>
  <c r="BH494" i="5"/>
  <c r="BK494" i="5"/>
  <c r="BG494" i="5"/>
  <c r="BF494" i="5"/>
  <c r="BE494" i="5"/>
  <c r="AZ494" i="5"/>
  <c r="BD494" i="5"/>
  <c r="BA494" i="5"/>
  <c r="BP494" i="5" s="1"/>
  <c r="AY494" i="5"/>
  <c r="AU494" i="5"/>
  <c r="BN494" i="5" s="1"/>
  <c r="AV494" i="5"/>
  <c r="BC494" i="5" s="1"/>
  <c r="CI526" i="5"/>
  <c r="CK526" i="5"/>
  <c r="CJ526" i="5"/>
  <c r="CH526" i="5"/>
  <c r="CF526" i="5"/>
  <c r="CE526" i="5"/>
  <c r="CG526" i="5"/>
  <c r="CD526" i="5"/>
  <c r="BZ526" i="5"/>
  <c r="CA526" i="5"/>
  <c r="CC526" i="5"/>
  <c r="BW526" i="5"/>
  <c r="BX526" i="5"/>
  <c r="BY526" i="5"/>
  <c r="BV526" i="5"/>
  <c r="BS526" i="5"/>
  <c r="BU526" i="5"/>
  <c r="BT526" i="5"/>
  <c r="BQ526" i="5"/>
  <c r="BR526" i="5"/>
  <c r="BM526" i="5"/>
  <c r="BL526" i="5"/>
  <c r="BJ526" i="5"/>
  <c r="BI526" i="5"/>
  <c r="BH526" i="5"/>
  <c r="BK526" i="5"/>
  <c r="BG526" i="5"/>
  <c r="BF526" i="5"/>
  <c r="BE526" i="5"/>
  <c r="AZ526" i="5"/>
  <c r="BD526" i="5"/>
  <c r="BA526" i="5"/>
  <c r="BP526" i="5" s="1"/>
  <c r="AY526" i="5"/>
  <c r="AU526" i="5"/>
  <c r="BN526" i="5" s="1"/>
  <c r="AV526" i="5"/>
  <c r="BC526" i="5" s="1"/>
  <c r="CK558" i="5"/>
  <c r="CI558" i="5"/>
  <c r="CJ558" i="5"/>
  <c r="CH558" i="5"/>
  <c r="CG558" i="5"/>
  <c r="CF558" i="5"/>
  <c r="CE558" i="5"/>
  <c r="CD558" i="5"/>
  <c r="CC558" i="5"/>
  <c r="CA558" i="5"/>
  <c r="BX558" i="5"/>
  <c r="BY558" i="5"/>
  <c r="BZ558" i="5"/>
  <c r="BW558" i="5"/>
  <c r="BV558" i="5"/>
  <c r="BS558" i="5"/>
  <c r="BU558" i="5"/>
  <c r="BT558" i="5"/>
  <c r="BQ558" i="5"/>
  <c r="BR558" i="5"/>
  <c r="BM558" i="5"/>
  <c r="BL558" i="5"/>
  <c r="BJ558" i="5"/>
  <c r="BI558" i="5"/>
  <c r="BH558" i="5"/>
  <c r="BK558" i="5"/>
  <c r="BG558" i="5"/>
  <c r="BF558" i="5"/>
  <c r="BE558" i="5"/>
  <c r="AZ558" i="5"/>
  <c r="BD558" i="5"/>
  <c r="BA558" i="5"/>
  <c r="BP558" i="5" s="1"/>
  <c r="AY558" i="5"/>
  <c r="AU558" i="5"/>
  <c r="BN558" i="5" s="1"/>
  <c r="AV558" i="5"/>
  <c r="BC558" i="5" s="1"/>
  <c r="CI590" i="5"/>
  <c r="CH590" i="5"/>
  <c r="CK590" i="5"/>
  <c r="CF590" i="5"/>
  <c r="CG590" i="5"/>
  <c r="CE590" i="5"/>
  <c r="CJ590" i="5"/>
  <c r="CD590" i="5"/>
  <c r="CC590" i="5"/>
  <c r="CA590" i="5"/>
  <c r="BY590" i="5"/>
  <c r="BX590" i="5"/>
  <c r="BZ590" i="5"/>
  <c r="BW590" i="5"/>
  <c r="BV590" i="5"/>
  <c r="BS590" i="5"/>
  <c r="BU590" i="5"/>
  <c r="BT590" i="5"/>
  <c r="BQ590" i="5"/>
  <c r="BR590" i="5"/>
  <c r="BM590" i="5"/>
  <c r="BL590" i="5"/>
  <c r="BJ590" i="5"/>
  <c r="BI590" i="5"/>
  <c r="BH590" i="5"/>
  <c r="BK590" i="5"/>
  <c r="BG590" i="5"/>
  <c r="BF590" i="5"/>
  <c r="BE590" i="5"/>
  <c r="AZ590" i="5"/>
  <c r="BD590" i="5"/>
  <c r="BA590" i="5"/>
  <c r="BP590" i="5" s="1"/>
  <c r="AY590" i="5"/>
  <c r="AU590" i="5"/>
  <c r="BN590" i="5" s="1"/>
  <c r="AV590" i="5"/>
  <c r="BC590" i="5" s="1"/>
  <c r="CK622" i="5"/>
  <c r="CI622" i="5"/>
  <c r="CF622" i="5"/>
  <c r="CE622" i="5"/>
  <c r="CD622" i="5"/>
  <c r="CC622" i="5"/>
  <c r="CA622" i="5"/>
  <c r="BY622" i="5"/>
  <c r="BW622" i="5"/>
  <c r="BV622" i="5"/>
  <c r="BS622" i="5"/>
  <c r="BU622" i="5"/>
  <c r="BT622" i="5"/>
  <c r="BQ622" i="5"/>
  <c r="BR622" i="5"/>
  <c r="BM622" i="5"/>
  <c r="BJ622" i="5"/>
  <c r="BI622" i="5"/>
  <c r="BH622" i="5"/>
  <c r="BK622" i="5"/>
  <c r="BG622" i="5"/>
  <c r="BF622" i="5"/>
  <c r="BE622" i="5"/>
  <c r="AZ622" i="5"/>
  <c r="BD622" i="5"/>
  <c r="BA622" i="5"/>
  <c r="BP622" i="5" s="1"/>
  <c r="AY622" i="5"/>
  <c r="AU622" i="5"/>
  <c r="BN622" i="5" s="1"/>
  <c r="AV622" i="5"/>
  <c r="BO622" i="5" s="1"/>
  <c r="CK678" i="5"/>
  <c r="CJ678" i="5"/>
  <c r="CG678" i="5"/>
  <c r="CI678" i="5"/>
  <c r="CH678" i="5"/>
  <c r="CD678" i="5"/>
  <c r="CC678" i="5"/>
  <c r="CE678" i="5"/>
  <c r="CF678" i="5"/>
  <c r="CA678" i="5"/>
  <c r="BZ678" i="5"/>
  <c r="BY678" i="5"/>
  <c r="BW678" i="5"/>
  <c r="BV678" i="5"/>
  <c r="BX678" i="5"/>
  <c r="BS678" i="5"/>
  <c r="BU678" i="5"/>
  <c r="BT678" i="5"/>
  <c r="BR678" i="5"/>
  <c r="BQ678" i="5"/>
  <c r="BM678" i="5"/>
  <c r="BL678" i="5"/>
  <c r="BK678" i="5"/>
  <c r="BI678" i="5"/>
  <c r="BH678" i="5"/>
  <c r="BJ678" i="5"/>
  <c r="BG678" i="5"/>
  <c r="BF678" i="5"/>
  <c r="BE678" i="5"/>
  <c r="AZ678" i="5"/>
  <c r="BD678" i="5"/>
  <c r="BA678" i="5"/>
  <c r="BP678" i="5" s="1"/>
  <c r="AU678" i="5"/>
  <c r="BN678" i="5" s="1"/>
  <c r="AY678" i="5"/>
  <c r="AV678" i="5"/>
  <c r="BO678" i="5" s="1"/>
  <c r="CK407" i="5"/>
  <c r="CI407" i="5"/>
  <c r="CF407" i="5"/>
  <c r="CD407" i="5"/>
  <c r="CE407" i="5"/>
  <c r="CC407" i="5"/>
  <c r="CA407" i="5"/>
  <c r="BY407" i="5"/>
  <c r="BW407" i="5"/>
  <c r="BU407" i="5"/>
  <c r="BV407" i="5"/>
  <c r="BT407" i="5"/>
  <c r="BS407" i="5"/>
  <c r="BQ407" i="5"/>
  <c r="BR407" i="5"/>
  <c r="BM407" i="5"/>
  <c r="BJ407" i="5"/>
  <c r="BK407" i="5"/>
  <c r="BI407" i="5"/>
  <c r="BH407" i="5"/>
  <c r="BG407" i="5"/>
  <c r="BF407" i="5"/>
  <c r="BE407" i="5"/>
  <c r="BD407" i="5"/>
  <c r="BA407" i="5"/>
  <c r="BP407" i="5" s="1"/>
  <c r="AZ407" i="5"/>
  <c r="AY407" i="5"/>
  <c r="AU407" i="5"/>
  <c r="BB407" i="5" s="1"/>
  <c r="AV407" i="5"/>
  <c r="BC407" i="5" s="1"/>
  <c r="BB460" i="5"/>
  <c r="CK631" i="5"/>
  <c r="CI631" i="5"/>
  <c r="CF631" i="5"/>
  <c r="CC631" i="5"/>
  <c r="CE631" i="5"/>
  <c r="CD631" i="5"/>
  <c r="CA631" i="5"/>
  <c r="BY631" i="5"/>
  <c r="BW631" i="5"/>
  <c r="BV631" i="5"/>
  <c r="BT631" i="5"/>
  <c r="BS631" i="5"/>
  <c r="BU631" i="5"/>
  <c r="BQ631" i="5"/>
  <c r="BR631" i="5"/>
  <c r="BM631" i="5"/>
  <c r="BJ631" i="5"/>
  <c r="BK631" i="5"/>
  <c r="BI631" i="5"/>
  <c r="BH631" i="5"/>
  <c r="BG631" i="5"/>
  <c r="BF631" i="5"/>
  <c r="BE631" i="5"/>
  <c r="BD631" i="5"/>
  <c r="BA631" i="5"/>
  <c r="BP631" i="5" s="1"/>
  <c r="AZ631" i="5"/>
  <c r="AY631" i="5"/>
  <c r="AU631" i="5"/>
  <c r="BN631" i="5" s="1"/>
  <c r="AV631" i="5"/>
  <c r="BO631" i="5" s="1"/>
  <c r="BN684" i="5"/>
  <c r="BB84" i="5"/>
  <c r="BZ84" i="5" s="1"/>
  <c r="CK515" i="5"/>
  <c r="CJ515" i="5"/>
  <c r="CI515" i="5"/>
  <c r="CH515" i="5"/>
  <c r="CF515" i="5"/>
  <c r="CG515" i="5"/>
  <c r="CE515" i="5"/>
  <c r="CA515" i="5"/>
  <c r="CD515" i="5"/>
  <c r="CC515" i="5"/>
  <c r="BY515" i="5"/>
  <c r="BZ515" i="5"/>
  <c r="BX515" i="5"/>
  <c r="BV515" i="5"/>
  <c r="BW515" i="5"/>
  <c r="BT515" i="5"/>
  <c r="BU515" i="5"/>
  <c r="BS515" i="5"/>
  <c r="BQ515" i="5"/>
  <c r="BR515" i="5"/>
  <c r="BL515" i="5"/>
  <c r="BJ515" i="5"/>
  <c r="BM515" i="5"/>
  <c r="BH515" i="5"/>
  <c r="BK515" i="5"/>
  <c r="BI515" i="5"/>
  <c r="BF515" i="5"/>
  <c r="BE515" i="5"/>
  <c r="BG515" i="5"/>
  <c r="BD515" i="5"/>
  <c r="BA515" i="5"/>
  <c r="BP515" i="5" s="1"/>
  <c r="AZ515" i="5"/>
  <c r="AV515" i="5"/>
  <c r="BO515" i="5" s="1"/>
  <c r="AY515" i="5"/>
  <c r="AU515" i="5"/>
  <c r="BB515" i="5" s="1"/>
  <c r="BX24" i="5"/>
  <c r="BX128" i="5"/>
  <c r="BX168" i="5"/>
  <c r="BL408" i="5"/>
  <c r="BL624" i="5"/>
  <c r="BL233" i="5"/>
  <c r="BL409" i="5"/>
  <c r="CB465" i="5"/>
  <c r="CB497" i="5"/>
  <c r="CB529" i="5"/>
  <c r="CB561" i="5"/>
  <c r="BL569" i="5"/>
  <c r="BN697" i="5"/>
  <c r="BO13" i="5"/>
  <c r="BO45" i="5"/>
  <c r="BO85" i="5"/>
  <c r="BO197" i="5"/>
  <c r="CB205" i="5"/>
  <c r="BX245" i="5"/>
  <c r="BC261" i="5"/>
  <c r="BX269" i="5"/>
  <c r="BO293" i="5"/>
  <c r="CB301" i="5"/>
  <c r="BC317" i="5"/>
  <c r="BB373" i="5"/>
  <c r="BZ373" i="5" s="1"/>
  <c r="BO389" i="5"/>
  <c r="BN405" i="5"/>
  <c r="BZ405" i="5" s="1"/>
  <c r="BB413" i="5"/>
  <c r="BZ413" i="5" s="1"/>
  <c r="BL413" i="5"/>
  <c r="BB421" i="5"/>
  <c r="BB437" i="5"/>
  <c r="BC445" i="5"/>
  <c r="BB453" i="5"/>
  <c r="BB485" i="5"/>
  <c r="BZ485" i="5" s="1"/>
  <c r="BL485" i="5"/>
  <c r="BB493" i="5"/>
  <c r="CB493" i="5"/>
  <c r="BN509" i="5"/>
  <c r="BO517" i="5"/>
  <c r="BB525" i="5"/>
  <c r="CB525" i="5"/>
  <c r="BN541" i="5"/>
  <c r="BO549" i="5"/>
  <c r="BB557" i="5"/>
  <c r="CB557" i="5"/>
  <c r="BC573" i="5"/>
  <c r="BO589" i="5"/>
  <c r="BO629" i="5"/>
  <c r="BN669" i="5"/>
  <c r="BB677" i="5"/>
  <c r="BC60" i="5"/>
  <c r="BL60" i="5"/>
  <c r="CK239" i="5"/>
  <c r="CJ239" i="5"/>
  <c r="CI239" i="5"/>
  <c r="CG239" i="5"/>
  <c r="CH239" i="5"/>
  <c r="CF239" i="5"/>
  <c r="CD239" i="5"/>
  <c r="CE239" i="5"/>
  <c r="CC239" i="5"/>
  <c r="CA239" i="5"/>
  <c r="BZ239" i="5"/>
  <c r="BX239" i="5"/>
  <c r="BY239" i="5"/>
  <c r="BU239" i="5"/>
  <c r="BT239" i="5"/>
  <c r="BW239" i="5"/>
  <c r="BV239" i="5"/>
  <c r="BS239" i="5"/>
  <c r="BQ239" i="5"/>
  <c r="BR239" i="5"/>
  <c r="BM239" i="5"/>
  <c r="BL239" i="5"/>
  <c r="BJ239" i="5"/>
  <c r="BI239" i="5"/>
  <c r="BH239" i="5"/>
  <c r="BK239" i="5"/>
  <c r="BF239" i="5"/>
  <c r="BG239" i="5"/>
  <c r="BE239" i="5"/>
  <c r="BD239" i="5"/>
  <c r="BA239" i="5"/>
  <c r="BP239" i="5" s="1"/>
  <c r="AZ239" i="5"/>
  <c r="AY239" i="5"/>
  <c r="AU239" i="5"/>
  <c r="BB239" i="5" s="1"/>
  <c r="AV239" i="5"/>
  <c r="BO239" i="5" s="1"/>
  <c r="CK367" i="5"/>
  <c r="CI367" i="5"/>
  <c r="CG367" i="5"/>
  <c r="CH367" i="5"/>
  <c r="CJ367" i="5"/>
  <c r="CF367" i="5"/>
  <c r="CD367" i="5"/>
  <c r="CC367" i="5"/>
  <c r="CE367" i="5"/>
  <c r="CA367" i="5"/>
  <c r="BZ367" i="5"/>
  <c r="BY367" i="5"/>
  <c r="BX367" i="5"/>
  <c r="BU367" i="5"/>
  <c r="BT367" i="5"/>
  <c r="BW367" i="5"/>
  <c r="BV367" i="5"/>
  <c r="BS367" i="5"/>
  <c r="BQ367" i="5"/>
  <c r="BR367" i="5"/>
  <c r="BM367" i="5"/>
  <c r="BL367" i="5"/>
  <c r="BJ367" i="5"/>
  <c r="BI367" i="5"/>
  <c r="BH367" i="5"/>
  <c r="BK367" i="5"/>
  <c r="BG367" i="5"/>
  <c r="BF367" i="5"/>
  <c r="BE367" i="5"/>
  <c r="BD367" i="5"/>
  <c r="BA367" i="5"/>
  <c r="BP367" i="5" s="1"/>
  <c r="AZ367" i="5"/>
  <c r="AY367" i="5"/>
  <c r="AU367" i="5"/>
  <c r="BB367" i="5" s="1"/>
  <c r="AV367" i="5"/>
  <c r="BO367" i="5" s="1"/>
  <c r="BX388" i="5"/>
  <c r="CB420" i="5"/>
  <c r="BO452" i="5"/>
  <c r="CK527" i="5"/>
  <c r="CJ527" i="5"/>
  <c r="CG527" i="5"/>
  <c r="CI527" i="5"/>
  <c r="CH527" i="5"/>
  <c r="CF527" i="5"/>
  <c r="CE527" i="5"/>
  <c r="CD527" i="5"/>
  <c r="CA527" i="5"/>
  <c r="CC527" i="5"/>
  <c r="BZ527" i="5"/>
  <c r="BX527" i="5"/>
  <c r="BY527" i="5"/>
  <c r="BT527" i="5"/>
  <c r="BW527" i="5"/>
  <c r="BV527" i="5"/>
  <c r="BS527" i="5"/>
  <c r="BQ527" i="5"/>
  <c r="BU527" i="5"/>
  <c r="BR527" i="5"/>
  <c r="BM527" i="5"/>
  <c r="BL527" i="5"/>
  <c r="BJ527" i="5"/>
  <c r="BI527" i="5"/>
  <c r="BH527" i="5"/>
  <c r="BK527" i="5"/>
  <c r="BG527" i="5"/>
  <c r="BF527" i="5"/>
  <c r="BE527" i="5"/>
  <c r="BD527" i="5"/>
  <c r="BA527" i="5"/>
  <c r="BP527" i="5" s="1"/>
  <c r="AZ527" i="5"/>
  <c r="AY527" i="5"/>
  <c r="AU527" i="5"/>
  <c r="BB527" i="5" s="1"/>
  <c r="AV527" i="5"/>
  <c r="BC527" i="5" s="1"/>
  <c r="BC580" i="5"/>
  <c r="CK687" i="5"/>
  <c r="CJ687" i="5"/>
  <c r="CG687" i="5"/>
  <c r="CH687" i="5"/>
  <c r="CI687" i="5"/>
  <c r="CF687" i="5"/>
  <c r="CE687" i="5"/>
  <c r="CD687" i="5"/>
  <c r="CC687" i="5"/>
  <c r="CA687" i="5"/>
  <c r="BZ687" i="5"/>
  <c r="BY687" i="5"/>
  <c r="BW687" i="5"/>
  <c r="BX687" i="5"/>
  <c r="BT687" i="5"/>
  <c r="BV687" i="5"/>
  <c r="BS687" i="5"/>
  <c r="BQ687" i="5"/>
  <c r="BU687" i="5"/>
  <c r="BR687" i="5"/>
  <c r="BM687" i="5"/>
  <c r="BL687" i="5"/>
  <c r="BJ687" i="5"/>
  <c r="BK687" i="5"/>
  <c r="BI687" i="5"/>
  <c r="BH687" i="5"/>
  <c r="BG687" i="5"/>
  <c r="BF687" i="5"/>
  <c r="BE687" i="5"/>
  <c r="BD687" i="5"/>
  <c r="BA687" i="5"/>
  <c r="BP687" i="5" s="1"/>
  <c r="AZ687" i="5"/>
  <c r="AY687" i="5"/>
  <c r="AU687" i="5"/>
  <c r="BN687" i="5" s="1"/>
  <c r="AV687" i="5"/>
  <c r="BO687" i="5" s="1"/>
  <c r="CK151" i="5"/>
  <c r="CI151" i="5"/>
  <c r="CF151" i="5"/>
  <c r="CC151" i="5"/>
  <c r="CD151" i="5"/>
  <c r="CE151" i="5"/>
  <c r="CA151" i="5"/>
  <c r="BY151" i="5"/>
  <c r="BW151" i="5"/>
  <c r="BU151" i="5"/>
  <c r="BV151" i="5"/>
  <c r="BT151" i="5"/>
  <c r="BS151" i="5"/>
  <c r="BR151" i="5"/>
  <c r="BQ151" i="5"/>
  <c r="BM151" i="5"/>
  <c r="BJ151" i="5"/>
  <c r="BK151" i="5"/>
  <c r="BI151" i="5"/>
  <c r="BH151" i="5"/>
  <c r="BG151" i="5"/>
  <c r="BF151" i="5"/>
  <c r="BE151" i="5"/>
  <c r="BD151" i="5"/>
  <c r="BA151" i="5"/>
  <c r="BP151" i="5" s="1"/>
  <c r="AZ151" i="5"/>
  <c r="AY151" i="5"/>
  <c r="AU151" i="5"/>
  <c r="BB151" i="5" s="1"/>
  <c r="AV151" i="5"/>
  <c r="BO151" i="5" s="1"/>
  <c r="BX187" i="5"/>
  <c r="CI315" i="5"/>
  <c r="CK315" i="5"/>
  <c r="CJ315" i="5"/>
  <c r="CG315" i="5"/>
  <c r="CH315" i="5"/>
  <c r="CD315" i="5"/>
  <c r="CF315" i="5"/>
  <c r="CE315" i="5"/>
  <c r="CA315" i="5"/>
  <c r="CC315" i="5"/>
  <c r="BZ315" i="5"/>
  <c r="BY315" i="5"/>
  <c r="BX315" i="5"/>
  <c r="BW315" i="5"/>
  <c r="BV315" i="5"/>
  <c r="BU315" i="5"/>
  <c r="BT315" i="5"/>
  <c r="BS315" i="5"/>
  <c r="BQ315" i="5"/>
  <c r="BR315" i="5"/>
  <c r="BJ315" i="5"/>
  <c r="BL315" i="5"/>
  <c r="BM315" i="5"/>
  <c r="BH315" i="5"/>
  <c r="BK315" i="5"/>
  <c r="BI315" i="5"/>
  <c r="BF315" i="5"/>
  <c r="BE315" i="5"/>
  <c r="BD315" i="5"/>
  <c r="BG315" i="5"/>
  <c r="BA315" i="5"/>
  <c r="BP315" i="5" s="1"/>
  <c r="AZ315" i="5"/>
  <c r="AV315" i="5"/>
  <c r="BO315" i="5" s="1"/>
  <c r="AU315" i="5"/>
  <c r="BB315" i="5" s="1"/>
  <c r="AY315" i="5"/>
  <c r="CK571" i="5"/>
  <c r="CJ571" i="5"/>
  <c r="CH571" i="5"/>
  <c r="CI571" i="5"/>
  <c r="CG571" i="5"/>
  <c r="CF571" i="5"/>
  <c r="CD571" i="5"/>
  <c r="CE571" i="5"/>
  <c r="CA571" i="5"/>
  <c r="CC571" i="5"/>
  <c r="BZ571" i="5"/>
  <c r="BY571" i="5"/>
  <c r="BX571" i="5"/>
  <c r="BW571" i="5"/>
  <c r="BV571" i="5"/>
  <c r="BT571" i="5"/>
  <c r="BU571" i="5"/>
  <c r="BS571" i="5"/>
  <c r="BQ571" i="5"/>
  <c r="BR571" i="5"/>
  <c r="BJ571" i="5"/>
  <c r="BM571" i="5"/>
  <c r="BL571" i="5"/>
  <c r="BH571" i="5"/>
  <c r="BK571" i="5"/>
  <c r="BI571" i="5"/>
  <c r="BG571" i="5"/>
  <c r="BF571" i="5"/>
  <c r="BE571" i="5"/>
  <c r="BD571" i="5"/>
  <c r="BA571" i="5"/>
  <c r="BP571" i="5" s="1"/>
  <c r="AZ571" i="5"/>
  <c r="AV571" i="5"/>
  <c r="BO571" i="5" s="1"/>
  <c r="AU571" i="5"/>
  <c r="BB571" i="5" s="1"/>
  <c r="AY571" i="5"/>
  <c r="CK42" i="5"/>
  <c r="CJ42" i="5"/>
  <c r="CH42" i="5"/>
  <c r="CI42" i="5"/>
  <c r="CG42" i="5"/>
  <c r="CF42" i="5"/>
  <c r="CE42" i="5"/>
  <c r="CD42" i="5"/>
  <c r="BZ42" i="5"/>
  <c r="CC42" i="5"/>
  <c r="CA42" i="5"/>
  <c r="BW42" i="5"/>
  <c r="BY42" i="5"/>
  <c r="BX42" i="5"/>
  <c r="BV42" i="5"/>
  <c r="BU42" i="5"/>
  <c r="BS42" i="5"/>
  <c r="BT42" i="5"/>
  <c r="BR42" i="5"/>
  <c r="BQ42" i="5"/>
  <c r="BK42" i="5"/>
  <c r="BL42" i="5"/>
  <c r="BM42" i="5"/>
  <c r="BG42" i="5"/>
  <c r="BI42" i="5"/>
  <c r="BJ42" i="5"/>
  <c r="BH42" i="5"/>
  <c r="BF42" i="5"/>
  <c r="BE42" i="5"/>
  <c r="BD42" i="5"/>
  <c r="BA42" i="5"/>
  <c r="BP42" i="5" s="1"/>
  <c r="AZ42" i="5"/>
  <c r="AY42" i="5"/>
  <c r="AV42" i="5"/>
  <c r="BO42" i="5" s="1"/>
  <c r="AU42" i="5"/>
  <c r="BN42" i="5" s="1"/>
  <c r="CK74" i="5"/>
  <c r="CI74" i="5"/>
  <c r="CF74" i="5"/>
  <c r="CE74" i="5"/>
  <c r="CD74" i="5"/>
  <c r="CC74" i="5"/>
  <c r="CA74" i="5"/>
  <c r="BW74" i="5"/>
  <c r="BY74" i="5"/>
  <c r="BV74" i="5"/>
  <c r="BU74" i="5"/>
  <c r="BS74" i="5"/>
  <c r="BT74" i="5"/>
  <c r="BR74" i="5"/>
  <c r="BQ74" i="5"/>
  <c r="BK74" i="5"/>
  <c r="BM74" i="5"/>
  <c r="BG74" i="5"/>
  <c r="BI74" i="5"/>
  <c r="BJ74" i="5"/>
  <c r="BH74" i="5"/>
  <c r="BF74" i="5"/>
  <c r="BE74" i="5"/>
  <c r="BD74" i="5"/>
  <c r="BA74" i="5"/>
  <c r="BP74" i="5" s="1"/>
  <c r="AZ74" i="5"/>
  <c r="AY74" i="5"/>
  <c r="AV74" i="5"/>
  <c r="BO74" i="5" s="1"/>
  <c r="AU74" i="5"/>
  <c r="BN74" i="5" s="1"/>
  <c r="CK106" i="5"/>
  <c r="CJ106" i="5"/>
  <c r="CI106" i="5"/>
  <c r="CG106" i="5"/>
  <c r="CF106" i="5"/>
  <c r="CE106" i="5"/>
  <c r="CD106" i="5"/>
  <c r="CH106" i="5"/>
  <c r="CC106" i="5"/>
  <c r="BZ106" i="5"/>
  <c r="CA106" i="5"/>
  <c r="BW106" i="5"/>
  <c r="BY106" i="5"/>
  <c r="BX106" i="5"/>
  <c r="BV106" i="5"/>
  <c r="BU106" i="5"/>
  <c r="BS106" i="5"/>
  <c r="BT106" i="5"/>
  <c r="BR106" i="5"/>
  <c r="BQ106" i="5"/>
  <c r="BK106" i="5"/>
  <c r="BL106" i="5"/>
  <c r="BM106" i="5"/>
  <c r="BG106" i="5"/>
  <c r="BI106" i="5"/>
  <c r="BJ106" i="5"/>
  <c r="BH106" i="5"/>
  <c r="BF106" i="5"/>
  <c r="BE106" i="5"/>
  <c r="BD106" i="5"/>
  <c r="BA106" i="5"/>
  <c r="BP106" i="5" s="1"/>
  <c r="AZ106" i="5"/>
  <c r="AY106" i="5"/>
  <c r="AV106" i="5"/>
  <c r="BO106" i="5" s="1"/>
  <c r="AU106" i="5"/>
  <c r="BN106" i="5" s="1"/>
  <c r="CK138" i="5"/>
  <c r="CI138" i="5"/>
  <c r="CF138" i="5"/>
  <c r="CE138" i="5"/>
  <c r="CD138" i="5"/>
  <c r="CC138" i="5"/>
  <c r="CA138" i="5"/>
  <c r="BW138" i="5"/>
  <c r="BY138" i="5"/>
  <c r="BV138" i="5"/>
  <c r="BU138" i="5"/>
  <c r="BS138" i="5"/>
  <c r="BT138" i="5"/>
  <c r="BR138" i="5"/>
  <c r="BQ138" i="5"/>
  <c r="BM138" i="5"/>
  <c r="BG138" i="5"/>
  <c r="BK138" i="5"/>
  <c r="BI138" i="5"/>
  <c r="BJ138" i="5"/>
  <c r="BH138" i="5"/>
  <c r="BF138" i="5"/>
  <c r="BE138" i="5"/>
  <c r="BD138" i="5"/>
  <c r="BA138" i="5"/>
  <c r="BP138" i="5" s="1"/>
  <c r="AZ138" i="5"/>
  <c r="AV138" i="5"/>
  <c r="BO138" i="5" s="1"/>
  <c r="AU138" i="5"/>
  <c r="BB138" i="5" s="1"/>
  <c r="AY138" i="5"/>
  <c r="CK170" i="5"/>
  <c r="CI170" i="5"/>
  <c r="CF170" i="5"/>
  <c r="CE170" i="5"/>
  <c r="CD170" i="5"/>
  <c r="CC170" i="5"/>
  <c r="CA170" i="5"/>
  <c r="BW170" i="5"/>
  <c r="BY170" i="5"/>
  <c r="BV170" i="5"/>
  <c r="BU170" i="5"/>
  <c r="BS170" i="5"/>
  <c r="BT170" i="5"/>
  <c r="BR170" i="5"/>
  <c r="BQ170" i="5"/>
  <c r="BM170" i="5"/>
  <c r="BG170" i="5"/>
  <c r="BK170" i="5"/>
  <c r="BI170" i="5"/>
  <c r="BJ170" i="5"/>
  <c r="BH170" i="5"/>
  <c r="BF170" i="5"/>
  <c r="BE170" i="5"/>
  <c r="BD170" i="5"/>
  <c r="BA170" i="5"/>
  <c r="BP170" i="5" s="1"/>
  <c r="AZ170" i="5"/>
  <c r="AV170" i="5"/>
  <c r="BO170" i="5" s="1"/>
  <c r="AU170" i="5"/>
  <c r="BN170" i="5" s="1"/>
  <c r="AY170" i="5"/>
  <c r="CK202" i="5"/>
  <c r="CI202" i="5"/>
  <c r="CJ202" i="5"/>
  <c r="CF202" i="5"/>
  <c r="CE202" i="5"/>
  <c r="CD202" i="5"/>
  <c r="CG202" i="5"/>
  <c r="CH202" i="5"/>
  <c r="BZ202" i="5"/>
  <c r="CC202" i="5"/>
  <c r="CA202" i="5"/>
  <c r="BX202" i="5"/>
  <c r="BW202" i="5"/>
  <c r="BY202" i="5"/>
  <c r="BV202" i="5"/>
  <c r="BU202" i="5"/>
  <c r="BS202" i="5"/>
  <c r="BT202" i="5"/>
  <c r="BR202" i="5"/>
  <c r="BQ202" i="5"/>
  <c r="BL202" i="5"/>
  <c r="BM202" i="5"/>
  <c r="BG202" i="5"/>
  <c r="BK202" i="5"/>
  <c r="BI202" i="5"/>
  <c r="BJ202" i="5"/>
  <c r="BH202" i="5"/>
  <c r="BF202" i="5"/>
  <c r="BE202" i="5"/>
  <c r="BD202" i="5"/>
  <c r="BA202" i="5"/>
  <c r="BP202" i="5" s="1"/>
  <c r="AZ202" i="5"/>
  <c r="AV202" i="5"/>
  <c r="BC202" i="5" s="1"/>
  <c r="AU202" i="5"/>
  <c r="BN202" i="5" s="1"/>
  <c r="AY202" i="5"/>
  <c r="CK234" i="5"/>
  <c r="CJ234" i="5"/>
  <c r="CH234" i="5"/>
  <c r="CI234" i="5"/>
  <c r="CF234" i="5"/>
  <c r="CG234" i="5"/>
  <c r="CE234" i="5"/>
  <c r="CD234" i="5"/>
  <c r="CC234" i="5"/>
  <c r="BZ234" i="5"/>
  <c r="CA234" i="5"/>
  <c r="BX234" i="5"/>
  <c r="BW234" i="5"/>
  <c r="BY234" i="5"/>
  <c r="BV234" i="5"/>
  <c r="BU234" i="5"/>
  <c r="BS234" i="5"/>
  <c r="BT234" i="5"/>
  <c r="BR234" i="5"/>
  <c r="BQ234" i="5"/>
  <c r="BL234" i="5"/>
  <c r="BM234" i="5"/>
  <c r="BG234" i="5"/>
  <c r="BK234" i="5"/>
  <c r="BI234" i="5"/>
  <c r="BJ234" i="5"/>
  <c r="BH234" i="5"/>
  <c r="BF234" i="5"/>
  <c r="BE234" i="5"/>
  <c r="BD234" i="5"/>
  <c r="BA234" i="5"/>
  <c r="BP234" i="5" s="1"/>
  <c r="AZ234" i="5"/>
  <c r="AV234" i="5"/>
  <c r="BC234" i="5" s="1"/>
  <c r="AU234" i="5"/>
  <c r="BN234" i="5" s="1"/>
  <c r="AY234" i="5"/>
  <c r="CJ231" i="5"/>
  <c r="CK231" i="5"/>
  <c r="CI231" i="5"/>
  <c r="CH231" i="5"/>
  <c r="CF231" i="5"/>
  <c r="CG231" i="5"/>
  <c r="CE231" i="5"/>
  <c r="CD231" i="5"/>
  <c r="CC231" i="5"/>
  <c r="CA231" i="5"/>
  <c r="BY231" i="5"/>
  <c r="BX231" i="5"/>
  <c r="BZ231" i="5"/>
  <c r="BW231" i="5"/>
  <c r="BU231" i="5"/>
  <c r="BT231" i="5"/>
  <c r="BV231" i="5"/>
  <c r="BQ231" i="5"/>
  <c r="BS231" i="5"/>
  <c r="BR231" i="5"/>
  <c r="BL231" i="5"/>
  <c r="BM231" i="5"/>
  <c r="BJ231" i="5"/>
  <c r="BK231" i="5"/>
  <c r="BI231" i="5"/>
  <c r="BH231" i="5"/>
  <c r="BG231" i="5"/>
  <c r="BF231" i="5"/>
  <c r="BE231" i="5"/>
  <c r="BD231" i="5"/>
  <c r="BA231" i="5"/>
  <c r="BP231" i="5" s="1"/>
  <c r="AZ231" i="5"/>
  <c r="AY231" i="5"/>
  <c r="AU231" i="5"/>
  <c r="BB231" i="5" s="1"/>
  <c r="AV231" i="5"/>
  <c r="BO231" i="5" s="1"/>
  <c r="CK487" i="5"/>
  <c r="CI487" i="5"/>
  <c r="CH487" i="5"/>
  <c r="CG487" i="5"/>
  <c r="CJ487" i="5"/>
  <c r="CF487" i="5"/>
  <c r="CE487" i="5"/>
  <c r="CC487" i="5"/>
  <c r="CD487" i="5"/>
  <c r="CA487" i="5"/>
  <c r="BX487" i="5"/>
  <c r="BY487" i="5"/>
  <c r="BZ487" i="5"/>
  <c r="BW487" i="5"/>
  <c r="BT487" i="5"/>
  <c r="BV487" i="5"/>
  <c r="BS487" i="5"/>
  <c r="BU487" i="5"/>
  <c r="BQ487" i="5"/>
  <c r="BR487" i="5"/>
  <c r="BM487" i="5"/>
  <c r="BL487" i="5"/>
  <c r="BJ487" i="5"/>
  <c r="BK487" i="5"/>
  <c r="BI487" i="5"/>
  <c r="BH487" i="5"/>
  <c r="BF487" i="5"/>
  <c r="BG487" i="5"/>
  <c r="BE487" i="5"/>
  <c r="BD487" i="5"/>
  <c r="BA487" i="5"/>
  <c r="BP487" i="5" s="1"/>
  <c r="AZ487" i="5"/>
  <c r="AY487" i="5"/>
  <c r="AU487" i="5"/>
  <c r="BB487" i="5" s="1"/>
  <c r="AV487" i="5"/>
  <c r="BC487" i="5" s="1"/>
  <c r="CK167" i="5"/>
  <c r="CJ167" i="5"/>
  <c r="CI167" i="5"/>
  <c r="CG167" i="5"/>
  <c r="CH167" i="5"/>
  <c r="CF167" i="5"/>
  <c r="CC167" i="5"/>
  <c r="CE167" i="5"/>
  <c r="CD167" i="5"/>
  <c r="CA167" i="5"/>
  <c r="BX167" i="5"/>
  <c r="BY167" i="5"/>
  <c r="BZ167" i="5"/>
  <c r="BW167" i="5"/>
  <c r="BU167" i="5"/>
  <c r="BT167" i="5"/>
  <c r="BV167" i="5"/>
  <c r="BR167" i="5"/>
  <c r="BQ167" i="5"/>
  <c r="BS167" i="5"/>
  <c r="BL167" i="5"/>
  <c r="BM167" i="5"/>
  <c r="BJ167" i="5"/>
  <c r="BK167" i="5"/>
  <c r="BI167" i="5"/>
  <c r="BH167" i="5"/>
  <c r="BG167" i="5"/>
  <c r="BF167" i="5"/>
  <c r="BE167" i="5"/>
  <c r="BD167" i="5"/>
  <c r="BA167" i="5"/>
  <c r="BP167" i="5" s="1"/>
  <c r="AZ167" i="5"/>
  <c r="AY167" i="5"/>
  <c r="AU167" i="5"/>
  <c r="BB167" i="5" s="1"/>
  <c r="AV167" i="5"/>
  <c r="BO167" i="5" s="1"/>
  <c r="CI371" i="5"/>
  <c r="CK371" i="5"/>
  <c r="CD371" i="5"/>
  <c r="CF371" i="5"/>
  <c r="CE371" i="5"/>
  <c r="CA371" i="5"/>
  <c r="CC371" i="5"/>
  <c r="BY371" i="5"/>
  <c r="BV371" i="5"/>
  <c r="BW371" i="5"/>
  <c r="BU371" i="5"/>
  <c r="BT371" i="5"/>
  <c r="BS371" i="5"/>
  <c r="BQ371" i="5"/>
  <c r="BR371" i="5"/>
  <c r="BJ371" i="5"/>
  <c r="BM371" i="5"/>
  <c r="BH371" i="5"/>
  <c r="BK371" i="5"/>
  <c r="BI371" i="5"/>
  <c r="BF371" i="5"/>
  <c r="BE371" i="5"/>
  <c r="BD371" i="5"/>
  <c r="BG371" i="5"/>
  <c r="BA371" i="5"/>
  <c r="BP371" i="5" s="1"/>
  <c r="AZ371" i="5"/>
  <c r="AV371" i="5"/>
  <c r="BO371" i="5" s="1"/>
  <c r="AY371" i="5"/>
  <c r="AU371" i="5"/>
  <c r="BN371" i="5" s="1"/>
  <c r="CK627" i="5"/>
  <c r="CI627" i="5"/>
  <c r="CF627" i="5"/>
  <c r="CE627" i="5"/>
  <c r="CA627" i="5"/>
  <c r="CD627" i="5"/>
  <c r="CC627" i="5"/>
  <c r="BY627" i="5"/>
  <c r="BV627" i="5"/>
  <c r="BW627" i="5"/>
  <c r="BT627" i="5"/>
  <c r="BU627" i="5"/>
  <c r="BS627" i="5"/>
  <c r="BQ627" i="5"/>
  <c r="BR627" i="5"/>
  <c r="BJ627" i="5"/>
  <c r="BM627" i="5"/>
  <c r="BH627" i="5"/>
  <c r="BK627" i="5"/>
  <c r="BI627" i="5"/>
  <c r="BG627" i="5"/>
  <c r="BF627" i="5"/>
  <c r="BE627" i="5"/>
  <c r="BD627" i="5"/>
  <c r="BA627" i="5"/>
  <c r="AZ627" i="5"/>
  <c r="AV627" i="5"/>
  <c r="AU627" i="5"/>
  <c r="AY627" i="5"/>
  <c r="BL244" i="5"/>
  <c r="CK255" i="5"/>
  <c r="CJ255" i="5"/>
  <c r="CH255" i="5"/>
  <c r="CI255" i="5"/>
  <c r="CF255" i="5"/>
  <c r="CG255" i="5"/>
  <c r="CE255" i="5"/>
  <c r="CD255" i="5"/>
  <c r="CC255" i="5"/>
  <c r="CA255" i="5"/>
  <c r="BZ255" i="5"/>
  <c r="BX255" i="5"/>
  <c r="BY255" i="5"/>
  <c r="BV255" i="5"/>
  <c r="BU255" i="5"/>
  <c r="BT255" i="5"/>
  <c r="BW255" i="5"/>
  <c r="BQ255" i="5"/>
  <c r="BS255" i="5"/>
  <c r="BR255" i="5"/>
  <c r="BM255" i="5"/>
  <c r="BL255" i="5"/>
  <c r="BJ255" i="5"/>
  <c r="BI255" i="5"/>
  <c r="BH255" i="5"/>
  <c r="BK255" i="5"/>
  <c r="BF255" i="5"/>
  <c r="BG255" i="5"/>
  <c r="BE255" i="5"/>
  <c r="BD255" i="5"/>
  <c r="BA255" i="5"/>
  <c r="BP255" i="5" s="1"/>
  <c r="AZ255" i="5"/>
  <c r="AY255" i="5"/>
  <c r="AU255" i="5"/>
  <c r="BN255" i="5" s="1"/>
  <c r="AV255" i="5"/>
  <c r="BO255" i="5" s="1"/>
  <c r="BX404" i="5"/>
  <c r="CK543" i="5"/>
  <c r="CG543" i="5"/>
  <c r="CH543" i="5"/>
  <c r="CJ543" i="5"/>
  <c r="CE543" i="5"/>
  <c r="CI543" i="5"/>
  <c r="CF543" i="5"/>
  <c r="CD543" i="5"/>
  <c r="CC543" i="5"/>
  <c r="CA543" i="5"/>
  <c r="BX543" i="5"/>
  <c r="BZ543" i="5"/>
  <c r="BY543" i="5"/>
  <c r="BV543" i="5"/>
  <c r="BT543" i="5"/>
  <c r="BW543" i="5"/>
  <c r="BS543" i="5"/>
  <c r="BQ543" i="5"/>
  <c r="BU543" i="5"/>
  <c r="BR543" i="5"/>
  <c r="BM543" i="5"/>
  <c r="BL543" i="5"/>
  <c r="BJ543" i="5"/>
  <c r="BI543" i="5"/>
  <c r="BH543" i="5"/>
  <c r="BK543" i="5"/>
  <c r="BG543" i="5"/>
  <c r="BF543" i="5"/>
  <c r="BE543" i="5"/>
  <c r="BD543" i="5"/>
  <c r="BA543" i="5"/>
  <c r="BP543" i="5" s="1"/>
  <c r="AZ543" i="5"/>
  <c r="AY543" i="5"/>
  <c r="AU543" i="5"/>
  <c r="BN543" i="5" s="1"/>
  <c r="AV543" i="5"/>
  <c r="BO543" i="5" s="1"/>
  <c r="BN564" i="5"/>
  <c r="BO68" i="5"/>
  <c r="CK427" i="5"/>
  <c r="CH427" i="5"/>
  <c r="CJ427" i="5"/>
  <c r="CI427" i="5"/>
  <c r="CD427" i="5"/>
  <c r="CG427" i="5"/>
  <c r="CF427" i="5"/>
  <c r="CE427" i="5"/>
  <c r="CA427" i="5"/>
  <c r="CC427" i="5"/>
  <c r="BZ427" i="5"/>
  <c r="BY427" i="5"/>
  <c r="BX427" i="5"/>
  <c r="BW427" i="5"/>
  <c r="BV427" i="5"/>
  <c r="BU427" i="5"/>
  <c r="BT427" i="5"/>
  <c r="BS427" i="5"/>
  <c r="BQ427" i="5"/>
  <c r="BR427" i="5"/>
  <c r="BJ427" i="5"/>
  <c r="BM427" i="5"/>
  <c r="BL427" i="5"/>
  <c r="BH427" i="5"/>
  <c r="BK427" i="5"/>
  <c r="BI427" i="5"/>
  <c r="BG427" i="5"/>
  <c r="BF427" i="5"/>
  <c r="BE427" i="5"/>
  <c r="BD427" i="5"/>
  <c r="BA427" i="5"/>
  <c r="BP427" i="5" s="1"/>
  <c r="AZ427" i="5"/>
  <c r="AV427" i="5"/>
  <c r="BO427" i="5" s="1"/>
  <c r="AU427" i="5"/>
  <c r="BN427" i="5" s="1"/>
  <c r="AY427" i="5"/>
  <c r="CK683" i="5"/>
  <c r="CJ683" i="5"/>
  <c r="CH683" i="5"/>
  <c r="CI683" i="5"/>
  <c r="CG683" i="5"/>
  <c r="CF683" i="5"/>
  <c r="CE683" i="5"/>
  <c r="CD683" i="5"/>
  <c r="CA683" i="5"/>
  <c r="CC683" i="5"/>
  <c r="BY683" i="5"/>
  <c r="BZ683" i="5"/>
  <c r="BX683" i="5"/>
  <c r="BV683" i="5"/>
  <c r="BW683" i="5"/>
  <c r="BT683" i="5"/>
  <c r="BU683" i="5"/>
  <c r="BS683" i="5"/>
  <c r="BQ683" i="5"/>
  <c r="BR683" i="5"/>
  <c r="BJ683" i="5"/>
  <c r="BM683" i="5"/>
  <c r="BL683" i="5"/>
  <c r="BH683" i="5"/>
  <c r="BK683" i="5"/>
  <c r="BI683" i="5"/>
  <c r="BG683" i="5"/>
  <c r="BF683" i="5"/>
  <c r="BE683" i="5"/>
  <c r="BD683" i="5"/>
  <c r="BA683" i="5"/>
  <c r="BP683" i="5" s="1"/>
  <c r="AZ683" i="5"/>
  <c r="AV683" i="5"/>
  <c r="BO683" i="5" s="1"/>
  <c r="AU683" i="5"/>
  <c r="BN683" i="5" s="1"/>
  <c r="AY683" i="5"/>
  <c r="CJ30" i="5"/>
  <c r="CI30" i="5"/>
  <c r="CK30" i="5"/>
  <c r="CH30" i="5"/>
  <c r="CG30" i="5"/>
  <c r="CF30" i="5"/>
  <c r="CE30" i="5"/>
  <c r="CD30" i="5"/>
  <c r="CC30" i="5"/>
  <c r="BZ30" i="5"/>
  <c r="CA30" i="5"/>
  <c r="BW30" i="5"/>
  <c r="BX30" i="5"/>
  <c r="BY30" i="5"/>
  <c r="BV30" i="5"/>
  <c r="BU30" i="5"/>
  <c r="BS30" i="5"/>
  <c r="BR30" i="5"/>
  <c r="BT30" i="5"/>
  <c r="BQ30" i="5"/>
  <c r="BM30" i="5"/>
  <c r="BK30" i="5"/>
  <c r="BL30" i="5"/>
  <c r="BI30" i="5"/>
  <c r="BH30" i="5"/>
  <c r="BG30" i="5"/>
  <c r="BJ30" i="5"/>
  <c r="BF30" i="5"/>
  <c r="BE30" i="5"/>
  <c r="BD30" i="5"/>
  <c r="AZ30" i="5"/>
  <c r="AY30" i="5"/>
  <c r="BA30" i="5"/>
  <c r="BP30" i="5" s="1"/>
  <c r="AU30" i="5"/>
  <c r="BB30" i="5" s="1"/>
  <c r="AV30" i="5"/>
  <c r="BO30" i="5" s="1"/>
  <c r="CK62" i="5"/>
  <c r="CI62" i="5"/>
  <c r="CH62" i="5"/>
  <c r="CJ62" i="5"/>
  <c r="CF62" i="5"/>
  <c r="CG62" i="5"/>
  <c r="CE62" i="5"/>
  <c r="CD62" i="5"/>
  <c r="CC62" i="5"/>
  <c r="BZ62" i="5"/>
  <c r="CA62" i="5"/>
  <c r="BW62" i="5"/>
  <c r="BY62" i="5"/>
  <c r="BX62" i="5"/>
  <c r="BV62" i="5"/>
  <c r="BU62" i="5"/>
  <c r="BS62" i="5"/>
  <c r="BR62" i="5"/>
  <c r="BT62" i="5"/>
  <c r="BQ62" i="5"/>
  <c r="BM62" i="5"/>
  <c r="BL62" i="5"/>
  <c r="BK62" i="5"/>
  <c r="BI62" i="5"/>
  <c r="BH62" i="5"/>
  <c r="BG62" i="5"/>
  <c r="BJ62" i="5"/>
  <c r="BF62" i="5"/>
  <c r="BE62" i="5"/>
  <c r="BD62" i="5"/>
  <c r="AZ62" i="5"/>
  <c r="AY62" i="5"/>
  <c r="BA62" i="5"/>
  <c r="BP62" i="5" s="1"/>
  <c r="AU62" i="5"/>
  <c r="BB62" i="5" s="1"/>
  <c r="AV62" i="5"/>
  <c r="BO62" i="5" s="1"/>
  <c r="CI118" i="5"/>
  <c r="CK118" i="5"/>
  <c r="CF118" i="5"/>
  <c r="CE118" i="5"/>
  <c r="CD118" i="5"/>
  <c r="CC118" i="5"/>
  <c r="CA118" i="5"/>
  <c r="BY118" i="5"/>
  <c r="BW118" i="5"/>
  <c r="BU118" i="5"/>
  <c r="BV118" i="5"/>
  <c r="BS118" i="5"/>
  <c r="BR118" i="5"/>
  <c r="BT118" i="5"/>
  <c r="BQ118" i="5"/>
  <c r="BM118" i="5"/>
  <c r="BK118" i="5"/>
  <c r="BJ118" i="5"/>
  <c r="BI118" i="5"/>
  <c r="BH118" i="5"/>
  <c r="BG118" i="5"/>
  <c r="BF118" i="5"/>
  <c r="BE118" i="5"/>
  <c r="BD118" i="5"/>
  <c r="AZ118" i="5"/>
  <c r="BA118" i="5"/>
  <c r="BP118" i="5" s="1"/>
  <c r="AU118" i="5"/>
  <c r="BB118" i="5" s="1"/>
  <c r="AY118" i="5"/>
  <c r="AV118" i="5"/>
  <c r="BO118" i="5" s="1"/>
  <c r="CK654" i="5"/>
  <c r="CJ654" i="5"/>
  <c r="CI654" i="5"/>
  <c r="CH654" i="5"/>
  <c r="CF654" i="5"/>
  <c r="CE654" i="5"/>
  <c r="CG654" i="5"/>
  <c r="CD654" i="5"/>
  <c r="CC654" i="5"/>
  <c r="CA654" i="5"/>
  <c r="BY654" i="5"/>
  <c r="BZ654" i="5"/>
  <c r="BW654" i="5"/>
  <c r="BX654" i="5"/>
  <c r="BV654" i="5"/>
  <c r="BS654" i="5"/>
  <c r="BU654" i="5"/>
  <c r="BT654" i="5"/>
  <c r="BQ654" i="5"/>
  <c r="BR654" i="5"/>
  <c r="BM654" i="5"/>
  <c r="BL654" i="5"/>
  <c r="BJ654" i="5"/>
  <c r="BI654" i="5"/>
  <c r="BH654" i="5"/>
  <c r="BK654" i="5"/>
  <c r="BG654" i="5"/>
  <c r="BF654" i="5"/>
  <c r="BE654" i="5"/>
  <c r="AZ654" i="5"/>
  <c r="BD654" i="5"/>
  <c r="BA654" i="5"/>
  <c r="BP654" i="5" s="1"/>
  <c r="AY654" i="5"/>
  <c r="AU654" i="5"/>
  <c r="BB654" i="5" s="1"/>
  <c r="AV654" i="5"/>
  <c r="BO654" i="5" s="1"/>
  <c r="BO44" i="5"/>
  <c r="CK311" i="5"/>
  <c r="CJ311" i="5"/>
  <c r="CH311" i="5"/>
  <c r="CI311" i="5"/>
  <c r="CG311" i="5"/>
  <c r="CF311" i="5"/>
  <c r="CE311" i="5"/>
  <c r="CD311" i="5"/>
  <c r="CC311" i="5"/>
  <c r="CA311" i="5"/>
  <c r="BX311" i="5"/>
  <c r="BY311" i="5"/>
  <c r="BZ311" i="5"/>
  <c r="BW311" i="5"/>
  <c r="BU311" i="5"/>
  <c r="BV311" i="5"/>
  <c r="BT311" i="5"/>
  <c r="BS311" i="5"/>
  <c r="BQ311" i="5"/>
  <c r="BR311" i="5"/>
  <c r="BM311" i="5"/>
  <c r="BL311" i="5"/>
  <c r="BJ311" i="5"/>
  <c r="BK311" i="5"/>
  <c r="BI311" i="5"/>
  <c r="BH311" i="5"/>
  <c r="BG311" i="5"/>
  <c r="BF311" i="5"/>
  <c r="BE311" i="5"/>
  <c r="BD311" i="5"/>
  <c r="BA311" i="5"/>
  <c r="BP311" i="5" s="1"/>
  <c r="AZ311" i="5"/>
  <c r="AY311" i="5"/>
  <c r="AU311" i="5"/>
  <c r="BB311" i="5" s="1"/>
  <c r="AV311" i="5"/>
  <c r="BC311" i="5" s="1"/>
  <c r="BB364" i="5"/>
  <c r="BL396" i="5"/>
  <c r="BB492" i="5"/>
  <c r="BO556" i="5"/>
  <c r="CK663" i="5"/>
  <c r="CJ663" i="5"/>
  <c r="CI663" i="5"/>
  <c r="CG663" i="5"/>
  <c r="CH663" i="5"/>
  <c r="CE663" i="5"/>
  <c r="CC663" i="5"/>
  <c r="CD663" i="5"/>
  <c r="CF663" i="5"/>
  <c r="CA663" i="5"/>
  <c r="BY663" i="5"/>
  <c r="BZ663" i="5"/>
  <c r="BX663" i="5"/>
  <c r="BW663" i="5"/>
  <c r="BV663" i="5"/>
  <c r="BT663" i="5"/>
  <c r="BS663" i="5"/>
  <c r="BU663" i="5"/>
  <c r="BQ663" i="5"/>
  <c r="BR663" i="5"/>
  <c r="BM663" i="5"/>
  <c r="BL663" i="5"/>
  <c r="BJ663" i="5"/>
  <c r="BK663" i="5"/>
  <c r="BI663" i="5"/>
  <c r="BH663" i="5"/>
  <c r="BG663" i="5"/>
  <c r="BF663" i="5"/>
  <c r="BE663" i="5"/>
  <c r="BD663" i="5"/>
  <c r="BA663" i="5"/>
  <c r="BP663" i="5" s="1"/>
  <c r="AZ663" i="5"/>
  <c r="AY663" i="5"/>
  <c r="AU663" i="5"/>
  <c r="BB663" i="5" s="1"/>
  <c r="AV663" i="5"/>
  <c r="BC663" i="5" s="1"/>
  <c r="BO20" i="5"/>
  <c r="BC84" i="5"/>
  <c r="BX84" i="5"/>
  <c r="CJ323" i="5"/>
  <c r="CK323" i="5"/>
  <c r="CH323" i="5"/>
  <c r="CG323" i="5"/>
  <c r="CI323" i="5"/>
  <c r="CF323" i="5"/>
  <c r="CE323" i="5"/>
  <c r="CD323" i="5"/>
  <c r="CC323" i="5"/>
  <c r="CA323" i="5"/>
  <c r="BZ323" i="5"/>
  <c r="BY323" i="5"/>
  <c r="BX323" i="5"/>
  <c r="BV323" i="5"/>
  <c r="BW323" i="5"/>
  <c r="BU323" i="5"/>
  <c r="BT323" i="5"/>
  <c r="BS323" i="5"/>
  <c r="BQ323" i="5"/>
  <c r="BR323" i="5"/>
  <c r="BJ323" i="5"/>
  <c r="BL323" i="5"/>
  <c r="BM323" i="5"/>
  <c r="BH323" i="5"/>
  <c r="BK323" i="5"/>
  <c r="BI323" i="5"/>
  <c r="BG323" i="5"/>
  <c r="BF323" i="5"/>
  <c r="BE323" i="5"/>
  <c r="BD323" i="5"/>
  <c r="BA323" i="5"/>
  <c r="BP323" i="5" s="1"/>
  <c r="AZ323" i="5"/>
  <c r="AV323" i="5"/>
  <c r="BO323" i="5" s="1"/>
  <c r="AY323" i="5"/>
  <c r="AU323" i="5"/>
  <c r="BN323" i="5" s="1"/>
  <c r="CK547" i="5"/>
  <c r="CI547" i="5"/>
  <c r="CJ547" i="5"/>
  <c r="CH547" i="5"/>
  <c r="CF547" i="5"/>
  <c r="CG547" i="5"/>
  <c r="CE547" i="5"/>
  <c r="CD547" i="5"/>
  <c r="CA547" i="5"/>
  <c r="CC547" i="5"/>
  <c r="BY547" i="5"/>
  <c r="BX547" i="5"/>
  <c r="BZ547" i="5"/>
  <c r="BW547" i="5"/>
  <c r="BV547" i="5"/>
  <c r="BT547" i="5"/>
  <c r="BU547" i="5"/>
  <c r="BS547" i="5"/>
  <c r="BQ547" i="5"/>
  <c r="BR547" i="5"/>
  <c r="BL547" i="5"/>
  <c r="BJ547" i="5"/>
  <c r="BM547" i="5"/>
  <c r="BH547" i="5"/>
  <c r="BK547" i="5"/>
  <c r="BI547" i="5"/>
  <c r="BG547" i="5"/>
  <c r="BF547" i="5"/>
  <c r="BE547" i="5"/>
  <c r="BD547" i="5"/>
  <c r="BA547" i="5"/>
  <c r="BP547" i="5" s="1"/>
  <c r="AZ547" i="5"/>
  <c r="AV547" i="5"/>
  <c r="BO547" i="5" s="1"/>
  <c r="AY547" i="5"/>
  <c r="AU547" i="5"/>
  <c r="BN547" i="5" s="1"/>
  <c r="BC696" i="5"/>
  <c r="BX16" i="5"/>
  <c r="BL32" i="5"/>
  <c r="BX112" i="5"/>
  <c r="BX192" i="5"/>
  <c r="BL224" i="5"/>
  <c r="BL232" i="5"/>
  <c r="BX376" i="5"/>
  <c r="BL584" i="5"/>
  <c r="BX632" i="5"/>
  <c r="BB313" i="5"/>
  <c r="BB377" i="5"/>
  <c r="BB681" i="5"/>
  <c r="BL13" i="5"/>
  <c r="BO21" i="5"/>
  <c r="BC53" i="5"/>
  <c r="BL53" i="5"/>
  <c r="BO69" i="5"/>
  <c r="BC77" i="5"/>
  <c r="BL77" i="5"/>
  <c r="BO109" i="5"/>
  <c r="BN117" i="5"/>
  <c r="BZ117" i="5" s="1"/>
  <c r="BX117" i="5"/>
  <c r="BO141" i="5"/>
  <c r="BO165" i="5"/>
  <c r="BC181" i="5"/>
  <c r="BL181" i="5"/>
  <c r="BO237" i="5"/>
  <c r="BX253" i="5"/>
  <c r="BL317" i="5"/>
  <c r="BO349" i="5"/>
  <c r="BB357" i="5"/>
  <c r="BZ357" i="5" s="1"/>
  <c r="BO365" i="5"/>
  <c r="BC373" i="5"/>
  <c r="BL373" i="5"/>
  <c r="BC381" i="5"/>
  <c r="BC421" i="5"/>
  <c r="BL421" i="5"/>
  <c r="BO429" i="5"/>
  <c r="BN445" i="5"/>
  <c r="BZ445" i="5" s="1"/>
  <c r="BX445" i="5"/>
  <c r="BB477" i="5"/>
  <c r="BN501" i="5"/>
  <c r="BN533" i="5"/>
  <c r="BN565" i="5"/>
  <c r="BZ565" i="5" s="1"/>
  <c r="BX565" i="5"/>
  <c r="BB597" i="5"/>
  <c r="BZ597" i="5" s="1"/>
  <c r="BN613" i="5"/>
  <c r="BB621" i="5"/>
  <c r="BZ621" i="5" s="1"/>
  <c r="BL621" i="5"/>
  <c r="BN637" i="5"/>
  <c r="BN653" i="5"/>
  <c r="BB661" i="5"/>
  <c r="BZ661" i="5" s="1"/>
  <c r="BC677" i="5"/>
  <c r="BO693" i="5"/>
  <c r="BX60" i="5"/>
  <c r="BL196" i="5"/>
  <c r="BO324" i="5"/>
  <c r="CJ559" i="5"/>
  <c r="CI559" i="5"/>
  <c r="CK559" i="5"/>
  <c r="CG559" i="5"/>
  <c r="CH559" i="5"/>
  <c r="CF559" i="5"/>
  <c r="CE559" i="5"/>
  <c r="CD559" i="5"/>
  <c r="CC559" i="5"/>
  <c r="CA559" i="5"/>
  <c r="BZ559" i="5"/>
  <c r="BX559" i="5"/>
  <c r="BY559" i="5"/>
  <c r="BW559" i="5"/>
  <c r="BT559" i="5"/>
  <c r="BV559" i="5"/>
  <c r="BS559" i="5"/>
  <c r="BQ559" i="5"/>
  <c r="BU559" i="5"/>
  <c r="BR559" i="5"/>
  <c r="BM559" i="5"/>
  <c r="BL559" i="5"/>
  <c r="BJ559" i="5"/>
  <c r="BI559" i="5"/>
  <c r="BH559" i="5"/>
  <c r="BK559" i="5"/>
  <c r="BG559" i="5"/>
  <c r="BF559" i="5"/>
  <c r="BE559" i="5"/>
  <c r="BD559" i="5"/>
  <c r="BA559" i="5"/>
  <c r="BP559" i="5" s="1"/>
  <c r="AZ559" i="5"/>
  <c r="AY559" i="5"/>
  <c r="AU559" i="5"/>
  <c r="BN559" i="5" s="1"/>
  <c r="AV559" i="5"/>
  <c r="BO559" i="5" s="1"/>
  <c r="BX580" i="5"/>
  <c r="BO644" i="5"/>
  <c r="BC36" i="5"/>
  <c r="BB251" i="5"/>
  <c r="BZ251" i="5" s="1"/>
  <c r="CJ347" i="5"/>
  <c r="CK347" i="5"/>
  <c r="CH347" i="5"/>
  <c r="CI347" i="5"/>
  <c r="CD347" i="5"/>
  <c r="CF347" i="5"/>
  <c r="CG347" i="5"/>
  <c r="CC347" i="5"/>
  <c r="CA347" i="5"/>
  <c r="CE347" i="5"/>
  <c r="BZ347" i="5"/>
  <c r="BX347" i="5"/>
  <c r="BY347" i="5"/>
  <c r="BW347" i="5"/>
  <c r="BV347" i="5"/>
  <c r="BU347" i="5"/>
  <c r="BT347" i="5"/>
  <c r="BS347" i="5"/>
  <c r="BQ347" i="5"/>
  <c r="BR347" i="5"/>
  <c r="BL347" i="5"/>
  <c r="BJ347" i="5"/>
  <c r="BM347" i="5"/>
  <c r="BH347" i="5"/>
  <c r="BK347" i="5"/>
  <c r="BI347" i="5"/>
  <c r="BF347" i="5"/>
  <c r="BE347" i="5"/>
  <c r="BD347" i="5"/>
  <c r="BG347" i="5"/>
  <c r="BA347" i="5"/>
  <c r="BP347" i="5" s="1"/>
  <c r="AZ347" i="5"/>
  <c r="AV347" i="5"/>
  <c r="BO347" i="5" s="1"/>
  <c r="AU347" i="5"/>
  <c r="BN347" i="5" s="1"/>
  <c r="AY347" i="5"/>
  <c r="CK603" i="5"/>
  <c r="CG603" i="5"/>
  <c r="CI603" i="5"/>
  <c r="CJ603" i="5"/>
  <c r="CH603" i="5"/>
  <c r="CF603" i="5"/>
  <c r="CD603" i="5"/>
  <c r="CE603" i="5"/>
  <c r="CA603" i="5"/>
  <c r="CC603" i="5"/>
  <c r="BZ603" i="5"/>
  <c r="BY603" i="5"/>
  <c r="BX603" i="5"/>
  <c r="BW603" i="5"/>
  <c r="BV603" i="5"/>
  <c r="BT603" i="5"/>
  <c r="BU603" i="5"/>
  <c r="BS603" i="5"/>
  <c r="BQ603" i="5"/>
  <c r="BR603" i="5"/>
  <c r="BL603" i="5"/>
  <c r="BJ603" i="5"/>
  <c r="BM603" i="5"/>
  <c r="BH603" i="5"/>
  <c r="BK603" i="5"/>
  <c r="BI603" i="5"/>
  <c r="BG603" i="5"/>
  <c r="BF603" i="5"/>
  <c r="BE603" i="5"/>
  <c r="BD603" i="5"/>
  <c r="BA603" i="5"/>
  <c r="BP603" i="5" s="1"/>
  <c r="AZ603" i="5"/>
  <c r="AV603" i="5"/>
  <c r="BO603" i="5" s="1"/>
  <c r="AU603" i="5"/>
  <c r="BN603" i="5" s="1"/>
  <c r="AY603" i="5"/>
  <c r="CJ18" i="5"/>
  <c r="CI18" i="5"/>
  <c r="CK18" i="5"/>
  <c r="CH18" i="5"/>
  <c r="CF18" i="5"/>
  <c r="CG18" i="5"/>
  <c r="CE18" i="5"/>
  <c r="CD18" i="5"/>
  <c r="CC18" i="5"/>
  <c r="BZ18" i="5"/>
  <c r="CA18" i="5"/>
  <c r="BW18" i="5"/>
  <c r="BY18" i="5"/>
  <c r="BX18" i="5"/>
  <c r="BU18" i="5"/>
  <c r="BV18" i="5"/>
  <c r="BS18" i="5"/>
  <c r="BT18" i="5"/>
  <c r="BR18" i="5"/>
  <c r="BQ18" i="5"/>
  <c r="BK18" i="5"/>
  <c r="BL18" i="5"/>
  <c r="BI18" i="5"/>
  <c r="BM18" i="5"/>
  <c r="BG18" i="5"/>
  <c r="BJ18" i="5"/>
  <c r="BH18" i="5"/>
  <c r="BF18" i="5"/>
  <c r="BE18" i="5"/>
  <c r="BD18" i="5"/>
  <c r="BA18" i="5"/>
  <c r="AZ18" i="5"/>
  <c r="AY18" i="5"/>
  <c r="AV18" i="5"/>
  <c r="AU18" i="5"/>
  <c r="CK266" i="5"/>
  <c r="CJ266" i="5"/>
  <c r="CI266" i="5"/>
  <c r="CF266" i="5"/>
  <c r="CG266" i="5"/>
  <c r="CE266" i="5"/>
  <c r="CH266" i="5"/>
  <c r="CD266" i="5"/>
  <c r="CC266" i="5"/>
  <c r="BZ266" i="5"/>
  <c r="CA266" i="5"/>
  <c r="BW266" i="5"/>
  <c r="BX266" i="5"/>
  <c r="BY266" i="5"/>
  <c r="BV266" i="5"/>
  <c r="BU266" i="5"/>
  <c r="BS266" i="5"/>
  <c r="BT266" i="5"/>
  <c r="BR266" i="5"/>
  <c r="BQ266" i="5"/>
  <c r="BM266" i="5"/>
  <c r="BL266" i="5"/>
  <c r="BG266" i="5"/>
  <c r="BK266" i="5"/>
  <c r="BI266" i="5"/>
  <c r="BJ266" i="5"/>
  <c r="BH266" i="5"/>
  <c r="BF266" i="5"/>
  <c r="BE266" i="5"/>
  <c r="BD266" i="5"/>
  <c r="BA266" i="5"/>
  <c r="BP266" i="5" s="1"/>
  <c r="AZ266" i="5"/>
  <c r="AV266" i="5"/>
  <c r="BO266" i="5" s="1"/>
  <c r="AU266" i="5"/>
  <c r="BN266" i="5" s="1"/>
  <c r="AY266" i="5"/>
  <c r="CK298" i="5"/>
  <c r="CJ298" i="5"/>
  <c r="CI298" i="5"/>
  <c r="CG298" i="5"/>
  <c r="CF298" i="5"/>
  <c r="CH298" i="5"/>
  <c r="CE298" i="5"/>
  <c r="CD298" i="5"/>
  <c r="BZ298" i="5"/>
  <c r="CC298" i="5"/>
  <c r="CA298" i="5"/>
  <c r="BW298" i="5"/>
  <c r="BX298" i="5"/>
  <c r="BY298" i="5"/>
  <c r="BV298" i="5"/>
  <c r="BU298" i="5"/>
  <c r="BS298" i="5"/>
  <c r="BT298" i="5"/>
  <c r="BR298" i="5"/>
  <c r="BQ298" i="5"/>
  <c r="BL298" i="5"/>
  <c r="BM298" i="5"/>
  <c r="BG298" i="5"/>
  <c r="BK298" i="5"/>
  <c r="BI298" i="5"/>
  <c r="BJ298" i="5"/>
  <c r="BH298" i="5"/>
  <c r="BF298" i="5"/>
  <c r="BE298" i="5"/>
  <c r="BD298" i="5"/>
  <c r="BA298" i="5"/>
  <c r="BP298" i="5" s="1"/>
  <c r="AZ298" i="5"/>
  <c r="AV298" i="5"/>
  <c r="BO298" i="5" s="1"/>
  <c r="AU298" i="5"/>
  <c r="BN298" i="5" s="1"/>
  <c r="AY298" i="5"/>
  <c r="CK330" i="5"/>
  <c r="CI330" i="5"/>
  <c r="CJ330" i="5"/>
  <c r="CF330" i="5"/>
  <c r="CG330" i="5"/>
  <c r="CE330" i="5"/>
  <c r="CH330" i="5"/>
  <c r="CD330" i="5"/>
  <c r="BZ330" i="5"/>
  <c r="CC330" i="5"/>
  <c r="CA330" i="5"/>
  <c r="BX330" i="5"/>
  <c r="BW330" i="5"/>
  <c r="BY330" i="5"/>
  <c r="BV330" i="5"/>
  <c r="BU330" i="5"/>
  <c r="BS330" i="5"/>
  <c r="BT330" i="5"/>
  <c r="BR330" i="5"/>
  <c r="BQ330" i="5"/>
  <c r="BL330" i="5"/>
  <c r="BM330" i="5"/>
  <c r="BG330" i="5"/>
  <c r="BK330" i="5"/>
  <c r="BI330" i="5"/>
  <c r="BJ330" i="5"/>
  <c r="BH330" i="5"/>
  <c r="BF330" i="5"/>
  <c r="BE330" i="5"/>
  <c r="BD330" i="5"/>
  <c r="BA330" i="5"/>
  <c r="BP330" i="5" s="1"/>
  <c r="AZ330" i="5"/>
  <c r="AV330" i="5"/>
  <c r="BO330" i="5" s="1"/>
  <c r="AU330" i="5"/>
  <c r="BB330" i="5" s="1"/>
  <c r="AY330" i="5"/>
  <c r="CK362" i="5"/>
  <c r="CJ362" i="5"/>
  <c r="CG362" i="5"/>
  <c r="CH362" i="5"/>
  <c r="CF362" i="5"/>
  <c r="CI362" i="5"/>
  <c r="CE362" i="5"/>
  <c r="CD362" i="5"/>
  <c r="CC362" i="5"/>
  <c r="BZ362" i="5"/>
  <c r="CA362" i="5"/>
  <c r="BX362" i="5"/>
  <c r="BW362" i="5"/>
  <c r="BY362" i="5"/>
  <c r="BV362" i="5"/>
  <c r="BU362" i="5"/>
  <c r="BS362" i="5"/>
  <c r="BT362" i="5"/>
  <c r="BR362" i="5"/>
  <c r="BQ362" i="5"/>
  <c r="BL362" i="5"/>
  <c r="BM362" i="5"/>
  <c r="BG362" i="5"/>
  <c r="BK362" i="5"/>
  <c r="BI362" i="5"/>
  <c r="BJ362" i="5"/>
  <c r="BH362" i="5"/>
  <c r="BF362" i="5"/>
  <c r="BE362" i="5"/>
  <c r="BA362" i="5"/>
  <c r="BP362" i="5" s="1"/>
  <c r="BD362" i="5"/>
  <c r="AZ362" i="5"/>
  <c r="AV362" i="5"/>
  <c r="BO362" i="5" s="1"/>
  <c r="AU362" i="5"/>
  <c r="BN362" i="5" s="1"/>
  <c r="AY362" i="5"/>
  <c r="CK394" i="5"/>
  <c r="CJ394" i="5"/>
  <c r="CI394" i="5"/>
  <c r="CG394" i="5"/>
  <c r="CF394" i="5"/>
  <c r="CH394" i="5"/>
  <c r="CE394" i="5"/>
  <c r="CC394" i="5"/>
  <c r="CD394" i="5"/>
  <c r="BZ394" i="5"/>
  <c r="CA394" i="5"/>
  <c r="BX394" i="5"/>
  <c r="BW394" i="5"/>
  <c r="BY394" i="5"/>
  <c r="BV394" i="5"/>
  <c r="BU394" i="5"/>
  <c r="BT394" i="5"/>
  <c r="BS394" i="5"/>
  <c r="BR394" i="5"/>
  <c r="BQ394" i="5"/>
  <c r="BL394" i="5"/>
  <c r="BM394" i="5"/>
  <c r="BG394" i="5"/>
  <c r="BK394" i="5"/>
  <c r="BI394" i="5"/>
  <c r="BJ394" i="5"/>
  <c r="BH394" i="5"/>
  <c r="BF394" i="5"/>
  <c r="BE394" i="5"/>
  <c r="BA394" i="5"/>
  <c r="BP394" i="5" s="1"/>
  <c r="BD394" i="5"/>
  <c r="AZ394" i="5"/>
  <c r="AV394" i="5"/>
  <c r="BO394" i="5" s="1"/>
  <c r="AU394" i="5"/>
  <c r="BN394" i="5" s="1"/>
  <c r="AY394" i="5"/>
  <c r="CK426" i="5"/>
  <c r="CI426" i="5"/>
  <c r="CF426" i="5"/>
  <c r="CE426" i="5"/>
  <c r="CD426" i="5"/>
  <c r="CA426" i="5"/>
  <c r="CC426" i="5"/>
  <c r="BW426" i="5"/>
  <c r="BY426" i="5"/>
  <c r="BV426" i="5"/>
  <c r="BT426" i="5"/>
  <c r="BS426" i="5"/>
  <c r="BU426" i="5"/>
  <c r="BR426" i="5"/>
  <c r="BQ426" i="5"/>
  <c r="BM426" i="5"/>
  <c r="BG426" i="5"/>
  <c r="BK426" i="5"/>
  <c r="BI426" i="5"/>
  <c r="BJ426" i="5"/>
  <c r="BH426" i="5"/>
  <c r="BF426" i="5"/>
  <c r="BE426" i="5"/>
  <c r="BA426" i="5"/>
  <c r="BP426" i="5" s="1"/>
  <c r="BD426" i="5"/>
  <c r="AZ426" i="5"/>
  <c r="AV426" i="5"/>
  <c r="BC426" i="5" s="1"/>
  <c r="AU426" i="5"/>
  <c r="BN426" i="5" s="1"/>
  <c r="AY426" i="5"/>
  <c r="CK458" i="5"/>
  <c r="CJ458" i="5"/>
  <c r="CI458" i="5"/>
  <c r="CH458" i="5"/>
  <c r="CF458" i="5"/>
  <c r="CE458" i="5"/>
  <c r="CG458" i="5"/>
  <c r="BZ458" i="5"/>
  <c r="CD458" i="5"/>
  <c r="CC458" i="5"/>
  <c r="CA458" i="5"/>
  <c r="BW458" i="5"/>
  <c r="BX458" i="5"/>
  <c r="BY458" i="5"/>
  <c r="BV458" i="5"/>
  <c r="BU458" i="5"/>
  <c r="BT458" i="5"/>
  <c r="BS458" i="5"/>
  <c r="BR458" i="5"/>
  <c r="BQ458" i="5"/>
  <c r="BL458" i="5"/>
  <c r="BM458" i="5"/>
  <c r="BG458" i="5"/>
  <c r="BK458" i="5"/>
  <c r="BI458" i="5"/>
  <c r="BJ458" i="5"/>
  <c r="BH458" i="5"/>
  <c r="BF458" i="5"/>
  <c r="BE458" i="5"/>
  <c r="BA458" i="5"/>
  <c r="BP458" i="5" s="1"/>
  <c r="BD458" i="5"/>
  <c r="AZ458" i="5"/>
  <c r="AV458" i="5"/>
  <c r="BC458" i="5" s="1"/>
  <c r="AU458" i="5"/>
  <c r="BN458" i="5" s="1"/>
  <c r="AY458" i="5"/>
  <c r="CK490" i="5"/>
  <c r="CJ490" i="5"/>
  <c r="CG490" i="5"/>
  <c r="CH490" i="5"/>
  <c r="CF490" i="5"/>
  <c r="CI490" i="5"/>
  <c r="CE490" i="5"/>
  <c r="CD490" i="5"/>
  <c r="BZ490" i="5"/>
  <c r="CA490" i="5"/>
  <c r="CC490" i="5"/>
  <c r="BW490" i="5"/>
  <c r="BX490" i="5"/>
  <c r="BY490" i="5"/>
  <c r="BV490" i="5"/>
  <c r="BU490" i="5"/>
  <c r="BT490" i="5"/>
  <c r="BS490" i="5"/>
  <c r="BR490" i="5"/>
  <c r="BQ490" i="5"/>
  <c r="BL490" i="5"/>
  <c r="BM490" i="5"/>
  <c r="BG490" i="5"/>
  <c r="BK490" i="5"/>
  <c r="BI490" i="5"/>
  <c r="BJ490" i="5"/>
  <c r="BH490" i="5"/>
  <c r="BF490" i="5"/>
  <c r="BE490" i="5"/>
  <c r="BA490" i="5"/>
  <c r="BP490" i="5" s="1"/>
  <c r="BD490" i="5"/>
  <c r="AZ490" i="5"/>
  <c r="AV490" i="5"/>
  <c r="BC490" i="5" s="1"/>
  <c r="AU490" i="5"/>
  <c r="BN490" i="5" s="1"/>
  <c r="AY490" i="5"/>
  <c r="CK522" i="5"/>
  <c r="CJ522" i="5"/>
  <c r="CI522" i="5"/>
  <c r="CG522" i="5"/>
  <c r="CF522" i="5"/>
  <c r="CE522" i="5"/>
  <c r="CH522" i="5"/>
  <c r="CD522" i="5"/>
  <c r="CC522" i="5"/>
  <c r="BZ522" i="5"/>
  <c r="CA522" i="5"/>
  <c r="BW522" i="5"/>
  <c r="BX522" i="5"/>
  <c r="BY522" i="5"/>
  <c r="BV522" i="5"/>
  <c r="BU522" i="5"/>
  <c r="BT522" i="5"/>
  <c r="BS522" i="5"/>
  <c r="BR522" i="5"/>
  <c r="BQ522" i="5"/>
  <c r="BL522" i="5"/>
  <c r="BM522" i="5"/>
  <c r="BG522" i="5"/>
  <c r="BK522" i="5"/>
  <c r="BI522" i="5"/>
  <c r="BJ522" i="5"/>
  <c r="BH522" i="5"/>
  <c r="BF522" i="5"/>
  <c r="BE522" i="5"/>
  <c r="BA522" i="5"/>
  <c r="BP522" i="5" s="1"/>
  <c r="BD522" i="5"/>
  <c r="AZ522" i="5"/>
  <c r="AV522" i="5"/>
  <c r="BC522" i="5" s="1"/>
  <c r="AU522" i="5"/>
  <c r="BN522" i="5" s="1"/>
  <c r="AY522" i="5"/>
  <c r="CK554" i="5"/>
  <c r="CJ554" i="5"/>
  <c r="CI554" i="5"/>
  <c r="CG554" i="5"/>
  <c r="CH554" i="5"/>
  <c r="CF554" i="5"/>
  <c r="CE554" i="5"/>
  <c r="CD554" i="5"/>
  <c r="CA554" i="5"/>
  <c r="CC554" i="5"/>
  <c r="BZ554" i="5"/>
  <c r="BX554" i="5"/>
  <c r="BY554" i="5"/>
  <c r="BV554" i="5"/>
  <c r="BW554" i="5"/>
  <c r="BU554" i="5"/>
  <c r="BT554" i="5"/>
  <c r="BS554" i="5"/>
  <c r="BR554" i="5"/>
  <c r="BQ554" i="5"/>
  <c r="BL554" i="5"/>
  <c r="BM554" i="5"/>
  <c r="BK554" i="5"/>
  <c r="BI554" i="5"/>
  <c r="BJ554" i="5"/>
  <c r="BH554" i="5"/>
  <c r="BF554" i="5"/>
  <c r="BE554" i="5"/>
  <c r="BG554" i="5"/>
  <c r="BA554" i="5"/>
  <c r="BP554" i="5" s="1"/>
  <c r="BD554" i="5"/>
  <c r="AZ554" i="5"/>
  <c r="AV554" i="5"/>
  <c r="BC554" i="5" s="1"/>
  <c r="AU554" i="5"/>
  <c r="BN554" i="5" s="1"/>
  <c r="AY554" i="5"/>
  <c r="CK586" i="5"/>
  <c r="CJ586" i="5"/>
  <c r="CI586" i="5"/>
  <c r="CH586" i="5"/>
  <c r="CF586" i="5"/>
  <c r="CG586" i="5"/>
  <c r="CE586" i="5"/>
  <c r="CD586" i="5"/>
  <c r="CC586" i="5"/>
  <c r="CA586" i="5"/>
  <c r="BX586" i="5"/>
  <c r="BZ586" i="5"/>
  <c r="BY586" i="5"/>
  <c r="BV586" i="5"/>
  <c r="BW586" i="5"/>
  <c r="BU586" i="5"/>
  <c r="BT586" i="5"/>
  <c r="BS586" i="5"/>
  <c r="BR586" i="5"/>
  <c r="BQ586" i="5"/>
  <c r="BL586" i="5"/>
  <c r="BM586" i="5"/>
  <c r="BK586" i="5"/>
  <c r="BI586" i="5"/>
  <c r="BJ586" i="5"/>
  <c r="BH586" i="5"/>
  <c r="BF586" i="5"/>
  <c r="BE586" i="5"/>
  <c r="BG586" i="5"/>
  <c r="BA586" i="5"/>
  <c r="BP586" i="5" s="1"/>
  <c r="BD586" i="5"/>
  <c r="AZ586" i="5"/>
  <c r="AV586" i="5"/>
  <c r="BC586" i="5" s="1"/>
  <c r="AU586" i="5"/>
  <c r="BN586" i="5" s="1"/>
  <c r="AY586" i="5"/>
  <c r="CI618" i="5"/>
  <c r="CI756" i="5" s="1"/>
  <c r="CI757" i="5" s="1"/>
  <c r="CF618" i="5"/>
  <c r="CF756" i="5" s="1"/>
  <c r="CF757" i="5" s="1"/>
  <c r="CK618" i="5"/>
  <c r="CK756" i="5" s="1"/>
  <c r="CK757" i="5" s="1"/>
  <c r="CE618" i="5"/>
  <c r="CE756" i="5" s="1"/>
  <c r="CE757" i="5" s="1"/>
  <c r="CD618" i="5"/>
  <c r="CD756" i="5" s="1"/>
  <c r="CD757" i="5" s="1"/>
  <c r="CC618" i="5"/>
  <c r="CC756" i="5" s="1"/>
  <c r="CC757" i="5" s="1"/>
  <c r="CA618" i="5"/>
  <c r="CA756" i="5" s="1"/>
  <c r="CA757" i="5" s="1"/>
  <c r="BY618" i="5"/>
  <c r="BY756" i="5" s="1"/>
  <c r="BY757" i="5" s="1"/>
  <c r="BV618" i="5"/>
  <c r="BV756" i="5" s="1"/>
  <c r="BV757" i="5" s="1"/>
  <c r="BW618" i="5"/>
  <c r="BW756" i="5" s="1"/>
  <c r="BW757" i="5" s="1"/>
  <c r="BU618" i="5"/>
  <c r="BU756" i="5" s="1"/>
  <c r="BU757" i="5" s="1"/>
  <c r="BT618" i="5"/>
  <c r="BT756" i="5" s="1"/>
  <c r="BT757" i="5" s="1"/>
  <c r="BS618" i="5"/>
  <c r="BS756" i="5" s="1"/>
  <c r="BS757" i="5" s="1"/>
  <c r="BR618" i="5"/>
  <c r="BR756" i="5" s="1"/>
  <c r="BR757" i="5" s="1"/>
  <c r="BQ618" i="5"/>
  <c r="BQ756" i="5" s="1"/>
  <c r="BQ757" i="5" s="1"/>
  <c r="BM618" i="5"/>
  <c r="BM756" i="5" s="1"/>
  <c r="BM757" i="5" s="1"/>
  <c r="BK618" i="5"/>
  <c r="BK756" i="5" s="1"/>
  <c r="BK757" i="5" s="1"/>
  <c r="BI618" i="5"/>
  <c r="BI756" i="5" s="1"/>
  <c r="BI757" i="5" s="1"/>
  <c r="BJ618" i="5"/>
  <c r="BJ756" i="5" s="1"/>
  <c r="BJ757" i="5" s="1"/>
  <c r="BH618" i="5"/>
  <c r="BH756" i="5" s="1"/>
  <c r="BH757" i="5" s="1"/>
  <c r="BF618" i="5"/>
  <c r="BF756" i="5" s="1"/>
  <c r="BF757" i="5" s="1"/>
  <c r="BE618" i="5"/>
  <c r="BE756" i="5" s="1"/>
  <c r="BE757" i="5" s="1"/>
  <c r="BG618" i="5"/>
  <c r="BG756" i="5" s="1"/>
  <c r="BG757" i="5" s="1"/>
  <c r="BA618" i="5"/>
  <c r="BP618" i="5" s="1"/>
  <c r="BD618" i="5"/>
  <c r="BD756" i="5" s="1"/>
  <c r="BD757" i="5" s="1"/>
  <c r="AZ618" i="5"/>
  <c r="AZ756" i="5" s="1"/>
  <c r="AZ757" i="5" s="1"/>
  <c r="AV618" i="5"/>
  <c r="BC618" i="5" s="1"/>
  <c r="AU618" i="5"/>
  <c r="BN618" i="5" s="1"/>
  <c r="AY618" i="5"/>
  <c r="AY756" i="5" s="1"/>
  <c r="AY757" i="5" s="1"/>
  <c r="CK650" i="5"/>
  <c r="CI650" i="5"/>
  <c r="CH650" i="5"/>
  <c r="CJ650" i="5"/>
  <c r="CG650" i="5"/>
  <c r="CF650" i="5"/>
  <c r="CE650" i="5"/>
  <c r="CD650" i="5"/>
  <c r="CC650" i="5"/>
  <c r="BZ650" i="5"/>
  <c r="BX650" i="5"/>
  <c r="CA650" i="5"/>
  <c r="BY650" i="5"/>
  <c r="BV650" i="5"/>
  <c r="BW650" i="5"/>
  <c r="BU650" i="5"/>
  <c r="BT650" i="5"/>
  <c r="BS650" i="5"/>
  <c r="BR650" i="5"/>
  <c r="BQ650" i="5"/>
  <c r="BM650" i="5"/>
  <c r="BL650" i="5"/>
  <c r="BK650" i="5"/>
  <c r="BI650" i="5"/>
  <c r="BJ650" i="5"/>
  <c r="BH650" i="5"/>
  <c r="BF650" i="5"/>
  <c r="BE650" i="5"/>
  <c r="BG650" i="5"/>
  <c r="BA650" i="5"/>
  <c r="BP650" i="5" s="1"/>
  <c r="BD650" i="5"/>
  <c r="AZ650" i="5"/>
  <c r="AV650" i="5"/>
  <c r="BO650" i="5" s="1"/>
  <c r="AU650" i="5"/>
  <c r="BN650" i="5" s="1"/>
  <c r="AY650" i="5"/>
  <c r="CK682" i="5"/>
  <c r="CI682" i="5"/>
  <c r="CJ682" i="5"/>
  <c r="CF682" i="5"/>
  <c r="CG682" i="5"/>
  <c r="CE682" i="5"/>
  <c r="CH682" i="5"/>
  <c r="CD682" i="5"/>
  <c r="CC682" i="5"/>
  <c r="CA682" i="5"/>
  <c r="BZ682" i="5"/>
  <c r="BY682" i="5"/>
  <c r="BX682" i="5"/>
  <c r="BV682" i="5"/>
  <c r="BW682" i="5"/>
  <c r="BU682" i="5"/>
  <c r="BT682" i="5"/>
  <c r="BS682" i="5"/>
  <c r="BR682" i="5"/>
  <c r="BQ682" i="5"/>
  <c r="BM682" i="5"/>
  <c r="BL682" i="5"/>
  <c r="BK682" i="5"/>
  <c r="BI682" i="5"/>
  <c r="BJ682" i="5"/>
  <c r="BH682" i="5"/>
  <c r="BF682" i="5"/>
  <c r="BE682" i="5"/>
  <c r="BG682" i="5"/>
  <c r="BA682" i="5"/>
  <c r="BP682" i="5" s="1"/>
  <c r="BD682" i="5"/>
  <c r="AZ682" i="5"/>
  <c r="AV682" i="5"/>
  <c r="BO682" i="5" s="1"/>
  <c r="AU682" i="5"/>
  <c r="BN682" i="5" s="1"/>
  <c r="AY682" i="5"/>
  <c r="BC76" i="5"/>
  <c r="CJ263" i="5"/>
  <c r="CK263" i="5"/>
  <c r="CI263" i="5"/>
  <c r="CG263" i="5"/>
  <c r="CH263" i="5"/>
  <c r="CF263" i="5"/>
  <c r="CC263" i="5"/>
  <c r="CD263" i="5"/>
  <c r="CE263" i="5"/>
  <c r="CA263" i="5"/>
  <c r="BZ263" i="5"/>
  <c r="BX263" i="5"/>
  <c r="BY263" i="5"/>
  <c r="BW263" i="5"/>
  <c r="BU263" i="5"/>
  <c r="BT263" i="5"/>
  <c r="BV263" i="5"/>
  <c r="BQ263" i="5"/>
  <c r="BS263" i="5"/>
  <c r="BR263" i="5"/>
  <c r="BM263" i="5"/>
  <c r="BL263" i="5"/>
  <c r="BJ263" i="5"/>
  <c r="BK263" i="5"/>
  <c r="BI263" i="5"/>
  <c r="BH263" i="5"/>
  <c r="BG263" i="5"/>
  <c r="BF263" i="5"/>
  <c r="BE263" i="5"/>
  <c r="BD263" i="5"/>
  <c r="BA263" i="5"/>
  <c r="BP263" i="5" s="1"/>
  <c r="AZ263" i="5"/>
  <c r="AY263" i="5"/>
  <c r="AU263" i="5"/>
  <c r="BB263" i="5" s="1"/>
  <c r="AV263" i="5"/>
  <c r="BC263" i="5" s="1"/>
  <c r="BC316" i="5"/>
  <c r="BL444" i="5"/>
  <c r="CK519" i="5"/>
  <c r="CH519" i="5"/>
  <c r="CG519" i="5"/>
  <c r="CJ519" i="5"/>
  <c r="CI519" i="5"/>
  <c r="CF519" i="5"/>
  <c r="CC519" i="5"/>
  <c r="CD519" i="5"/>
  <c r="CE519" i="5"/>
  <c r="CA519" i="5"/>
  <c r="BX519" i="5"/>
  <c r="BZ519" i="5"/>
  <c r="BY519" i="5"/>
  <c r="BW519" i="5"/>
  <c r="BT519" i="5"/>
  <c r="BV519" i="5"/>
  <c r="BS519" i="5"/>
  <c r="BU519" i="5"/>
  <c r="BQ519" i="5"/>
  <c r="BR519" i="5"/>
  <c r="BM519" i="5"/>
  <c r="BL519" i="5"/>
  <c r="BJ519" i="5"/>
  <c r="BK519" i="5"/>
  <c r="BI519" i="5"/>
  <c r="BH519" i="5"/>
  <c r="BF519" i="5"/>
  <c r="BG519" i="5"/>
  <c r="BE519" i="5"/>
  <c r="BD519" i="5"/>
  <c r="BA519" i="5"/>
  <c r="BP519" i="5" s="1"/>
  <c r="AZ519" i="5"/>
  <c r="AY519" i="5"/>
  <c r="AU519" i="5"/>
  <c r="BB519" i="5" s="1"/>
  <c r="AV519" i="5"/>
  <c r="BC519" i="5" s="1"/>
  <c r="BC572" i="5"/>
  <c r="CK11" i="5"/>
  <c r="CI11" i="5"/>
  <c r="CF11" i="5"/>
  <c r="CD11" i="5"/>
  <c r="CE11" i="5"/>
  <c r="CC11" i="5"/>
  <c r="CA11" i="5"/>
  <c r="BY11" i="5"/>
  <c r="BU11" i="5"/>
  <c r="BW11" i="5"/>
  <c r="BV11" i="5"/>
  <c r="BT11" i="5"/>
  <c r="BR11" i="5"/>
  <c r="BS11" i="5"/>
  <c r="BQ11" i="5"/>
  <c r="BK11" i="5"/>
  <c r="BJ11" i="5"/>
  <c r="BM11" i="5"/>
  <c r="BH11" i="5"/>
  <c r="BI11" i="5"/>
  <c r="BF11" i="5"/>
  <c r="BE11" i="5"/>
  <c r="BD11" i="5"/>
  <c r="BG11" i="5"/>
  <c r="BA11" i="5"/>
  <c r="BP11" i="5" s="1"/>
  <c r="AZ11" i="5"/>
  <c r="AV11" i="5"/>
  <c r="BC11" i="5" s="1"/>
  <c r="AU11" i="5"/>
  <c r="BN11" i="5" s="1"/>
  <c r="AY11" i="5"/>
  <c r="CK43" i="5"/>
  <c r="CI43" i="5"/>
  <c r="CF43" i="5"/>
  <c r="CD43" i="5"/>
  <c r="CE43" i="5"/>
  <c r="CA43" i="5"/>
  <c r="CC43" i="5"/>
  <c r="BY43" i="5"/>
  <c r="BW43" i="5"/>
  <c r="BV43" i="5"/>
  <c r="BU43" i="5"/>
  <c r="BT43" i="5"/>
  <c r="BR43" i="5"/>
  <c r="BS43" i="5"/>
  <c r="BQ43" i="5"/>
  <c r="BK43" i="5"/>
  <c r="BJ43" i="5"/>
  <c r="BM43" i="5"/>
  <c r="BH43" i="5"/>
  <c r="BI43" i="5"/>
  <c r="BF43" i="5"/>
  <c r="BE43" i="5"/>
  <c r="BD43" i="5"/>
  <c r="BG43" i="5"/>
  <c r="BA43" i="5"/>
  <c r="BP43" i="5" s="1"/>
  <c r="AZ43" i="5"/>
  <c r="AV43" i="5"/>
  <c r="BO43" i="5" s="1"/>
  <c r="AU43" i="5"/>
  <c r="BN43" i="5" s="1"/>
  <c r="AY43" i="5"/>
  <c r="CJ75" i="5"/>
  <c r="CK75" i="5"/>
  <c r="CI75" i="5"/>
  <c r="CH75" i="5"/>
  <c r="CF75" i="5"/>
  <c r="CD75" i="5"/>
  <c r="CG75" i="5"/>
  <c r="CE75" i="5"/>
  <c r="CA75" i="5"/>
  <c r="CC75" i="5"/>
  <c r="BZ75" i="5"/>
  <c r="BX75" i="5"/>
  <c r="BY75" i="5"/>
  <c r="BW75" i="5"/>
  <c r="BV75" i="5"/>
  <c r="BU75" i="5"/>
  <c r="BT75" i="5"/>
  <c r="BR75" i="5"/>
  <c r="BS75" i="5"/>
  <c r="BQ75" i="5"/>
  <c r="BL75" i="5"/>
  <c r="BK75" i="5"/>
  <c r="BJ75" i="5"/>
  <c r="BM75" i="5"/>
  <c r="BH75" i="5"/>
  <c r="BI75" i="5"/>
  <c r="BF75" i="5"/>
  <c r="BE75" i="5"/>
  <c r="BD75" i="5"/>
  <c r="BG75" i="5"/>
  <c r="BA75" i="5"/>
  <c r="BP75" i="5" s="1"/>
  <c r="AZ75" i="5"/>
  <c r="AV75" i="5"/>
  <c r="BO75" i="5" s="1"/>
  <c r="AU75" i="5"/>
  <c r="BN75" i="5" s="1"/>
  <c r="AY75" i="5"/>
  <c r="CK107" i="5"/>
  <c r="CI107" i="5"/>
  <c r="CF107" i="5"/>
  <c r="CD107" i="5"/>
  <c r="CE107" i="5"/>
  <c r="CC107" i="5"/>
  <c r="CA107" i="5"/>
  <c r="BY107" i="5"/>
  <c r="BW107" i="5"/>
  <c r="BV107" i="5"/>
  <c r="BU107" i="5"/>
  <c r="BT107" i="5"/>
  <c r="BR107" i="5"/>
  <c r="BS107" i="5"/>
  <c r="BQ107" i="5"/>
  <c r="BK107" i="5"/>
  <c r="BJ107" i="5"/>
  <c r="BM107" i="5"/>
  <c r="BH107" i="5"/>
  <c r="BI107" i="5"/>
  <c r="BF107" i="5"/>
  <c r="BE107" i="5"/>
  <c r="BD107" i="5"/>
  <c r="BG107" i="5"/>
  <c r="BA107" i="5"/>
  <c r="BP107" i="5" s="1"/>
  <c r="AZ107" i="5"/>
  <c r="AV107" i="5"/>
  <c r="BO107" i="5" s="1"/>
  <c r="AU107" i="5"/>
  <c r="BB107" i="5" s="1"/>
  <c r="AY107" i="5"/>
  <c r="CI139" i="5"/>
  <c r="CK139" i="5"/>
  <c r="CF139" i="5"/>
  <c r="CD139" i="5"/>
  <c r="CC139" i="5"/>
  <c r="CA139" i="5"/>
  <c r="CE139" i="5"/>
  <c r="BY139" i="5"/>
  <c r="BW139" i="5"/>
  <c r="BV139" i="5"/>
  <c r="BU139" i="5"/>
  <c r="BT139" i="5"/>
  <c r="BR139" i="5"/>
  <c r="BS139" i="5"/>
  <c r="BQ139" i="5"/>
  <c r="BJ139" i="5"/>
  <c r="BM139" i="5"/>
  <c r="BH139" i="5"/>
  <c r="BK139" i="5"/>
  <c r="BI139" i="5"/>
  <c r="BF139" i="5"/>
  <c r="BE139" i="5"/>
  <c r="BD139" i="5"/>
  <c r="BG139" i="5"/>
  <c r="BA139" i="5"/>
  <c r="BP139" i="5" s="1"/>
  <c r="AZ139" i="5"/>
  <c r="AV139" i="5"/>
  <c r="BO139" i="5" s="1"/>
  <c r="AU139" i="5"/>
  <c r="BN139" i="5" s="1"/>
  <c r="AY139" i="5"/>
  <c r="CJ171" i="5"/>
  <c r="CH171" i="5"/>
  <c r="CF171" i="5"/>
  <c r="CK171" i="5"/>
  <c r="CI171" i="5"/>
  <c r="CG171" i="5"/>
  <c r="CD171" i="5"/>
  <c r="CE171" i="5"/>
  <c r="CA171" i="5"/>
  <c r="CC171" i="5"/>
  <c r="BZ171" i="5"/>
  <c r="BY171" i="5"/>
  <c r="BX171" i="5"/>
  <c r="BW171" i="5"/>
  <c r="BV171" i="5"/>
  <c r="BU171" i="5"/>
  <c r="BT171" i="5"/>
  <c r="BR171" i="5"/>
  <c r="BS171" i="5"/>
  <c r="BQ171" i="5"/>
  <c r="BL171" i="5"/>
  <c r="BJ171" i="5"/>
  <c r="BM171" i="5"/>
  <c r="BH171" i="5"/>
  <c r="BK171" i="5"/>
  <c r="BI171" i="5"/>
  <c r="BF171" i="5"/>
  <c r="BE171" i="5"/>
  <c r="BD171" i="5"/>
  <c r="BG171" i="5"/>
  <c r="BA171" i="5"/>
  <c r="BP171" i="5" s="1"/>
  <c r="AZ171" i="5"/>
  <c r="AV171" i="5"/>
  <c r="BC171" i="5" s="1"/>
  <c r="AU171" i="5"/>
  <c r="BN171" i="5" s="1"/>
  <c r="AY171" i="5"/>
  <c r="BO52" i="5"/>
  <c r="BB116" i="5"/>
  <c r="BZ116" i="5" s="1"/>
  <c r="BL116" i="5"/>
  <c r="CK179" i="5"/>
  <c r="CF179" i="5"/>
  <c r="CD179" i="5"/>
  <c r="CI179" i="5"/>
  <c r="CE179" i="5"/>
  <c r="CC179" i="5"/>
  <c r="CA179" i="5"/>
  <c r="BY179" i="5"/>
  <c r="BV179" i="5"/>
  <c r="BW179" i="5"/>
  <c r="BU179" i="5"/>
  <c r="BT179" i="5"/>
  <c r="BS179" i="5"/>
  <c r="BQ179" i="5"/>
  <c r="BR179" i="5"/>
  <c r="BJ179" i="5"/>
  <c r="BM179" i="5"/>
  <c r="BH179" i="5"/>
  <c r="BK179" i="5"/>
  <c r="BI179" i="5"/>
  <c r="BG179" i="5"/>
  <c r="BF179" i="5"/>
  <c r="BE179" i="5"/>
  <c r="BD179" i="5"/>
  <c r="BA179" i="5"/>
  <c r="BP179" i="5" s="1"/>
  <c r="AZ179" i="5"/>
  <c r="AV179" i="5"/>
  <c r="BC179" i="5" s="1"/>
  <c r="AY179" i="5"/>
  <c r="AU179" i="5"/>
  <c r="BB179" i="5" s="1"/>
  <c r="CK403" i="5"/>
  <c r="CI403" i="5"/>
  <c r="CD403" i="5"/>
  <c r="CF403" i="5"/>
  <c r="CE403" i="5"/>
  <c r="CA403" i="5"/>
  <c r="CC403" i="5"/>
  <c r="BY403" i="5"/>
  <c r="BV403" i="5"/>
  <c r="BW403" i="5"/>
  <c r="BU403" i="5"/>
  <c r="BT403" i="5"/>
  <c r="BS403" i="5"/>
  <c r="BQ403" i="5"/>
  <c r="BR403" i="5"/>
  <c r="BJ403" i="5"/>
  <c r="BM403" i="5"/>
  <c r="BH403" i="5"/>
  <c r="BK403" i="5"/>
  <c r="BI403" i="5"/>
  <c r="BF403" i="5"/>
  <c r="BE403" i="5"/>
  <c r="BD403" i="5"/>
  <c r="BG403" i="5"/>
  <c r="BA403" i="5"/>
  <c r="BP403" i="5" s="1"/>
  <c r="AZ403" i="5"/>
  <c r="AV403" i="5"/>
  <c r="BO403" i="5" s="1"/>
  <c r="AY403" i="5"/>
  <c r="AU403" i="5"/>
  <c r="BN403" i="5" s="1"/>
  <c r="CJ659" i="5"/>
  <c r="CK659" i="5"/>
  <c r="CG659" i="5"/>
  <c r="CI659" i="5"/>
  <c r="CH659" i="5"/>
  <c r="CF659" i="5"/>
  <c r="CA659" i="5"/>
  <c r="CE659" i="5"/>
  <c r="CD659" i="5"/>
  <c r="CC659" i="5"/>
  <c r="BZ659" i="5"/>
  <c r="BY659" i="5"/>
  <c r="BV659" i="5"/>
  <c r="BW659" i="5"/>
  <c r="BX659" i="5"/>
  <c r="BT659" i="5"/>
  <c r="BU659" i="5"/>
  <c r="BS659" i="5"/>
  <c r="BQ659" i="5"/>
  <c r="BR659" i="5"/>
  <c r="BL659" i="5"/>
  <c r="BJ659" i="5"/>
  <c r="BM659" i="5"/>
  <c r="BH659" i="5"/>
  <c r="BK659" i="5"/>
  <c r="BI659" i="5"/>
  <c r="BG659" i="5"/>
  <c r="BF659" i="5"/>
  <c r="BE659" i="5"/>
  <c r="BD659" i="5"/>
  <c r="BA659" i="5"/>
  <c r="AZ659" i="5"/>
  <c r="AV659" i="5"/>
  <c r="AU659" i="5"/>
  <c r="AY659" i="5"/>
  <c r="BO28" i="5"/>
  <c r="BC92" i="5"/>
  <c r="BL92" i="5"/>
  <c r="BB212" i="5"/>
  <c r="CK287" i="5"/>
  <c r="CI287" i="5"/>
  <c r="CE287" i="5"/>
  <c r="CF287" i="5"/>
  <c r="CD287" i="5"/>
  <c r="CC287" i="5"/>
  <c r="CA287" i="5"/>
  <c r="BY287" i="5"/>
  <c r="BV287" i="5"/>
  <c r="BU287" i="5"/>
  <c r="BT287" i="5"/>
  <c r="BW287" i="5"/>
  <c r="BQ287" i="5"/>
  <c r="BS287" i="5"/>
  <c r="BR287" i="5"/>
  <c r="BM287" i="5"/>
  <c r="BJ287" i="5"/>
  <c r="BI287" i="5"/>
  <c r="BH287" i="5"/>
  <c r="BK287" i="5"/>
  <c r="BF287" i="5"/>
  <c r="BG287" i="5"/>
  <c r="BE287" i="5"/>
  <c r="BD287" i="5"/>
  <c r="BA287" i="5"/>
  <c r="BP287" i="5" s="1"/>
  <c r="AZ287" i="5"/>
  <c r="AY287" i="5"/>
  <c r="AU287" i="5"/>
  <c r="BB287" i="5" s="1"/>
  <c r="AV287" i="5"/>
  <c r="BO287" i="5" s="1"/>
  <c r="BC340" i="5"/>
  <c r="BB372" i="5"/>
  <c r="BZ372" i="5" s="1"/>
  <c r="BL372" i="5"/>
  <c r="BO468" i="5"/>
  <c r="CK575" i="5"/>
  <c r="CI575" i="5"/>
  <c r="CE575" i="5"/>
  <c r="CF575" i="5"/>
  <c r="CD575" i="5"/>
  <c r="CA575" i="5"/>
  <c r="CC575" i="5"/>
  <c r="BY575" i="5"/>
  <c r="BV575" i="5"/>
  <c r="BT575" i="5"/>
  <c r="BW575" i="5"/>
  <c r="BS575" i="5"/>
  <c r="BQ575" i="5"/>
  <c r="BU575" i="5"/>
  <c r="BR575" i="5"/>
  <c r="BM575" i="5"/>
  <c r="BJ575" i="5"/>
  <c r="BI575" i="5"/>
  <c r="BH575" i="5"/>
  <c r="BK575" i="5"/>
  <c r="BG575" i="5"/>
  <c r="BF575" i="5"/>
  <c r="BE575" i="5"/>
  <c r="BD575" i="5"/>
  <c r="BA575" i="5"/>
  <c r="BP575" i="5" s="1"/>
  <c r="AZ575" i="5"/>
  <c r="AY575" i="5"/>
  <c r="AU575" i="5"/>
  <c r="BN575" i="5" s="1"/>
  <c r="AV575" i="5"/>
  <c r="BO575" i="5" s="1"/>
  <c r="BC628" i="5"/>
  <c r="BL132" i="5"/>
  <c r="CK235" i="5"/>
  <c r="CF235" i="5"/>
  <c r="CD235" i="5"/>
  <c r="CI235" i="5"/>
  <c r="CE235" i="5"/>
  <c r="CC235" i="5"/>
  <c r="CA235" i="5"/>
  <c r="BY235" i="5"/>
  <c r="BW235" i="5"/>
  <c r="BV235" i="5"/>
  <c r="BU235" i="5"/>
  <c r="BT235" i="5"/>
  <c r="BS235" i="5"/>
  <c r="BQ235" i="5"/>
  <c r="BR235" i="5"/>
  <c r="BJ235" i="5"/>
  <c r="BM235" i="5"/>
  <c r="BH235" i="5"/>
  <c r="BK235" i="5"/>
  <c r="BI235" i="5"/>
  <c r="BF235" i="5"/>
  <c r="BE235" i="5"/>
  <c r="BD235" i="5"/>
  <c r="BG235" i="5"/>
  <c r="BA235" i="5"/>
  <c r="BP235" i="5" s="1"/>
  <c r="AZ235" i="5"/>
  <c r="AV235" i="5"/>
  <c r="BC235" i="5" s="1"/>
  <c r="AU235" i="5"/>
  <c r="BN235" i="5" s="1"/>
  <c r="AY235" i="5"/>
  <c r="CJ459" i="5"/>
  <c r="CH459" i="5"/>
  <c r="CK459" i="5"/>
  <c r="CG459" i="5"/>
  <c r="CI459" i="5"/>
  <c r="CD459" i="5"/>
  <c r="CF459" i="5"/>
  <c r="CE459" i="5"/>
  <c r="CA459" i="5"/>
  <c r="CC459" i="5"/>
  <c r="BZ459" i="5"/>
  <c r="BY459" i="5"/>
  <c r="BX459" i="5"/>
  <c r="BW459" i="5"/>
  <c r="BV459" i="5"/>
  <c r="BT459" i="5"/>
  <c r="BU459" i="5"/>
  <c r="BS459" i="5"/>
  <c r="BQ459" i="5"/>
  <c r="BR459" i="5"/>
  <c r="BL459" i="5"/>
  <c r="BJ459" i="5"/>
  <c r="BM459" i="5"/>
  <c r="BH459" i="5"/>
  <c r="BK459" i="5"/>
  <c r="BI459" i="5"/>
  <c r="BG459" i="5"/>
  <c r="BF459" i="5"/>
  <c r="BE459" i="5"/>
  <c r="BD459" i="5"/>
  <c r="BA459" i="5"/>
  <c r="BP459" i="5" s="1"/>
  <c r="AZ459" i="5"/>
  <c r="AV459" i="5"/>
  <c r="BC459" i="5" s="1"/>
  <c r="AU459" i="5"/>
  <c r="BB459" i="5" s="1"/>
  <c r="AY459" i="5"/>
  <c r="CK94" i="5"/>
  <c r="CJ94" i="5"/>
  <c r="CI94" i="5"/>
  <c r="CH94" i="5"/>
  <c r="CG94" i="5"/>
  <c r="CF94" i="5"/>
  <c r="CC94" i="5"/>
  <c r="CE94" i="5"/>
  <c r="CD94" i="5"/>
  <c r="BZ94" i="5"/>
  <c r="CA94" i="5"/>
  <c r="BW94" i="5"/>
  <c r="BX94" i="5"/>
  <c r="BY94" i="5"/>
  <c r="BV94" i="5"/>
  <c r="BU94" i="5"/>
  <c r="BS94" i="5"/>
  <c r="BR94" i="5"/>
  <c r="BT94" i="5"/>
  <c r="BQ94" i="5"/>
  <c r="BM94" i="5"/>
  <c r="BL94" i="5"/>
  <c r="BK94" i="5"/>
  <c r="BI94" i="5"/>
  <c r="BH94" i="5"/>
  <c r="BG94" i="5"/>
  <c r="BJ94" i="5"/>
  <c r="BF94" i="5"/>
  <c r="BE94" i="5"/>
  <c r="BD94" i="5"/>
  <c r="AZ94" i="5"/>
  <c r="AY94" i="5"/>
  <c r="BA94" i="5"/>
  <c r="BP94" i="5" s="1"/>
  <c r="AU94" i="5"/>
  <c r="BB94" i="5" s="1"/>
  <c r="AV94" i="5"/>
  <c r="BC94" i="5" s="1"/>
  <c r="CK150" i="5"/>
  <c r="CI150" i="5"/>
  <c r="CF150" i="5"/>
  <c r="CE150" i="5"/>
  <c r="CD150" i="5"/>
  <c r="CC150" i="5"/>
  <c r="CA150" i="5"/>
  <c r="BY150" i="5"/>
  <c r="BW150" i="5"/>
  <c r="BU150" i="5"/>
  <c r="BV150" i="5"/>
  <c r="BS150" i="5"/>
  <c r="BR150" i="5"/>
  <c r="BT150" i="5"/>
  <c r="BQ150" i="5"/>
  <c r="BM150" i="5"/>
  <c r="BK150" i="5"/>
  <c r="BJ150" i="5"/>
  <c r="BI150" i="5"/>
  <c r="BH150" i="5"/>
  <c r="BG150" i="5"/>
  <c r="BF150" i="5"/>
  <c r="BE150" i="5"/>
  <c r="BD150" i="5"/>
  <c r="AZ150" i="5"/>
  <c r="BA150" i="5"/>
  <c r="BP150" i="5" s="1"/>
  <c r="AU150" i="5"/>
  <c r="BN150" i="5" s="1"/>
  <c r="AY150" i="5"/>
  <c r="AV150" i="5"/>
  <c r="BO150" i="5" s="1"/>
  <c r="CI182" i="5"/>
  <c r="CK182" i="5"/>
  <c r="CF182" i="5"/>
  <c r="CE182" i="5"/>
  <c r="CD182" i="5"/>
  <c r="CC182" i="5"/>
  <c r="CA182" i="5"/>
  <c r="BY182" i="5"/>
  <c r="BW182" i="5"/>
  <c r="BU182" i="5"/>
  <c r="BV182" i="5"/>
  <c r="BS182" i="5"/>
  <c r="BT182" i="5"/>
  <c r="BR182" i="5"/>
  <c r="BQ182" i="5"/>
  <c r="BM182" i="5"/>
  <c r="BK182" i="5"/>
  <c r="BJ182" i="5"/>
  <c r="BI182" i="5"/>
  <c r="BH182" i="5"/>
  <c r="BG182" i="5"/>
  <c r="BF182" i="5"/>
  <c r="BE182" i="5"/>
  <c r="BD182" i="5"/>
  <c r="AZ182" i="5"/>
  <c r="BA182" i="5"/>
  <c r="BP182" i="5" s="1"/>
  <c r="AU182" i="5"/>
  <c r="BN182" i="5" s="1"/>
  <c r="AY182" i="5"/>
  <c r="AV182" i="5"/>
  <c r="BC182" i="5" s="1"/>
  <c r="CI214" i="5"/>
  <c r="CJ214" i="5"/>
  <c r="CK214" i="5"/>
  <c r="CH214" i="5"/>
  <c r="CF214" i="5"/>
  <c r="CG214" i="5"/>
  <c r="CE214" i="5"/>
  <c r="CD214" i="5"/>
  <c r="CC214" i="5"/>
  <c r="BZ214" i="5"/>
  <c r="CA214" i="5"/>
  <c r="BX214" i="5"/>
  <c r="BY214" i="5"/>
  <c r="BW214" i="5"/>
  <c r="BU214" i="5"/>
  <c r="BV214" i="5"/>
  <c r="BS214" i="5"/>
  <c r="BT214" i="5"/>
  <c r="BR214" i="5"/>
  <c r="BQ214" i="5"/>
  <c r="BM214" i="5"/>
  <c r="BL214" i="5"/>
  <c r="BK214" i="5"/>
  <c r="BJ214" i="5"/>
  <c r="BI214" i="5"/>
  <c r="BH214" i="5"/>
  <c r="BG214" i="5"/>
  <c r="BF214" i="5"/>
  <c r="BE214" i="5"/>
  <c r="BD214" i="5"/>
  <c r="AZ214" i="5"/>
  <c r="BA214" i="5"/>
  <c r="BP214" i="5" s="1"/>
  <c r="AU214" i="5"/>
  <c r="BB214" i="5" s="1"/>
  <c r="AY214" i="5"/>
  <c r="AV214" i="5"/>
  <c r="BC214" i="5" s="1"/>
  <c r="CI246" i="5"/>
  <c r="CK246" i="5"/>
  <c r="CH246" i="5"/>
  <c r="CG246" i="5"/>
  <c r="CJ246" i="5"/>
  <c r="CF246" i="5"/>
  <c r="CE246" i="5"/>
  <c r="CD246" i="5"/>
  <c r="CC246" i="5"/>
  <c r="BZ246" i="5"/>
  <c r="CA246" i="5"/>
  <c r="BY246" i="5"/>
  <c r="BW246" i="5"/>
  <c r="BX246" i="5"/>
  <c r="BU246" i="5"/>
  <c r="BV246" i="5"/>
  <c r="BS246" i="5"/>
  <c r="BT246" i="5"/>
  <c r="BR246" i="5"/>
  <c r="BQ246" i="5"/>
  <c r="BM246" i="5"/>
  <c r="BL246" i="5"/>
  <c r="BK246" i="5"/>
  <c r="BJ246" i="5"/>
  <c r="BI246" i="5"/>
  <c r="BH246" i="5"/>
  <c r="BG246" i="5"/>
  <c r="BF246" i="5"/>
  <c r="BE246" i="5"/>
  <c r="BD246" i="5"/>
  <c r="AZ246" i="5"/>
  <c r="BA246" i="5"/>
  <c r="BP246" i="5" s="1"/>
  <c r="AU246" i="5"/>
  <c r="BN246" i="5" s="1"/>
  <c r="AY246" i="5"/>
  <c r="AV246" i="5"/>
  <c r="BC246" i="5" s="1"/>
  <c r="CJ278" i="5"/>
  <c r="CK278" i="5"/>
  <c r="CI278" i="5"/>
  <c r="CG278" i="5"/>
  <c r="CH278" i="5"/>
  <c r="CF278" i="5"/>
  <c r="CE278" i="5"/>
  <c r="CC278" i="5"/>
  <c r="CD278" i="5"/>
  <c r="BZ278" i="5"/>
  <c r="CA278" i="5"/>
  <c r="BY278" i="5"/>
  <c r="BW278" i="5"/>
  <c r="BX278" i="5"/>
  <c r="BU278" i="5"/>
  <c r="BV278" i="5"/>
  <c r="BS278" i="5"/>
  <c r="BT278" i="5"/>
  <c r="BR278" i="5"/>
  <c r="BQ278" i="5"/>
  <c r="BM278" i="5"/>
  <c r="BL278" i="5"/>
  <c r="BK278" i="5"/>
  <c r="BJ278" i="5"/>
  <c r="BI278" i="5"/>
  <c r="BH278" i="5"/>
  <c r="BG278" i="5"/>
  <c r="BF278" i="5"/>
  <c r="BE278" i="5"/>
  <c r="BD278" i="5"/>
  <c r="AZ278" i="5"/>
  <c r="BA278" i="5"/>
  <c r="BP278" i="5" s="1"/>
  <c r="AU278" i="5"/>
  <c r="BN278" i="5" s="1"/>
  <c r="AY278" i="5"/>
  <c r="AV278" i="5"/>
  <c r="BC278" i="5" s="1"/>
  <c r="CK310" i="5"/>
  <c r="CI310" i="5"/>
  <c r="CF310" i="5"/>
  <c r="CE310" i="5"/>
  <c r="CD310" i="5"/>
  <c r="CC310" i="5"/>
  <c r="CA310" i="5"/>
  <c r="BY310" i="5"/>
  <c r="BW310" i="5"/>
  <c r="BU310" i="5"/>
  <c r="BV310" i="5"/>
  <c r="BS310" i="5"/>
  <c r="BT310" i="5"/>
  <c r="BR310" i="5"/>
  <c r="BQ310" i="5"/>
  <c r="BM310" i="5"/>
  <c r="BK310" i="5"/>
  <c r="BJ310" i="5"/>
  <c r="BI310" i="5"/>
  <c r="BH310" i="5"/>
  <c r="BG310" i="5"/>
  <c r="BF310" i="5"/>
  <c r="BE310" i="5"/>
  <c r="BD310" i="5"/>
  <c r="AZ310" i="5"/>
  <c r="BA310" i="5"/>
  <c r="BP310" i="5" s="1"/>
  <c r="AU310" i="5"/>
  <c r="BN310" i="5" s="1"/>
  <c r="AY310" i="5"/>
  <c r="AV310" i="5"/>
  <c r="BO310" i="5" s="1"/>
  <c r="CK342" i="5"/>
  <c r="CI342" i="5"/>
  <c r="CG342" i="5"/>
  <c r="CH342" i="5"/>
  <c r="CJ342" i="5"/>
  <c r="CF342" i="5"/>
  <c r="CE342" i="5"/>
  <c r="CD342" i="5"/>
  <c r="CC342" i="5"/>
  <c r="BZ342" i="5"/>
  <c r="CA342" i="5"/>
  <c r="BY342" i="5"/>
  <c r="BW342" i="5"/>
  <c r="BX342" i="5"/>
  <c r="BU342" i="5"/>
  <c r="BV342" i="5"/>
  <c r="BS342" i="5"/>
  <c r="BT342" i="5"/>
  <c r="BR342" i="5"/>
  <c r="BQ342" i="5"/>
  <c r="BM342" i="5"/>
  <c r="BL342" i="5"/>
  <c r="BK342" i="5"/>
  <c r="BJ342" i="5"/>
  <c r="BI342" i="5"/>
  <c r="BH342" i="5"/>
  <c r="BG342" i="5"/>
  <c r="BF342" i="5"/>
  <c r="BE342" i="5"/>
  <c r="BD342" i="5"/>
  <c r="AZ342" i="5"/>
  <c r="BA342" i="5"/>
  <c r="BP342" i="5" s="1"/>
  <c r="AU342" i="5"/>
  <c r="BN342" i="5" s="1"/>
  <c r="AY342" i="5"/>
  <c r="AV342" i="5"/>
  <c r="BO342" i="5" s="1"/>
  <c r="CK374" i="5"/>
  <c r="CI374" i="5"/>
  <c r="CJ374" i="5"/>
  <c r="CH374" i="5"/>
  <c r="CG374" i="5"/>
  <c r="CF374" i="5"/>
  <c r="CE374" i="5"/>
  <c r="CD374" i="5"/>
  <c r="CC374" i="5"/>
  <c r="BZ374" i="5"/>
  <c r="CA374" i="5"/>
  <c r="BY374" i="5"/>
  <c r="BW374" i="5"/>
  <c r="BX374" i="5"/>
  <c r="BU374" i="5"/>
  <c r="BV374" i="5"/>
  <c r="BS374" i="5"/>
  <c r="BT374" i="5"/>
  <c r="BR374" i="5"/>
  <c r="BQ374" i="5"/>
  <c r="BM374" i="5"/>
  <c r="BL374" i="5"/>
  <c r="BK374" i="5"/>
  <c r="BJ374" i="5"/>
  <c r="BI374" i="5"/>
  <c r="BH374" i="5"/>
  <c r="BG374" i="5"/>
  <c r="BF374" i="5"/>
  <c r="BE374" i="5"/>
  <c r="AZ374" i="5"/>
  <c r="BD374" i="5"/>
  <c r="BA374" i="5"/>
  <c r="BP374" i="5" s="1"/>
  <c r="AU374" i="5"/>
  <c r="BN374" i="5" s="1"/>
  <c r="AY374" i="5"/>
  <c r="AV374" i="5"/>
  <c r="BO374" i="5" s="1"/>
  <c r="CK406" i="5"/>
  <c r="CI406" i="5"/>
  <c r="CH406" i="5"/>
  <c r="CJ406" i="5"/>
  <c r="CG406" i="5"/>
  <c r="CF406" i="5"/>
  <c r="CD406" i="5"/>
  <c r="CC406" i="5"/>
  <c r="CE406" i="5"/>
  <c r="BZ406" i="5"/>
  <c r="CA406" i="5"/>
  <c r="BY406" i="5"/>
  <c r="BW406" i="5"/>
  <c r="BX406" i="5"/>
  <c r="BU406" i="5"/>
  <c r="BV406" i="5"/>
  <c r="BS406" i="5"/>
  <c r="BT406" i="5"/>
  <c r="BR406" i="5"/>
  <c r="BQ406" i="5"/>
  <c r="BM406" i="5"/>
  <c r="BL406" i="5"/>
  <c r="BK406" i="5"/>
  <c r="BJ406" i="5"/>
  <c r="BI406" i="5"/>
  <c r="BH406" i="5"/>
  <c r="BG406" i="5"/>
  <c r="BF406" i="5"/>
  <c r="BE406" i="5"/>
  <c r="AZ406" i="5"/>
  <c r="BD406" i="5"/>
  <c r="BA406" i="5"/>
  <c r="BP406" i="5" s="1"/>
  <c r="AU406" i="5"/>
  <c r="BN406" i="5" s="1"/>
  <c r="AY406" i="5"/>
  <c r="AV406" i="5"/>
  <c r="BO406" i="5" s="1"/>
  <c r="CI438" i="5"/>
  <c r="CJ438" i="5"/>
  <c r="CK438" i="5"/>
  <c r="CG438" i="5"/>
  <c r="CH438" i="5"/>
  <c r="CF438" i="5"/>
  <c r="CE438" i="5"/>
  <c r="CC438" i="5"/>
  <c r="CD438" i="5"/>
  <c r="BZ438" i="5"/>
  <c r="CA438" i="5"/>
  <c r="BY438" i="5"/>
  <c r="BW438" i="5"/>
  <c r="BX438" i="5"/>
  <c r="BV438" i="5"/>
  <c r="BS438" i="5"/>
  <c r="BU438" i="5"/>
  <c r="BT438" i="5"/>
  <c r="BR438" i="5"/>
  <c r="BQ438" i="5"/>
  <c r="BM438" i="5"/>
  <c r="BL438" i="5"/>
  <c r="BK438" i="5"/>
  <c r="BJ438" i="5"/>
  <c r="BI438" i="5"/>
  <c r="BH438" i="5"/>
  <c r="BG438" i="5"/>
  <c r="BF438" i="5"/>
  <c r="BE438" i="5"/>
  <c r="AZ438" i="5"/>
  <c r="BD438" i="5"/>
  <c r="BA438" i="5"/>
  <c r="BP438" i="5" s="1"/>
  <c r="AU438" i="5"/>
  <c r="BN438" i="5" s="1"/>
  <c r="AY438" i="5"/>
  <c r="AV438" i="5"/>
  <c r="BO438" i="5" s="1"/>
  <c r="CI470" i="5"/>
  <c r="CK470" i="5"/>
  <c r="CJ470" i="5"/>
  <c r="CG470" i="5"/>
  <c r="CH470" i="5"/>
  <c r="CF470" i="5"/>
  <c r="CE470" i="5"/>
  <c r="CD470" i="5"/>
  <c r="BZ470" i="5"/>
  <c r="CC470" i="5"/>
  <c r="CA470" i="5"/>
  <c r="BY470" i="5"/>
  <c r="BW470" i="5"/>
  <c r="BX470" i="5"/>
  <c r="BV470" i="5"/>
  <c r="BS470" i="5"/>
  <c r="BU470" i="5"/>
  <c r="BT470" i="5"/>
  <c r="BR470" i="5"/>
  <c r="BQ470" i="5"/>
  <c r="BM470" i="5"/>
  <c r="BL470" i="5"/>
  <c r="BK470" i="5"/>
  <c r="BJ470" i="5"/>
  <c r="BI470" i="5"/>
  <c r="BH470" i="5"/>
  <c r="BG470" i="5"/>
  <c r="BF470" i="5"/>
  <c r="BE470" i="5"/>
  <c r="AZ470" i="5"/>
  <c r="BD470" i="5"/>
  <c r="BA470" i="5"/>
  <c r="BP470" i="5" s="1"/>
  <c r="AU470" i="5"/>
  <c r="BB470" i="5" s="1"/>
  <c r="AY470" i="5"/>
  <c r="AV470" i="5"/>
  <c r="BO470" i="5" s="1"/>
  <c r="CI502" i="5"/>
  <c r="CJ502" i="5"/>
  <c r="CH502" i="5"/>
  <c r="CK502" i="5"/>
  <c r="CG502" i="5"/>
  <c r="CF502" i="5"/>
  <c r="CE502" i="5"/>
  <c r="CD502" i="5"/>
  <c r="CC502" i="5"/>
  <c r="BZ502" i="5"/>
  <c r="CA502" i="5"/>
  <c r="BY502" i="5"/>
  <c r="BW502" i="5"/>
  <c r="BX502" i="5"/>
  <c r="BV502" i="5"/>
  <c r="BS502" i="5"/>
  <c r="BU502" i="5"/>
  <c r="BT502" i="5"/>
  <c r="BR502" i="5"/>
  <c r="BQ502" i="5"/>
  <c r="BM502" i="5"/>
  <c r="BL502" i="5"/>
  <c r="BK502" i="5"/>
  <c r="BJ502" i="5"/>
  <c r="BI502" i="5"/>
  <c r="BH502" i="5"/>
  <c r="BG502" i="5"/>
  <c r="BF502" i="5"/>
  <c r="BE502" i="5"/>
  <c r="AZ502" i="5"/>
  <c r="BD502" i="5"/>
  <c r="BA502" i="5"/>
  <c r="BP502" i="5" s="1"/>
  <c r="AU502" i="5"/>
  <c r="BB502" i="5" s="1"/>
  <c r="AY502" i="5"/>
  <c r="AV502" i="5"/>
  <c r="BO502" i="5" s="1"/>
  <c r="CK534" i="5"/>
  <c r="CI534" i="5"/>
  <c r="CJ534" i="5"/>
  <c r="CH534" i="5"/>
  <c r="CG534" i="5"/>
  <c r="CF534" i="5"/>
  <c r="CD534" i="5"/>
  <c r="CE534" i="5"/>
  <c r="BZ534" i="5"/>
  <c r="CC534" i="5"/>
  <c r="CA534" i="5"/>
  <c r="BY534" i="5"/>
  <c r="BW534" i="5"/>
  <c r="BX534" i="5"/>
  <c r="BV534" i="5"/>
  <c r="BS534" i="5"/>
  <c r="BU534" i="5"/>
  <c r="BT534" i="5"/>
  <c r="BR534" i="5"/>
  <c r="BQ534" i="5"/>
  <c r="BM534" i="5"/>
  <c r="BL534" i="5"/>
  <c r="BK534" i="5"/>
  <c r="BJ534" i="5"/>
  <c r="BI534" i="5"/>
  <c r="BH534" i="5"/>
  <c r="BG534" i="5"/>
  <c r="BF534" i="5"/>
  <c r="BE534" i="5"/>
  <c r="AZ534" i="5"/>
  <c r="BD534" i="5"/>
  <c r="BA534" i="5"/>
  <c r="BP534" i="5" s="1"/>
  <c r="AU534" i="5"/>
  <c r="BN534" i="5" s="1"/>
  <c r="AY534" i="5"/>
  <c r="AV534" i="5"/>
  <c r="BO534" i="5" s="1"/>
  <c r="CK566" i="5"/>
  <c r="CI566" i="5"/>
  <c r="CJ566" i="5"/>
  <c r="CG566" i="5"/>
  <c r="CH566" i="5"/>
  <c r="CD566" i="5"/>
  <c r="CE566" i="5"/>
  <c r="CC566" i="5"/>
  <c r="CF566" i="5"/>
  <c r="CA566" i="5"/>
  <c r="BY566" i="5"/>
  <c r="BX566" i="5"/>
  <c r="BZ566" i="5"/>
  <c r="BV566" i="5"/>
  <c r="BW566" i="5"/>
  <c r="BS566" i="5"/>
  <c r="BU566" i="5"/>
  <c r="BT566" i="5"/>
  <c r="BR566" i="5"/>
  <c r="BQ566" i="5"/>
  <c r="BM566" i="5"/>
  <c r="BL566" i="5"/>
  <c r="BK566" i="5"/>
  <c r="BJ566" i="5"/>
  <c r="BI566" i="5"/>
  <c r="BH566" i="5"/>
  <c r="BG566" i="5"/>
  <c r="BF566" i="5"/>
  <c r="BE566" i="5"/>
  <c r="AZ566" i="5"/>
  <c r="BD566" i="5"/>
  <c r="BA566" i="5"/>
  <c r="BP566" i="5" s="1"/>
  <c r="AU566" i="5"/>
  <c r="BN566" i="5" s="1"/>
  <c r="AY566" i="5"/>
  <c r="AV566" i="5"/>
  <c r="BO566" i="5" s="1"/>
  <c r="CK598" i="5"/>
  <c r="CI598" i="5"/>
  <c r="CJ598" i="5"/>
  <c r="CH598" i="5"/>
  <c r="CF598" i="5"/>
  <c r="CG598" i="5"/>
  <c r="CD598" i="5"/>
  <c r="CE598" i="5"/>
  <c r="CA598" i="5"/>
  <c r="CC598" i="5"/>
  <c r="BY598" i="5"/>
  <c r="BX598" i="5"/>
  <c r="BZ598" i="5"/>
  <c r="BV598" i="5"/>
  <c r="BW598" i="5"/>
  <c r="BS598" i="5"/>
  <c r="BU598" i="5"/>
  <c r="BT598" i="5"/>
  <c r="BR598" i="5"/>
  <c r="BQ598" i="5"/>
  <c r="BM598" i="5"/>
  <c r="BL598" i="5"/>
  <c r="BK598" i="5"/>
  <c r="BJ598" i="5"/>
  <c r="BI598" i="5"/>
  <c r="BH598" i="5"/>
  <c r="BG598" i="5"/>
  <c r="BF598" i="5"/>
  <c r="BE598" i="5"/>
  <c r="AZ598" i="5"/>
  <c r="BD598" i="5"/>
  <c r="BA598" i="5"/>
  <c r="BP598" i="5" s="1"/>
  <c r="AU598" i="5"/>
  <c r="BB598" i="5" s="1"/>
  <c r="AY598" i="5"/>
  <c r="AV598" i="5"/>
  <c r="BO598" i="5" s="1"/>
  <c r="CK630" i="5"/>
  <c r="CI630" i="5"/>
  <c r="CF630" i="5"/>
  <c r="CE630" i="5"/>
  <c r="CD630" i="5"/>
  <c r="CC630" i="5"/>
  <c r="BY630" i="5"/>
  <c r="CA630" i="5"/>
  <c r="BV630" i="5"/>
  <c r="BW630" i="5"/>
  <c r="BS630" i="5"/>
  <c r="BU630" i="5"/>
  <c r="BT630" i="5"/>
  <c r="BR630" i="5"/>
  <c r="BQ630" i="5"/>
  <c r="BM630" i="5"/>
  <c r="BK630" i="5"/>
  <c r="BJ630" i="5"/>
  <c r="BI630" i="5"/>
  <c r="BH630" i="5"/>
  <c r="BG630" i="5"/>
  <c r="BF630" i="5"/>
  <c r="BE630" i="5"/>
  <c r="AZ630" i="5"/>
  <c r="BD630" i="5"/>
  <c r="BA630" i="5"/>
  <c r="BP630" i="5" s="1"/>
  <c r="AU630" i="5"/>
  <c r="BB630" i="5" s="1"/>
  <c r="AY630" i="5"/>
  <c r="AV630" i="5"/>
  <c r="BO630" i="5" s="1"/>
  <c r="CK686" i="5"/>
  <c r="CI686" i="5"/>
  <c r="CH686" i="5"/>
  <c r="CG686" i="5"/>
  <c r="CF686" i="5"/>
  <c r="CJ686" i="5"/>
  <c r="CE686" i="5"/>
  <c r="CD686" i="5"/>
  <c r="CC686" i="5"/>
  <c r="CA686" i="5"/>
  <c r="BY686" i="5"/>
  <c r="BZ686" i="5"/>
  <c r="BW686" i="5"/>
  <c r="BX686" i="5"/>
  <c r="BV686" i="5"/>
  <c r="BS686" i="5"/>
  <c r="BU686" i="5"/>
  <c r="BT686" i="5"/>
  <c r="BQ686" i="5"/>
  <c r="BR686" i="5"/>
  <c r="BM686" i="5"/>
  <c r="BL686" i="5"/>
  <c r="BJ686" i="5"/>
  <c r="BI686" i="5"/>
  <c r="BH686" i="5"/>
  <c r="BK686" i="5"/>
  <c r="BG686" i="5"/>
  <c r="BF686" i="5"/>
  <c r="BE686" i="5"/>
  <c r="AZ686" i="5"/>
  <c r="BD686" i="5"/>
  <c r="BA686" i="5"/>
  <c r="AY686" i="5"/>
  <c r="AU686" i="5"/>
  <c r="AV686" i="5"/>
  <c r="BB108" i="5"/>
  <c r="BZ108" i="5" s="1"/>
  <c r="BX108" i="5"/>
  <c r="BO172" i="5"/>
  <c r="BO268" i="5"/>
  <c r="CK343" i="5"/>
  <c r="CH343" i="5"/>
  <c r="CJ343" i="5"/>
  <c r="CI343" i="5"/>
  <c r="CG343" i="5"/>
  <c r="CD343" i="5"/>
  <c r="CF343" i="5"/>
  <c r="CE343" i="5"/>
  <c r="CC343" i="5"/>
  <c r="CA343" i="5"/>
  <c r="BZ343" i="5"/>
  <c r="BY343" i="5"/>
  <c r="BX343" i="5"/>
  <c r="BW343" i="5"/>
  <c r="BU343" i="5"/>
  <c r="BV343" i="5"/>
  <c r="BT343" i="5"/>
  <c r="BS343" i="5"/>
  <c r="BQ343" i="5"/>
  <c r="BR343" i="5"/>
  <c r="BM343" i="5"/>
  <c r="BL343" i="5"/>
  <c r="BJ343" i="5"/>
  <c r="BK343" i="5"/>
  <c r="BI343" i="5"/>
  <c r="BH343" i="5"/>
  <c r="BG343" i="5"/>
  <c r="BF343" i="5"/>
  <c r="BE343" i="5"/>
  <c r="BD343" i="5"/>
  <c r="BA343" i="5"/>
  <c r="BP343" i="5" s="1"/>
  <c r="AZ343" i="5"/>
  <c r="AY343" i="5"/>
  <c r="AU343" i="5"/>
  <c r="BN343" i="5" s="1"/>
  <c r="AV343" i="5"/>
  <c r="BO343" i="5" s="1"/>
  <c r="BC396" i="5"/>
  <c r="CK439" i="5"/>
  <c r="CI439" i="5"/>
  <c r="CF439" i="5"/>
  <c r="CE439" i="5"/>
  <c r="CD439" i="5"/>
  <c r="CC439" i="5"/>
  <c r="CA439" i="5"/>
  <c r="BY439" i="5"/>
  <c r="BW439" i="5"/>
  <c r="BV439" i="5"/>
  <c r="BT439" i="5"/>
  <c r="BS439" i="5"/>
  <c r="BU439" i="5"/>
  <c r="BQ439" i="5"/>
  <c r="BR439" i="5"/>
  <c r="BM439" i="5"/>
  <c r="BJ439" i="5"/>
  <c r="BK439" i="5"/>
  <c r="BI439" i="5"/>
  <c r="BH439" i="5"/>
  <c r="BG439" i="5"/>
  <c r="BF439" i="5"/>
  <c r="BE439" i="5"/>
  <c r="BD439" i="5"/>
  <c r="BA439" i="5"/>
  <c r="BP439" i="5" s="1"/>
  <c r="AZ439" i="5"/>
  <c r="AY439" i="5"/>
  <c r="AU439" i="5"/>
  <c r="BN439" i="5" s="1"/>
  <c r="AV439" i="5"/>
  <c r="BC439" i="5" s="1"/>
  <c r="BC492" i="5"/>
  <c r="CK695" i="5"/>
  <c r="CH695" i="5"/>
  <c r="CJ695" i="5"/>
  <c r="CG695" i="5"/>
  <c r="CI695" i="5"/>
  <c r="CF695" i="5"/>
  <c r="CE695" i="5"/>
  <c r="CC695" i="5"/>
  <c r="CD695" i="5"/>
  <c r="CA695" i="5"/>
  <c r="BY695" i="5"/>
  <c r="BZ695" i="5"/>
  <c r="BW695" i="5"/>
  <c r="BV695" i="5"/>
  <c r="BT695" i="5"/>
  <c r="BX695" i="5"/>
  <c r="BS695" i="5"/>
  <c r="BU695" i="5"/>
  <c r="BQ695" i="5"/>
  <c r="BR695" i="5"/>
  <c r="BM695" i="5"/>
  <c r="BL695" i="5"/>
  <c r="BJ695" i="5"/>
  <c r="BI695" i="5"/>
  <c r="BH695" i="5"/>
  <c r="BK695" i="5"/>
  <c r="BG695" i="5"/>
  <c r="BF695" i="5"/>
  <c r="BE695" i="5"/>
  <c r="BD695" i="5"/>
  <c r="BA695" i="5"/>
  <c r="BP695" i="5" s="1"/>
  <c r="AZ695" i="5"/>
  <c r="AY695" i="5"/>
  <c r="AU695" i="5"/>
  <c r="BN695" i="5" s="1"/>
  <c r="AV695" i="5"/>
  <c r="BO695" i="5" s="1"/>
  <c r="CK71" i="5"/>
  <c r="CI71" i="5"/>
  <c r="CF71" i="5"/>
  <c r="CE71" i="5"/>
  <c r="CC71" i="5"/>
  <c r="CD71" i="5"/>
  <c r="CA71" i="5"/>
  <c r="BY71" i="5"/>
  <c r="BW71" i="5"/>
  <c r="BU71" i="5"/>
  <c r="BT71" i="5"/>
  <c r="BV71" i="5"/>
  <c r="BR71" i="5"/>
  <c r="BQ71" i="5"/>
  <c r="BS71" i="5"/>
  <c r="BM71" i="5"/>
  <c r="BK71" i="5"/>
  <c r="BJ71" i="5"/>
  <c r="BI71" i="5"/>
  <c r="BH71" i="5"/>
  <c r="BG71" i="5"/>
  <c r="BF71" i="5"/>
  <c r="BE71" i="5"/>
  <c r="BD71" i="5"/>
  <c r="BA71" i="5"/>
  <c r="BP71" i="5" s="1"/>
  <c r="AZ71" i="5"/>
  <c r="AY71" i="5"/>
  <c r="AU71" i="5"/>
  <c r="BN71" i="5" s="1"/>
  <c r="AV71" i="5"/>
  <c r="BO71" i="5" s="1"/>
  <c r="CK355" i="5"/>
  <c r="CJ355" i="5"/>
  <c r="CH355" i="5"/>
  <c r="CG355" i="5"/>
  <c r="CF355" i="5"/>
  <c r="CE355" i="5"/>
  <c r="CD355" i="5"/>
  <c r="CI355" i="5"/>
  <c r="CA355" i="5"/>
  <c r="CC355" i="5"/>
  <c r="BY355" i="5"/>
  <c r="BX355" i="5"/>
  <c r="BZ355" i="5"/>
  <c r="BV355" i="5"/>
  <c r="BW355" i="5"/>
  <c r="BU355" i="5"/>
  <c r="BT355" i="5"/>
  <c r="BS355" i="5"/>
  <c r="BQ355" i="5"/>
  <c r="BR355" i="5"/>
  <c r="BL355" i="5"/>
  <c r="BJ355" i="5"/>
  <c r="BM355" i="5"/>
  <c r="BH355" i="5"/>
  <c r="BK355" i="5"/>
  <c r="BI355" i="5"/>
  <c r="BF355" i="5"/>
  <c r="BE355" i="5"/>
  <c r="BG355" i="5"/>
  <c r="BD355" i="5"/>
  <c r="BA355" i="5"/>
  <c r="BP355" i="5" s="1"/>
  <c r="AZ355" i="5"/>
  <c r="AV355" i="5"/>
  <c r="BC355" i="5" s="1"/>
  <c r="AY355" i="5"/>
  <c r="AU355" i="5"/>
  <c r="BB355" i="5" s="1"/>
  <c r="CH579" i="5"/>
  <c r="CK579" i="5"/>
  <c r="CI579" i="5"/>
  <c r="CJ579" i="5"/>
  <c r="CG579" i="5"/>
  <c r="CF579" i="5"/>
  <c r="CE579" i="5"/>
  <c r="CD579" i="5"/>
  <c r="CC579" i="5"/>
  <c r="CA579" i="5"/>
  <c r="BY579" i="5"/>
  <c r="BX579" i="5"/>
  <c r="BZ579" i="5"/>
  <c r="BW579" i="5"/>
  <c r="BV579" i="5"/>
  <c r="BT579" i="5"/>
  <c r="BU579" i="5"/>
  <c r="BS579" i="5"/>
  <c r="BQ579" i="5"/>
  <c r="BR579" i="5"/>
  <c r="BJ579" i="5"/>
  <c r="BL579" i="5"/>
  <c r="BM579" i="5"/>
  <c r="BH579" i="5"/>
  <c r="BK579" i="5"/>
  <c r="BI579" i="5"/>
  <c r="BG579" i="5"/>
  <c r="BF579" i="5"/>
  <c r="BE579" i="5"/>
  <c r="BD579" i="5"/>
  <c r="BA579" i="5"/>
  <c r="BP579" i="5" s="1"/>
  <c r="AZ579" i="5"/>
  <c r="AV579" i="5"/>
  <c r="BO579" i="5" s="1"/>
  <c r="AY579" i="5"/>
  <c r="AU579" i="5"/>
  <c r="BB579" i="5" s="1"/>
  <c r="BL696" i="5"/>
  <c r="CB8" i="5"/>
  <c r="BX408" i="5"/>
  <c r="CB616" i="5"/>
  <c r="BX624" i="5"/>
  <c r="BL417" i="5"/>
  <c r="CB441" i="5"/>
  <c r="BO37" i="5"/>
  <c r="BL61" i="5"/>
  <c r="BO149" i="5"/>
  <c r="BL189" i="5"/>
  <c r="BC357" i="5"/>
  <c r="BL357" i="5"/>
  <c r="BB381" i="5"/>
  <c r="BZ381" i="5" s="1"/>
  <c r="BL381" i="5"/>
  <c r="BO397" i="5"/>
  <c r="BX413" i="5"/>
  <c r="BO469" i="5"/>
  <c r="BX485" i="5"/>
  <c r="BO509" i="5"/>
  <c r="BO541" i="5"/>
  <c r="BN581" i="5"/>
  <c r="BC597" i="5"/>
  <c r="BL597" i="5"/>
  <c r="BB605" i="5"/>
  <c r="BZ605" i="5" s="1"/>
  <c r="BC621" i="5"/>
  <c r="BC661" i="5"/>
  <c r="BL661" i="5"/>
  <c r="BN693" i="5"/>
  <c r="CK47" i="5"/>
  <c r="CI47" i="5"/>
  <c r="CF47" i="5"/>
  <c r="CE47" i="5"/>
  <c r="CD47" i="5"/>
  <c r="CC47" i="5"/>
  <c r="CA47" i="5"/>
  <c r="BY47" i="5"/>
  <c r="BU47" i="5"/>
  <c r="BT47" i="5"/>
  <c r="BW47" i="5"/>
  <c r="BV47" i="5"/>
  <c r="BS47" i="5"/>
  <c r="BR47" i="5"/>
  <c r="BQ47" i="5"/>
  <c r="BM47" i="5"/>
  <c r="BK47" i="5"/>
  <c r="BJ47" i="5"/>
  <c r="BI47" i="5"/>
  <c r="BH47" i="5"/>
  <c r="BF47" i="5"/>
  <c r="BG47" i="5"/>
  <c r="BE47" i="5"/>
  <c r="BD47" i="5"/>
  <c r="BA47" i="5"/>
  <c r="BP47" i="5" s="1"/>
  <c r="AZ47" i="5"/>
  <c r="AY47" i="5"/>
  <c r="AU47" i="5"/>
  <c r="BN47" i="5" s="1"/>
  <c r="AV47" i="5"/>
  <c r="BC47" i="5" s="1"/>
  <c r="CK175" i="5"/>
  <c r="CI175" i="5"/>
  <c r="CF175" i="5"/>
  <c r="CE175" i="5"/>
  <c r="CD175" i="5"/>
  <c r="CC175" i="5"/>
  <c r="CA175" i="5"/>
  <c r="BY175" i="5"/>
  <c r="BU175" i="5"/>
  <c r="BT175" i="5"/>
  <c r="BW175" i="5"/>
  <c r="BV175" i="5"/>
  <c r="BS175" i="5"/>
  <c r="BQ175" i="5"/>
  <c r="BR175" i="5"/>
  <c r="BM175" i="5"/>
  <c r="BJ175" i="5"/>
  <c r="BI175" i="5"/>
  <c r="BH175" i="5"/>
  <c r="BK175" i="5"/>
  <c r="BF175" i="5"/>
  <c r="BG175" i="5"/>
  <c r="BE175" i="5"/>
  <c r="BD175" i="5"/>
  <c r="BA175" i="5"/>
  <c r="BP175" i="5" s="1"/>
  <c r="AZ175" i="5"/>
  <c r="AY175" i="5"/>
  <c r="AU175" i="5"/>
  <c r="BN175" i="5" s="1"/>
  <c r="AV175" i="5"/>
  <c r="BO175" i="5" s="1"/>
  <c r="BX196" i="5"/>
  <c r="BO516" i="5"/>
  <c r="CK23" i="5"/>
  <c r="CI23" i="5"/>
  <c r="CF23" i="5"/>
  <c r="CD23" i="5"/>
  <c r="CC23" i="5"/>
  <c r="CE23" i="5"/>
  <c r="CA23" i="5"/>
  <c r="BY23" i="5"/>
  <c r="BU23" i="5"/>
  <c r="BW23" i="5"/>
  <c r="BV23" i="5"/>
  <c r="BT23" i="5"/>
  <c r="BS23" i="5"/>
  <c r="BR23" i="5"/>
  <c r="BQ23" i="5"/>
  <c r="BM23" i="5"/>
  <c r="BK23" i="5"/>
  <c r="BJ23" i="5"/>
  <c r="BI23" i="5"/>
  <c r="BH23" i="5"/>
  <c r="BG23" i="5"/>
  <c r="BF23" i="5"/>
  <c r="BE23" i="5"/>
  <c r="BD23" i="5"/>
  <c r="BA23" i="5"/>
  <c r="BP23" i="5" s="1"/>
  <c r="AZ23" i="5"/>
  <c r="AY23" i="5"/>
  <c r="AU23" i="5"/>
  <c r="BN23" i="5" s="1"/>
  <c r="AV23" i="5"/>
  <c r="BO23" i="5" s="1"/>
  <c r="CK379" i="5"/>
  <c r="CI379" i="5"/>
  <c r="CD379" i="5"/>
  <c r="CF379" i="5"/>
  <c r="CE379" i="5"/>
  <c r="CC379" i="5"/>
  <c r="CA379" i="5"/>
  <c r="BY379" i="5"/>
  <c r="BW379" i="5"/>
  <c r="BV379" i="5"/>
  <c r="BU379" i="5"/>
  <c r="BT379" i="5"/>
  <c r="BS379" i="5"/>
  <c r="BQ379" i="5"/>
  <c r="BR379" i="5"/>
  <c r="BJ379" i="5"/>
  <c r="BM379" i="5"/>
  <c r="BH379" i="5"/>
  <c r="BK379" i="5"/>
  <c r="BI379" i="5"/>
  <c r="BF379" i="5"/>
  <c r="BE379" i="5"/>
  <c r="BD379" i="5"/>
  <c r="BG379" i="5"/>
  <c r="BA379" i="5"/>
  <c r="AZ379" i="5"/>
  <c r="AV379" i="5"/>
  <c r="AU379" i="5"/>
  <c r="AY379" i="5"/>
  <c r="CI50" i="5"/>
  <c r="CK50" i="5"/>
  <c r="CF50" i="5"/>
  <c r="CE50" i="5"/>
  <c r="CC50" i="5"/>
  <c r="CD50" i="5"/>
  <c r="CA50" i="5"/>
  <c r="BW50" i="5"/>
  <c r="BY50" i="5"/>
  <c r="BU50" i="5"/>
  <c r="BV50" i="5"/>
  <c r="BS50" i="5"/>
  <c r="BT50" i="5"/>
  <c r="BR50" i="5"/>
  <c r="BQ50" i="5"/>
  <c r="BK50" i="5"/>
  <c r="BM50" i="5"/>
  <c r="BG50" i="5"/>
  <c r="BJ50" i="5"/>
  <c r="BI50" i="5"/>
  <c r="BH50" i="5"/>
  <c r="BF50" i="5"/>
  <c r="BE50" i="5"/>
  <c r="BD50" i="5"/>
  <c r="BA50" i="5"/>
  <c r="BP50" i="5" s="1"/>
  <c r="AZ50" i="5"/>
  <c r="AY50" i="5"/>
  <c r="AV50" i="5"/>
  <c r="BO50" i="5" s="1"/>
  <c r="AU50" i="5"/>
  <c r="BN50" i="5" s="1"/>
  <c r="CJ82" i="5"/>
  <c r="CK82" i="5"/>
  <c r="CI82" i="5"/>
  <c r="CH82" i="5"/>
  <c r="CF82" i="5"/>
  <c r="CG82" i="5"/>
  <c r="CC82" i="5"/>
  <c r="CD82" i="5"/>
  <c r="BZ82" i="5"/>
  <c r="CE82" i="5"/>
  <c r="CA82" i="5"/>
  <c r="BW82" i="5"/>
  <c r="BY82" i="5"/>
  <c r="BX82" i="5"/>
  <c r="BU82" i="5"/>
  <c r="BV82" i="5"/>
  <c r="BS82" i="5"/>
  <c r="BT82" i="5"/>
  <c r="BR82" i="5"/>
  <c r="BQ82" i="5"/>
  <c r="BK82" i="5"/>
  <c r="BM82" i="5"/>
  <c r="BL82" i="5"/>
  <c r="BG82" i="5"/>
  <c r="BJ82" i="5"/>
  <c r="BI82" i="5"/>
  <c r="BH82" i="5"/>
  <c r="BF82" i="5"/>
  <c r="BE82" i="5"/>
  <c r="BD82" i="5"/>
  <c r="BA82" i="5"/>
  <c r="BP82" i="5" s="1"/>
  <c r="AZ82" i="5"/>
  <c r="AY82" i="5"/>
  <c r="AV82" i="5"/>
  <c r="BO82" i="5" s="1"/>
  <c r="AU82" i="5"/>
  <c r="BN82" i="5" s="1"/>
  <c r="CK114" i="5"/>
  <c r="CI114" i="5"/>
  <c r="CF114" i="5"/>
  <c r="CE114" i="5"/>
  <c r="CC114" i="5"/>
  <c r="CD114" i="5"/>
  <c r="CA114" i="5"/>
  <c r="BW114" i="5"/>
  <c r="BY114" i="5"/>
  <c r="BU114" i="5"/>
  <c r="BV114" i="5"/>
  <c r="BS114" i="5"/>
  <c r="BT114" i="5"/>
  <c r="BR114" i="5"/>
  <c r="BQ114" i="5"/>
  <c r="BK114" i="5"/>
  <c r="BM114" i="5"/>
  <c r="BG114" i="5"/>
  <c r="BJ114" i="5"/>
  <c r="BI114" i="5"/>
  <c r="BH114" i="5"/>
  <c r="BF114" i="5"/>
  <c r="BE114" i="5"/>
  <c r="BD114" i="5"/>
  <c r="BA114" i="5"/>
  <c r="BP114" i="5" s="1"/>
  <c r="AZ114" i="5"/>
  <c r="AY114" i="5"/>
  <c r="AV114" i="5"/>
  <c r="BO114" i="5" s="1"/>
  <c r="AU114" i="5"/>
  <c r="BN114" i="5" s="1"/>
  <c r="CJ146" i="5"/>
  <c r="CK146" i="5"/>
  <c r="CG146" i="5"/>
  <c r="CI146" i="5"/>
  <c r="CH146" i="5"/>
  <c r="CF146" i="5"/>
  <c r="CE146" i="5"/>
  <c r="CD146" i="5"/>
  <c r="CC146" i="5"/>
  <c r="BZ146" i="5"/>
  <c r="CA146" i="5"/>
  <c r="BX146" i="5"/>
  <c r="BW146" i="5"/>
  <c r="BY146" i="5"/>
  <c r="BU146" i="5"/>
  <c r="BV146" i="5"/>
  <c r="BS146" i="5"/>
  <c r="BT146" i="5"/>
  <c r="BR146" i="5"/>
  <c r="BQ146" i="5"/>
  <c r="BM146" i="5"/>
  <c r="BL146" i="5"/>
  <c r="BG146" i="5"/>
  <c r="BJ146" i="5"/>
  <c r="BK146" i="5"/>
  <c r="BI146" i="5"/>
  <c r="BH146" i="5"/>
  <c r="BF146" i="5"/>
  <c r="BE146" i="5"/>
  <c r="BD146" i="5"/>
  <c r="BA146" i="5"/>
  <c r="BP146" i="5" s="1"/>
  <c r="AZ146" i="5"/>
  <c r="AY146" i="5"/>
  <c r="AV146" i="5"/>
  <c r="BO146" i="5" s="1"/>
  <c r="AU146" i="5"/>
  <c r="BN146" i="5" s="1"/>
  <c r="CK178" i="5"/>
  <c r="CI178" i="5"/>
  <c r="CF178" i="5"/>
  <c r="CE178" i="5"/>
  <c r="CC178" i="5"/>
  <c r="CD178" i="5"/>
  <c r="CA178" i="5"/>
  <c r="BW178" i="5"/>
  <c r="BY178" i="5"/>
  <c r="BU178" i="5"/>
  <c r="BV178" i="5"/>
  <c r="BS178" i="5"/>
  <c r="BT178" i="5"/>
  <c r="BQ178" i="5"/>
  <c r="BR178" i="5"/>
  <c r="BM178" i="5"/>
  <c r="BG178" i="5"/>
  <c r="BJ178" i="5"/>
  <c r="BK178" i="5"/>
  <c r="BI178" i="5"/>
  <c r="BH178" i="5"/>
  <c r="BF178" i="5"/>
  <c r="BE178" i="5"/>
  <c r="BD178" i="5"/>
  <c r="BA178" i="5"/>
  <c r="BP178" i="5" s="1"/>
  <c r="AZ178" i="5"/>
  <c r="AY178" i="5"/>
  <c r="AV178" i="5"/>
  <c r="BC178" i="5" s="1"/>
  <c r="AU178" i="5"/>
  <c r="BB178" i="5" s="1"/>
  <c r="CJ210" i="5"/>
  <c r="CK210" i="5"/>
  <c r="CH210" i="5"/>
  <c r="CI210" i="5"/>
  <c r="CG210" i="5"/>
  <c r="CF210" i="5"/>
  <c r="CC210" i="5"/>
  <c r="BZ210" i="5"/>
  <c r="CD210" i="5"/>
  <c r="CE210" i="5"/>
  <c r="CA210" i="5"/>
  <c r="BX210" i="5"/>
  <c r="BW210" i="5"/>
  <c r="BY210" i="5"/>
  <c r="BU210" i="5"/>
  <c r="BV210" i="5"/>
  <c r="BS210" i="5"/>
  <c r="BT210" i="5"/>
  <c r="BQ210" i="5"/>
  <c r="BR210" i="5"/>
  <c r="BL210" i="5"/>
  <c r="BM210" i="5"/>
  <c r="BG210" i="5"/>
  <c r="BJ210" i="5"/>
  <c r="BK210" i="5"/>
  <c r="BI210" i="5"/>
  <c r="BH210" i="5"/>
  <c r="BF210" i="5"/>
  <c r="BE210" i="5"/>
  <c r="BD210" i="5"/>
  <c r="BA210" i="5"/>
  <c r="BP210" i="5" s="1"/>
  <c r="AZ210" i="5"/>
  <c r="AY210" i="5"/>
  <c r="AV210" i="5"/>
  <c r="BC210" i="5" s="1"/>
  <c r="AU210" i="5"/>
  <c r="BB210" i="5" s="1"/>
  <c r="CJ242" i="5"/>
  <c r="CI242" i="5"/>
  <c r="CH242" i="5"/>
  <c r="CK242" i="5"/>
  <c r="CG242" i="5"/>
  <c r="CF242" i="5"/>
  <c r="CE242" i="5"/>
  <c r="CC242" i="5"/>
  <c r="CD242" i="5"/>
  <c r="BZ242" i="5"/>
  <c r="CA242" i="5"/>
  <c r="BX242" i="5"/>
  <c r="BW242" i="5"/>
  <c r="BY242" i="5"/>
  <c r="BU242" i="5"/>
  <c r="BV242" i="5"/>
  <c r="BS242" i="5"/>
  <c r="BT242" i="5"/>
  <c r="BQ242" i="5"/>
  <c r="BR242" i="5"/>
  <c r="BM242" i="5"/>
  <c r="BL242" i="5"/>
  <c r="BG242" i="5"/>
  <c r="BJ242" i="5"/>
  <c r="BK242" i="5"/>
  <c r="BI242" i="5"/>
  <c r="BH242" i="5"/>
  <c r="BF242" i="5"/>
  <c r="BE242" i="5"/>
  <c r="BD242" i="5"/>
  <c r="BA242" i="5"/>
  <c r="BP242" i="5" s="1"/>
  <c r="AZ242" i="5"/>
  <c r="AY242" i="5"/>
  <c r="AV242" i="5"/>
  <c r="BO242" i="5" s="1"/>
  <c r="AU242" i="5"/>
  <c r="BB242" i="5" s="1"/>
  <c r="BB76" i="5"/>
  <c r="BL140" i="5"/>
  <c r="BL220" i="5"/>
  <c r="CK295" i="5"/>
  <c r="CJ295" i="5"/>
  <c r="CH295" i="5"/>
  <c r="CG295" i="5"/>
  <c r="CI295" i="5"/>
  <c r="CF295" i="5"/>
  <c r="CE295" i="5"/>
  <c r="CC295" i="5"/>
  <c r="CD295" i="5"/>
  <c r="CA295" i="5"/>
  <c r="BX295" i="5"/>
  <c r="BY295" i="5"/>
  <c r="BZ295" i="5"/>
  <c r="BW295" i="5"/>
  <c r="BU295" i="5"/>
  <c r="BT295" i="5"/>
  <c r="BV295" i="5"/>
  <c r="BQ295" i="5"/>
  <c r="BS295" i="5"/>
  <c r="BR295" i="5"/>
  <c r="BL295" i="5"/>
  <c r="BM295" i="5"/>
  <c r="BJ295" i="5"/>
  <c r="BK295" i="5"/>
  <c r="BI295" i="5"/>
  <c r="BH295" i="5"/>
  <c r="BG295" i="5"/>
  <c r="BF295" i="5"/>
  <c r="BE295" i="5"/>
  <c r="BD295" i="5"/>
  <c r="BA295" i="5"/>
  <c r="BP295" i="5" s="1"/>
  <c r="AZ295" i="5"/>
  <c r="AY295" i="5"/>
  <c r="AU295" i="5"/>
  <c r="BN295" i="5" s="1"/>
  <c r="AV295" i="5"/>
  <c r="BO295" i="5" s="1"/>
  <c r="CB412" i="5"/>
  <c r="BO476" i="5"/>
  <c r="CK551" i="5"/>
  <c r="CJ551" i="5"/>
  <c r="CH551" i="5"/>
  <c r="CG551" i="5"/>
  <c r="CF551" i="5"/>
  <c r="CI551" i="5"/>
  <c r="CC551" i="5"/>
  <c r="CD551" i="5"/>
  <c r="CE551" i="5"/>
  <c r="CA551" i="5"/>
  <c r="BZ551" i="5"/>
  <c r="BX551" i="5"/>
  <c r="BY551" i="5"/>
  <c r="BT551" i="5"/>
  <c r="BW551" i="5"/>
  <c r="BV551" i="5"/>
  <c r="BS551" i="5"/>
  <c r="BU551" i="5"/>
  <c r="BQ551" i="5"/>
  <c r="BR551" i="5"/>
  <c r="BM551" i="5"/>
  <c r="BL551" i="5"/>
  <c r="BJ551" i="5"/>
  <c r="BK551" i="5"/>
  <c r="BI551" i="5"/>
  <c r="BH551" i="5"/>
  <c r="BG551" i="5"/>
  <c r="BF551" i="5"/>
  <c r="BE551" i="5"/>
  <c r="BD551" i="5"/>
  <c r="BA551" i="5"/>
  <c r="BP551" i="5" s="1"/>
  <c r="AZ551" i="5"/>
  <c r="AY551" i="5"/>
  <c r="AU551" i="5"/>
  <c r="BN551" i="5" s="1"/>
  <c r="AV551" i="5"/>
  <c r="BC551" i="5" s="1"/>
  <c r="BX116" i="5"/>
  <c r="CK211" i="5"/>
  <c r="CI211" i="5"/>
  <c r="CJ211" i="5"/>
  <c r="CF211" i="5"/>
  <c r="CH211" i="5"/>
  <c r="CG211" i="5"/>
  <c r="CD211" i="5"/>
  <c r="CE211" i="5"/>
  <c r="CC211" i="5"/>
  <c r="CA211" i="5"/>
  <c r="BX211" i="5"/>
  <c r="BY211" i="5"/>
  <c r="BZ211" i="5"/>
  <c r="BV211" i="5"/>
  <c r="BW211" i="5"/>
  <c r="BU211" i="5"/>
  <c r="BT211" i="5"/>
  <c r="BS211" i="5"/>
  <c r="BQ211" i="5"/>
  <c r="BR211" i="5"/>
  <c r="BJ211" i="5"/>
  <c r="BL211" i="5"/>
  <c r="BM211" i="5"/>
  <c r="BH211" i="5"/>
  <c r="BK211" i="5"/>
  <c r="BI211" i="5"/>
  <c r="BG211" i="5"/>
  <c r="BF211" i="5"/>
  <c r="BE211" i="5"/>
  <c r="BD211" i="5"/>
  <c r="BA211" i="5"/>
  <c r="BP211" i="5" s="1"/>
  <c r="AZ211" i="5"/>
  <c r="AV211" i="5"/>
  <c r="BO211" i="5" s="1"/>
  <c r="AY211" i="5"/>
  <c r="AU211" i="5"/>
  <c r="BB211" i="5" s="1"/>
  <c r="CK435" i="5"/>
  <c r="CI435" i="5"/>
  <c r="CD435" i="5"/>
  <c r="CF435" i="5"/>
  <c r="CE435" i="5"/>
  <c r="CA435" i="5"/>
  <c r="CC435" i="5"/>
  <c r="BY435" i="5"/>
  <c r="BV435" i="5"/>
  <c r="BW435" i="5"/>
  <c r="BU435" i="5"/>
  <c r="BT435" i="5"/>
  <c r="BS435" i="5"/>
  <c r="BQ435" i="5"/>
  <c r="BR435" i="5"/>
  <c r="BJ435" i="5"/>
  <c r="BM435" i="5"/>
  <c r="BH435" i="5"/>
  <c r="BK435" i="5"/>
  <c r="BI435" i="5"/>
  <c r="BF435" i="5"/>
  <c r="BE435" i="5"/>
  <c r="BD435" i="5"/>
  <c r="BG435" i="5"/>
  <c r="BA435" i="5"/>
  <c r="BP435" i="5" s="1"/>
  <c r="AZ435" i="5"/>
  <c r="AV435" i="5"/>
  <c r="BO435" i="5" s="1"/>
  <c r="AY435" i="5"/>
  <c r="AU435" i="5"/>
  <c r="BN435" i="5" s="1"/>
  <c r="CK691" i="5"/>
  <c r="CI691" i="5"/>
  <c r="CF691" i="5"/>
  <c r="CE691" i="5"/>
  <c r="CD691" i="5"/>
  <c r="CA691" i="5"/>
  <c r="CC691" i="5"/>
  <c r="BY691" i="5"/>
  <c r="BV691" i="5"/>
  <c r="BW691" i="5"/>
  <c r="BT691" i="5"/>
  <c r="BU691" i="5"/>
  <c r="BS691" i="5"/>
  <c r="BQ691" i="5"/>
  <c r="BR691" i="5"/>
  <c r="BJ691" i="5"/>
  <c r="BM691" i="5"/>
  <c r="BH691" i="5"/>
  <c r="BK691" i="5"/>
  <c r="BI691" i="5"/>
  <c r="BG691" i="5"/>
  <c r="BF691" i="5"/>
  <c r="BE691" i="5"/>
  <c r="BD691" i="5"/>
  <c r="BA691" i="5"/>
  <c r="BP691" i="5" s="1"/>
  <c r="AZ691" i="5"/>
  <c r="AV691" i="5"/>
  <c r="AU691" i="5"/>
  <c r="BN691" i="5" s="1"/>
  <c r="AY691" i="5"/>
  <c r="BX92" i="5"/>
  <c r="CK319" i="5"/>
  <c r="CJ319" i="5"/>
  <c r="CI319" i="5"/>
  <c r="CH319" i="5"/>
  <c r="CE319" i="5"/>
  <c r="CG319" i="5"/>
  <c r="CF319" i="5"/>
  <c r="CD319" i="5"/>
  <c r="CC319" i="5"/>
  <c r="CA319" i="5"/>
  <c r="BZ319" i="5"/>
  <c r="BX319" i="5"/>
  <c r="BY319" i="5"/>
  <c r="BV319" i="5"/>
  <c r="BU319" i="5"/>
  <c r="BT319" i="5"/>
  <c r="BW319" i="5"/>
  <c r="BQ319" i="5"/>
  <c r="BS319" i="5"/>
  <c r="BR319" i="5"/>
  <c r="BL319" i="5"/>
  <c r="BM319" i="5"/>
  <c r="BJ319" i="5"/>
  <c r="BI319" i="5"/>
  <c r="BH319" i="5"/>
  <c r="BK319" i="5"/>
  <c r="BF319" i="5"/>
  <c r="BG319" i="5"/>
  <c r="BE319" i="5"/>
  <c r="BD319" i="5"/>
  <c r="BA319" i="5"/>
  <c r="BP319" i="5" s="1"/>
  <c r="AZ319" i="5"/>
  <c r="AY319" i="5"/>
  <c r="AU319" i="5"/>
  <c r="BN319" i="5" s="1"/>
  <c r="AV319" i="5"/>
  <c r="BC319" i="5" s="1"/>
  <c r="CK607" i="5"/>
  <c r="CJ607" i="5"/>
  <c r="CI607" i="5"/>
  <c r="CH607" i="5"/>
  <c r="CE607" i="5"/>
  <c r="CG607" i="5"/>
  <c r="CD607" i="5"/>
  <c r="CC607" i="5"/>
  <c r="CF607" i="5"/>
  <c r="CA607" i="5"/>
  <c r="BX607" i="5"/>
  <c r="BZ607" i="5"/>
  <c r="BY607" i="5"/>
  <c r="BV607" i="5"/>
  <c r="BT607" i="5"/>
  <c r="BW607" i="5"/>
  <c r="BS607" i="5"/>
  <c r="BQ607" i="5"/>
  <c r="BU607" i="5"/>
  <c r="BR607" i="5"/>
  <c r="BM607" i="5"/>
  <c r="BL607" i="5"/>
  <c r="BJ607" i="5"/>
  <c r="BI607" i="5"/>
  <c r="BH607" i="5"/>
  <c r="BK607" i="5"/>
  <c r="BG607" i="5"/>
  <c r="BF607" i="5"/>
  <c r="BE607" i="5"/>
  <c r="BD607" i="5"/>
  <c r="BA607" i="5"/>
  <c r="BP607" i="5" s="1"/>
  <c r="AZ607" i="5"/>
  <c r="AY607" i="5"/>
  <c r="AU607" i="5"/>
  <c r="BN607" i="5" s="1"/>
  <c r="AV607" i="5"/>
  <c r="BO607" i="5" s="1"/>
  <c r="BX132" i="5"/>
  <c r="CK267" i="5"/>
  <c r="CI267" i="5"/>
  <c r="CD267" i="5"/>
  <c r="CF267" i="5"/>
  <c r="CE267" i="5"/>
  <c r="CC267" i="5"/>
  <c r="CA267" i="5"/>
  <c r="BY267" i="5"/>
  <c r="BW267" i="5"/>
  <c r="BV267" i="5"/>
  <c r="BU267" i="5"/>
  <c r="BT267" i="5"/>
  <c r="BS267" i="5"/>
  <c r="BQ267" i="5"/>
  <c r="BR267" i="5"/>
  <c r="BJ267" i="5"/>
  <c r="BM267" i="5"/>
  <c r="BH267" i="5"/>
  <c r="BK267" i="5"/>
  <c r="BI267" i="5"/>
  <c r="BF267" i="5"/>
  <c r="BE267" i="5"/>
  <c r="BD267" i="5"/>
  <c r="BG267" i="5"/>
  <c r="BA267" i="5"/>
  <c r="BP267" i="5" s="1"/>
  <c r="AZ267" i="5"/>
  <c r="AV267" i="5"/>
  <c r="BC267" i="5" s="1"/>
  <c r="AU267" i="5"/>
  <c r="BB267" i="5" s="1"/>
  <c r="AY267" i="5"/>
  <c r="CK491" i="5"/>
  <c r="CH491" i="5"/>
  <c r="CJ491" i="5"/>
  <c r="CG491" i="5"/>
  <c r="CD491" i="5"/>
  <c r="CF491" i="5"/>
  <c r="CI491" i="5"/>
  <c r="CA491" i="5"/>
  <c r="CE491" i="5"/>
  <c r="BZ491" i="5"/>
  <c r="CC491" i="5"/>
  <c r="BY491" i="5"/>
  <c r="BX491" i="5"/>
  <c r="BW491" i="5"/>
  <c r="BV491" i="5"/>
  <c r="BT491" i="5"/>
  <c r="BU491" i="5"/>
  <c r="BS491" i="5"/>
  <c r="BQ491" i="5"/>
  <c r="BR491" i="5"/>
  <c r="BL491" i="5"/>
  <c r="BJ491" i="5"/>
  <c r="BM491" i="5"/>
  <c r="BH491" i="5"/>
  <c r="BK491" i="5"/>
  <c r="BI491" i="5"/>
  <c r="BG491" i="5"/>
  <c r="BF491" i="5"/>
  <c r="BE491" i="5"/>
  <c r="BD491" i="5"/>
  <c r="BA491" i="5"/>
  <c r="BP491" i="5" s="1"/>
  <c r="AZ491" i="5"/>
  <c r="AV491" i="5"/>
  <c r="BC491" i="5" s="1"/>
  <c r="AU491" i="5"/>
  <c r="BB491" i="5" s="1"/>
  <c r="AY491" i="5"/>
  <c r="CK6" i="5"/>
  <c r="CI6" i="5"/>
  <c r="CD6" i="5"/>
  <c r="CF6" i="5"/>
  <c r="CE6" i="5"/>
  <c r="CC6" i="5"/>
  <c r="CA6" i="5"/>
  <c r="BW6" i="5"/>
  <c r="BY6" i="5"/>
  <c r="BU6" i="5"/>
  <c r="BS6" i="5"/>
  <c r="BV6" i="5"/>
  <c r="BR6" i="5"/>
  <c r="BT6" i="5"/>
  <c r="BQ6" i="5"/>
  <c r="BM6" i="5"/>
  <c r="BK6" i="5"/>
  <c r="BI6" i="5"/>
  <c r="BH6" i="5"/>
  <c r="BJ6" i="5"/>
  <c r="BG6" i="5"/>
  <c r="BF6" i="5"/>
  <c r="BE6" i="5"/>
  <c r="BD6" i="5"/>
  <c r="AZ6" i="5"/>
  <c r="AY6" i="5"/>
  <c r="BA6" i="5"/>
  <c r="BP6" i="5" s="1"/>
  <c r="AU6" i="5"/>
  <c r="BN6" i="5" s="1"/>
  <c r="AV6" i="5"/>
  <c r="BO6" i="5" s="1"/>
  <c r="CI38" i="5"/>
  <c r="CK38" i="5"/>
  <c r="CJ38" i="5"/>
  <c r="CH38" i="5"/>
  <c r="CD38" i="5"/>
  <c r="CF38" i="5"/>
  <c r="CG38" i="5"/>
  <c r="CC38" i="5"/>
  <c r="CE38" i="5"/>
  <c r="BZ38" i="5"/>
  <c r="CA38" i="5"/>
  <c r="BW38" i="5"/>
  <c r="BY38" i="5"/>
  <c r="BX38" i="5"/>
  <c r="BU38" i="5"/>
  <c r="BS38" i="5"/>
  <c r="BV38" i="5"/>
  <c r="BR38" i="5"/>
  <c r="BT38" i="5"/>
  <c r="BQ38" i="5"/>
  <c r="BL38" i="5"/>
  <c r="BM38" i="5"/>
  <c r="BK38" i="5"/>
  <c r="BI38" i="5"/>
  <c r="BH38" i="5"/>
  <c r="BJ38" i="5"/>
  <c r="BG38" i="5"/>
  <c r="BF38" i="5"/>
  <c r="BE38" i="5"/>
  <c r="BD38" i="5"/>
  <c r="AZ38" i="5"/>
  <c r="AY38" i="5"/>
  <c r="BA38" i="5"/>
  <c r="BP38" i="5" s="1"/>
  <c r="AU38" i="5"/>
  <c r="BN38" i="5" s="1"/>
  <c r="AV38" i="5"/>
  <c r="BO38" i="5" s="1"/>
  <c r="CK70" i="5"/>
  <c r="CI70" i="5"/>
  <c r="CD70" i="5"/>
  <c r="CF70" i="5"/>
  <c r="CE70" i="5"/>
  <c r="CC70" i="5"/>
  <c r="CA70" i="5"/>
  <c r="BW70" i="5"/>
  <c r="BY70" i="5"/>
  <c r="BU70" i="5"/>
  <c r="BS70" i="5"/>
  <c r="BV70" i="5"/>
  <c r="BR70" i="5"/>
  <c r="BT70" i="5"/>
  <c r="BQ70" i="5"/>
  <c r="BM70" i="5"/>
  <c r="BK70" i="5"/>
  <c r="BI70" i="5"/>
  <c r="BH70" i="5"/>
  <c r="BJ70" i="5"/>
  <c r="BG70" i="5"/>
  <c r="BF70" i="5"/>
  <c r="BE70" i="5"/>
  <c r="BD70" i="5"/>
  <c r="AZ70" i="5"/>
  <c r="AY70" i="5"/>
  <c r="BA70" i="5"/>
  <c r="BP70" i="5" s="1"/>
  <c r="AU70" i="5"/>
  <c r="BN70" i="5" s="1"/>
  <c r="AV70" i="5"/>
  <c r="BO70" i="5" s="1"/>
  <c r="CK95" i="5"/>
  <c r="CJ95" i="5"/>
  <c r="CH95" i="5"/>
  <c r="CI95" i="5"/>
  <c r="CF95" i="5"/>
  <c r="CG95" i="5"/>
  <c r="CE95" i="5"/>
  <c r="CD95" i="5"/>
  <c r="CC95" i="5"/>
  <c r="CA95" i="5"/>
  <c r="BZ95" i="5"/>
  <c r="BX95" i="5"/>
  <c r="BY95" i="5"/>
  <c r="BV95" i="5"/>
  <c r="BU95" i="5"/>
  <c r="BT95" i="5"/>
  <c r="BW95" i="5"/>
  <c r="BR95" i="5"/>
  <c r="BQ95" i="5"/>
  <c r="BS95" i="5"/>
  <c r="BM95" i="5"/>
  <c r="BL95" i="5"/>
  <c r="BK95" i="5"/>
  <c r="BJ95" i="5"/>
  <c r="BI95" i="5"/>
  <c r="BH95" i="5"/>
  <c r="BF95" i="5"/>
  <c r="BG95" i="5"/>
  <c r="BE95" i="5"/>
  <c r="BD95" i="5"/>
  <c r="BA95" i="5"/>
  <c r="BP95" i="5" s="1"/>
  <c r="AZ95" i="5"/>
  <c r="AY95" i="5"/>
  <c r="AU95" i="5"/>
  <c r="BN95" i="5" s="1"/>
  <c r="AV95" i="5"/>
  <c r="BC95" i="5" s="1"/>
  <c r="CB172" i="5"/>
  <c r="CK183" i="5"/>
  <c r="CI183" i="5"/>
  <c r="CF183" i="5"/>
  <c r="CE183" i="5"/>
  <c r="CD183" i="5"/>
  <c r="CC183" i="5"/>
  <c r="CA183" i="5"/>
  <c r="BY183" i="5"/>
  <c r="BW183" i="5"/>
  <c r="BU183" i="5"/>
  <c r="BV183" i="5"/>
  <c r="BT183" i="5"/>
  <c r="BS183" i="5"/>
  <c r="BQ183" i="5"/>
  <c r="BR183" i="5"/>
  <c r="BM183" i="5"/>
  <c r="BJ183" i="5"/>
  <c r="BK183" i="5"/>
  <c r="BI183" i="5"/>
  <c r="BH183" i="5"/>
  <c r="BG183" i="5"/>
  <c r="BF183" i="5"/>
  <c r="BE183" i="5"/>
  <c r="BD183" i="5"/>
  <c r="BA183" i="5"/>
  <c r="BP183" i="5" s="1"/>
  <c r="AZ183" i="5"/>
  <c r="AY183" i="5"/>
  <c r="AU183" i="5"/>
  <c r="BN183" i="5" s="1"/>
  <c r="AV183" i="5"/>
  <c r="BO183" i="5" s="1"/>
  <c r="CK375" i="5"/>
  <c r="CI375" i="5"/>
  <c r="CF375" i="5"/>
  <c r="CD375" i="5"/>
  <c r="CC375" i="5"/>
  <c r="CE375" i="5"/>
  <c r="CA375" i="5"/>
  <c r="BY375" i="5"/>
  <c r="BW375" i="5"/>
  <c r="BU375" i="5"/>
  <c r="BV375" i="5"/>
  <c r="BT375" i="5"/>
  <c r="BS375" i="5"/>
  <c r="BQ375" i="5"/>
  <c r="BR375" i="5"/>
  <c r="BM375" i="5"/>
  <c r="BJ375" i="5"/>
  <c r="BK375" i="5"/>
  <c r="BI375" i="5"/>
  <c r="BH375" i="5"/>
  <c r="BG375" i="5"/>
  <c r="BF375" i="5"/>
  <c r="BE375" i="5"/>
  <c r="BD375" i="5"/>
  <c r="BA375" i="5"/>
  <c r="BP375" i="5" s="1"/>
  <c r="AZ375" i="5"/>
  <c r="AY375" i="5"/>
  <c r="AU375" i="5"/>
  <c r="AV375" i="5"/>
  <c r="BO375" i="5" s="1"/>
  <c r="CK471" i="5"/>
  <c r="CJ471" i="5"/>
  <c r="CI471" i="5"/>
  <c r="CH471" i="5"/>
  <c r="CG471" i="5"/>
  <c r="CD471" i="5"/>
  <c r="CF471" i="5"/>
  <c r="CC471" i="5"/>
  <c r="CE471" i="5"/>
  <c r="CA471" i="5"/>
  <c r="BZ471" i="5"/>
  <c r="BY471" i="5"/>
  <c r="BX471" i="5"/>
  <c r="BW471" i="5"/>
  <c r="BV471" i="5"/>
  <c r="BT471" i="5"/>
  <c r="BS471" i="5"/>
  <c r="BU471" i="5"/>
  <c r="BQ471" i="5"/>
  <c r="BR471" i="5"/>
  <c r="BM471" i="5"/>
  <c r="BL471" i="5"/>
  <c r="BJ471" i="5"/>
  <c r="BK471" i="5"/>
  <c r="BI471" i="5"/>
  <c r="BH471" i="5"/>
  <c r="BG471" i="5"/>
  <c r="BF471" i="5"/>
  <c r="BE471" i="5"/>
  <c r="BD471" i="5"/>
  <c r="BA471" i="5"/>
  <c r="BP471" i="5" s="1"/>
  <c r="AZ471" i="5"/>
  <c r="AY471" i="5"/>
  <c r="AU471" i="5"/>
  <c r="BB471" i="5" s="1"/>
  <c r="AV471" i="5"/>
  <c r="CK611" i="5"/>
  <c r="CF611" i="5"/>
  <c r="CI611" i="5"/>
  <c r="CE611" i="5"/>
  <c r="CA611" i="5"/>
  <c r="CD611" i="5"/>
  <c r="CC611" i="5"/>
  <c r="BY611" i="5"/>
  <c r="BW611" i="5"/>
  <c r="BV611" i="5"/>
  <c r="BT611" i="5"/>
  <c r="BU611" i="5"/>
  <c r="BS611" i="5"/>
  <c r="BQ611" i="5"/>
  <c r="BR611" i="5"/>
  <c r="BJ611" i="5"/>
  <c r="BM611" i="5"/>
  <c r="BH611" i="5"/>
  <c r="BK611" i="5"/>
  <c r="BI611" i="5"/>
  <c r="BG611" i="5"/>
  <c r="BF611" i="5"/>
  <c r="BE611" i="5"/>
  <c r="BD611" i="5"/>
  <c r="BA611" i="5"/>
  <c r="BP611" i="5" s="1"/>
  <c r="AZ611" i="5"/>
  <c r="AV611" i="5"/>
  <c r="BO611" i="5" s="1"/>
  <c r="AY611" i="5"/>
  <c r="AU611" i="5"/>
  <c r="BB611" i="5" s="1"/>
  <c r="BB696" i="5"/>
  <c r="BZ696" i="5" s="1"/>
  <c r="BX48" i="5"/>
  <c r="BL240" i="5"/>
  <c r="BX384" i="5"/>
  <c r="BL121" i="5"/>
  <c r="BL145" i="5"/>
  <c r="CB281" i="5"/>
  <c r="CB393" i="5"/>
  <c r="BL601" i="5"/>
  <c r="BL625" i="5"/>
  <c r="BB673" i="5"/>
  <c r="BO5" i="5"/>
  <c r="BX53" i="5"/>
  <c r="BO133" i="5"/>
  <c r="BL141" i="5"/>
  <c r="BL165" i="5"/>
  <c r="BL715" i="5" s="1"/>
  <c r="BL716" i="5" s="1"/>
  <c r="BX181" i="5"/>
  <c r="BO221" i="5"/>
  <c r="BL229" i="5"/>
  <c r="BL237" i="5"/>
  <c r="BO245" i="5"/>
  <c r="BO269" i="5"/>
  <c r="BX317" i="5"/>
  <c r="BB365" i="5"/>
  <c r="BX373" i="5"/>
  <c r="BO405" i="5"/>
  <c r="BB429" i="5"/>
  <c r="BO581" i="5"/>
  <c r="BB589" i="5"/>
  <c r="BC605" i="5"/>
  <c r="BL605" i="5"/>
  <c r="BB629" i="5"/>
  <c r="BZ629" i="5" s="1"/>
  <c r="BC645" i="5"/>
  <c r="BL645" i="5"/>
  <c r="BC669" i="5"/>
  <c r="BC100" i="5"/>
  <c r="BX100" i="5"/>
  <c r="BN187" i="5"/>
  <c r="BZ187" i="5" s="1"/>
  <c r="BX251" i="5"/>
  <c r="CK411" i="5"/>
  <c r="CI411" i="5"/>
  <c r="CD411" i="5"/>
  <c r="CF411" i="5"/>
  <c r="CE411" i="5"/>
  <c r="CA411" i="5"/>
  <c r="CC411" i="5"/>
  <c r="BY411" i="5"/>
  <c r="BW411" i="5"/>
  <c r="BV411" i="5"/>
  <c r="BU411" i="5"/>
  <c r="BT411" i="5"/>
  <c r="BS411" i="5"/>
  <c r="BQ411" i="5"/>
  <c r="BR411" i="5"/>
  <c r="BJ411" i="5"/>
  <c r="BM411" i="5"/>
  <c r="BH411" i="5"/>
  <c r="BK411" i="5"/>
  <c r="BI411" i="5"/>
  <c r="BF411" i="5"/>
  <c r="BE411" i="5"/>
  <c r="BD411" i="5"/>
  <c r="BG411" i="5"/>
  <c r="BA411" i="5"/>
  <c r="BP411" i="5" s="1"/>
  <c r="AZ411" i="5"/>
  <c r="AV411" i="5"/>
  <c r="BO411" i="5" s="1"/>
  <c r="AU411" i="5"/>
  <c r="AY411" i="5"/>
  <c r="CK635" i="5"/>
  <c r="CI635" i="5"/>
  <c r="CJ635" i="5"/>
  <c r="CG635" i="5"/>
  <c r="CH635" i="5"/>
  <c r="CE635" i="5"/>
  <c r="CD635" i="5"/>
  <c r="CC635" i="5"/>
  <c r="CA635" i="5"/>
  <c r="CF635" i="5"/>
  <c r="BZ635" i="5"/>
  <c r="BY635" i="5"/>
  <c r="BX635" i="5"/>
  <c r="BW635" i="5"/>
  <c r="BV635" i="5"/>
  <c r="BT635" i="5"/>
  <c r="BU635" i="5"/>
  <c r="BS635" i="5"/>
  <c r="BQ635" i="5"/>
  <c r="BR635" i="5"/>
  <c r="BL635" i="5"/>
  <c r="BJ635" i="5"/>
  <c r="BM635" i="5"/>
  <c r="BH635" i="5"/>
  <c r="BK635" i="5"/>
  <c r="BI635" i="5"/>
  <c r="BG635" i="5"/>
  <c r="BF635" i="5"/>
  <c r="BE635" i="5"/>
  <c r="BD635" i="5"/>
  <c r="BA635" i="5"/>
  <c r="AZ635" i="5"/>
  <c r="AY635" i="5"/>
  <c r="AV635" i="5"/>
  <c r="AU635" i="5"/>
  <c r="CK26" i="5"/>
  <c r="CI26" i="5"/>
  <c r="CD26" i="5"/>
  <c r="CF26" i="5"/>
  <c r="CC26" i="5"/>
  <c r="CE26" i="5"/>
  <c r="CA26" i="5"/>
  <c r="BY26" i="5"/>
  <c r="BW26" i="5"/>
  <c r="BU26" i="5"/>
  <c r="BV26" i="5"/>
  <c r="BS26" i="5"/>
  <c r="BT26" i="5"/>
  <c r="BR26" i="5"/>
  <c r="BQ26" i="5"/>
  <c r="BK26" i="5"/>
  <c r="BM26" i="5"/>
  <c r="BG26" i="5"/>
  <c r="BJ26" i="5"/>
  <c r="BI26" i="5"/>
  <c r="BH26" i="5"/>
  <c r="BF26" i="5"/>
  <c r="BE26" i="5"/>
  <c r="BD26" i="5"/>
  <c r="BA26" i="5"/>
  <c r="BP26" i="5" s="1"/>
  <c r="AZ26" i="5"/>
  <c r="AY26" i="5"/>
  <c r="AV26" i="5"/>
  <c r="BC26" i="5" s="1"/>
  <c r="AU26" i="5"/>
  <c r="BN26" i="5" s="1"/>
  <c r="CK274" i="5"/>
  <c r="CF274" i="5"/>
  <c r="CI274" i="5"/>
  <c r="CE274" i="5"/>
  <c r="CC274" i="5"/>
  <c r="CD274" i="5"/>
  <c r="CA274" i="5"/>
  <c r="BW274" i="5"/>
  <c r="BY274" i="5"/>
  <c r="BU274" i="5"/>
  <c r="BV274" i="5"/>
  <c r="BS274" i="5"/>
  <c r="BT274" i="5"/>
  <c r="BQ274" i="5"/>
  <c r="BR274" i="5"/>
  <c r="BM274" i="5"/>
  <c r="BG274" i="5"/>
  <c r="BJ274" i="5"/>
  <c r="BK274" i="5"/>
  <c r="BI274" i="5"/>
  <c r="BH274" i="5"/>
  <c r="BF274" i="5"/>
  <c r="BE274" i="5"/>
  <c r="BD274" i="5"/>
  <c r="BA274" i="5"/>
  <c r="BP274" i="5" s="1"/>
  <c r="AZ274" i="5"/>
  <c r="AY274" i="5"/>
  <c r="AV274" i="5"/>
  <c r="AU274" i="5"/>
  <c r="BN274" i="5" s="1"/>
  <c r="CI306" i="5"/>
  <c r="CJ306" i="5"/>
  <c r="CG306" i="5"/>
  <c r="CF306" i="5"/>
  <c r="CK306" i="5"/>
  <c r="CH306" i="5"/>
  <c r="CC306" i="5"/>
  <c r="CE306" i="5"/>
  <c r="CD306" i="5"/>
  <c r="BZ306" i="5"/>
  <c r="CA306" i="5"/>
  <c r="BX306" i="5"/>
  <c r="BW306" i="5"/>
  <c r="BY306" i="5"/>
  <c r="BU306" i="5"/>
  <c r="BV306" i="5"/>
  <c r="BS306" i="5"/>
  <c r="BT306" i="5"/>
  <c r="BQ306" i="5"/>
  <c r="BR306" i="5"/>
  <c r="BL306" i="5"/>
  <c r="BM306" i="5"/>
  <c r="BG306" i="5"/>
  <c r="BJ306" i="5"/>
  <c r="BK306" i="5"/>
  <c r="BI306" i="5"/>
  <c r="BH306" i="5"/>
  <c r="BF306" i="5"/>
  <c r="BE306" i="5"/>
  <c r="BD306" i="5"/>
  <c r="BA306" i="5"/>
  <c r="BP306" i="5" s="1"/>
  <c r="AZ306" i="5"/>
  <c r="AY306" i="5"/>
  <c r="AV306" i="5"/>
  <c r="BC306" i="5" s="1"/>
  <c r="AU306" i="5"/>
  <c r="CK338" i="5"/>
  <c r="CH338" i="5"/>
  <c r="CJ338" i="5"/>
  <c r="CI338" i="5"/>
  <c r="CF338" i="5"/>
  <c r="CG338" i="5"/>
  <c r="CC338" i="5"/>
  <c r="CD338" i="5"/>
  <c r="BZ338" i="5"/>
  <c r="CE338" i="5"/>
  <c r="CA338" i="5"/>
  <c r="BX338" i="5"/>
  <c r="BW338" i="5"/>
  <c r="BY338" i="5"/>
  <c r="BU338" i="5"/>
  <c r="BV338" i="5"/>
  <c r="BS338" i="5"/>
  <c r="BT338" i="5"/>
  <c r="BQ338" i="5"/>
  <c r="BR338" i="5"/>
  <c r="BL338" i="5"/>
  <c r="BM338" i="5"/>
  <c r="BG338" i="5"/>
  <c r="BJ338" i="5"/>
  <c r="BK338" i="5"/>
  <c r="BI338" i="5"/>
  <c r="BH338" i="5"/>
  <c r="BF338" i="5"/>
  <c r="BE338" i="5"/>
  <c r="BD338" i="5"/>
  <c r="BA338" i="5"/>
  <c r="BP338" i="5" s="1"/>
  <c r="AZ338" i="5"/>
  <c r="AY338" i="5"/>
  <c r="AV338" i="5"/>
  <c r="BC338" i="5" s="1"/>
  <c r="AU338" i="5"/>
  <c r="BB338" i="5" s="1"/>
  <c r="CK370" i="5"/>
  <c r="CJ370" i="5"/>
  <c r="CI370" i="5"/>
  <c r="CH370" i="5"/>
  <c r="CG370" i="5"/>
  <c r="CF370" i="5"/>
  <c r="CD370" i="5"/>
  <c r="CC370" i="5"/>
  <c r="CE370" i="5"/>
  <c r="BZ370" i="5"/>
  <c r="CA370" i="5"/>
  <c r="BX370" i="5"/>
  <c r="BW370" i="5"/>
  <c r="BY370" i="5"/>
  <c r="BU370" i="5"/>
  <c r="BV370" i="5"/>
  <c r="BS370" i="5"/>
  <c r="BT370" i="5"/>
  <c r="BQ370" i="5"/>
  <c r="BR370" i="5"/>
  <c r="BL370" i="5"/>
  <c r="BM370" i="5"/>
  <c r="BG370" i="5"/>
  <c r="BJ370" i="5"/>
  <c r="BK370" i="5"/>
  <c r="BI370" i="5"/>
  <c r="BH370" i="5"/>
  <c r="BF370" i="5"/>
  <c r="BE370" i="5"/>
  <c r="BA370" i="5"/>
  <c r="BP370" i="5" s="1"/>
  <c r="AZ370" i="5"/>
  <c r="BD370" i="5"/>
  <c r="AY370" i="5"/>
  <c r="AV370" i="5"/>
  <c r="BO370" i="5" s="1"/>
  <c r="AU370" i="5"/>
  <c r="BN370" i="5" s="1"/>
  <c r="CK402" i="5"/>
  <c r="CF402" i="5"/>
  <c r="CI402" i="5"/>
  <c r="CE402" i="5"/>
  <c r="CC402" i="5"/>
  <c r="CD402" i="5"/>
  <c r="CA402" i="5"/>
  <c r="BW402" i="5"/>
  <c r="BY402" i="5"/>
  <c r="BU402" i="5"/>
  <c r="BV402" i="5"/>
  <c r="BT402" i="5"/>
  <c r="BS402" i="5"/>
  <c r="BQ402" i="5"/>
  <c r="BR402" i="5"/>
  <c r="BM402" i="5"/>
  <c r="BG402" i="5"/>
  <c r="BJ402" i="5"/>
  <c r="BK402" i="5"/>
  <c r="BI402" i="5"/>
  <c r="BH402" i="5"/>
  <c r="BF402" i="5"/>
  <c r="BE402" i="5"/>
  <c r="BA402" i="5"/>
  <c r="BP402" i="5" s="1"/>
  <c r="AZ402" i="5"/>
  <c r="BD402" i="5"/>
  <c r="AY402" i="5"/>
  <c r="AV402" i="5"/>
  <c r="BC402" i="5" s="1"/>
  <c r="AU402" i="5"/>
  <c r="BN402" i="5" s="1"/>
  <c r="CK434" i="5"/>
  <c r="CI434" i="5"/>
  <c r="CF434" i="5"/>
  <c r="CC434" i="5"/>
  <c r="CD434" i="5"/>
  <c r="CE434" i="5"/>
  <c r="CA434" i="5"/>
  <c r="BW434" i="5"/>
  <c r="BY434" i="5"/>
  <c r="BV434" i="5"/>
  <c r="BU434" i="5"/>
  <c r="BT434" i="5"/>
  <c r="BS434" i="5"/>
  <c r="BQ434" i="5"/>
  <c r="BR434" i="5"/>
  <c r="BM434" i="5"/>
  <c r="BG434" i="5"/>
  <c r="BJ434" i="5"/>
  <c r="BK434" i="5"/>
  <c r="BI434" i="5"/>
  <c r="BH434" i="5"/>
  <c r="BF434" i="5"/>
  <c r="BE434" i="5"/>
  <c r="BA434" i="5"/>
  <c r="BP434" i="5" s="1"/>
  <c r="AZ434" i="5"/>
  <c r="BD434" i="5"/>
  <c r="AY434" i="5"/>
  <c r="AV434" i="5"/>
  <c r="BC434" i="5" s="1"/>
  <c r="AU434" i="5"/>
  <c r="BN434" i="5" s="1"/>
  <c r="CK466" i="5"/>
  <c r="CJ466" i="5"/>
  <c r="CI466" i="5"/>
  <c r="CF466" i="5"/>
  <c r="CH466" i="5"/>
  <c r="CG466" i="5"/>
  <c r="CE466" i="5"/>
  <c r="CC466" i="5"/>
  <c r="CD466" i="5"/>
  <c r="BZ466" i="5"/>
  <c r="CA466" i="5"/>
  <c r="BW466" i="5"/>
  <c r="BY466" i="5"/>
  <c r="BX466" i="5"/>
  <c r="BV466" i="5"/>
  <c r="BT466" i="5"/>
  <c r="BS466" i="5"/>
  <c r="BU466" i="5"/>
  <c r="BQ466" i="5"/>
  <c r="BR466" i="5"/>
  <c r="BL466" i="5"/>
  <c r="BM466" i="5"/>
  <c r="BG466" i="5"/>
  <c r="BJ466" i="5"/>
  <c r="BK466" i="5"/>
  <c r="BI466" i="5"/>
  <c r="BH466" i="5"/>
  <c r="BF466" i="5"/>
  <c r="BE466" i="5"/>
  <c r="BA466" i="5"/>
  <c r="BP466" i="5" s="1"/>
  <c r="AZ466" i="5"/>
  <c r="BD466" i="5"/>
  <c r="AY466" i="5"/>
  <c r="AV466" i="5"/>
  <c r="AU466" i="5"/>
  <c r="BN466" i="5" s="1"/>
  <c r="CJ498" i="5"/>
  <c r="CI498" i="5"/>
  <c r="CK498" i="5"/>
  <c r="CH498" i="5"/>
  <c r="CG498" i="5"/>
  <c r="CF498" i="5"/>
  <c r="CD498" i="5"/>
  <c r="CC498" i="5"/>
  <c r="BZ498" i="5"/>
  <c r="CE498" i="5"/>
  <c r="CA498" i="5"/>
  <c r="BW498" i="5"/>
  <c r="BY498" i="5"/>
  <c r="BX498" i="5"/>
  <c r="BV498" i="5"/>
  <c r="BT498" i="5"/>
  <c r="BS498" i="5"/>
  <c r="BU498" i="5"/>
  <c r="BQ498" i="5"/>
  <c r="BR498" i="5"/>
  <c r="BL498" i="5"/>
  <c r="BM498" i="5"/>
  <c r="BG498" i="5"/>
  <c r="BJ498" i="5"/>
  <c r="BK498" i="5"/>
  <c r="BI498" i="5"/>
  <c r="BH498" i="5"/>
  <c r="BF498" i="5"/>
  <c r="BE498" i="5"/>
  <c r="BA498" i="5"/>
  <c r="BP498" i="5" s="1"/>
  <c r="AZ498" i="5"/>
  <c r="BD498" i="5"/>
  <c r="AY498" i="5"/>
  <c r="AV498" i="5"/>
  <c r="BC498" i="5" s="1"/>
  <c r="AU498" i="5"/>
  <c r="BN498" i="5" s="1"/>
  <c r="CH530" i="5"/>
  <c r="CK530" i="5"/>
  <c r="CJ530" i="5"/>
  <c r="CG530" i="5"/>
  <c r="CF530" i="5"/>
  <c r="CI530" i="5"/>
  <c r="CD530" i="5"/>
  <c r="CE530" i="5"/>
  <c r="CC530" i="5"/>
  <c r="BZ530" i="5"/>
  <c r="CA530" i="5"/>
  <c r="BW530" i="5"/>
  <c r="BY530" i="5"/>
  <c r="BX530" i="5"/>
  <c r="BV530" i="5"/>
  <c r="BT530" i="5"/>
  <c r="BS530" i="5"/>
  <c r="BU530" i="5"/>
  <c r="BQ530" i="5"/>
  <c r="BR530" i="5"/>
  <c r="BL530" i="5"/>
  <c r="BM530" i="5"/>
  <c r="BJ530" i="5"/>
  <c r="BK530" i="5"/>
  <c r="BI530" i="5"/>
  <c r="BH530" i="5"/>
  <c r="BF530" i="5"/>
  <c r="BE530" i="5"/>
  <c r="BG530" i="5"/>
  <c r="BA530" i="5"/>
  <c r="BP530" i="5" s="1"/>
  <c r="AZ530" i="5"/>
  <c r="BD530" i="5"/>
  <c r="AY530" i="5"/>
  <c r="AV530" i="5"/>
  <c r="AU530" i="5"/>
  <c r="BN530" i="5" s="1"/>
  <c r="CJ562" i="5"/>
  <c r="CI562" i="5"/>
  <c r="CH562" i="5"/>
  <c r="CG562" i="5"/>
  <c r="CF562" i="5"/>
  <c r="CK562" i="5"/>
  <c r="CD562" i="5"/>
  <c r="CC562" i="5"/>
  <c r="CE562" i="5"/>
  <c r="CA562" i="5"/>
  <c r="BZ562" i="5"/>
  <c r="BY562" i="5"/>
  <c r="BX562" i="5"/>
  <c r="BW562" i="5"/>
  <c r="BV562" i="5"/>
  <c r="BT562" i="5"/>
  <c r="BS562" i="5"/>
  <c r="BU562" i="5"/>
  <c r="BQ562" i="5"/>
  <c r="BR562" i="5"/>
  <c r="BL562" i="5"/>
  <c r="BM562" i="5"/>
  <c r="BJ562" i="5"/>
  <c r="BK562" i="5"/>
  <c r="BI562" i="5"/>
  <c r="BH562" i="5"/>
  <c r="BF562" i="5"/>
  <c r="BE562" i="5"/>
  <c r="BG562" i="5"/>
  <c r="BA562" i="5"/>
  <c r="BP562" i="5" s="1"/>
  <c r="AZ562" i="5"/>
  <c r="BD562" i="5"/>
  <c r="AY562" i="5"/>
  <c r="AV562" i="5"/>
  <c r="BC562" i="5" s="1"/>
  <c r="AU562" i="5"/>
  <c r="BN562" i="5" s="1"/>
  <c r="CK594" i="5"/>
  <c r="CJ594" i="5"/>
  <c r="CI594" i="5"/>
  <c r="CH594" i="5"/>
  <c r="CF594" i="5"/>
  <c r="CG594" i="5"/>
  <c r="CD594" i="5"/>
  <c r="CC594" i="5"/>
  <c r="CE594" i="5"/>
  <c r="CA594" i="5"/>
  <c r="BZ594" i="5"/>
  <c r="BY594" i="5"/>
  <c r="BX594" i="5"/>
  <c r="BW594" i="5"/>
  <c r="BV594" i="5"/>
  <c r="BT594" i="5"/>
  <c r="BS594" i="5"/>
  <c r="BU594" i="5"/>
  <c r="BQ594" i="5"/>
  <c r="BR594" i="5"/>
  <c r="BL594" i="5"/>
  <c r="BM594" i="5"/>
  <c r="BJ594" i="5"/>
  <c r="BK594" i="5"/>
  <c r="BI594" i="5"/>
  <c r="BH594" i="5"/>
  <c r="BF594" i="5"/>
  <c r="BE594" i="5"/>
  <c r="BG594" i="5"/>
  <c r="BA594" i="5"/>
  <c r="BP594" i="5" s="1"/>
  <c r="AZ594" i="5"/>
  <c r="BD594" i="5"/>
  <c r="AY594" i="5"/>
  <c r="AV594" i="5"/>
  <c r="BO594" i="5" s="1"/>
  <c r="AU594" i="5"/>
  <c r="BN594" i="5" s="1"/>
  <c r="CK626" i="5"/>
  <c r="CI626" i="5"/>
  <c r="CJ626" i="5"/>
  <c r="CG626" i="5"/>
  <c r="CF626" i="5"/>
  <c r="CH626" i="5"/>
  <c r="CD626" i="5"/>
  <c r="CE626" i="5"/>
  <c r="CC626" i="5"/>
  <c r="CA626" i="5"/>
  <c r="BZ626" i="5"/>
  <c r="BX626" i="5"/>
  <c r="BY626" i="5"/>
  <c r="BW626" i="5"/>
  <c r="BV626" i="5"/>
  <c r="BT626" i="5"/>
  <c r="BS626" i="5"/>
  <c r="BU626" i="5"/>
  <c r="BQ626" i="5"/>
  <c r="BR626" i="5"/>
  <c r="BL626" i="5"/>
  <c r="BM626" i="5"/>
  <c r="BJ626" i="5"/>
  <c r="BK626" i="5"/>
  <c r="BI626" i="5"/>
  <c r="BH626" i="5"/>
  <c r="BF626" i="5"/>
  <c r="BE626" i="5"/>
  <c r="BG626" i="5"/>
  <c r="BA626" i="5"/>
  <c r="BP626" i="5" s="1"/>
  <c r="AZ626" i="5"/>
  <c r="BD626" i="5"/>
  <c r="AY626" i="5"/>
  <c r="AV626" i="5"/>
  <c r="BO626" i="5" s="1"/>
  <c r="AU626" i="5"/>
  <c r="BN626" i="5" s="1"/>
  <c r="CK658" i="5"/>
  <c r="CH658" i="5"/>
  <c r="CJ658" i="5"/>
  <c r="CF658" i="5"/>
  <c r="CG658" i="5"/>
  <c r="CD658" i="5"/>
  <c r="CI658" i="5"/>
  <c r="CE658" i="5"/>
  <c r="CC658" i="5"/>
  <c r="CA658" i="5"/>
  <c r="BZ658" i="5"/>
  <c r="BY658" i="5"/>
  <c r="BW658" i="5"/>
  <c r="BX658" i="5"/>
  <c r="BV658" i="5"/>
  <c r="BT658" i="5"/>
  <c r="BS658" i="5"/>
  <c r="BU658" i="5"/>
  <c r="BQ658" i="5"/>
  <c r="BR658" i="5"/>
  <c r="BM658" i="5"/>
  <c r="BL658" i="5"/>
  <c r="BJ658" i="5"/>
  <c r="BK658" i="5"/>
  <c r="BI658" i="5"/>
  <c r="BH658" i="5"/>
  <c r="BF658" i="5"/>
  <c r="BE658" i="5"/>
  <c r="BG658" i="5"/>
  <c r="BA658" i="5"/>
  <c r="BP658" i="5" s="1"/>
  <c r="AZ658" i="5"/>
  <c r="BD658" i="5"/>
  <c r="AY658" i="5"/>
  <c r="AV658" i="5"/>
  <c r="BC658" i="5" s="1"/>
  <c r="AU658" i="5"/>
  <c r="BN658" i="5" s="1"/>
  <c r="CK690" i="5"/>
  <c r="CF690" i="5"/>
  <c r="CI690" i="5"/>
  <c r="CD690" i="5"/>
  <c r="CC690" i="5"/>
  <c r="CE690" i="5"/>
  <c r="CA690" i="5"/>
  <c r="BY690" i="5"/>
  <c r="BW690" i="5"/>
  <c r="BV690" i="5"/>
  <c r="BT690" i="5"/>
  <c r="BS690" i="5"/>
  <c r="BU690" i="5"/>
  <c r="BQ690" i="5"/>
  <c r="BR690" i="5"/>
  <c r="BM690" i="5"/>
  <c r="BK690" i="5"/>
  <c r="BJ690" i="5"/>
  <c r="BI690" i="5"/>
  <c r="BH690" i="5"/>
  <c r="BF690" i="5"/>
  <c r="BE690" i="5"/>
  <c r="BG690" i="5"/>
  <c r="BA690" i="5"/>
  <c r="BP690" i="5" s="1"/>
  <c r="AZ690" i="5"/>
  <c r="BD690" i="5"/>
  <c r="AY690" i="5"/>
  <c r="AV690" i="5"/>
  <c r="BO690" i="5" s="1"/>
  <c r="AU690" i="5"/>
  <c r="BN690" i="5" s="1"/>
  <c r="BL12" i="5"/>
  <c r="CK63" i="5"/>
  <c r="CF63" i="5"/>
  <c r="CE63" i="5"/>
  <c r="CD63" i="5"/>
  <c r="CI63" i="5"/>
  <c r="CC63" i="5"/>
  <c r="CA63" i="5"/>
  <c r="BY63" i="5"/>
  <c r="BV63" i="5"/>
  <c r="BU63" i="5"/>
  <c r="BT63" i="5"/>
  <c r="BW63" i="5"/>
  <c r="BR63" i="5"/>
  <c r="BQ63" i="5"/>
  <c r="BS63" i="5"/>
  <c r="BM63" i="5"/>
  <c r="BK63" i="5"/>
  <c r="BJ63" i="5"/>
  <c r="BI63" i="5"/>
  <c r="BH63" i="5"/>
  <c r="BF63" i="5"/>
  <c r="BG63" i="5"/>
  <c r="BE63" i="5"/>
  <c r="BD63" i="5"/>
  <c r="BA63" i="5"/>
  <c r="BP63" i="5" s="1"/>
  <c r="AZ63" i="5"/>
  <c r="AY63" i="5"/>
  <c r="AU63" i="5"/>
  <c r="AV63" i="5"/>
  <c r="BO63" i="5" s="1"/>
  <c r="BO188" i="5"/>
  <c r="BX220" i="5"/>
  <c r="BB348" i="5"/>
  <c r="CK423" i="5"/>
  <c r="CI423" i="5"/>
  <c r="CF423" i="5"/>
  <c r="CC423" i="5"/>
  <c r="CE423" i="5"/>
  <c r="CD423" i="5"/>
  <c r="CA423" i="5"/>
  <c r="BY423" i="5"/>
  <c r="BW423" i="5"/>
  <c r="BU423" i="5"/>
  <c r="BT423" i="5"/>
  <c r="BV423" i="5"/>
  <c r="BS423" i="5"/>
  <c r="BQ423" i="5"/>
  <c r="BR423" i="5"/>
  <c r="BM423" i="5"/>
  <c r="BJ423" i="5"/>
  <c r="BK423" i="5"/>
  <c r="BI423" i="5"/>
  <c r="BH423" i="5"/>
  <c r="BF423" i="5"/>
  <c r="BG423" i="5"/>
  <c r="BE423" i="5"/>
  <c r="BD423" i="5"/>
  <c r="BA423" i="5"/>
  <c r="BP423" i="5" s="1"/>
  <c r="AZ423" i="5"/>
  <c r="AY423" i="5"/>
  <c r="AU423" i="5"/>
  <c r="BN423" i="5" s="1"/>
  <c r="AV423" i="5"/>
  <c r="BC423" i="5" s="1"/>
  <c r="BX444" i="5"/>
  <c r="CK583" i="5"/>
  <c r="CJ583" i="5"/>
  <c r="CI583" i="5"/>
  <c r="CF583" i="5"/>
  <c r="CG583" i="5"/>
  <c r="CH583" i="5"/>
  <c r="CC583" i="5"/>
  <c r="CD583" i="5"/>
  <c r="CE583" i="5"/>
  <c r="CA583" i="5"/>
  <c r="BZ583" i="5"/>
  <c r="BY583" i="5"/>
  <c r="BX583" i="5"/>
  <c r="BT583" i="5"/>
  <c r="BW583" i="5"/>
  <c r="BV583" i="5"/>
  <c r="BS583" i="5"/>
  <c r="BU583" i="5"/>
  <c r="BQ583" i="5"/>
  <c r="BR583" i="5"/>
  <c r="BL583" i="5"/>
  <c r="BM583" i="5"/>
  <c r="BJ583" i="5"/>
  <c r="BK583" i="5"/>
  <c r="BI583" i="5"/>
  <c r="BH583" i="5"/>
  <c r="BG583" i="5"/>
  <c r="BF583" i="5"/>
  <c r="BE583" i="5"/>
  <c r="BD583" i="5"/>
  <c r="BA583" i="5"/>
  <c r="BP583" i="5" s="1"/>
  <c r="AZ583" i="5"/>
  <c r="AY583" i="5"/>
  <c r="AU583" i="5"/>
  <c r="BB583" i="5" s="1"/>
  <c r="AV583" i="5"/>
  <c r="BC583" i="5" s="1"/>
  <c r="BB668" i="5"/>
  <c r="CK19" i="5"/>
  <c r="CI19" i="5"/>
  <c r="CF19" i="5"/>
  <c r="CD19" i="5"/>
  <c r="CE19" i="5"/>
  <c r="CA19" i="5"/>
  <c r="CC19" i="5"/>
  <c r="BY19" i="5"/>
  <c r="BU19" i="5"/>
  <c r="BV19" i="5"/>
  <c r="BW19" i="5"/>
  <c r="BT19" i="5"/>
  <c r="BS19" i="5"/>
  <c r="BR19" i="5"/>
  <c r="BQ19" i="5"/>
  <c r="BK19" i="5"/>
  <c r="BJ19" i="5"/>
  <c r="BM19" i="5"/>
  <c r="BI19" i="5"/>
  <c r="BH19" i="5"/>
  <c r="BG19" i="5"/>
  <c r="BF19" i="5"/>
  <c r="BE19" i="5"/>
  <c r="BD19" i="5"/>
  <c r="BA19" i="5"/>
  <c r="BP19" i="5" s="1"/>
  <c r="AZ19" i="5"/>
  <c r="AY19" i="5"/>
  <c r="AV19" i="5"/>
  <c r="AU19" i="5"/>
  <c r="BB19" i="5" s="1"/>
  <c r="CK51" i="5"/>
  <c r="CJ51" i="5"/>
  <c r="CF51" i="5"/>
  <c r="CI51" i="5"/>
  <c r="CH51" i="5"/>
  <c r="CG51" i="5"/>
  <c r="CD51" i="5"/>
  <c r="CC51" i="5"/>
  <c r="CA51" i="5"/>
  <c r="CE51" i="5"/>
  <c r="BX51" i="5"/>
  <c r="BZ51" i="5"/>
  <c r="BY51" i="5"/>
  <c r="BV51" i="5"/>
  <c r="BW51" i="5"/>
  <c r="BU51" i="5"/>
  <c r="BT51" i="5"/>
  <c r="BS51" i="5"/>
  <c r="BR51" i="5"/>
  <c r="BQ51" i="5"/>
  <c r="BL51" i="5"/>
  <c r="BK51" i="5"/>
  <c r="BJ51" i="5"/>
  <c r="BM51" i="5"/>
  <c r="BH51" i="5"/>
  <c r="BI51" i="5"/>
  <c r="BG51" i="5"/>
  <c r="BF51" i="5"/>
  <c r="BE51" i="5"/>
  <c r="BD51" i="5"/>
  <c r="BA51" i="5"/>
  <c r="BP51" i="5" s="1"/>
  <c r="AZ51" i="5"/>
  <c r="AY51" i="5"/>
  <c r="AV51" i="5"/>
  <c r="AU51" i="5"/>
  <c r="CK83" i="5"/>
  <c r="CI83" i="5"/>
  <c r="CF83" i="5"/>
  <c r="CD83" i="5"/>
  <c r="CE83" i="5"/>
  <c r="CC83" i="5"/>
  <c r="CA83" i="5"/>
  <c r="BY83" i="5"/>
  <c r="BV83" i="5"/>
  <c r="BW83" i="5"/>
  <c r="BU83" i="5"/>
  <c r="BT83" i="5"/>
  <c r="BS83" i="5"/>
  <c r="BR83" i="5"/>
  <c r="BQ83" i="5"/>
  <c r="BK83" i="5"/>
  <c r="BJ83" i="5"/>
  <c r="BM83" i="5"/>
  <c r="BH83" i="5"/>
  <c r="BI83" i="5"/>
  <c r="BG83" i="5"/>
  <c r="BF83" i="5"/>
  <c r="BE83" i="5"/>
  <c r="BD83" i="5"/>
  <c r="BA83" i="5"/>
  <c r="BP83" i="5" s="1"/>
  <c r="AZ83" i="5"/>
  <c r="AY83" i="5"/>
  <c r="AV83" i="5"/>
  <c r="BO83" i="5" s="1"/>
  <c r="AU83" i="5"/>
  <c r="BN83" i="5" s="1"/>
  <c r="CI115" i="5"/>
  <c r="CF115" i="5"/>
  <c r="CK115" i="5"/>
  <c r="CD115" i="5"/>
  <c r="CE115" i="5"/>
  <c r="CA115" i="5"/>
  <c r="CC115" i="5"/>
  <c r="BY115" i="5"/>
  <c r="BV115" i="5"/>
  <c r="BW115" i="5"/>
  <c r="BU115" i="5"/>
  <c r="BT115" i="5"/>
  <c r="BS115" i="5"/>
  <c r="BR115" i="5"/>
  <c r="BQ115" i="5"/>
  <c r="BK115" i="5"/>
  <c r="BJ115" i="5"/>
  <c r="BM115" i="5"/>
  <c r="BH115" i="5"/>
  <c r="BI115" i="5"/>
  <c r="BG115" i="5"/>
  <c r="BF115" i="5"/>
  <c r="BE115" i="5"/>
  <c r="BD115" i="5"/>
  <c r="BA115" i="5"/>
  <c r="BP115" i="5" s="1"/>
  <c r="AZ115" i="5"/>
  <c r="AV115" i="5"/>
  <c r="BO115" i="5" s="1"/>
  <c r="AY115" i="5"/>
  <c r="AU115" i="5"/>
  <c r="BB115" i="5" s="1"/>
  <c r="CI147" i="5"/>
  <c r="CF147" i="5"/>
  <c r="CK147" i="5"/>
  <c r="CD147" i="5"/>
  <c r="CE147" i="5"/>
  <c r="CA147" i="5"/>
  <c r="CC147" i="5"/>
  <c r="BY147" i="5"/>
  <c r="BV147" i="5"/>
  <c r="BW147" i="5"/>
  <c r="BU147" i="5"/>
  <c r="BT147" i="5"/>
  <c r="BS147" i="5"/>
  <c r="BR147" i="5"/>
  <c r="BQ147" i="5"/>
  <c r="BJ147" i="5"/>
  <c r="BM147" i="5"/>
  <c r="BH147" i="5"/>
  <c r="BK147" i="5"/>
  <c r="BI147" i="5"/>
  <c r="BG147" i="5"/>
  <c r="BF147" i="5"/>
  <c r="BE147" i="5"/>
  <c r="BD147" i="5"/>
  <c r="BA147" i="5"/>
  <c r="BP147" i="5" s="1"/>
  <c r="AZ147" i="5"/>
  <c r="AV147" i="5"/>
  <c r="BO147" i="5" s="1"/>
  <c r="AY147" i="5"/>
  <c r="AU147" i="5"/>
  <c r="BN147" i="5" s="1"/>
  <c r="CK103" i="5"/>
  <c r="CI103" i="5"/>
  <c r="CF103" i="5"/>
  <c r="CE103" i="5"/>
  <c r="CD103" i="5"/>
  <c r="CC103" i="5"/>
  <c r="CA103" i="5"/>
  <c r="BY103" i="5"/>
  <c r="BW103" i="5"/>
  <c r="BU103" i="5"/>
  <c r="BT103" i="5"/>
  <c r="BV103" i="5"/>
  <c r="BR103" i="5"/>
  <c r="BQ103" i="5"/>
  <c r="BS103" i="5"/>
  <c r="BM103" i="5"/>
  <c r="BK103" i="5"/>
  <c r="BJ103" i="5"/>
  <c r="BI103" i="5"/>
  <c r="BH103" i="5"/>
  <c r="BG103" i="5"/>
  <c r="BF103" i="5"/>
  <c r="BE103" i="5"/>
  <c r="BD103" i="5"/>
  <c r="BA103" i="5"/>
  <c r="BP103" i="5" s="1"/>
  <c r="AZ103" i="5"/>
  <c r="AY103" i="5"/>
  <c r="AU103" i="5"/>
  <c r="BB103" i="5" s="1"/>
  <c r="AV103" i="5"/>
  <c r="BO103" i="5" s="1"/>
  <c r="CK243" i="5"/>
  <c r="CI243" i="5"/>
  <c r="CF243" i="5"/>
  <c r="CD243" i="5"/>
  <c r="CE243" i="5"/>
  <c r="CA243" i="5"/>
  <c r="CC243" i="5"/>
  <c r="BY243" i="5"/>
  <c r="BV243" i="5"/>
  <c r="BW243" i="5"/>
  <c r="BU243" i="5"/>
  <c r="BT243" i="5"/>
  <c r="BS243" i="5"/>
  <c r="BQ243" i="5"/>
  <c r="BR243" i="5"/>
  <c r="BJ243" i="5"/>
  <c r="BM243" i="5"/>
  <c r="BH243" i="5"/>
  <c r="BK243" i="5"/>
  <c r="BI243" i="5"/>
  <c r="BG243" i="5"/>
  <c r="BF243" i="5"/>
  <c r="BE243" i="5"/>
  <c r="BD243" i="5"/>
  <c r="BA243" i="5"/>
  <c r="BP243" i="5" s="1"/>
  <c r="AZ243" i="5"/>
  <c r="AV243" i="5"/>
  <c r="BC243" i="5" s="1"/>
  <c r="AY243" i="5"/>
  <c r="AU243" i="5"/>
  <c r="BN243" i="5" s="1"/>
  <c r="CK467" i="5"/>
  <c r="CJ467" i="5"/>
  <c r="CI467" i="5"/>
  <c r="CH467" i="5"/>
  <c r="CD467" i="5"/>
  <c r="CG467" i="5"/>
  <c r="CF467" i="5"/>
  <c r="CE467" i="5"/>
  <c r="CC467" i="5"/>
  <c r="CA467" i="5"/>
  <c r="BY467" i="5"/>
  <c r="BZ467" i="5"/>
  <c r="BX467" i="5"/>
  <c r="BV467" i="5"/>
  <c r="BW467" i="5"/>
  <c r="BT467" i="5"/>
  <c r="BU467" i="5"/>
  <c r="BS467" i="5"/>
  <c r="BQ467" i="5"/>
  <c r="BR467" i="5"/>
  <c r="BL467" i="5"/>
  <c r="BJ467" i="5"/>
  <c r="BM467" i="5"/>
  <c r="BH467" i="5"/>
  <c r="BK467" i="5"/>
  <c r="BI467" i="5"/>
  <c r="BF467" i="5"/>
  <c r="BE467" i="5"/>
  <c r="BD467" i="5"/>
  <c r="BG467" i="5"/>
  <c r="BA467" i="5"/>
  <c r="BP467" i="5" s="1"/>
  <c r="AZ467" i="5"/>
  <c r="AV467" i="5"/>
  <c r="BO467" i="5" s="1"/>
  <c r="AY467" i="5"/>
  <c r="AU467" i="5"/>
  <c r="CJ79" i="5"/>
  <c r="CH79" i="5"/>
  <c r="CK79" i="5"/>
  <c r="CG79" i="5"/>
  <c r="CF79" i="5"/>
  <c r="CI79" i="5"/>
  <c r="CE79" i="5"/>
  <c r="CD79" i="5"/>
  <c r="CC79" i="5"/>
  <c r="CA79" i="5"/>
  <c r="BZ79" i="5"/>
  <c r="BY79" i="5"/>
  <c r="BX79" i="5"/>
  <c r="BU79" i="5"/>
  <c r="BT79" i="5"/>
  <c r="BW79" i="5"/>
  <c r="BV79" i="5"/>
  <c r="BS79" i="5"/>
  <c r="BR79" i="5"/>
  <c r="BQ79" i="5"/>
  <c r="BM79" i="5"/>
  <c r="BL79" i="5"/>
  <c r="BK79" i="5"/>
  <c r="BJ79" i="5"/>
  <c r="BI79" i="5"/>
  <c r="BH79" i="5"/>
  <c r="BF79" i="5"/>
  <c r="BG79" i="5"/>
  <c r="BE79" i="5"/>
  <c r="BD79" i="5"/>
  <c r="BA79" i="5"/>
  <c r="BP79" i="5" s="1"/>
  <c r="AZ79" i="5"/>
  <c r="AY79" i="5"/>
  <c r="AU79" i="5"/>
  <c r="BB79" i="5" s="1"/>
  <c r="AV79" i="5"/>
  <c r="BO79" i="5" s="1"/>
  <c r="CK191" i="5"/>
  <c r="CF191" i="5"/>
  <c r="CE191" i="5"/>
  <c r="CI191" i="5"/>
  <c r="CD191" i="5"/>
  <c r="CC191" i="5"/>
  <c r="CA191" i="5"/>
  <c r="BY191" i="5"/>
  <c r="BV191" i="5"/>
  <c r="BU191" i="5"/>
  <c r="BT191" i="5"/>
  <c r="BW191" i="5"/>
  <c r="BQ191" i="5"/>
  <c r="BS191" i="5"/>
  <c r="BR191" i="5"/>
  <c r="BM191" i="5"/>
  <c r="BJ191" i="5"/>
  <c r="BI191" i="5"/>
  <c r="BH191" i="5"/>
  <c r="BK191" i="5"/>
  <c r="BF191" i="5"/>
  <c r="BG191" i="5"/>
  <c r="BE191" i="5"/>
  <c r="BD191" i="5"/>
  <c r="BA191" i="5"/>
  <c r="BP191" i="5" s="1"/>
  <c r="AZ191" i="5"/>
  <c r="AY191" i="5"/>
  <c r="AU191" i="5"/>
  <c r="BN191" i="5" s="1"/>
  <c r="AV191" i="5"/>
  <c r="BC191" i="5" s="1"/>
  <c r="BX244" i="5"/>
  <c r="CK351" i="5"/>
  <c r="CH351" i="5"/>
  <c r="CI351" i="5"/>
  <c r="CJ351" i="5"/>
  <c r="CE351" i="5"/>
  <c r="CF351" i="5"/>
  <c r="CG351" i="5"/>
  <c r="CD351" i="5"/>
  <c r="CC351" i="5"/>
  <c r="CA351" i="5"/>
  <c r="BZ351" i="5"/>
  <c r="BY351" i="5"/>
  <c r="BX351" i="5"/>
  <c r="BV351" i="5"/>
  <c r="BU351" i="5"/>
  <c r="BT351" i="5"/>
  <c r="BW351" i="5"/>
  <c r="BQ351" i="5"/>
  <c r="BS351" i="5"/>
  <c r="BR351" i="5"/>
  <c r="BM351" i="5"/>
  <c r="BL351" i="5"/>
  <c r="BJ351" i="5"/>
  <c r="BI351" i="5"/>
  <c r="BH351" i="5"/>
  <c r="BK351" i="5"/>
  <c r="BG351" i="5"/>
  <c r="BF351" i="5"/>
  <c r="BE351" i="5"/>
  <c r="BD351" i="5"/>
  <c r="BA351" i="5"/>
  <c r="BP351" i="5" s="1"/>
  <c r="AZ351" i="5"/>
  <c r="AY351" i="5"/>
  <c r="AU351" i="5"/>
  <c r="BN351" i="5" s="1"/>
  <c r="AV351" i="5"/>
  <c r="BC351" i="5" s="1"/>
  <c r="BX372" i="5"/>
  <c r="BB468" i="5"/>
  <c r="BO532" i="5"/>
  <c r="CK639" i="5"/>
  <c r="CJ639" i="5"/>
  <c r="CI639" i="5"/>
  <c r="CG639" i="5"/>
  <c r="CE639" i="5"/>
  <c r="CH639" i="5"/>
  <c r="CF639" i="5"/>
  <c r="CD639" i="5"/>
  <c r="CA639" i="5"/>
  <c r="CC639" i="5"/>
  <c r="BX639" i="5"/>
  <c r="BZ639" i="5"/>
  <c r="BY639" i="5"/>
  <c r="BV639" i="5"/>
  <c r="BT639" i="5"/>
  <c r="BW639" i="5"/>
  <c r="BS639" i="5"/>
  <c r="BQ639" i="5"/>
  <c r="BU639" i="5"/>
  <c r="BR639" i="5"/>
  <c r="BM639" i="5"/>
  <c r="BL639" i="5"/>
  <c r="BJ639" i="5"/>
  <c r="BI639" i="5"/>
  <c r="BH639" i="5"/>
  <c r="BK639" i="5"/>
  <c r="BG639" i="5"/>
  <c r="BF639" i="5"/>
  <c r="BE639" i="5"/>
  <c r="BD639" i="5"/>
  <c r="BA639" i="5"/>
  <c r="BP639" i="5" s="1"/>
  <c r="AZ639" i="5"/>
  <c r="AY639" i="5"/>
  <c r="AU639" i="5"/>
  <c r="AV639" i="5"/>
  <c r="CK119" i="5"/>
  <c r="CI119" i="5"/>
  <c r="CF119" i="5"/>
  <c r="CE119" i="5"/>
  <c r="CD119" i="5"/>
  <c r="CC119" i="5"/>
  <c r="CA119" i="5"/>
  <c r="BY119" i="5"/>
  <c r="BW119" i="5"/>
  <c r="BU119" i="5"/>
  <c r="BV119" i="5"/>
  <c r="BT119" i="5"/>
  <c r="BS119" i="5"/>
  <c r="BR119" i="5"/>
  <c r="BQ119" i="5"/>
  <c r="BM119" i="5"/>
  <c r="BK119" i="5"/>
  <c r="BJ119" i="5"/>
  <c r="BI119" i="5"/>
  <c r="BH119" i="5"/>
  <c r="BG119" i="5"/>
  <c r="BF119" i="5"/>
  <c r="BE119" i="5"/>
  <c r="BD119" i="5"/>
  <c r="BA119" i="5"/>
  <c r="BP119" i="5" s="1"/>
  <c r="AZ119" i="5"/>
  <c r="AY119" i="5"/>
  <c r="AU119" i="5"/>
  <c r="BN119" i="5" s="1"/>
  <c r="AV119" i="5"/>
  <c r="BO119" i="5" s="1"/>
  <c r="CJ299" i="5"/>
  <c r="CI299" i="5"/>
  <c r="CD299" i="5"/>
  <c r="CG299" i="5"/>
  <c r="CK299" i="5"/>
  <c r="CF299" i="5"/>
  <c r="CH299" i="5"/>
  <c r="CA299" i="5"/>
  <c r="CE299" i="5"/>
  <c r="CC299" i="5"/>
  <c r="BZ299" i="5"/>
  <c r="BY299" i="5"/>
  <c r="BX299" i="5"/>
  <c r="BW299" i="5"/>
  <c r="BV299" i="5"/>
  <c r="BU299" i="5"/>
  <c r="BT299" i="5"/>
  <c r="BS299" i="5"/>
  <c r="BQ299" i="5"/>
  <c r="BR299" i="5"/>
  <c r="BJ299" i="5"/>
  <c r="BL299" i="5"/>
  <c r="BM299" i="5"/>
  <c r="BH299" i="5"/>
  <c r="BK299" i="5"/>
  <c r="BI299" i="5"/>
  <c r="BF299" i="5"/>
  <c r="BE299" i="5"/>
  <c r="BD299" i="5"/>
  <c r="BG299" i="5"/>
  <c r="BA299" i="5"/>
  <c r="BP299" i="5" s="1"/>
  <c r="AZ299" i="5"/>
  <c r="AV299" i="5"/>
  <c r="BO299" i="5" s="1"/>
  <c r="AU299" i="5"/>
  <c r="BN299" i="5" s="1"/>
  <c r="AY299" i="5"/>
  <c r="CI523" i="5"/>
  <c r="CH523" i="5"/>
  <c r="CK523" i="5"/>
  <c r="CJ523" i="5"/>
  <c r="CG523" i="5"/>
  <c r="CE523" i="5"/>
  <c r="CD523" i="5"/>
  <c r="CF523" i="5"/>
  <c r="CC523" i="5"/>
  <c r="CA523" i="5"/>
  <c r="BY523" i="5"/>
  <c r="BX523" i="5"/>
  <c r="BZ523" i="5"/>
  <c r="BW523" i="5"/>
  <c r="BV523" i="5"/>
  <c r="BT523" i="5"/>
  <c r="BU523" i="5"/>
  <c r="BS523" i="5"/>
  <c r="BQ523" i="5"/>
  <c r="BR523" i="5"/>
  <c r="BL523" i="5"/>
  <c r="BJ523" i="5"/>
  <c r="BM523" i="5"/>
  <c r="BH523" i="5"/>
  <c r="BK523" i="5"/>
  <c r="BI523" i="5"/>
  <c r="BG523" i="5"/>
  <c r="BF523" i="5"/>
  <c r="BE523" i="5"/>
  <c r="BD523" i="5"/>
  <c r="BA523" i="5"/>
  <c r="BP523" i="5" s="1"/>
  <c r="AZ523" i="5"/>
  <c r="AV523" i="5"/>
  <c r="AU523" i="5"/>
  <c r="BN523" i="5" s="1"/>
  <c r="AY523" i="5"/>
  <c r="CJ126" i="5"/>
  <c r="CK126" i="5"/>
  <c r="CI126" i="5"/>
  <c r="CG126" i="5"/>
  <c r="CH126" i="5"/>
  <c r="CF126" i="5"/>
  <c r="CE126" i="5"/>
  <c r="CD126" i="5"/>
  <c r="CC126" i="5"/>
  <c r="BZ126" i="5"/>
  <c r="CA126" i="5"/>
  <c r="BW126" i="5"/>
  <c r="BX126" i="5"/>
  <c r="BY126" i="5"/>
  <c r="BV126" i="5"/>
  <c r="BU126" i="5"/>
  <c r="BS126" i="5"/>
  <c r="BR126" i="5"/>
  <c r="BT126" i="5"/>
  <c r="BQ126" i="5"/>
  <c r="BM126" i="5"/>
  <c r="BL126" i="5"/>
  <c r="BI126" i="5"/>
  <c r="BH126" i="5"/>
  <c r="BK126" i="5"/>
  <c r="BG126" i="5"/>
  <c r="BJ126" i="5"/>
  <c r="BF126" i="5"/>
  <c r="BE126" i="5"/>
  <c r="BD126" i="5"/>
  <c r="AZ126" i="5"/>
  <c r="BA126" i="5"/>
  <c r="BP126" i="5" s="1"/>
  <c r="AY126" i="5"/>
  <c r="AU126" i="5"/>
  <c r="BB126" i="5" s="1"/>
  <c r="AV126" i="5"/>
  <c r="CK158" i="5"/>
  <c r="CI158" i="5"/>
  <c r="CJ158" i="5"/>
  <c r="CG158" i="5"/>
  <c r="CH158" i="5"/>
  <c r="CF158" i="5"/>
  <c r="CE158" i="5"/>
  <c r="CD158" i="5"/>
  <c r="CC158" i="5"/>
  <c r="BZ158" i="5"/>
  <c r="CA158" i="5"/>
  <c r="BW158" i="5"/>
  <c r="BY158" i="5"/>
  <c r="BX158" i="5"/>
  <c r="BV158" i="5"/>
  <c r="BU158" i="5"/>
  <c r="BS158" i="5"/>
  <c r="BR158" i="5"/>
  <c r="BT158" i="5"/>
  <c r="BQ158" i="5"/>
  <c r="BM158" i="5"/>
  <c r="BL158" i="5"/>
  <c r="BI158" i="5"/>
  <c r="BH158" i="5"/>
  <c r="BK158" i="5"/>
  <c r="BG158" i="5"/>
  <c r="BJ158" i="5"/>
  <c r="BF158" i="5"/>
  <c r="BE158" i="5"/>
  <c r="BD158" i="5"/>
  <c r="AZ158" i="5"/>
  <c r="BA158" i="5"/>
  <c r="BP158" i="5" s="1"/>
  <c r="AY158" i="5"/>
  <c r="AU158" i="5"/>
  <c r="BB158" i="5" s="1"/>
  <c r="AV158" i="5"/>
  <c r="BO158" i="5" s="1"/>
  <c r="CK190" i="5"/>
  <c r="CI190" i="5"/>
  <c r="CF190" i="5"/>
  <c r="CE190" i="5"/>
  <c r="CD190" i="5"/>
  <c r="CC190" i="5"/>
  <c r="CA190" i="5"/>
  <c r="BW190" i="5"/>
  <c r="BY190" i="5"/>
  <c r="BV190" i="5"/>
  <c r="BU190" i="5"/>
  <c r="BS190" i="5"/>
  <c r="BT190" i="5"/>
  <c r="BR190" i="5"/>
  <c r="BQ190" i="5"/>
  <c r="BM190" i="5"/>
  <c r="BI190" i="5"/>
  <c r="BH190" i="5"/>
  <c r="BK190" i="5"/>
  <c r="BG190" i="5"/>
  <c r="BJ190" i="5"/>
  <c r="BF190" i="5"/>
  <c r="BE190" i="5"/>
  <c r="BD190" i="5"/>
  <c r="AZ190" i="5"/>
  <c r="BA190" i="5"/>
  <c r="BP190" i="5" s="1"/>
  <c r="AY190" i="5"/>
  <c r="AU190" i="5"/>
  <c r="BN190" i="5" s="1"/>
  <c r="AV190" i="5"/>
  <c r="BO190" i="5" s="1"/>
  <c r="CK222" i="5"/>
  <c r="CI222" i="5"/>
  <c r="CF222" i="5"/>
  <c r="CD222" i="5"/>
  <c r="CC222" i="5"/>
  <c r="CE222" i="5"/>
  <c r="CA222" i="5"/>
  <c r="BW222" i="5"/>
  <c r="BY222" i="5"/>
  <c r="BV222" i="5"/>
  <c r="BU222" i="5"/>
  <c r="BS222" i="5"/>
  <c r="BT222" i="5"/>
  <c r="BR222" i="5"/>
  <c r="BQ222" i="5"/>
  <c r="BM222" i="5"/>
  <c r="BI222" i="5"/>
  <c r="BH222" i="5"/>
  <c r="BK222" i="5"/>
  <c r="BG222" i="5"/>
  <c r="BJ222" i="5"/>
  <c r="BF222" i="5"/>
  <c r="BE222" i="5"/>
  <c r="BD222" i="5"/>
  <c r="AZ222" i="5"/>
  <c r="BA222" i="5"/>
  <c r="BP222" i="5" s="1"/>
  <c r="AY222" i="5"/>
  <c r="AU222" i="5"/>
  <c r="BN222" i="5" s="1"/>
  <c r="AV222" i="5"/>
  <c r="BO222" i="5" s="1"/>
  <c r="CI254" i="5"/>
  <c r="CK254" i="5"/>
  <c r="CG254" i="5"/>
  <c r="CJ254" i="5"/>
  <c r="CH254" i="5"/>
  <c r="CE254" i="5"/>
  <c r="CD254" i="5"/>
  <c r="CF254" i="5"/>
  <c r="CC254" i="5"/>
  <c r="BZ254" i="5"/>
  <c r="CA254" i="5"/>
  <c r="BW254" i="5"/>
  <c r="BY254" i="5"/>
  <c r="BX254" i="5"/>
  <c r="BV254" i="5"/>
  <c r="BU254" i="5"/>
  <c r="BS254" i="5"/>
  <c r="BT254" i="5"/>
  <c r="BR254" i="5"/>
  <c r="BQ254" i="5"/>
  <c r="BM254" i="5"/>
  <c r="BL254" i="5"/>
  <c r="BI254" i="5"/>
  <c r="BH254" i="5"/>
  <c r="BK254" i="5"/>
  <c r="BG254" i="5"/>
  <c r="BJ254" i="5"/>
  <c r="BF254" i="5"/>
  <c r="BE254" i="5"/>
  <c r="BD254" i="5"/>
  <c r="AZ254" i="5"/>
  <c r="BA254" i="5"/>
  <c r="BP254" i="5" s="1"/>
  <c r="AY254" i="5"/>
  <c r="AU254" i="5"/>
  <c r="BB254" i="5" s="1"/>
  <c r="AV254" i="5"/>
  <c r="CI286" i="5"/>
  <c r="CK286" i="5"/>
  <c r="CF286" i="5"/>
  <c r="CE286" i="5"/>
  <c r="CD286" i="5"/>
  <c r="CC286" i="5"/>
  <c r="CA286" i="5"/>
  <c r="BW286" i="5"/>
  <c r="BY286" i="5"/>
  <c r="BV286" i="5"/>
  <c r="BU286" i="5"/>
  <c r="BS286" i="5"/>
  <c r="BT286" i="5"/>
  <c r="BR286" i="5"/>
  <c r="BQ286" i="5"/>
  <c r="BM286" i="5"/>
  <c r="BI286" i="5"/>
  <c r="BH286" i="5"/>
  <c r="BK286" i="5"/>
  <c r="BG286" i="5"/>
  <c r="BJ286" i="5"/>
  <c r="BF286" i="5"/>
  <c r="BE286" i="5"/>
  <c r="BD286" i="5"/>
  <c r="AZ286" i="5"/>
  <c r="BA286" i="5"/>
  <c r="BP286" i="5" s="1"/>
  <c r="AY286" i="5"/>
  <c r="AU286" i="5"/>
  <c r="BN286" i="5" s="1"/>
  <c r="AV286" i="5"/>
  <c r="CI318" i="5"/>
  <c r="CH318" i="5"/>
  <c r="CJ318" i="5"/>
  <c r="CK318" i="5"/>
  <c r="CG318" i="5"/>
  <c r="CF318" i="5"/>
  <c r="CE318" i="5"/>
  <c r="CD318" i="5"/>
  <c r="CC318" i="5"/>
  <c r="BZ318" i="5"/>
  <c r="CA318" i="5"/>
  <c r="BX318" i="5"/>
  <c r="BW318" i="5"/>
  <c r="BY318" i="5"/>
  <c r="BV318" i="5"/>
  <c r="BU318" i="5"/>
  <c r="BS318" i="5"/>
  <c r="BT318" i="5"/>
  <c r="BR318" i="5"/>
  <c r="BQ318" i="5"/>
  <c r="BM318" i="5"/>
  <c r="BL318" i="5"/>
  <c r="BI318" i="5"/>
  <c r="BH318" i="5"/>
  <c r="BK318" i="5"/>
  <c r="BG318" i="5"/>
  <c r="BJ318" i="5"/>
  <c r="BF318" i="5"/>
  <c r="BE318" i="5"/>
  <c r="BD318" i="5"/>
  <c r="AZ318" i="5"/>
  <c r="BA318" i="5"/>
  <c r="BP318" i="5" s="1"/>
  <c r="AY318" i="5"/>
  <c r="AU318" i="5"/>
  <c r="BN318" i="5" s="1"/>
  <c r="AV318" i="5"/>
  <c r="BO318" i="5" s="1"/>
  <c r="CK350" i="5"/>
  <c r="CJ350" i="5"/>
  <c r="CI350" i="5"/>
  <c r="CG350" i="5"/>
  <c r="CF350" i="5"/>
  <c r="CH350" i="5"/>
  <c r="CE350" i="5"/>
  <c r="CD350" i="5"/>
  <c r="CC350" i="5"/>
  <c r="BZ350" i="5"/>
  <c r="CA350" i="5"/>
  <c r="BW350" i="5"/>
  <c r="BY350" i="5"/>
  <c r="BX350" i="5"/>
  <c r="BV350" i="5"/>
  <c r="BU350" i="5"/>
  <c r="BS350" i="5"/>
  <c r="BT350" i="5"/>
  <c r="BR350" i="5"/>
  <c r="BQ350" i="5"/>
  <c r="BM350" i="5"/>
  <c r="BL350" i="5"/>
  <c r="BI350" i="5"/>
  <c r="BH350" i="5"/>
  <c r="BK350" i="5"/>
  <c r="BG350" i="5"/>
  <c r="BJ350" i="5"/>
  <c r="BF350" i="5"/>
  <c r="BE350" i="5"/>
  <c r="BD350" i="5"/>
  <c r="AZ350" i="5"/>
  <c r="BA350" i="5"/>
  <c r="BP350" i="5" s="1"/>
  <c r="AY350" i="5"/>
  <c r="AU350" i="5"/>
  <c r="BN350" i="5" s="1"/>
  <c r="AV350" i="5"/>
  <c r="BC350" i="5" s="1"/>
  <c r="CI382" i="5"/>
  <c r="CK382" i="5"/>
  <c r="CG382" i="5"/>
  <c r="CJ382" i="5"/>
  <c r="CH382" i="5"/>
  <c r="CF382" i="5"/>
  <c r="CE382" i="5"/>
  <c r="CC382" i="5"/>
  <c r="CD382" i="5"/>
  <c r="BZ382" i="5"/>
  <c r="CA382" i="5"/>
  <c r="BW382" i="5"/>
  <c r="BY382" i="5"/>
  <c r="BX382" i="5"/>
  <c r="BV382" i="5"/>
  <c r="BU382" i="5"/>
  <c r="BS382" i="5"/>
  <c r="BT382" i="5"/>
  <c r="BR382" i="5"/>
  <c r="BQ382" i="5"/>
  <c r="BM382" i="5"/>
  <c r="BL382" i="5"/>
  <c r="BI382" i="5"/>
  <c r="BH382" i="5"/>
  <c r="BK382" i="5"/>
  <c r="BG382" i="5"/>
  <c r="BJ382" i="5"/>
  <c r="BF382" i="5"/>
  <c r="BE382" i="5"/>
  <c r="AZ382" i="5"/>
  <c r="BD382" i="5"/>
  <c r="BA382" i="5"/>
  <c r="BP382" i="5" s="1"/>
  <c r="AY382" i="5"/>
  <c r="AU382" i="5"/>
  <c r="BN382" i="5" s="1"/>
  <c r="AV382" i="5"/>
  <c r="BO382" i="5" s="1"/>
  <c r="CI414" i="5"/>
  <c r="CK414" i="5"/>
  <c r="CF414" i="5"/>
  <c r="CD414" i="5"/>
  <c r="CC414" i="5"/>
  <c r="CE414" i="5"/>
  <c r="CA414" i="5"/>
  <c r="BW414" i="5"/>
  <c r="BY414" i="5"/>
  <c r="BV414" i="5"/>
  <c r="BS414" i="5"/>
  <c r="BU414" i="5"/>
  <c r="BT414" i="5"/>
  <c r="BR414" i="5"/>
  <c r="BQ414" i="5"/>
  <c r="BM414" i="5"/>
  <c r="BI414" i="5"/>
  <c r="BH414" i="5"/>
  <c r="BK414" i="5"/>
  <c r="BG414" i="5"/>
  <c r="BJ414" i="5"/>
  <c r="BF414" i="5"/>
  <c r="BE414" i="5"/>
  <c r="AZ414" i="5"/>
  <c r="BD414" i="5"/>
  <c r="BA414" i="5"/>
  <c r="BP414" i="5" s="1"/>
  <c r="AY414" i="5"/>
  <c r="AU414" i="5"/>
  <c r="BN414" i="5" s="1"/>
  <c r="AV414" i="5"/>
  <c r="BO414" i="5" s="1"/>
  <c r="CI446" i="5"/>
  <c r="CK446" i="5"/>
  <c r="CF446" i="5"/>
  <c r="CE446" i="5"/>
  <c r="CD446" i="5"/>
  <c r="CC446" i="5"/>
  <c r="CA446" i="5"/>
  <c r="BW446" i="5"/>
  <c r="BY446" i="5"/>
  <c r="BV446" i="5"/>
  <c r="BS446" i="5"/>
  <c r="BT446" i="5"/>
  <c r="BU446" i="5"/>
  <c r="BR446" i="5"/>
  <c r="BQ446" i="5"/>
  <c r="BM446" i="5"/>
  <c r="BI446" i="5"/>
  <c r="BH446" i="5"/>
  <c r="BK446" i="5"/>
  <c r="BG446" i="5"/>
  <c r="BJ446" i="5"/>
  <c r="BF446" i="5"/>
  <c r="BE446" i="5"/>
  <c r="AZ446" i="5"/>
  <c r="BD446" i="5"/>
  <c r="BA446" i="5"/>
  <c r="BP446" i="5" s="1"/>
  <c r="AY446" i="5"/>
  <c r="AU446" i="5"/>
  <c r="BN446" i="5" s="1"/>
  <c r="AV446" i="5"/>
  <c r="BO446" i="5" s="1"/>
  <c r="CK478" i="5"/>
  <c r="CI478" i="5"/>
  <c r="CG478" i="5"/>
  <c r="CJ478" i="5"/>
  <c r="CF478" i="5"/>
  <c r="CH478" i="5"/>
  <c r="CE478" i="5"/>
  <c r="CD478" i="5"/>
  <c r="BZ478" i="5"/>
  <c r="CA478" i="5"/>
  <c r="CC478" i="5"/>
  <c r="BW478" i="5"/>
  <c r="BX478" i="5"/>
  <c r="BY478" i="5"/>
  <c r="BV478" i="5"/>
  <c r="BS478" i="5"/>
  <c r="BT478" i="5"/>
  <c r="BU478" i="5"/>
  <c r="BR478" i="5"/>
  <c r="BQ478" i="5"/>
  <c r="BM478" i="5"/>
  <c r="BL478" i="5"/>
  <c r="BI478" i="5"/>
  <c r="BH478" i="5"/>
  <c r="BK478" i="5"/>
  <c r="BG478" i="5"/>
  <c r="BJ478" i="5"/>
  <c r="BF478" i="5"/>
  <c r="BE478" i="5"/>
  <c r="AZ478" i="5"/>
  <c r="BD478" i="5"/>
  <c r="BA478" i="5"/>
  <c r="BP478" i="5" s="1"/>
  <c r="AY478" i="5"/>
  <c r="AU478" i="5"/>
  <c r="BN478" i="5" s="1"/>
  <c r="AV478" i="5"/>
  <c r="BO478" i="5" s="1"/>
  <c r="CI510" i="5"/>
  <c r="CJ510" i="5"/>
  <c r="CK510" i="5"/>
  <c r="CH510" i="5"/>
  <c r="CG510" i="5"/>
  <c r="CE510" i="5"/>
  <c r="CC510" i="5"/>
  <c r="CD510" i="5"/>
  <c r="CF510" i="5"/>
  <c r="BZ510" i="5"/>
  <c r="CA510" i="5"/>
  <c r="BW510" i="5"/>
  <c r="BX510" i="5"/>
  <c r="BY510" i="5"/>
  <c r="BV510" i="5"/>
  <c r="BS510" i="5"/>
  <c r="BT510" i="5"/>
  <c r="BU510" i="5"/>
  <c r="BR510" i="5"/>
  <c r="BQ510" i="5"/>
  <c r="BM510" i="5"/>
  <c r="BL510" i="5"/>
  <c r="BI510" i="5"/>
  <c r="BH510" i="5"/>
  <c r="BK510" i="5"/>
  <c r="BG510" i="5"/>
  <c r="BJ510" i="5"/>
  <c r="BF510" i="5"/>
  <c r="BE510" i="5"/>
  <c r="AZ510" i="5"/>
  <c r="BD510" i="5"/>
  <c r="BA510" i="5"/>
  <c r="BP510" i="5" s="1"/>
  <c r="AY510" i="5"/>
  <c r="AU510" i="5"/>
  <c r="BB510" i="5" s="1"/>
  <c r="AV510" i="5"/>
  <c r="BO510" i="5" s="1"/>
  <c r="CI542" i="5"/>
  <c r="CK542" i="5"/>
  <c r="CJ542" i="5"/>
  <c r="CG542" i="5"/>
  <c r="CH542" i="5"/>
  <c r="CF542" i="5"/>
  <c r="CE542" i="5"/>
  <c r="CD542" i="5"/>
  <c r="CA542" i="5"/>
  <c r="CC542" i="5"/>
  <c r="BX542" i="5"/>
  <c r="BZ542" i="5"/>
  <c r="BY542" i="5"/>
  <c r="BV542" i="5"/>
  <c r="BW542" i="5"/>
  <c r="BS542" i="5"/>
  <c r="BT542" i="5"/>
  <c r="BU542" i="5"/>
  <c r="BR542" i="5"/>
  <c r="BQ542" i="5"/>
  <c r="BM542" i="5"/>
  <c r="BL542" i="5"/>
  <c r="BI542" i="5"/>
  <c r="BH542" i="5"/>
  <c r="BK542" i="5"/>
  <c r="BJ542" i="5"/>
  <c r="BG542" i="5"/>
  <c r="BF542" i="5"/>
  <c r="BE542" i="5"/>
  <c r="AZ542" i="5"/>
  <c r="BD542" i="5"/>
  <c r="BA542" i="5"/>
  <c r="BP542" i="5" s="1"/>
  <c r="AY542" i="5"/>
  <c r="AU542" i="5"/>
  <c r="BN542" i="5" s="1"/>
  <c r="AV542" i="5"/>
  <c r="BO542" i="5" s="1"/>
  <c r="CJ574" i="5"/>
  <c r="CI574" i="5"/>
  <c r="CH574" i="5"/>
  <c r="CK574" i="5"/>
  <c r="CG574" i="5"/>
  <c r="CF574" i="5"/>
  <c r="CE574" i="5"/>
  <c r="CD574" i="5"/>
  <c r="CC574" i="5"/>
  <c r="CA574" i="5"/>
  <c r="BZ574" i="5"/>
  <c r="BY574" i="5"/>
  <c r="BX574" i="5"/>
  <c r="BV574" i="5"/>
  <c r="BW574" i="5"/>
  <c r="BS574" i="5"/>
  <c r="BT574" i="5"/>
  <c r="BU574" i="5"/>
  <c r="BR574" i="5"/>
  <c r="BQ574" i="5"/>
  <c r="BM574" i="5"/>
  <c r="BL574" i="5"/>
  <c r="BI574" i="5"/>
  <c r="BH574" i="5"/>
  <c r="BK574" i="5"/>
  <c r="BJ574" i="5"/>
  <c r="BG574" i="5"/>
  <c r="BF574" i="5"/>
  <c r="BE574" i="5"/>
  <c r="AZ574" i="5"/>
  <c r="BD574" i="5"/>
  <c r="BA574" i="5"/>
  <c r="BP574" i="5" s="1"/>
  <c r="AY574" i="5"/>
  <c r="AU574" i="5"/>
  <c r="AV574" i="5"/>
  <c r="BO574" i="5" s="1"/>
  <c r="CK606" i="5"/>
  <c r="CJ606" i="5"/>
  <c r="CI606" i="5"/>
  <c r="CH606" i="5"/>
  <c r="CF606" i="5"/>
  <c r="CG606" i="5"/>
  <c r="CE606" i="5"/>
  <c r="CD606" i="5"/>
  <c r="CA606" i="5"/>
  <c r="CC606" i="5"/>
  <c r="BZ606" i="5"/>
  <c r="BY606" i="5"/>
  <c r="BX606" i="5"/>
  <c r="BV606" i="5"/>
  <c r="BW606" i="5"/>
  <c r="BS606" i="5"/>
  <c r="BT606" i="5"/>
  <c r="BU606" i="5"/>
  <c r="BR606" i="5"/>
  <c r="BQ606" i="5"/>
  <c r="BM606" i="5"/>
  <c r="BL606" i="5"/>
  <c r="BI606" i="5"/>
  <c r="BH606" i="5"/>
  <c r="BK606" i="5"/>
  <c r="BJ606" i="5"/>
  <c r="BG606" i="5"/>
  <c r="BF606" i="5"/>
  <c r="BE606" i="5"/>
  <c r="AZ606" i="5"/>
  <c r="BD606" i="5"/>
  <c r="BA606" i="5"/>
  <c r="BP606" i="5" s="1"/>
  <c r="AY606" i="5"/>
  <c r="AU606" i="5"/>
  <c r="BB606" i="5" s="1"/>
  <c r="AV606" i="5"/>
  <c r="BC606" i="5" s="1"/>
  <c r="CI638" i="5"/>
  <c r="CJ638" i="5"/>
  <c r="CH638" i="5"/>
  <c r="CG638" i="5"/>
  <c r="CK638" i="5"/>
  <c r="CE638" i="5"/>
  <c r="CF638" i="5"/>
  <c r="CD638" i="5"/>
  <c r="CC638" i="5"/>
  <c r="CA638" i="5"/>
  <c r="BX638" i="5"/>
  <c r="BZ638" i="5"/>
  <c r="BY638" i="5"/>
  <c r="BV638" i="5"/>
  <c r="BW638" i="5"/>
  <c r="BS638" i="5"/>
  <c r="BT638" i="5"/>
  <c r="BU638" i="5"/>
  <c r="BR638" i="5"/>
  <c r="BQ638" i="5"/>
  <c r="BM638" i="5"/>
  <c r="BL638" i="5"/>
  <c r="BI638" i="5"/>
  <c r="BH638" i="5"/>
  <c r="BK638" i="5"/>
  <c r="BJ638" i="5"/>
  <c r="BG638" i="5"/>
  <c r="BF638" i="5"/>
  <c r="BE638" i="5"/>
  <c r="AZ638" i="5"/>
  <c r="BD638" i="5"/>
  <c r="BA638" i="5"/>
  <c r="BP638" i="5" s="1"/>
  <c r="AU638" i="5"/>
  <c r="BN638" i="5" s="1"/>
  <c r="AY638" i="5"/>
  <c r="AV638" i="5"/>
  <c r="BC638" i="5" s="1"/>
  <c r="CJ662" i="5"/>
  <c r="CK662" i="5"/>
  <c r="CG662" i="5"/>
  <c r="CH662" i="5"/>
  <c r="CF662" i="5"/>
  <c r="CI662" i="5"/>
  <c r="CD662" i="5"/>
  <c r="CE662" i="5"/>
  <c r="CC662" i="5"/>
  <c r="BY662" i="5"/>
  <c r="BX662" i="5"/>
  <c r="CA662" i="5"/>
  <c r="BZ662" i="5"/>
  <c r="BV662" i="5"/>
  <c r="BW662" i="5"/>
  <c r="BS662" i="5"/>
  <c r="BU662" i="5"/>
  <c r="BT662" i="5"/>
  <c r="BR662" i="5"/>
  <c r="BQ662" i="5"/>
  <c r="BM662" i="5"/>
  <c r="BL662" i="5"/>
  <c r="BK662" i="5"/>
  <c r="BJ662" i="5"/>
  <c r="BI662" i="5"/>
  <c r="BH662" i="5"/>
  <c r="BG662" i="5"/>
  <c r="BF662" i="5"/>
  <c r="BE662" i="5"/>
  <c r="AZ662" i="5"/>
  <c r="BD662" i="5"/>
  <c r="BA662" i="5"/>
  <c r="BP662" i="5" s="1"/>
  <c r="AU662" i="5"/>
  <c r="AY662" i="5"/>
  <c r="AV662" i="5"/>
  <c r="BO662" i="5" s="1"/>
  <c r="CK694" i="5"/>
  <c r="CI694" i="5"/>
  <c r="CD694" i="5"/>
  <c r="CF694" i="5"/>
  <c r="CE694" i="5"/>
  <c r="CC694" i="5"/>
  <c r="BY694" i="5"/>
  <c r="CA694" i="5"/>
  <c r="BV694" i="5"/>
  <c r="BW694" i="5"/>
  <c r="BS694" i="5"/>
  <c r="BU694" i="5"/>
  <c r="BT694" i="5"/>
  <c r="BR694" i="5"/>
  <c r="BQ694" i="5"/>
  <c r="BM694" i="5"/>
  <c r="BJ694" i="5"/>
  <c r="BI694" i="5"/>
  <c r="BH694" i="5"/>
  <c r="BK694" i="5"/>
  <c r="BG694" i="5"/>
  <c r="BF694" i="5"/>
  <c r="BE694" i="5"/>
  <c r="AZ694" i="5"/>
  <c r="BD694" i="5"/>
  <c r="BA694" i="5"/>
  <c r="BP694" i="5" s="1"/>
  <c r="AU694" i="5"/>
  <c r="BN694" i="5" s="1"/>
  <c r="AY694" i="5"/>
  <c r="AV694" i="5"/>
  <c r="BO694" i="5" s="1"/>
  <c r="BL44" i="5"/>
  <c r="BL172" i="5"/>
  <c r="BB236" i="5"/>
  <c r="BX396" i="5"/>
  <c r="CK503" i="5"/>
  <c r="CG503" i="5"/>
  <c r="CJ503" i="5"/>
  <c r="CI503" i="5"/>
  <c r="CH503" i="5"/>
  <c r="CD503" i="5"/>
  <c r="CF503" i="5"/>
  <c r="CE503" i="5"/>
  <c r="CC503" i="5"/>
  <c r="CA503" i="5"/>
  <c r="BY503" i="5"/>
  <c r="BX503" i="5"/>
  <c r="BZ503" i="5"/>
  <c r="BW503" i="5"/>
  <c r="BV503" i="5"/>
  <c r="BT503" i="5"/>
  <c r="BS503" i="5"/>
  <c r="BU503" i="5"/>
  <c r="BQ503" i="5"/>
  <c r="BR503" i="5"/>
  <c r="BM503" i="5"/>
  <c r="BL503" i="5"/>
  <c r="BJ503" i="5"/>
  <c r="BK503" i="5"/>
  <c r="BI503" i="5"/>
  <c r="BH503" i="5"/>
  <c r="BG503" i="5"/>
  <c r="BF503" i="5"/>
  <c r="BE503" i="5"/>
  <c r="BD503" i="5"/>
  <c r="BA503" i="5"/>
  <c r="BP503" i="5" s="1"/>
  <c r="AZ503" i="5"/>
  <c r="AY503" i="5"/>
  <c r="AU503" i="5"/>
  <c r="BB503" i="5" s="1"/>
  <c r="AV503" i="5"/>
  <c r="BO503" i="5" s="1"/>
  <c r="BB588" i="5"/>
  <c r="BL20" i="5"/>
  <c r="CK195" i="5"/>
  <c r="CF195" i="5"/>
  <c r="CI195" i="5"/>
  <c r="CD195" i="5"/>
  <c r="CE195" i="5"/>
  <c r="CC195" i="5"/>
  <c r="CA195" i="5"/>
  <c r="BY195" i="5"/>
  <c r="BV195" i="5"/>
  <c r="BW195" i="5"/>
  <c r="BU195" i="5"/>
  <c r="BT195" i="5"/>
  <c r="BS195" i="5"/>
  <c r="BQ195" i="5"/>
  <c r="BR195" i="5"/>
  <c r="BJ195" i="5"/>
  <c r="BM195" i="5"/>
  <c r="BH195" i="5"/>
  <c r="BK195" i="5"/>
  <c r="BI195" i="5"/>
  <c r="BG195" i="5"/>
  <c r="BF195" i="5"/>
  <c r="BE195" i="5"/>
  <c r="BD195" i="5"/>
  <c r="BA195" i="5"/>
  <c r="BP195" i="5" s="1"/>
  <c r="AZ195" i="5"/>
  <c r="AV195" i="5"/>
  <c r="BO195" i="5" s="1"/>
  <c r="AY195" i="5"/>
  <c r="AU195" i="5"/>
  <c r="BB195" i="5" s="1"/>
  <c r="CK387" i="5"/>
  <c r="CI387" i="5"/>
  <c r="CF387" i="5"/>
  <c r="CE387" i="5"/>
  <c r="CD387" i="5"/>
  <c r="CA387" i="5"/>
  <c r="CC387" i="5"/>
  <c r="BY387" i="5"/>
  <c r="BV387" i="5"/>
  <c r="BW387" i="5"/>
  <c r="BU387" i="5"/>
  <c r="BT387" i="5"/>
  <c r="BS387" i="5"/>
  <c r="BQ387" i="5"/>
  <c r="BR387" i="5"/>
  <c r="BJ387" i="5"/>
  <c r="BM387" i="5"/>
  <c r="BH387" i="5"/>
  <c r="BK387" i="5"/>
  <c r="BI387" i="5"/>
  <c r="BF387" i="5"/>
  <c r="BE387" i="5"/>
  <c r="BG387" i="5"/>
  <c r="BD387" i="5"/>
  <c r="BA387" i="5"/>
  <c r="BP387" i="5" s="1"/>
  <c r="AZ387" i="5"/>
  <c r="AV387" i="5"/>
  <c r="BO387" i="5" s="1"/>
  <c r="AY387" i="5"/>
  <c r="AU387" i="5"/>
  <c r="CK643" i="5"/>
  <c r="CJ643" i="5"/>
  <c r="CI643" i="5"/>
  <c r="CH643" i="5"/>
  <c r="CG643" i="5"/>
  <c r="CF643" i="5"/>
  <c r="CE643" i="5"/>
  <c r="CA643" i="5"/>
  <c r="CD643" i="5"/>
  <c r="CC643" i="5"/>
  <c r="BY643" i="5"/>
  <c r="BZ643" i="5"/>
  <c r="BX643" i="5"/>
  <c r="BW643" i="5"/>
  <c r="BV643" i="5"/>
  <c r="BT643" i="5"/>
  <c r="BU643" i="5"/>
  <c r="BS643" i="5"/>
  <c r="BQ643" i="5"/>
  <c r="BR643" i="5"/>
  <c r="BL643" i="5"/>
  <c r="BJ643" i="5"/>
  <c r="BM643" i="5"/>
  <c r="BH643" i="5"/>
  <c r="BK643" i="5"/>
  <c r="BI643" i="5"/>
  <c r="BG643" i="5"/>
  <c r="BF643" i="5"/>
  <c r="BE643" i="5"/>
  <c r="BD643" i="5"/>
  <c r="BA643" i="5"/>
  <c r="BP643" i="5" s="1"/>
  <c r="AZ643" i="5"/>
  <c r="AY643" i="5"/>
  <c r="AV643" i="5"/>
  <c r="BC643" i="5" s="1"/>
  <c r="AU643" i="5"/>
  <c r="BN643" i="5" s="1"/>
  <c r="BX696" i="5"/>
  <c r="BL16" i="5"/>
  <c r="CB24" i="5"/>
  <c r="BX32" i="5"/>
  <c r="CB64" i="5"/>
  <c r="BL184" i="5"/>
  <c r="BX224" i="5"/>
  <c r="BX232" i="5"/>
  <c r="BL248" i="5"/>
  <c r="BL312" i="5"/>
  <c r="CB400" i="5"/>
  <c r="BX416" i="5"/>
  <c r="BX592" i="5"/>
  <c r="CB640" i="5"/>
  <c r="CB656" i="5"/>
  <c r="BL17" i="5"/>
  <c r="CB25" i="5"/>
  <c r="CB49" i="5"/>
  <c r="BL73" i="5"/>
  <c r="BL81" i="5"/>
  <c r="BL129" i="5"/>
  <c r="BL153" i="5"/>
  <c r="BL169" i="5"/>
  <c r="BL177" i="5"/>
  <c r="CB249" i="5"/>
  <c r="BL425" i="5"/>
  <c r="BL433" i="5"/>
  <c r="CB449" i="5"/>
  <c r="CB481" i="5"/>
  <c r="CB513" i="5"/>
  <c r="CB545" i="5"/>
  <c r="BL609" i="5"/>
  <c r="BX61" i="5"/>
  <c r="BX77" i="5"/>
  <c r="BO173" i="5"/>
  <c r="BX189" i="5"/>
  <c r="BO253" i="5"/>
  <c r="BX285" i="5"/>
  <c r="BO341" i="5"/>
  <c r="BX357" i="5"/>
  <c r="BO461" i="5"/>
  <c r="BX597" i="5"/>
  <c r="BC613" i="5"/>
  <c r="BC653" i="5"/>
  <c r="BX661" i="5"/>
  <c r="BN685" i="5"/>
  <c r="BL124" i="5"/>
  <c r="BL260" i="5"/>
  <c r="CK271" i="5"/>
  <c r="CH271" i="5"/>
  <c r="CG271" i="5"/>
  <c r="CJ271" i="5"/>
  <c r="CI271" i="5"/>
  <c r="CF271" i="5"/>
  <c r="CC271" i="5"/>
  <c r="CE271" i="5"/>
  <c r="CD271" i="5"/>
  <c r="CA271" i="5"/>
  <c r="BZ271" i="5"/>
  <c r="BX271" i="5"/>
  <c r="BY271" i="5"/>
  <c r="BU271" i="5"/>
  <c r="BT271" i="5"/>
  <c r="BW271" i="5"/>
  <c r="BV271" i="5"/>
  <c r="BS271" i="5"/>
  <c r="BQ271" i="5"/>
  <c r="BR271" i="5"/>
  <c r="BL271" i="5"/>
  <c r="BM271" i="5"/>
  <c r="BJ271" i="5"/>
  <c r="BI271" i="5"/>
  <c r="BH271" i="5"/>
  <c r="BK271" i="5"/>
  <c r="BF271" i="5"/>
  <c r="BG271" i="5"/>
  <c r="BE271" i="5"/>
  <c r="BD271" i="5"/>
  <c r="BA271" i="5"/>
  <c r="BP271" i="5" s="1"/>
  <c r="AZ271" i="5"/>
  <c r="AY271" i="5"/>
  <c r="AU271" i="5"/>
  <c r="BB271" i="5" s="1"/>
  <c r="AV271" i="5"/>
  <c r="BO271" i="5" s="1"/>
  <c r="CK399" i="5"/>
  <c r="CI399" i="5"/>
  <c r="CF399" i="5"/>
  <c r="CE399" i="5"/>
  <c r="CD399" i="5"/>
  <c r="CC399" i="5"/>
  <c r="CA399" i="5"/>
  <c r="BY399" i="5"/>
  <c r="BU399" i="5"/>
  <c r="BT399" i="5"/>
  <c r="BW399" i="5"/>
  <c r="BV399" i="5"/>
  <c r="BS399" i="5"/>
  <c r="BQ399" i="5"/>
  <c r="BR399" i="5"/>
  <c r="BM399" i="5"/>
  <c r="BJ399" i="5"/>
  <c r="BI399" i="5"/>
  <c r="BH399" i="5"/>
  <c r="BK399" i="5"/>
  <c r="BG399" i="5"/>
  <c r="BF399" i="5"/>
  <c r="BE399" i="5"/>
  <c r="BD399" i="5"/>
  <c r="BA399" i="5"/>
  <c r="BP399" i="5" s="1"/>
  <c r="AZ399" i="5"/>
  <c r="AY399" i="5"/>
  <c r="AU399" i="5"/>
  <c r="BB399" i="5" s="1"/>
  <c r="AV399" i="5"/>
  <c r="BO399" i="5" s="1"/>
  <c r="CK87" i="5"/>
  <c r="CI87" i="5"/>
  <c r="CF87" i="5"/>
  <c r="CE87" i="5"/>
  <c r="CC87" i="5"/>
  <c r="CD87" i="5"/>
  <c r="CA87" i="5"/>
  <c r="BY87" i="5"/>
  <c r="BW87" i="5"/>
  <c r="BU87" i="5"/>
  <c r="BV87" i="5"/>
  <c r="BT87" i="5"/>
  <c r="BS87" i="5"/>
  <c r="BR87" i="5"/>
  <c r="BQ87" i="5"/>
  <c r="BM87" i="5"/>
  <c r="BK87" i="5"/>
  <c r="BJ87" i="5"/>
  <c r="BI87" i="5"/>
  <c r="BH87" i="5"/>
  <c r="BG87" i="5"/>
  <c r="BF87" i="5"/>
  <c r="BE87" i="5"/>
  <c r="BD87" i="5"/>
  <c r="BA87" i="5"/>
  <c r="BP87" i="5" s="1"/>
  <c r="AZ87" i="5"/>
  <c r="AY87" i="5"/>
  <c r="AU87" i="5"/>
  <c r="BB87" i="5" s="1"/>
  <c r="AV87" i="5"/>
  <c r="BC87" i="5" s="1"/>
  <c r="CI443" i="5"/>
  <c r="CK443" i="5"/>
  <c r="CD443" i="5"/>
  <c r="CF443" i="5"/>
  <c r="CA443" i="5"/>
  <c r="CE443" i="5"/>
  <c r="CC443" i="5"/>
  <c r="BY443" i="5"/>
  <c r="BW443" i="5"/>
  <c r="BV443" i="5"/>
  <c r="BT443" i="5"/>
  <c r="BU443" i="5"/>
  <c r="BS443" i="5"/>
  <c r="BQ443" i="5"/>
  <c r="BR443" i="5"/>
  <c r="BJ443" i="5"/>
  <c r="BM443" i="5"/>
  <c r="BH443" i="5"/>
  <c r="BK443" i="5"/>
  <c r="BI443" i="5"/>
  <c r="BF443" i="5"/>
  <c r="BE443" i="5"/>
  <c r="BD443" i="5"/>
  <c r="BG443" i="5"/>
  <c r="BA443" i="5"/>
  <c r="BP443" i="5" s="1"/>
  <c r="AZ443" i="5"/>
  <c r="AV443" i="5"/>
  <c r="AU443" i="5"/>
  <c r="BN443" i="5" s="1"/>
  <c r="AY443" i="5"/>
  <c r="CK667" i="5"/>
  <c r="CJ667" i="5"/>
  <c r="CH667" i="5"/>
  <c r="CG667" i="5"/>
  <c r="CF667" i="5"/>
  <c r="CE667" i="5"/>
  <c r="CI667" i="5"/>
  <c r="CD667" i="5"/>
  <c r="CA667" i="5"/>
  <c r="CC667" i="5"/>
  <c r="BZ667" i="5"/>
  <c r="BY667" i="5"/>
  <c r="BX667" i="5"/>
  <c r="BW667" i="5"/>
  <c r="BV667" i="5"/>
  <c r="BT667" i="5"/>
  <c r="BU667" i="5"/>
  <c r="BS667" i="5"/>
  <c r="BQ667" i="5"/>
  <c r="BR667" i="5"/>
  <c r="BJ667" i="5"/>
  <c r="BM667" i="5"/>
  <c r="BL667" i="5"/>
  <c r="BH667" i="5"/>
  <c r="BK667" i="5"/>
  <c r="BI667" i="5"/>
  <c r="BG667" i="5"/>
  <c r="BF667" i="5"/>
  <c r="BE667" i="5"/>
  <c r="BD667" i="5"/>
  <c r="BA667" i="5"/>
  <c r="BP667" i="5" s="1"/>
  <c r="AZ667" i="5"/>
  <c r="AY667" i="5"/>
  <c r="AV667" i="5"/>
  <c r="AU667" i="5"/>
  <c r="BN667" i="5" s="1"/>
  <c r="CK58" i="5"/>
  <c r="CI58" i="5"/>
  <c r="CF58" i="5"/>
  <c r="CE58" i="5"/>
  <c r="CD58" i="5"/>
  <c r="CC58" i="5"/>
  <c r="CA58" i="5"/>
  <c r="BY58" i="5"/>
  <c r="BW58" i="5"/>
  <c r="BV58" i="5"/>
  <c r="BU58" i="5"/>
  <c r="BS58" i="5"/>
  <c r="BT58" i="5"/>
  <c r="BR58" i="5"/>
  <c r="BQ58" i="5"/>
  <c r="BK58" i="5"/>
  <c r="BM58" i="5"/>
  <c r="BG58" i="5"/>
  <c r="BJ58" i="5"/>
  <c r="BI58" i="5"/>
  <c r="BH58" i="5"/>
  <c r="BF58" i="5"/>
  <c r="BE58" i="5"/>
  <c r="BD58" i="5"/>
  <c r="BA58" i="5"/>
  <c r="BP58" i="5" s="1"/>
  <c r="AZ58" i="5"/>
  <c r="AY58" i="5"/>
  <c r="AV58" i="5"/>
  <c r="BO58" i="5" s="1"/>
  <c r="AU58" i="5"/>
  <c r="BN58" i="5" s="1"/>
  <c r="CI90" i="5"/>
  <c r="CK90" i="5"/>
  <c r="CF90" i="5"/>
  <c r="CE90" i="5"/>
  <c r="CD90" i="5"/>
  <c r="CC90" i="5"/>
  <c r="CA90" i="5"/>
  <c r="BY90" i="5"/>
  <c r="BW90" i="5"/>
  <c r="BV90" i="5"/>
  <c r="BU90" i="5"/>
  <c r="BS90" i="5"/>
  <c r="BT90" i="5"/>
  <c r="BR90" i="5"/>
  <c r="BQ90" i="5"/>
  <c r="BK90" i="5"/>
  <c r="BM90" i="5"/>
  <c r="BG90" i="5"/>
  <c r="BJ90" i="5"/>
  <c r="BI90" i="5"/>
  <c r="BH90" i="5"/>
  <c r="BF90" i="5"/>
  <c r="BE90" i="5"/>
  <c r="BD90" i="5"/>
  <c r="BA90" i="5"/>
  <c r="AZ90" i="5"/>
  <c r="AY90" i="5"/>
  <c r="AV90" i="5"/>
  <c r="AU90" i="5"/>
  <c r="BB90" i="5" s="1"/>
  <c r="CI122" i="5"/>
  <c r="CK122" i="5"/>
  <c r="CF122" i="5"/>
  <c r="CE122" i="5"/>
  <c r="CD122" i="5"/>
  <c r="CC122" i="5"/>
  <c r="CA122" i="5"/>
  <c r="BY122" i="5"/>
  <c r="BW122" i="5"/>
  <c r="BV122" i="5"/>
  <c r="BU122" i="5"/>
  <c r="BS122" i="5"/>
  <c r="BT122" i="5"/>
  <c r="BR122" i="5"/>
  <c r="BQ122" i="5"/>
  <c r="BK122" i="5"/>
  <c r="BM122" i="5"/>
  <c r="BG122" i="5"/>
  <c r="BJ122" i="5"/>
  <c r="BI122" i="5"/>
  <c r="BH122" i="5"/>
  <c r="BF122" i="5"/>
  <c r="BE122" i="5"/>
  <c r="BD122" i="5"/>
  <c r="BA122" i="5"/>
  <c r="AZ122" i="5"/>
  <c r="AV122" i="5"/>
  <c r="AU122" i="5"/>
  <c r="AY122" i="5"/>
  <c r="CJ154" i="5"/>
  <c r="CH154" i="5"/>
  <c r="CK154" i="5"/>
  <c r="CI154" i="5"/>
  <c r="CF154" i="5"/>
  <c r="CD154" i="5"/>
  <c r="CG154" i="5"/>
  <c r="CC154" i="5"/>
  <c r="BZ154" i="5"/>
  <c r="CE154" i="5"/>
  <c r="CA154" i="5"/>
  <c r="BY154" i="5"/>
  <c r="BX154" i="5"/>
  <c r="BW154" i="5"/>
  <c r="BV154" i="5"/>
  <c r="BU154" i="5"/>
  <c r="BS154" i="5"/>
  <c r="BT154" i="5"/>
  <c r="BR154" i="5"/>
  <c r="BQ154" i="5"/>
  <c r="BL154" i="5"/>
  <c r="BM154" i="5"/>
  <c r="BG154" i="5"/>
  <c r="BK154" i="5"/>
  <c r="BJ154" i="5"/>
  <c r="BI154" i="5"/>
  <c r="BH154" i="5"/>
  <c r="BF154" i="5"/>
  <c r="BE154" i="5"/>
  <c r="BD154" i="5"/>
  <c r="BA154" i="5"/>
  <c r="BP154" i="5" s="1"/>
  <c r="AZ154" i="5"/>
  <c r="AV154" i="5"/>
  <c r="BC154" i="5" s="1"/>
  <c r="AU154" i="5"/>
  <c r="BN154" i="5" s="1"/>
  <c r="AY154" i="5"/>
  <c r="CK186" i="5"/>
  <c r="CF186" i="5"/>
  <c r="CI186" i="5"/>
  <c r="CE186" i="5"/>
  <c r="CD186" i="5"/>
  <c r="CC186" i="5"/>
  <c r="CA186" i="5"/>
  <c r="BY186" i="5"/>
  <c r="BW186" i="5"/>
  <c r="BV186" i="5"/>
  <c r="BU186" i="5"/>
  <c r="BS186" i="5"/>
  <c r="BT186" i="5"/>
  <c r="BQ186" i="5"/>
  <c r="BR186" i="5"/>
  <c r="BM186" i="5"/>
  <c r="BG186" i="5"/>
  <c r="BK186" i="5"/>
  <c r="BJ186" i="5"/>
  <c r="BI186" i="5"/>
  <c r="BH186" i="5"/>
  <c r="BF186" i="5"/>
  <c r="BE186" i="5"/>
  <c r="BD186" i="5"/>
  <c r="BA186" i="5"/>
  <c r="BP186" i="5" s="1"/>
  <c r="AZ186" i="5"/>
  <c r="AV186" i="5"/>
  <c r="BO186" i="5" s="1"/>
  <c r="AU186" i="5"/>
  <c r="BB186" i="5" s="1"/>
  <c r="AY186" i="5"/>
  <c r="CJ218" i="5"/>
  <c r="CI218" i="5"/>
  <c r="CH218" i="5"/>
  <c r="CF218" i="5"/>
  <c r="CK218" i="5"/>
  <c r="CG218" i="5"/>
  <c r="CE218" i="5"/>
  <c r="BZ218" i="5"/>
  <c r="CD218" i="5"/>
  <c r="CC218" i="5"/>
  <c r="CA218" i="5"/>
  <c r="BX218" i="5"/>
  <c r="BY218" i="5"/>
  <c r="BW218" i="5"/>
  <c r="BV218" i="5"/>
  <c r="BU218" i="5"/>
  <c r="BS218" i="5"/>
  <c r="BT218" i="5"/>
  <c r="BQ218" i="5"/>
  <c r="BR218" i="5"/>
  <c r="BL218" i="5"/>
  <c r="BM218" i="5"/>
  <c r="BG218" i="5"/>
  <c r="BK218" i="5"/>
  <c r="BJ218" i="5"/>
  <c r="BI218" i="5"/>
  <c r="BH218" i="5"/>
  <c r="BF218" i="5"/>
  <c r="BE218" i="5"/>
  <c r="BD218" i="5"/>
  <c r="BA218" i="5"/>
  <c r="AZ218" i="5"/>
  <c r="AV218" i="5"/>
  <c r="AU218" i="5"/>
  <c r="AY218" i="5"/>
  <c r="CJ250" i="5"/>
  <c r="CK250" i="5"/>
  <c r="CH250" i="5"/>
  <c r="CF250" i="5"/>
  <c r="CI250" i="5"/>
  <c r="CG250" i="5"/>
  <c r="CD250" i="5"/>
  <c r="CC250" i="5"/>
  <c r="CE250" i="5"/>
  <c r="BZ250" i="5"/>
  <c r="CA250" i="5"/>
  <c r="BY250" i="5"/>
  <c r="BX250" i="5"/>
  <c r="BW250" i="5"/>
  <c r="BV250" i="5"/>
  <c r="BU250" i="5"/>
  <c r="BS250" i="5"/>
  <c r="BT250" i="5"/>
  <c r="BQ250" i="5"/>
  <c r="BR250" i="5"/>
  <c r="BL250" i="5"/>
  <c r="BM250" i="5"/>
  <c r="BG250" i="5"/>
  <c r="BK250" i="5"/>
  <c r="BJ250" i="5"/>
  <c r="BI250" i="5"/>
  <c r="BH250" i="5"/>
  <c r="BF250" i="5"/>
  <c r="BE250" i="5"/>
  <c r="BD250" i="5"/>
  <c r="BA250" i="5"/>
  <c r="BP250" i="5" s="1"/>
  <c r="AZ250" i="5"/>
  <c r="AV250" i="5"/>
  <c r="BO250" i="5" s="1"/>
  <c r="AU250" i="5"/>
  <c r="BB250" i="5" s="1"/>
  <c r="AY250" i="5"/>
  <c r="BX140" i="5"/>
  <c r="CH199" i="5"/>
  <c r="CK199" i="5"/>
  <c r="CJ199" i="5"/>
  <c r="CG199" i="5"/>
  <c r="CF199" i="5"/>
  <c r="CI199" i="5"/>
  <c r="CE199" i="5"/>
  <c r="CC199" i="5"/>
  <c r="CD199" i="5"/>
  <c r="CA199" i="5"/>
  <c r="BX199" i="5"/>
  <c r="BZ199" i="5"/>
  <c r="BY199" i="5"/>
  <c r="BW199" i="5"/>
  <c r="BU199" i="5"/>
  <c r="BT199" i="5"/>
  <c r="BV199" i="5"/>
  <c r="BQ199" i="5"/>
  <c r="BS199" i="5"/>
  <c r="BR199" i="5"/>
  <c r="BL199" i="5"/>
  <c r="BM199" i="5"/>
  <c r="BJ199" i="5"/>
  <c r="BK199" i="5"/>
  <c r="BI199" i="5"/>
  <c r="BH199" i="5"/>
  <c r="BG199" i="5"/>
  <c r="BF199" i="5"/>
  <c r="BE199" i="5"/>
  <c r="BD199" i="5"/>
  <c r="BA199" i="5"/>
  <c r="BP199" i="5" s="1"/>
  <c r="AZ199" i="5"/>
  <c r="AY199" i="5"/>
  <c r="AU199" i="5"/>
  <c r="BN199" i="5" s="1"/>
  <c r="AV199" i="5"/>
  <c r="BO199" i="5" s="1"/>
  <c r="BO252" i="5"/>
  <c r="CB284" i="5"/>
  <c r="CJ327" i="5"/>
  <c r="CK327" i="5"/>
  <c r="CI327" i="5"/>
  <c r="CG327" i="5"/>
  <c r="CF327" i="5"/>
  <c r="CH327" i="5"/>
  <c r="CD327" i="5"/>
  <c r="CC327" i="5"/>
  <c r="CE327" i="5"/>
  <c r="CA327" i="5"/>
  <c r="BX327" i="5"/>
  <c r="BZ327" i="5"/>
  <c r="BY327" i="5"/>
  <c r="BW327" i="5"/>
  <c r="BU327" i="5"/>
  <c r="BT327" i="5"/>
  <c r="BV327" i="5"/>
  <c r="BQ327" i="5"/>
  <c r="BS327" i="5"/>
  <c r="BR327" i="5"/>
  <c r="BL327" i="5"/>
  <c r="BM327" i="5"/>
  <c r="BJ327" i="5"/>
  <c r="BK327" i="5"/>
  <c r="BI327" i="5"/>
  <c r="BH327" i="5"/>
  <c r="BG327" i="5"/>
  <c r="BF327" i="5"/>
  <c r="BE327" i="5"/>
  <c r="BD327" i="5"/>
  <c r="BA327" i="5"/>
  <c r="BP327" i="5" s="1"/>
  <c r="AZ327" i="5"/>
  <c r="AY327" i="5"/>
  <c r="AU327" i="5"/>
  <c r="BB327" i="5" s="1"/>
  <c r="AV327" i="5"/>
  <c r="BO327" i="5" s="1"/>
  <c r="BO540" i="5"/>
  <c r="CK615" i="5"/>
  <c r="CJ615" i="5"/>
  <c r="CI615" i="5"/>
  <c r="CG615" i="5"/>
  <c r="CH615" i="5"/>
  <c r="CF615" i="5"/>
  <c r="CE615" i="5"/>
  <c r="CC615" i="5"/>
  <c r="CD615" i="5"/>
  <c r="CA615" i="5"/>
  <c r="BZ615" i="5"/>
  <c r="BY615" i="5"/>
  <c r="BX615" i="5"/>
  <c r="BT615" i="5"/>
  <c r="BW615" i="5"/>
  <c r="BV615" i="5"/>
  <c r="BS615" i="5"/>
  <c r="BU615" i="5"/>
  <c r="BQ615" i="5"/>
  <c r="BR615" i="5"/>
  <c r="BL615" i="5"/>
  <c r="BM615" i="5"/>
  <c r="BJ615" i="5"/>
  <c r="BK615" i="5"/>
  <c r="BI615" i="5"/>
  <c r="BH615" i="5"/>
  <c r="BG615" i="5"/>
  <c r="BF615" i="5"/>
  <c r="BE615" i="5"/>
  <c r="BD615" i="5"/>
  <c r="BA615" i="5"/>
  <c r="BP615" i="5" s="1"/>
  <c r="AZ615" i="5"/>
  <c r="AY615" i="5"/>
  <c r="AU615" i="5"/>
  <c r="BN615" i="5" s="1"/>
  <c r="AV615" i="5"/>
  <c r="BO615" i="5" s="1"/>
  <c r="BL52" i="5"/>
  <c r="CJ275" i="5"/>
  <c r="CK275" i="5"/>
  <c r="CI275" i="5"/>
  <c r="CG275" i="5"/>
  <c r="CH275" i="5"/>
  <c r="CD275" i="5"/>
  <c r="CF275" i="5"/>
  <c r="CE275" i="5"/>
  <c r="CA275" i="5"/>
  <c r="CC275" i="5"/>
  <c r="BX275" i="5"/>
  <c r="BY275" i="5"/>
  <c r="BZ275" i="5"/>
  <c r="BV275" i="5"/>
  <c r="BW275" i="5"/>
  <c r="BU275" i="5"/>
  <c r="BT275" i="5"/>
  <c r="BS275" i="5"/>
  <c r="BQ275" i="5"/>
  <c r="BR275" i="5"/>
  <c r="BJ275" i="5"/>
  <c r="BL275" i="5"/>
  <c r="BM275" i="5"/>
  <c r="BH275" i="5"/>
  <c r="BK275" i="5"/>
  <c r="BI275" i="5"/>
  <c r="BG275" i="5"/>
  <c r="BF275" i="5"/>
  <c r="BE275" i="5"/>
  <c r="BD275" i="5"/>
  <c r="BA275" i="5"/>
  <c r="BP275" i="5" s="1"/>
  <c r="AZ275" i="5"/>
  <c r="AV275" i="5"/>
  <c r="AY275" i="5"/>
  <c r="AU275" i="5"/>
  <c r="BB275" i="5" s="1"/>
  <c r="CK499" i="5"/>
  <c r="CI499" i="5"/>
  <c r="CJ499" i="5"/>
  <c r="CG499" i="5"/>
  <c r="CD499" i="5"/>
  <c r="CH499" i="5"/>
  <c r="CF499" i="5"/>
  <c r="CE499" i="5"/>
  <c r="CA499" i="5"/>
  <c r="CC499" i="5"/>
  <c r="BZ499" i="5"/>
  <c r="BY499" i="5"/>
  <c r="BX499" i="5"/>
  <c r="BV499" i="5"/>
  <c r="BW499" i="5"/>
  <c r="BT499" i="5"/>
  <c r="BU499" i="5"/>
  <c r="BS499" i="5"/>
  <c r="BQ499" i="5"/>
  <c r="BR499" i="5"/>
  <c r="BL499" i="5"/>
  <c r="BJ499" i="5"/>
  <c r="BM499" i="5"/>
  <c r="BH499" i="5"/>
  <c r="BK499" i="5"/>
  <c r="BI499" i="5"/>
  <c r="BF499" i="5"/>
  <c r="BE499" i="5"/>
  <c r="BD499" i="5"/>
  <c r="BG499" i="5"/>
  <c r="BA499" i="5"/>
  <c r="BP499" i="5" s="1"/>
  <c r="AZ499" i="5"/>
  <c r="AV499" i="5"/>
  <c r="BO499" i="5" s="1"/>
  <c r="AY499" i="5"/>
  <c r="AU499" i="5"/>
  <c r="BB499" i="5" s="1"/>
  <c r="BL28" i="5"/>
  <c r="CK223" i="5"/>
  <c r="CI223" i="5"/>
  <c r="CF223" i="5"/>
  <c r="CE223" i="5"/>
  <c r="CD223" i="5"/>
  <c r="CC223" i="5"/>
  <c r="CA223" i="5"/>
  <c r="BY223" i="5"/>
  <c r="BV223" i="5"/>
  <c r="BU223" i="5"/>
  <c r="BT223" i="5"/>
  <c r="BW223" i="5"/>
  <c r="BQ223" i="5"/>
  <c r="BS223" i="5"/>
  <c r="BR223" i="5"/>
  <c r="BM223" i="5"/>
  <c r="BJ223" i="5"/>
  <c r="BI223" i="5"/>
  <c r="BH223" i="5"/>
  <c r="BK223" i="5"/>
  <c r="BF223" i="5"/>
  <c r="BG223" i="5"/>
  <c r="BE223" i="5"/>
  <c r="BD223" i="5"/>
  <c r="BA223" i="5"/>
  <c r="BP223" i="5" s="1"/>
  <c r="AZ223" i="5"/>
  <c r="AY223" i="5"/>
  <c r="AU223" i="5"/>
  <c r="BB223" i="5" s="1"/>
  <c r="AV223" i="5"/>
  <c r="BC223" i="5" s="1"/>
  <c r="CB404" i="5"/>
  <c r="CK415" i="5"/>
  <c r="CE415" i="5"/>
  <c r="CI415" i="5"/>
  <c r="CF415" i="5"/>
  <c r="CD415" i="5"/>
  <c r="CC415" i="5"/>
  <c r="CA415" i="5"/>
  <c r="BY415" i="5"/>
  <c r="BV415" i="5"/>
  <c r="BU415" i="5"/>
  <c r="BT415" i="5"/>
  <c r="BW415" i="5"/>
  <c r="BS415" i="5"/>
  <c r="BQ415" i="5"/>
  <c r="BR415" i="5"/>
  <c r="BM415" i="5"/>
  <c r="BJ415" i="5"/>
  <c r="BI415" i="5"/>
  <c r="BH415" i="5"/>
  <c r="BK415" i="5"/>
  <c r="BG415" i="5"/>
  <c r="BF415" i="5"/>
  <c r="BE415" i="5"/>
  <c r="BD415" i="5"/>
  <c r="BA415" i="5"/>
  <c r="BP415" i="5" s="1"/>
  <c r="AZ415" i="5"/>
  <c r="AY415" i="5"/>
  <c r="AU415" i="5"/>
  <c r="BN415" i="5" s="1"/>
  <c r="AV415" i="5"/>
  <c r="BC415" i="5" s="1"/>
  <c r="BB500" i="5"/>
  <c r="CJ671" i="5"/>
  <c r="CK671" i="5"/>
  <c r="CI671" i="5"/>
  <c r="CH671" i="5"/>
  <c r="CG671" i="5"/>
  <c r="CE671" i="5"/>
  <c r="CF671" i="5"/>
  <c r="CD671" i="5"/>
  <c r="CC671" i="5"/>
  <c r="CA671" i="5"/>
  <c r="BX671" i="5"/>
  <c r="BZ671" i="5"/>
  <c r="BY671" i="5"/>
  <c r="BV671" i="5"/>
  <c r="BT671" i="5"/>
  <c r="BW671" i="5"/>
  <c r="BS671" i="5"/>
  <c r="BQ671" i="5"/>
  <c r="BU671" i="5"/>
  <c r="BR671" i="5"/>
  <c r="BM671" i="5"/>
  <c r="BL671" i="5"/>
  <c r="BJ671" i="5"/>
  <c r="BI671" i="5"/>
  <c r="BH671" i="5"/>
  <c r="BK671" i="5"/>
  <c r="BG671" i="5"/>
  <c r="BF671" i="5"/>
  <c r="BE671" i="5"/>
  <c r="BD671" i="5"/>
  <c r="BA671" i="5"/>
  <c r="BP671" i="5" s="1"/>
  <c r="AZ671" i="5"/>
  <c r="AY671" i="5"/>
  <c r="AU671" i="5"/>
  <c r="BB671" i="5" s="1"/>
  <c r="AV671" i="5"/>
  <c r="BC671" i="5" s="1"/>
  <c r="BX692" i="5"/>
  <c r="BL68" i="5"/>
  <c r="CJ331" i="5"/>
  <c r="CK331" i="5"/>
  <c r="CI331" i="5"/>
  <c r="CH331" i="5"/>
  <c r="CG331" i="5"/>
  <c r="CD331" i="5"/>
  <c r="CF331" i="5"/>
  <c r="CE331" i="5"/>
  <c r="CA331" i="5"/>
  <c r="CC331" i="5"/>
  <c r="BZ331" i="5"/>
  <c r="BY331" i="5"/>
  <c r="BX331" i="5"/>
  <c r="BW331" i="5"/>
  <c r="BV331" i="5"/>
  <c r="BU331" i="5"/>
  <c r="BT331" i="5"/>
  <c r="BS331" i="5"/>
  <c r="BQ331" i="5"/>
  <c r="BR331" i="5"/>
  <c r="BJ331" i="5"/>
  <c r="BL331" i="5"/>
  <c r="BM331" i="5"/>
  <c r="BH331" i="5"/>
  <c r="BK331" i="5"/>
  <c r="BI331" i="5"/>
  <c r="BF331" i="5"/>
  <c r="BE331" i="5"/>
  <c r="BD331" i="5"/>
  <c r="BG331" i="5"/>
  <c r="BA331" i="5"/>
  <c r="BP331" i="5" s="1"/>
  <c r="AZ331" i="5"/>
  <c r="AV331" i="5"/>
  <c r="BO331" i="5" s="1"/>
  <c r="AU331" i="5"/>
  <c r="BB331" i="5" s="1"/>
  <c r="AY331" i="5"/>
  <c r="CK555" i="5"/>
  <c r="CH555" i="5"/>
  <c r="CI555" i="5"/>
  <c r="CJ555" i="5"/>
  <c r="CG555" i="5"/>
  <c r="CF555" i="5"/>
  <c r="CD555" i="5"/>
  <c r="CA555" i="5"/>
  <c r="CE555" i="5"/>
  <c r="CC555" i="5"/>
  <c r="BY555" i="5"/>
  <c r="BZ555" i="5"/>
  <c r="BX555" i="5"/>
  <c r="BV555" i="5"/>
  <c r="BW555" i="5"/>
  <c r="BT555" i="5"/>
  <c r="BU555" i="5"/>
  <c r="BS555" i="5"/>
  <c r="BQ555" i="5"/>
  <c r="BR555" i="5"/>
  <c r="BL555" i="5"/>
  <c r="BJ555" i="5"/>
  <c r="BM555" i="5"/>
  <c r="BH555" i="5"/>
  <c r="BK555" i="5"/>
  <c r="BI555" i="5"/>
  <c r="BG555" i="5"/>
  <c r="BF555" i="5"/>
  <c r="BE555" i="5"/>
  <c r="BD555" i="5"/>
  <c r="BA555" i="5"/>
  <c r="BP555" i="5" s="1"/>
  <c r="AZ555" i="5"/>
  <c r="AV555" i="5"/>
  <c r="BC555" i="5" s="1"/>
  <c r="AU555" i="5"/>
  <c r="BB555" i="5" s="1"/>
  <c r="AY555" i="5"/>
  <c r="CI14" i="5"/>
  <c r="CK14" i="5"/>
  <c r="CJ14" i="5"/>
  <c r="CH14" i="5"/>
  <c r="CF14" i="5"/>
  <c r="CG14" i="5"/>
  <c r="CE14" i="5"/>
  <c r="CD14" i="5"/>
  <c r="CC14" i="5"/>
  <c r="BZ14" i="5"/>
  <c r="CA14" i="5"/>
  <c r="BW14" i="5"/>
  <c r="BY14" i="5"/>
  <c r="BX14" i="5"/>
  <c r="BS14" i="5"/>
  <c r="BV14" i="5"/>
  <c r="BU14" i="5"/>
  <c r="BR14" i="5"/>
  <c r="BT14" i="5"/>
  <c r="BQ14" i="5"/>
  <c r="BM14" i="5"/>
  <c r="BL14" i="5"/>
  <c r="BK14" i="5"/>
  <c r="BI14" i="5"/>
  <c r="BJ14" i="5"/>
  <c r="BH14" i="5"/>
  <c r="BG14" i="5"/>
  <c r="BF14" i="5"/>
  <c r="BE14" i="5"/>
  <c r="BD14" i="5"/>
  <c r="AZ14" i="5"/>
  <c r="AY14" i="5"/>
  <c r="BA14" i="5"/>
  <c r="BP14" i="5" s="1"/>
  <c r="AU14" i="5"/>
  <c r="BN14" i="5" s="1"/>
  <c r="AV14" i="5"/>
  <c r="BO14" i="5" s="1"/>
  <c r="CJ46" i="5"/>
  <c r="CI46" i="5"/>
  <c r="CK46" i="5"/>
  <c r="CF46" i="5"/>
  <c r="CG46" i="5"/>
  <c r="CE46" i="5"/>
  <c r="CH46" i="5"/>
  <c r="CD46" i="5"/>
  <c r="CC46" i="5"/>
  <c r="BZ46" i="5"/>
  <c r="BX46" i="5"/>
  <c r="CA46" i="5"/>
  <c r="BW46" i="5"/>
  <c r="BY46" i="5"/>
  <c r="BU46" i="5"/>
  <c r="BS46" i="5"/>
  <c r="BV46" i="5"/>
  <c r="BR46" i="5"/>
  <c r="BT46" i="5"/>
  <c r="BQ46" i="5"/>
  <c r="BM46" i="5"/>
  <c r="BK46" i="5"/>
  <c r="BL46" i="5"/>
  <c r="BJ46" i="5"/>
  <c r="BI46" i="5"/>
  <c r="BH46" i="5"/>
  <c r="BG46" i="5"/>
  <c r="BF46" i="5"/>
  <c r="BE46" i="5"/>
  <c r="BD46" i="5"/>
  <c r="AZ46" i="5"/>
  <c r="AY46" i="5"/>
  <c r="BA46" i="5"/>
  <c r="BP46" i="5" s="1"/>
  <c r="AU46" i="5"/>
  <c r="BN46" i="5" s="1"/>
  <c r="AV46" i="5"/>
  <c r="BO46" i="5" s="1"/>
  <c r="CI102" i="5"/>
  <c r="CK102" i="5"/>
  <c r="CD102" i="5"/>
  <c r="CF102" i="5"/>
  <c r="CE102" i="5"/>
  <c r="CC102" i="5"/>
  <c r="CA102" i="5"/>
  <c r="BW102" i="5"/>
  <c r="BY102" i="5"/>
  <c r="BU102" i="5"/>
  <c r="BS102" i="5"/>
  <c r="BV102" i="5"/>
  <c r="BR102" i="5"/>
  <c r="BT102" i="5"/>
  <c r="BQ102" i="5"/>
  <c r="BM102" i="5"/>
  <c r="BK102" i="5"/>
  <c r="BI102" i="5"/>
  <c r="BH102" i="5"/>
  <c r="BJ102" i="5"/>
  <c r="BG102" i="5"/>
  <c r="BF102" i="5"/>
  <c r="BE102" i="5"/>
  <c r="BD102" i="5"/>
  <c r="AZ102" i="5"/>
  <c r="AY102" i="5"/>
  <c r="BA102" i="5"/>
  <c r="BP102" i="5" s="1"/>
  <c r="AU102" i="5"/>
  <c r="BN102" i="5" s="1"/>
  <c r="AV102" i="5"/>
  <c r="BO102" i="5" s="1"/>
  <c r="CJ215" i="5"/>
  <c r="CI215" i="5"/>
  <c r="CH215" i="5"/>
  <c r="CG215" i="5"/>
  <c r="CK215" i="5"/>
  <c r="CF215" i="5"/>
  <c r="CE215" i="5"/>
  <c r="CC215" i="5"/>
  <c r="CD215" i="5"/>
  <c r="CA215" i="5"/>
  <c r="BZ215" i="5"/>
  <c r="BY215" i="5"/>
  <c r="BX215" i="5"/>
  <c r="BW215" i="5"/>
  <c r="BU215" i="5"/>
  <c r="BV215" i="5"/>
  <c r="BT215" i="5"/>
  <c r="BS215" i="5"/>
  <c r="BQ215" i="5"/>
  <c r="BR215" i="5"/>
  <c r="BL215" i="5"/>
  <c r="BM215" i="5"/>
  <c r="BJ215" i="5"/>
  <c r="BK215" i="5"/>
  <c r="BI215" i="5"/>
  <c r="BH215" i="5"/>
  <c r="BG215" i="5"/>
  <c r="BF215" i="5"/>
  <c r="BE215" i="5"/>
  <c r="BD215" i="5"/>
  <c r="BA215" i="5"/>
  <c r="BP215" i="5" s="1"/>
  <c r="AZ215" i="5"/>
  <c r="AY215" i="5"/>
  <c r="AU215" i="5"/>
  <c r="BB215" i="5" s="1"/>
  <c r="AV215" i="5"/>
  <c r="BO215" i="5" s="1"/>
  <c r="BO332" i="5"/>
  <c r="BO428" i="5"/>
  <c r="CK535" i="5"/>
  <c r="CJ535" i="5"/>
  <c r="CI535" i="5"/>
  <c r="CG535" i="5"/>
  <c r="CH535" i="5"/>
  <c r="CC535" i="5"/>
  <c r="CF535" i="5"/>
  <c r="CD535" i="5"/>
  <c r="CE535" i="5"/>
  <c r="CA535" i="5"/>
  <c r="BY535" i="5"/>
  <c r="BX535" i="5"/>
  <c r="BZ535" i="5"/>
  <c r="BW535" i="5"/>
  <c r="BV535" i="5"/>
  <c r="BT535" i="5"/>
  <c r="BS535" i="5"/>
  <c r="BU535" i="5"/>
  <c r="BQ535" i="5"/>
  <c r="BR535" i="5"/>
  <c r="BM535" i="5"/>
  <c r="BL535" i="5"/>
  <c r="BJ535" i="5"/>
  <c r="BK535" i="5"/>
  <c r="BI535" i="5"/>
  <c r="BH535" i="5"/>
  <c r="BG535" i="5"/>
  <c r="BF535" i="5"/>
  <c r="BE535" i="5"/>
  <c r="BD535" i="5"/>
  <c r="BA535" i="5"/>
  <c r="BP535" i="5" s="1"/>
  <c r="AZ535" i="5"/>
  <c r="AY535" i="5"/>
  <c r="AU535" i="5"/>
  <c r="BN535" i="5" s="1"/>
  <c r="AV535" i="5"/>
  <c r="BC535" i="5" s="1"/>
  <c r="BB620" i="5"/>
  <c r="BB148" i="5"/>
  <c r="BZ148" i="5" s="1"/>
  <c r="BL148" i="5"/>
  <c r="CK227" i="5"/>
  <c r="CF227" i="5"/>
  <c r="CI227" i="5"/>
  <c r="CG227" i="5"/>
  <c r="CJ227" i="5"/>
  <c r="CD227" i="5"/>
  <c r="CE227" i="5"/>
  <c r="CH227" i="5"/>
  <c r="CA227" i="5"/>
  <c r="CC227" i="5"/>
  <c r="BY227" i="5"/>
  <c r="BX227" i="5"/>
  <c r="BZ227" i="5"/>
  <c r="BV227" i="5"/>
  <c r="BW227" i="5"/>
  <c r="BU227" i="5"/>
  <c r="BT227" i="5"/>
  <c r="BS227" i="5"/>
  <c r="BQ227" i="5"/>
  <c r="BR227" i="5"/>
  <c r="BJ227" i="5"/>
  <c r="BM227" i="5"/>
  <c r="BL227" i="5"/>
  <c r="BH227" i="5"/>
  <c r="BK227" i="5"/>
  <c r="BI227" i="5"/>
  <c r="BG227" i="5"/>
  <c r="BF227" i="5"/>
  <c r="BE227" i="5"/>
  <c r="BD227" i="5"/>
  <c r="BA227" i="5"/>
  <c r="BP227" i="5" s="1"/>
  <c r="AZ227" i="5"/>
  <c r="AV227" i="5"/>
  <c r="AY227" i="5"/>
  <c r="AU227" i="5"/>
  <c r="BB227" i="5" s="1"/>
  <c r="CJ419" i="5"/>
  <c r="CK419" i="5"/>
  <c r="CI419" i="5"/>
  <c r="CH419" i="5"/>
  <c r="CG419" i="5"/>
  <c r="CF419" i="5"/>
  <c r="CE419" i="5"/>
  <c r="CD419" i="5"/>
  <c r="CC419" i="5"/>
  <c r="CA419" i="5"/>
  <c r="BY419" i="5"/>
  <c r="BZ419" i="5"/>
  <c r="BX419" i="5"/>
  <c r="BV419" i="5"/>
  <c r="BW419" i="5"/>
  <c r="BU419" i="5"/>
  <c r="BT419" i="5"/>
  <c r="BS419" i="5"/>
  <c r="BQ419" i="5"/>
  <c r="BR419" i="5"/>
  <c r="BJ419" i="5"/>
  <c r="BL419" i="5"/>
  <c r="BM419" i="5"/>
  <c r="BH419" i="5"/>
  <c r="BK419" i="5"/>
  <c r="BI419" i="5"/>
  <c r="BF419" i="5"/>
  <c r="BE419" i="5"/>
  <c r="BG419" i="5"/>
  <c r="BD419" i="5"/>
  <c r="BA419" i="5"/>
  <c r="BP419" i="5" s="1"/>
  <c r="AZ419" i="5"/>
  <c r="AV419" i="5"/>
  <c r="BO419" i="5" s="1"/>
  <c r="AY419" i="5"/>
  <c r="AU419" i="5"/>
  <c r="BB419" i="5" s="1"/>
  <c r="CJ675" i="5"/>
  <c r="CG675" i="5"/>
  <c r="CI675" i="5"/>
  <c r="CK675" i="5"/>
  <c r="CF675" i="5"/>
  <c r="CE675" i="5"/>
  <c r="CH675" i="5"/>
  <c r="CD675" i="5"/>
  <c r="CA675" i="5"/>
  <c r="CC675" i="5"/>
  <c r="BY675" i="5"/>
  <c r="BX675" i="5"/>
  <c r="BZ675" i="5"/>
  <c r="BW675" i="5"/>
  <c r="BV675" i="5"/>
  <c r="BT675" i="5"/>
  <c r="BU675" i="5"/>
  <c r="BS675" i="5"/>
  <c r="BQ675" i="5"/>
  <c r="BR675" i="5"/>
  <c r="BJ675" i="5"/>
  <c r="BM675" i="5"/>
  <c r="BL675" i="5"/>
  <c r="BH675" i="5"/>
  <c r="BK675" i="5"/>
  <c r="BI675" i="5"/>
  <c r="BG675" i="5"/>
  <c r="BF675" i="5"/>
  <c r="BE675" i="5"/>
  <c r="BD675" i="5"/>
  <c r="BA675" i="5"/>
  <c r="BP675" i="5" s="1"/>
  <c r="AZ675" i="5"/>
  <c r="AY675" i="5"/>
  <c r="AV675" i="5"/>
  <c r="BO675" i="5" s="1"/>
  <c r="AU675" i="5"/>
  <c r="BB675" i="5" s="1"/>
  <c r="BL8" i="5"/>
  <c r="BL112" i="5"/>
  <c r="BL128" i="5"/>
  <c r="CB176" i="5"/>
  <c r="CB200" i="5"/>
  <c r="CB376" i="5"/>
  <c r="BL440" i="5"/>
  <c r="CB464" i="5"/>
  <c r="CB528" i="5"/>
  <c r="BX584" i="5"/>
  <c r="CB608" i="5"/>
  <c r="CB632" i="5"/>
  <c r="BX664" i="5"/>
  <c r="BL185" i="5"/>
  <c r="CB289" i="5"/>
  <c r="BL385" i="5"/>
  <c r="CB409" i="5"/>
  <c r="BB425" i="5"/>
  <c r="BZ425" i="5" s="1"/>
  <c r="BL441" i="5"/>
  <c r="CB585" i="5"/>
  <c r="CB657" i="5"/>
  <c r="CB689" i="5"/>
  <c r="BL21" i="5"/>
  <c r="BO29" i="5"/>
  <c r="CB125" i="5"/>
  <c r="BL149" i="5"/>
  <c r="BO157" i="5"/>
  <c r="BX229" i="5"/>
  <c r="BL269" i="5"/>
  <c r="BB397" i="5"/>
  <c r="BZ397" i="5" s="1"/>
  <c r="CB485" i="5"/>
  <c r="BX605" i="5"/>
  <c r="BC637" i="5"/>
  <c r="BX645" i="5"/>
  <c r="BX124" i="5"/>
  <c r="BB356" i="5"/>
  <c r="CI431" i="5"/>
  <c r="CK431" i="5"/>
  <c r="CF431" i="5"/>
  <c r="CE431" i="5"/>
  <c r="CD431" i="5"/>
  <c r="CC431" i="5"/>
  <c r="CA431" i="5"/>
  <c r="BY431" i="5"/>
  <c r="BU431" i="5"/>
  <c r="BT431" i="5"/>
  <c r="BW431" i="5"/>
  <c r="BV431" i="5"/>
  <c r="BS431" i="5"/>
  <c r="BQ431" i="5"/>
  <c r="BR431" i="5"/>
  <c r="BM431" i="5"/>
  <c r="BJ431" i="5"/>
  <c r="BI431" i="5"/>
  <c r="BH431" i="5"/>
  <c r="BK431" i="5"/>
  <c r="BG431" i="5"/>
  <c r="BF431" i="5"/>
  <c r="BE431" i="5"/>
  <c r="BD431" i="5"/>
  <c r="BA431" i="5"/>
  <c r="BP431" i="5" s="1"/>
  <c r="AZ431" i="5"/>
  <c r="AY431" i="5"/>
  <c r="AU431" i="5"/>
  <c r="BN431" i="5" s="1"/>
  <c r="AV431" i="5"/>
  <c r="BC431" i="5" s="1"/>
  <c r="BB484" i="5"/>
  <c r="CK591" i="5"/>
  <c r="CJ591" i="5"/>
  <c r="CI591" i="5"/>
  <c r="CH591" i="5"/>
  <c r="CG591" i="5"/>
  <c r="CF591" i="5"/>
  <c r="CD591" i="5"/>
  <c r="CE591" i="5"/>
  <c r="CA591" i="5"/>
  <c r="CC591" i="5"/>
  <c r="BZ591" i="5"/>
  <c r="BY591" i="5"/>
  <c r="BX591" i="5"/>
  <c r="BW591" i="5"/>
  <c r="BT591" i="5"/>
  <c r="BV591" i="5"/>
  <c r="BS591" i="5"/>
  <c r="BQ591" i="5"/>
  <c r="BU591" i="5"/>
  <c r="BR591" i="5"/>
  <c r="BM591" i="5"/>
  <c r="BL591" i="5"/>
  <c r="BJ591" i="5"/>
  <c r="BI591" i="5"/>
  <c r="BH591" i="5"/>
  <c r="BK591" i="5"/>
  <c r="BG591" i="5"/>
  <c r="BF591" i="5"/>
  <c r="BE591" i="5"/>
  <c r="BD591" i="5"/>
  <c r="BA591" i="5"/>
  <c r="BP591" i="5" s="1"/>
  <c r="AZ591" i="5"/>
  <c r="AY591" i="5"/>
  <c r="AU591" i="5"/>
  <c r="BB591" i="5" s="1"/>
  <c r="AV591" i="5"/>
  <c r="BC591" i="5" s="1"/>
  <c r="CJ475" i="5"/>
  <c r="CH475" i="5"/>
  <c r="CG475" i="5"/>
  <c r="CK475" i="5"/>
  <c r="CI475" i="5"/>
  <c r="CD475" i="5"/>
  <c r="CF475" i="5"/>
  <c r="CE475" i="5"/>
  <c r="CA475" i="5"/>
  <c r="BZ475" i="5"/>
  <c r="CC475" i="5"/>
  <c r="BY475" i="5"/>
  <c r="BX475" i="5"/>
  <c r="BW475" i="5"/>
  <c r="BV475" i="5"/>
  <c r="BT475" i="5"/>
  <c r="BU475" i="5"/>
  <c r="BS475" i="5"/>
  <c r="BQ475" i="5"/>
  <c r="BR475" i="5"/>
  <c r="BL475" i="5"/>
  <c r="BJ475" i="5"/>
  <c r="BM475" i="5"/>
  <c r="BH475" i="5"/>
  <c r="BK475" i="5"/>
  <c r="BI475" i="5"/>
  <c r="BF475" i="5"/>
  <c r="BE475" i="5"/>
  <c r="BD475" i="5"/>
  <c r="BG475" i="5"/>
  <c r="BA475" i="5"/>
  <c r="BP475" i="5" s="1"/>
  <c r="AZ475" i="5"/>
  <c r="AV475" i="5"/>
  <c r="BO475" i="5" s="1"/>
  <c r="AU475" i="5"/>
  <c r="AY475" i="5"/>
  <c r="AS701" i="5"/>
  <c r="AS702" i="5" s="1"/>
  <c r="AT701" i="5"/>
  <c r="AT702" i="5" s="1"/>
  <c r="CK2" i="5"/>
  <c r="CI2" i="5"/>
  <c r="CG2" i="5"/>
  <c r="CF2" i="5"/>
  <c r="CD2" i="5"/>
  <c r="CE2" i="5"/>
  <c r="CA2" i="5"/>
  <c r="CC2" i="5"/>
  <c r="BY2" i="5"/>
  <c r="BW2" i="5"/>
  <c r="BV2" i="5"/>
  <c r="BT2" i="5"/>
  <c r="BU2" i="5"/>
  <c r="BS2" i="5"/>
  <c r="BQ2" i="5"/>
  <c r="BR2" i="5"/>
  <c r="BJ2" i="5"/>
  <c r="BM2" i="5"/>
  <c r="BH2" i="5"/>
  <c r="BK2" i="5"/>
  <c r="BI2" i="5"/>
  <c r="BG2" i="5"/>
  <c r="BF2" i="5"/>
  <c r="BE2" i="5"/>
  <c r="BD2" i="5"/>
  <c r="BA2" i="5"/>
  <c r="BP2" i="5" s="1"/>
  <c r="AZ2" i="5"/>
  <c r="AY2" i="5"/>
  <c r="AV2" i="5"/>
  <c r="BC2" i="5" s="1"/>
  <c r="AU2" i="5"/>
  <c r="BB2" i="5" s="1"/>
  <c r="CK34" i="5"/>
  <c r="CI34" i="5"/>
  <c r="CF34" i="5"/>
  <c r="CE34" i="5"/>
  <c r="CD34" i="5"/>
  <c r="CC34" i="5"/>
  <c r="CA34" i="5"/>
  <c r="BY34" i="5"/>
  <c r="BW34" i="5"/>
  <c r="BV34" i="5"/>
  <c r="BU34" i="5"/>
  <c r="BS34" i="5"/>
  <c r="BT34" i="5"/>
  <c r="BR34" i="5"/>
  <c r="BQ34" i="5"/>
  <c r="BK34" i="5"/>
  <c r="BM34" i="5"/>
  <c r="BG34" i="5"/>
  <c r="BJ34" i="5"/>
  <c r="BI34" i="5"/>
  <c r="BH34" i="5"/>
  <c r="BF34" i="5"/>
  <c r="BE34" i="5"/>
  <c r="BD34" i="5"/>
  <c r="BA34" i="5"/>
  <c r="BP34" i="5" s="1"/>
  <c r="AZ34" i="5"/>
  <c r="AY34" i="5"/>
  <c r="AV34" i="5"/>
  <c r="BC34" i="5" s="1"/>
  <c r="AU34" i="5"/>
  <c r="BN34" i="5" s="1"/>
  <c r="CK282" i="5"/>
  <c r="CH282" i="5"/>
  <c r="CI282" i="5"/>
  <c r="CJ282" i="5"/>
  <c r="CF282" i="5"/>
  <c r="CG282" i="5"/>
  <c r="CE282" i="5"/>
  <c r="CC282" i="5"/>
  <c r="BZ282" i="5"/>
  <c r="CD282" i="5"/>
  <c r="CA282" i="5"/>
  <c r="BX282" i="5"/>
  <c r="BY282" i="5"/>
  <c r="BW282" i="5"/>
  <c r="BV282" i="5"/>
  <c r="BU282" i="5"/>
  <c r="BS282" i="5"/>
  <c r="BT282" i="5"/>
  <c r="BQ282" i="5"/>
  <c r="BR282" i="5"/>
  <c r="BL282" i="5"/>
  <c r="BM282" i="5"/>
  <c r="BG282" i="5"/>
  <c r="BK282" i="5"/>
  <c r="BJ282" i="5"/>
  <c r="BI282" i="5"/>
  <c r="BH282" i="5"/>
  <c r="BF282" i="5"/>
  <c r="BE282" i="5"/>
  <c r="BD282" i="5"/>
  <c r="BA282" i="5"/>
  <c r="BP282" i="5" s="1"/>
  <c r="AZ282" i="5"/>
  <c r="AV282" i="5"/>
  <c r="BC282" i="5" s="1"/>
  <c r="AU282" i="5"/>
  <c r="BB282" i="5" s="1"/>
  <c r="AY282" i="5"/>
  <c r="CK314" i="5"/>
  <c r="CI314" i="5"/>
  <c r="CF314" i="5"/>
  <c r="CE314" i="5"/>
  <c r="CD314" i="5"/>
  <c r="CC314" i="5"/>
  <c r="CA314" i="5"/>
  <c r="BY314" i="5"/>
  <c r="BW314" i="5"/>
  <c r="BV314" i="5"/>
  <c r="BU314" i="5"/>
  <c r="BS314" i="5"/>
  <c r="BT314" i="5"/>
  <c r="BQ314" i="5"/>
  <c r="BR314" i="5"/>
  <c r="BM314" i="5"/>
  <c r="BG314" i="5"/>
  <c r="BK314" i="5"/>
  <c r="BJ314" i="5"/>
  <c r="BI314" i="5"/>
  <c r="BH314" i="5"/>
  <c r="BF314" i="5"/>
  <c r="BE314" i="5"/>
  <c r="BD314" i="5"/>
  <c r="BA314" i="5"/>
  <c r="BP314" i="5" s="1"/>
  <c r="AZ314" i="5"/>
  <c r="AV314" i="5"/>
  <c r="BO314" i="5" s="1"/>
  <c r="AU314" i="5"/>
  <c r="BN314" i="5" s="1"/>
  <c r="AY314" i="5"/>
  <c r="CH346" i="5"/>
  <c r="CK346" i="5"/>
  <c r="CI346" i="5"/>
  <c r="CF346" i="5"/>
  <c r="CJ346" i="5"/>
  <c r="CG346" i="5"/>
  <c r="CE346" i="5"/>
  <c r="BZ346" i="5"/>
  <c r="CD346" i="5"/>
  <c r="CC346" i="5"/>
  <c r="CA346" i="5"/>
  <c r="BX346" i="5"/>
  <c r="BY346" i="5"/>
  <c r="BW346" i="5"/>
  <c r="BV346" i="5"/>
  <c r="BU346" i="5"/>
  <c r="BS346" i="5"/>
  <c r="BT346" i="5"/>
  <c r="BQ346" i="5"/>
  <c r="BR346" i="5"/>
  <c r="BL346" i="5"/>
  <c r="BM346" i="5"/>
  <c r="BG346" i="5"/>
  <c r="BK346" i="5"/>
  <c r="BJ346" i="5"/>
  <c r="BI346" i="5"/>
  <c r="BH346" i="5"/>
  <c r="BF346" i="5"/>
  <c r="BE346" i="5"/>
  <c r="BD346" i="5"/>
  <c r="BA346" i="5"/>
  <c r="BP346" i="5" s="1"/>
  <c r="AZ346" i="5"/>
  <c r="AV346" i="5"/>
  <c r="BC346" i="5" s="1"/>
  <c r="AU346" i="5"/>
  <c r="BN346" i="5" s="1"/>
  <c r="AY346" i="5"/>
  <c r="CJ378" i="5"/>
  <c r="CK378" i="5"/>
  <c r="CH378" i="5"/>
  <c r="CF378" i="5"/>
  <c r="CI378" i="5"/>
  <c r="CG378" i="5"/>
  <c r="CC378" i="5"/>
  <c r="BZ378" i="5"/>
  <c r="CD378" i="5"/>
  <c r="CE378" i="5"/>
  <c r="CA378" i="5"/>
  <c r="BY378" i="5"/>
  <c r="BX378" i="5"/>
  <c r="BW378" i="5"/>
  <c r="BV378" i="5"/>
  <c r="BU378" i="5"/>
  <c r="BS378" i="5"/>
  <c r="BT378" i="5"/>
  <c r="BQ378" i="5"/>
  <c r="BR378" i="5"/>
  <c r="BL378" i="5"/>
  <c r="BM378" i="5"/>
  <c r="BG378" i="5"/>
  <c r="BK378" i="5"/>
  <c r="BJ378" i="5"/>
  <c r="BI378" i="5"/>
  <c r="BH378" i="5"/>
  <c r="BF378" i="5"/>
  <c r="BE378" i="5"/>
  <c r="BD378" i="5"/>
  <c r="BA378" i="5"/>
  <c r="BP378" i="5" s="1"/>
  <c r="AZ378" i="5"/>
  <c r="AV378" i="5"/>
  <c r="BO378" i="5" s="1"/>
  <c r="AU378" i="5"/>
  <c r="BN378" i="5" s="1"/>
  <c r="AY378" i="5"/>
  <c r="CK410" i="5"/>
  <c r="CF410" i="5"/>
  <c r="CI410" i="5"/>
  <c r="CE410" i="5"/>
  <c r="CD410" i="5"/>
  <c r="CC410" i="5"/>
  <c r="CA410" i="5"/>
  <c r="BY410" i="5"/>
  <c r="BW410" i="5"/>
  <c r="BV410" i="5"/>
  <c r="BU410" i="5"/>
  <c r="BT410" i="5"/>
  <c r="BS410" i="5"/>
  <c r="BQ410" i="5"/>
  <c r="BR410" i="5"/>
  <c r="BM410" i="5"/>
  <c r="BG410" i="5"/>
  <c r="BK410" i="5"/>
  <c r="BJ410" i="5"/>
  <c r="BI410" i="5"/>
  <c r="BH410" i="5"/>
  <c r="BF410" i="5"/>
  <c r="BE410" i="5"/>
  <c r="BD410" i="5"/>
  <c r="BA410" i="5"/>
  <c r="BP410" i="5" s="1"/>
  <c r="AZ410" i="5"/>
  <c r="AV410" i="5"/>
  <c r="BO410" i="5" s="1"/>
  <c r="AU410" i="5"/>
  <c r="BN410" i="5" s="1"/>
  <c r="AY410" i="5"/>
  <c r="CK442" i="5"/>
  <c r="CJ442" i="5"/>
  <c r="CH442" i="5"/>
  <c r="CI442" i="5"/>
  <c r="CF442" i="5"/>
  <c r="CG442" i="5"/>
  <c r="CE442" i="5"/>
  <c r="BZ442" i="5"/>
  <c r="CD442" i="5"/>
  <c r="CC442" i="5"/>
  <c r="CA442" i="5"/>
  <c r="BY442" i="5"/>
  <c r="BX442" i="5"/>
  <c r="BW442" i="5"/>
  <c r="BV442" i="5"/>
  <c r="BT442" i="5"/>
  <c r="BU442" i="5"/>
  <c r="BS442" i="5"/>
  <c r="BQ442" i="5"/>
  <c r="BR442" i="5"/>
  <c r="BM442" i="5"/>
  <c r="BL442" i="5"/>
  <c r="BG442" i="5"/>
  <c r="BK442" i="5"/>
  <c r="BJ442" i="5"/>
  <c r="BI442" i="5"/>
  <c r="BH442" i="5"/>
  <c r="BF442" i="5"/>
  <c r="BE442" i="5"/>
  <c r="BD442" i="5"/>
  <c r="BA442" i="5"/>
  <c r="AZ442" i="5"/>
  <c r="AV442" i="5"/>
  <c r="AU442" i="5"/>
  <c r="AY442" i="5"/>
  <c r="AY741" i="5" s="1"/>
  <c r="AY742" i="5" s="1"/>
  <c r="CJ474" i="5"/>
  <c r="CI474" i="5"/>
  <c r="CK474" i="5"/>
  <c r="CH474" i="5"/>
  <c r="CF474" i="5"/>
  <c r="CG474" i="5"/>
  <c r="CE474" i="5"/>
  <c r="BZ474" i="5"/>
  <c r="CD474" i="5"/>
  <c r="CC474" i="5"/>
  <c r="CA474" i="5"/>
  <c r="BY474" i="5"/>
  <c r="BW474" i="5"/>
  <c r="BX474" i="5"/>
  <c r="BV474" i="5"/>
  <c r="BT474" i="5"/>
  <c r="BU474" i="5"/>
  <c r="BS474" i="5"/>
  <c r="BQ474" i="5"/>
  <c r="BR474" i="5"/>
  <c r="BL474" i="5"/>
  <c r="BM474" i="5"/>
  <c r="BG474" i="5"/>
  <c r="BK474" i="5"/>
  <c r="BJ474" i="5"/>
  <c r="BI474" i="5"/>
  <c r="BH474" i="5"/>
  <c r="BF474" i="5"/>
  <c r="BE474" i="5"/>
  <c r="BD474" i="5"/>
  <c r="BA474" i="5"/>
  <c r="BP474" i="5" s="1"/>
  <c r="AZ474" i="5"/>
  <c r="AV474" i="5"/>
  <c r="BC474" i="5" s="1"/>
  <c r="AU474" i="5"/>
  <c r="BB474" i="5" s="1"/>
  <c r="AY474" i="5"/>
  <c r="CK506" i="5"/>
  <c r="CG506" i="5"/>
  <c r="CI506" i="5"/>
  <c r="CF506" i="5"/>
  <c r="CJ506" i="5"/>
  <c r="CH506" i="5"/>
  <c r="CE506" i="5"/>
  <c r="CD506" i="5"/>
  <c r="BZ506" i="5"/>
  <c r="CC506" i="5"/>
  <c r="CA506" i="5"/>
  <c r="BY506" i="5"/>
  <c r="BW506" i="5"/>
  <c r="BX506" i="5"/>
  <c r="BV506" i="5"/>
  <c r="BT506" i="5"/>
  <c r="BU506" i="5"/>
  <c r="BS506" i="5"/>
  <c r="BQ506" i="5"/>
  <c r="BR506" i="5"/>
  <c r="BL506" i="5"/>
  <c r="BM506" i="5"/>
  <c r="BG506" i="5"/>
  <c r="BK506" i="5"/>
  <c r="BJ506" i="5"/>
  <c r="BI506" i="5"/>
  <c r="BH506" i="5"/>
  <c r="BF506" i="5"/>
  <c r="BE506" i="5"/>
  <c r="BD506" i="5"/>
  <c r="BA506" i="5"/>
  <c r="BP506" i="5" s="1"/>
  <c r="AZ506" i="5"/>
  <c r="AV506" i="5"/>
  <c r="BC506" i="5" s="1"/>
  <c r="AU506" i="5"/>
  <c r="BB506" i="5" s="1"/>
  <c r="AY506" i="5"/>
  <c r="CK538" i="5"/>
  <c r="CJ538" i="5"/>
  <c r="CG538" i="5"/>
  <c r="CF538" i="5"/>
  <c r="CH538" i="5"/>
  <c r="CI538" i="5"/>
  <c r="CD538" i="5"/>
  <c r="CE538" i="5"/>
  <c r="CC538" i="5"/>
  <c r="CA538" i="5"/>
  <c r="BZ538" i="5"/>
  <c r="BY538" i="5"/>
  <c r="BX538" i="5"/>
  <c r="BW538" i="5"/>
  <c r="BV538" i="5"/>
  <c r="BT538" i="5"/>
  <c r="BU538" i="5"/>
  <c r="BS538" i="5"/>
  <c r="BQ538" i="5"/>
  <c r="BR538" i="5"/>
  <c r="BL538" i="5"/>
  <c r="BM538" i="5"/>
  <c r="BK538" i="5"/>
  <c r="BJ538" i="5"/>
  <c r="BI538" i="5"/>
  <c r="BH538" i="5"/>
  <c r="BF538" i="5"/>
  <c r="BE538" i="5"/>
  <c r="BG538" i="5"/>
  <c r="BD538" i="5"/>
  <c r="BA538" i="5"/>
  <c r="BP538" i="5" s="1"/>
  <c r="AZ538" i="5"/>
  <c r="AV538" i="5"/>
  <c r="BC538" i="5" s="1"/>
  <c r="AU538" i="5"/>
  <c r="BB538" i="5" s="1"/>
  <c r="AY538" i="5"/>
  <c r="CK570" i="5"/>
  <c r="CJ570" i="5"/>
  <c r="CI570" i="5"/>
  <c r="CH570" i="5"/>
  <c r="CF570" i="5"/>
  <c r="CG570" i="5"/>
  <c r="CD570" i="5"/>
  <c r="CE570" i="5"/>
  <c r="CC570" i="5"/>
  <c r="CA570" i="5"/>
  <c r="BZ570" i="5"/>
  <c r="BY570" i="5"/>
  <c r="BX570" i="5"/>
  <c r="BW570" i="5"/>
  <c r="BV570" i="5"/>
  <c r="BT570" i="5"/>
  <c r="BU570" i="5"/>
  <c r="BS570" i="5"/>
  <c r="BQ570" i="5"/>
  <c r="BR570" i="5"/>
  <c r="BM570" i="5"/>
  <c r="BL570" i="5"/>
  <c r="BK570" i="5"/>
  <c r="BJ570" i="5"/>
  <c r="BI570" i="5"/>
  <c r="BH570" i="5"/>
  <c r="BF570" i="5"/>
  <c r="BE570" i="5"/>
  <c r="BG570" i="5"/>
  <c r="BD570" i="5"/>
  <c r="BA570" i="5"/>
  <c r="BP570" i="5" s="1"/>
  <c r="AZ570" i="5"/>
  <c r="AV570" i="5"/>
  <c r="BO570" i="5" s="1"/>
  <c r="AU570" i="5"/>
  <c r="BB570" i="5" s="1"/>
  <c r="AY570" i="5"/>
  <c r="CK602" i="5"/>
  <c r="CJ602" i="5"/>
  <c r="CI602" i="5"/>
  <c r="CH602" i="5"/>
  <c r="CG602" i="5"/>
  <c r="CF602" i="5"/>
  <c r="CD602" i="5"/>
  <c r="CE602" i="5"/>
  <c r="CC602" i="5"/>
  <c r="BZ602" i="5"/>
  <c r="BY602" i="5"/>
  <c r="BX602" i="5"/>
  <c r="CA602" i="5"/>
  <c r="BW602" i="5"/>
  <c r="BV602" i="5"/>
  <c r="BT602" i="5"/>
  <c r="BU602" i="5"/>
  <c r="BS602" i="5"/>
  <c r="BQ602" i="5"/>
  <c r="BR602" i="5"/>
  <c r="BM602" i="5"/>
  <c r="BL602" i="5"/>
  <c r="BK602" i="5"/>
  <c r="BJ602" i="5"/>
  <c r="BI602" i="5"/>
  <c r="BH602" i="5"/>
  <c r="BF602" i="5"/>
  <c r="BE602" i="5"/>
  <c r="BG602" i="5"/>
  <c r="BD602" i="5"/>
  <c r="BA602" i="5"/>
  <c r="BP602" i="5" s="1"/>
  <c r="AZ602" i="5"/>
  <c r="AV602" i="5"/>
  <c r="BO602" i="5" s="1"/>
  <c r="AU602" i="5"/>
  <c r="BB602" i="5" s="1"/>
  <c r="AY602" i="5"/>
  <c r="CK634" i="5"/>
  <c r="CK769" i="5" s="1"/>
  <c r="CK770" i="5" s="1"/>
  <c r="CJ634" i="5"/>
  <c r="CJ769" i="5" s="1"/>
  <c r="CJ770" i="5" s="1"/>
  <c r="CG634" i="5"/>
  <c r="CG769" i="5" s="1"/>
  <c r="CG770" i="5" s="1"/>
  <c r="CI634" i="5"/>
  <c r="CI769" i="5" s="1"/>
  <c r="CI770" i="5" s="1"/>
  <c r="CF634" i="5"/>
  <c r="CF769" i="5" s="1"/>
  <c r="CF770" i="5" s="1"/>
  <c r="CH634" i="5"/>
  <c r="CH769" i="5" s="1"/>
  <c r="CH770" i="5" s="1"/>
  <c r="CD634" i="5"/>
  <c r="CD769" i="5" s="1"/>
  <c r="CD770" i="5" s="1"/>
  <c r="CE634" i="5"/>
  <c r="CE769" i="5" s="1"/>
  <c r="CE770" i="5" s="1"/>
  <c r="CC634" i="5"/>
  <c r="CC769" i="5" s="1"/>
  <c r="CC770" i="5" s="1"/>
  <c r="CA634" i="5"/>
  <c r="CA769" i="5" s="1"/>
  <c r="CA770" i="5" s="1"/>
  <c r="BZ634" i="5"/>
  <c r="BZ769" i="5" s="1"/>
  <c r="BZ770" i="5" s="1"/>
  <c r="BY634" i="5"/>
  <c r="BY769" i="5" s="1"/>
  <c r="BY770" i="5" s="1"/>
  <c r="BX634" i="5"/>
  <c r="BX769" i="5" s="1"/>
  <c r="BX770" i="5" s="1"/>
  <c r="BW634" i="5"/>
  <c r="BW769" i="5" s="1"/>
  <c r="BW770" i="5" s="1"/>
  <c r="BV634" i="5"/>
  <c r="BV769" i="5" s="1"/>
  <c r="BV770" i="5" s="1"/>
  <c r="BT634" i="5"/>
  <c r="BT769" i="5" s="1"/>
  <c r="BT770" i="5" s="1"/>
  <c r="BU634" i="5"/>
  <c r="BU769" i="5" s="1"/>
  <c r="BU770" i="5" s="1"/>
  <c r="BS634" i="5"/>
  <c r="BS769" i="5" s="1"/>
  <c r="BS770" i="5" s="1"/>
  <c r="BQ634" i="5"/>
  <c r="BQ769" i="5" s="1"/>
  <c r="BQ770" i="5" s="1"/>
  <c r="BR634" i="5"/>
  <c r="BR769" i="5" s="1"/>
  <c r="BR770" i="5" s="1"/>
  <c r="BL634" i="5"/>
  <c r="BL769" i="5" s="1"/>
  <c r="BL770" i="5" s="1"/>
  <c r="BM634" i="5"/>
  <c r="BM769" i="5" s="1"/>
  <c r="BM770" i="5" s="1"/>
  <c r="BK634" i="5"/>
  <c r="BK769" i="5" s="1"/>
  <c r="BK770" i="5" s="1"/>
  <c r="BJ634" i="5"/>
  <c r="BJ769" i="5" s="1"/>
  <c r="BJ770" i="5" s="1"/>
  <c r="BI634" i="5"/>
  <c r="BI769" i="5" s="1"/>
  <c r="BI770" i="5" s="1"/>
  <c r="BH634" i="5"/>
  <c r="BH769" i="5" s="1"/>
  <c r="BH770" i="5" s="1"/>
  <c r="BF634" i="5"/>
  <c r="BF769" i="5" s="1"/>
  <c r="BF770" i="5" s="1"/>
  <c r="BE634" i="5"/>
  <c r="BE769" i="5" s="1"/>
  <c r="BE770" i="5" s="1"/>
  <c r="BG634" i="5"/>
  <c r="BG769" i="5" s="1"/>
  <c r="BG770" i="5" s="1"/>
  <c r="BD634" i="5"/>
  <c r="BD769" i="5" s="1"/>
  <c r="BD770" i="5" s="1"/>
  <c r="BA634" i="5"/>
  <c r="AZ634" i="5"/>
  <c r="AZ769" i="5" s="1"/>
  <c r="AZ770" i="5" s="1"/>
  <c r="AY634" i="5"/>
  <c r="AY769" i="5" s="1"/>
  <c r="AY770" i="5" s="1"/>
  <c r="AV634" i="5"/>
  <c r="AU634" i="5"/>
  <c r="CK666" i="5"/>
  <c r="CJ666" i="5"/>
  <c r="CG666" i="5"/>
  <c r="CF666" i="5"/>
  <c r="CH666" i="5"/>
  <c r="CI666" i="5"/>
  <c r="CD666" i="5"/>
  <c r="CC666" i="5"/>
  <c r="CE666" i="5"/>
  <c r="BZ666" i="5"/>
  <c r="BY666" i="5"/>
  <c r="BX666" i="5"/>
  <c r="CA666" i="5"/>
  <c r="BW666" i="5"/>
  <c r="BV666" i="5"/>
  <c r="BT666" i="5"/>
  <c r="BU666" i="5"/>
  <c r="BS666" i="5"/>
  <c r="BQ666" i="5"/>
  <c r="BR666" i="5"/>
  <c r="BM666" i="5"/>
  <c r="BL666" i="5"/>
  <c r="BK666" i="5"/>
  <c r="BJ666" i="5"/>
  <c r="BI666" i="5"/>
  <c r="BH666" i="5"/>
  <c r="BF666" i="5"/>
  <c r="BE666" i="5"/>
  <c r="BG666" i="5"/>
  <c r="BD666" i="5"/>
  <c r="BA666" i="5"/>
  <c r="BP666" i="5" s="1"/>
  <c r="AZ666" i="5"/>
  <c r="AY666" i="5"/>
  <c r="AV666" i="5"/>
  <c r="BC666" i="5" s="1"/>
  <c r="AU666" i="5"/>
  <c r="BB666" i="5" s="1"/>
  <c r="CK698" i="5"/>
  <c r="CJ698" i="5"/>
  <c r="CF698" i="5"/>
  <c r="CI698" i="5"/>
  <c r="CH698" i="5"/>
  <c r="CD698" i="5"/>
  <c r="CG698" i="5"/>
  <c r="CE698" i="5"/>
  <c r="CC698" i="5"/>
  <c r="CA698" i="5"/>
  <c r="BZ698" i="5"/>
  <c r="BY698" i="5"/>
  <c r="BX698" i="5"/>
  <c r="BW698" i="5"/>
  <c r="BV698" i="5"/>
  <c r="BT698" i="5"/>
  <c r="BU698" i="5"/>
  <c r="BS698" i="5"/>
  <c r="BQ698" i="5"/>
  <c r="BR698" i="5"/>
  <c r="BL698" i="5"/>
  <c r="BM698" i="5"/>
  <c r="BK698" i="5"/>
  <c r="BJ698" i="5"/>
  <c r="BI698" i="5"/>
  <c r="BH698" i="5"/>
  <c r="BF698" i="5"/>
  <c r="BE698" i="5"/>
  <c r="BG698" i="5"/>
  <c r="BD698" i="5"/>
  <c r="BA698" i="5"/>
  <c r="BP698" i="5" s="1"/>
  <c r="AZ698" i="5"/>
  <c r="AY698" i="5"/>
  <c r="AV698" i="5"/>
  <c r="BO698" i="5" s="1"/>
  <c r="AU698" i="5"/>
  <c r="BN698" i="5" s="1"/>
  <c r="CK127" i="5"/>
  <c r="CI127" i="5"/>
  <c r="CF127" i="5"/>
  <c r="CE127" i="5"/>
  <c r="CD127" i="5"/>
  <c r="CC127" i="5"/>
  <c r="CA127" i="5"/>
  <c r="BY127" i="5"/>
  <c r="BV127" i="5"/>
  <c r="BU127" i="5"/>
  <c r="BT127" i="5"/>
  <c r="BW127" i="5"/>
  <c r="BR127" i="5"/>
  <c r="BQ127" i="5"/>
  <c r="BS127" i="5"/>
  <c r="BM127" i="5"/>
  <c r="BJ127" i="5"/>
  <c r="BI127" i="5"/>
  <c r="BH127" i="5"/>
  <c r="BK127" i="5"/>
  <c r="BF127" i="5"/>
  <c r="BG127" i="5"/>
  <c r="BE127" i="5"/>
  <c r="BD127" i="5"/>
  <c r="BA127" i="5"/>
  <c r="BP127" i="5" s="1"/>
  <c r="AZ127" i="5"/>
  <c r="AY127" i="5"/>
  <c r="AU127" i="5"/>
  <c r="BB127" i="5" s="1"/>
  <c r="AV127" i="5"/>
  <c r="BC127" i="5" s="1"/>
  <c r="CI359" i="5"/>
  <c r="CG359" i="5"/>
  <c r="CH359" i="5"/>
  <c r="CK359" i="5"/>
  <c r="CJ359" i="5"/>
  <c r="CF359" i="5"/>
  <c r="CE359" i="5"/>
  <c r="CC359" i="5"/>
  <c r="CD359" i="5"/>
  <c r="CA359" i="5"/>
  <c r="BY359" i="5"/>
  <c r="BZ359" i="5"/>
  <c r="BX359" i="5"/>
  <c r="BW359" i="5"/>
  <c r="BU359" i="5"/>
  <c r="BT359" i="5"/>
  <c r="BV359" i="5"/>
  <c r="BQ359" i="5"/>
  <c r="BS359" i="5"/>
  <c r="BR359" i="5"/>
  <c r="BM359" i="5"/>
  <c r="BL359" i="5"/>
  <c r="BJ359" i="5"/>
  <c r="BK359" i="5"/>
  <c r="BI359" i="5"/>
  <c r="BH359" i="5"/>
  <c r="BF359" i="5"/>
  <c r="BG359" i="5"/>
  <c r="BE359" i="5"/>
  <c r="BD359" i="5"/>
  <c r="BA359" i="5"/>
  <c r="BP359" i="5" s="1"/>
  <c r="AZ359" i="5"/>
  <c r="AY359" i="5"/>
  <c r="AU359" i="5"/>
  <c r="BB359" i="5" s="1"/>
  <c r="AV359" i="5"/>
  <c r="BC359" i="5" s="1"/>
  <c r="BL412" i="5"/>
  <c r="CK647" i="5"/>
  <c r="CJ647" i="5"/>
  <c r="CH647" i="5"/>
  <c r="CI647" i="5"/>
  <c r="CF647" i="5"/>
  <c r="CG647" i="5"/>
  <c r="CC647" i="5"/>
  <c r="CD647" i="5"/>
  <c r="CE647" i="5"/>
  <c r="CA647" i="5"/>
  <c r="BZ647" i="5"/>
  <c r="BX647" i="5"/>
  <c r="BY647" i="5"/>
  <c r="BT647" i="5"/>
  <c r="BW647" i="5"/>
  <c r="BV647" i="5"/>
  <c r="BS647" i="5"/>
  <c r="BU647" i="5"/>
  <c r="BQ647" i="5"/>
  <c r="BR647" i="5"/>
  <c r="BM647" i="5"/>
  <c r="BL647" i="5"/>
  <c r="BJ647" i="5"/>
  <c r="BK647" i="5"/>
  <c r="BI647" i="5"/>
  <c r="BH647" i="5"/>
  <c r="BG647" i="5"/>
  <c r="BF647" i="5"/>
  <c r="BE647" i="5"/>
  <c r="BD647" i="5"/>
  <c r="BA647" i="5"/>
  <c r="BP647" i="5" s="1"/>
  <c r="AZ647" i="5"/>
  <c r="AY647" i="5"/>
  <c r="AU647" i="5"/>
  <c r="BN647" i="5" s="1"/>
  <c r="AV647" i="5"/>
  <c r="BO647" i="5" s="1"/>
  <c r="CK27" i="5"/>
  <c r="CF27" i="5"/>
  <c r="CD27" i="5"/>
  <c r="CI27" i="5"/>
  <c r="CE27" i="5"/>
  <c r="CA27" i="5"/>
  <c r="CC27" i="5"/>
  <c r="BY27" i="5"/>
  <c r="BU27" i="5"/>
  <c r="BW27" i="5"/>
  <c r="BV27" i="5"/>
  <c r="BT27" i="5"/>
  <c r="BS27" i="5"/>
  <c r="BR27" i="5"/>
  <c r="BQ27" i="5"/>
  <c r="BK27" i="5"/>
  <c r="BJ27" i="5"/>
  <c r="BM27" i="5"/>
  <c r="BH27" i="5"/>
  <c r="BI27" i="5"/>
  <c r="BF27" i="5"/>
  <c r="BE27" i="5"/>
  <c r="BD27" i="5"/>
  <c r="BG27" i="5"/>
  <c r="BA27" i="5"/>
  <c r="BP27" i="5" s="1"/>
  <c r="AZ27" i="5"/>
  <c r="AV27" i="5"/>
  <c r="BC27" i="5" s="1"/>
  <c r="AY27" i="5"/>
  <c r="AU27" i="5"/>
  <c r="BN27" i="5" s="1"/>
  <c r="CK59" i="5"/>
  <c r="CI59" i="5"/>
  <c r="CF59" i="5"/>
  <c r="CJ59" i="5"/>
  <c r="CH59" i="5"/>
  <c r="CD59" i="5"/>
  <c r="CG59" i="5"/>
  <c r="CE59" i="5"/>
  <c r="CA59" i="5"/>
  <c r="CC59" i="5"/>
  <c r="BZ59" i="5"/>
  <c r="BY59" i="5"/>
  <c r="BX59" i="5"/>
  <c r="BW59" i="5"/>
  <c r="BV59" i="5"/>
  <c r="BU59" i="5"/>
  <c r="BT59" i="5"/>
  <c r="BS59" i="5"/>
  <c r="BR59" i="5"/>
  <c r="BQ59" i="5"/>
  <c r="BK59" i="5"/>
  <c r="BJ59" i="5"/>
  <c r="BL59" i="5"/>
  <c r="BM59" i="5"/>
  <c r="BH59" i="5"/>
  <c r="BI59" i="5"/>
  <c r="BF59" i="5"/>
  <c r="BE59" i="5"/>
  <c r="BD59" i="5"/>
  <c r="BG59" i="5"/>
  <c r="BA59" i="5"/>
  <c r="BP59" i="5" s="1"/>
  <c r="AZ59" i="5"/>
  <c r="AV59" i="5"/>
  <c r="BC59" i="5" s="1"/>
  <c r="AY59" i="5"/>
  <c r="AU59" i="5"/>
  <c r="BN59" i="5" s="1"/>
  <c r="CJ91" i="5"/>
  <c r="CK91" i="5"/>
  <c r="CI91" i="5"/>
  <c r="CG91" i="5"/>
  <c r="CF91" i="5"/>
  <c r="CH91" i="5"/>
  <c r="CD91" i="5"/>
  <c r="CE91" i="5"/>
  <c r="CC91" i="5"/>
  <c r="CA91" i="5"/>
  <c r="BZ91" i="5"/>
  <c r="BX91" i="5"/>
  <c r="BY91" i="5"/>
  <c r="BW91" i="5"/>
  <c r="BV91" i="5"/>
  <c r="BU91" i="5"/>
  <c r="BT91" i="5"/>
  <c r="BS91" i="5"/>
  <c r="BR91" i="5"/>
  <c r="BQ91" i="5"/>
  <c r="BL91" i="5"/>
  <c r="BK91" i="5"/>
  <c r="BJ91" i="5"/>
  <c r="BM91" i="5"/>
  <c r="BH91" i="5"/>
  <c r="BI91" i="5"/>
  <c r="BF91" i="5"/>
  <c r="BE91" i="5"/>
  <c r="BD91" i="5"/>
  <c r="BG91" i="5"/>
  <c r="BA91" i="5"/>
  <c r="BP91" i="5" s="1"/>
  <c r="AZ91" i="5"/>
  <c r="AV91" i="5"/>
  <c r="BC91" i="5" s="1"/>
  <c r="AY91" i="5"/>
  <c r="AU91" i="5"/>
  <c r="BN91" i="5" s="1"/>
  <c r="CK123" i="5"/>
  <c r="CI123" i="5"/>
  <c r="CF123" i="5"/>
  <c r="CD123" i="5"/>
  <c r="CE123" i="5"/>
  <c r="CC123" i="5"/>
  <c r="CA123" i="5"/>
  <c r="BY123" i="5"/>
  <c r="BW123" i="5"/>
  <c r="BV123" i="5"/>
  <c r="BU123" i="5"/>
  <c r="BT123" i="5"/>
  <c r="BS123" i="5"/>
  <c r="BR123" i="5"/>
  <c r="BQ123" i="5"/>
  <c r="BJ123" i="5"/>
  <c r="BM123" i="5"/>
  <c r="BH123" i="5"/>
  <c r="BK123" i="5"/>
  <c r="BI123" i="5"/>
  <c r="BF123" i="5"/>
  <c r="BE123" i="5"/>
  <c r="BD123" i="5"/>
  <c r="BG123" i="5"/>
  <c r="BA123" i="5"/>
  <c r="BP123" i="5" s="1"/>
  <c r="AZ123" i="5"/>
  <c r="AV123" i="5"/>
  <c r="BC123" i="5" s="1"/>
  <c r="AU123" i="5"/>
  <c r="BB123" i="5" s="1"/>
  <c r="AY123" i="5"/>
  <c r="CK155" i="5"/>
  <c r="CJ155" i="5"/>
  <c r="CH155" i="5"/>
  <c r="CI155" i="5"/>
  <c r="CG155" i="5"/>
  <c r="CF155" i="5"/>
  <c r="CD155" i="5"/>
  <c r="CE155" i="5"/>
  <c r="CA155" i="5"/>
  <c r="CC155" i="5"/>
  <c r="BZ155" i="5"/>
  <c r="BX155" i="5"/>
  <c r="BY155" i="5"/>
  <c r="BW155" i="5"/>
  <c r="BV155" i="5"/>
  <c r="BU155" i="5"/>
  <c r="BT155" i="5"/>
  <c r="BS155" i="5"/>
  <c r="BR155" i="5"/>
  <c r="BQ155" i="5"/>
  <c r="BL155" i="5"/>
  <c r="BJ155" i="5"/>
  <c r="BM155" i="5"/>
  <c r="BH155" i="5"/>
  <c r="BK155" i="5"/>
  <c r="BI155" i="5"/>
  <c r="BF155" i="5"/>
  <c r="BE155" i="5"/>
  <c r="BD155" i="5"/>
  <c r="BG155" i="5"/>
  <c r="BA155" i="5"/>
  <c r="BP155" i="5" s="1"/>
  <c r="AZ155" i="5"/>
  <c r="AV155" i="5"/>
  <c r="BC155" i="5" s="1"/>
  <c r="AU155" i="5"/>
  <c r="BB155" i="5" s="1"/>
  <c r="AY155" i="5"/>
  <c r="BX52" i="5"/>
  <c r="CK531" i="5"/>
  <c r="CJ531" i="5"/>
  <c r="CI531" i="5"/>
  <c r="CG531" i="5"/>
  <c r="CH531" i="5"/>
  <c r="CF531" i="5"/>
  <c r="CE531" i="5"/>
  <c r="CA531" i="5"/>
  <c r="CD531" i="5"/>
  <c r="CC531" i="5"/>
  <c r="BZ531" i="5"/>
  <c r="BY531" i="5"/>
  <c r="BX531" i="5"/>
  <c r="BV531" i="5"/>
  <c r="BW531" i="5"/>
  <c r="BT531" i="5"/>
  <c r="BU531" i="5"/>
  <c r="BS531" i="5"/>
  <c r="BQ531" i="5"/>
  <c r="BR531" i="5"/>
  <c r="BL531" i="5"/>
  <c r="BJ531" i="5"/>
  <c r="BM531" i="5"/>
  <c r="BH531" i="5"/>
  <c r="BK531" i="5"/>
  <c r="BI531" i="5"/>
  <c r="BG531" i="5"/>
  <c r="BF531" i="5"/>
  <c r="BE531" i="5"/>
  <c r="BD531" i="5"/>
  <c r="BA531" i="5"/>
  <c r="BP531" i="5" s="1"/>
  <c r="AZ531" i="5"/>
  <c r="AV531" i="5"/>
  <c r="BO531" i="5" s="1"/>
  <c r="AY531" i="5"/>
  <c r="AU531" i="5"/>
  <c r="BB531" i="5" s="1"/>
  <c r="BB28" i="5"/>
  <c r="BZ28" i="5" s="1"/>
  <c r="BL156" i="5"/>
  <c r="CK447" i="5"/>
  <c r="CH447" i="5"/>
  <c r="CJ447" i="5"/>
  <c r="CI447" i="5"/>
  <c r="CG447" i="5"/>
  <c r="CE447" i="5"/>
  <c r="CF447" i="5"/>
  <c r="CD447" i="5"/>
  <c r="CA447" i="5"/>
  <c r="CC447" i="5"/>
  <c r="BZ447" i="5"/>
  <c r="BX447" i="5"/>
  <c r="BY447" i="5"/>
  <c r="BV447" i="5"/>
  <c r="BT447" i="5"/>
  <c r="BW447" i="5"/>
  <c r="BS447" i="5"/>
  <c r="BQ447" i="5"/>
  <c r="BU447" i="5"/>
  <c r="BR447" i="5"/>
  <c r="BM447" i="5"/>
  <c r="BL447" i="5"/>
  <c r="BJ447" i="5"/>
  <c r="BI447" i="5"/>
  <c r="BH447" i="5"/>
  <c r="BK447" i="5"/>
  <c r="BG447" i="5"/>
  <c r="BF447" i="5"/>
  <c r="BE447" i="5"/>
  <c r="BD447" i="5"/>
  <c r="BA447" i="5"/>
  <c r="BP447" i="5" s="1"/>
  <c r="AZ447" i="5"/>
  <c r="AY447" i="5"/>
  <c r="AU447" i="5"/>
  <c r="BN447" i="5" s="1"/>
  <c r="AV447" i="5"/>
  <c r="BC447" i="5" s="1"/>
  <c r="BL4" i="5"/>
  <c r="BX68" i="5"/>
  <c r="CK363" i="5"/>
  <c r="CH363" i="5"/>
  <c r="CJ363" i="5"/>
  <c r="CI363" i="5"/>
  <c r="CD363" i="5"/>
  <c r="CF363" i="5"/>
  <c r="CG363" i="5"/>
  <c r="CE363" i="5"/>
  <c r="CC363" i="5"/>
  <c r="CA363" i="5"/>
  <c r="BZ363" i="5"/>
  <c r="BY363" i="5"/>
  <c r="BX363" i="5"/>
  <c r="BW363" i="5"/>
  <c r="BV363" i="5"/>
  <c r="BU363" i="5"/>
  <c r="BT363" i="5"/>
  <c r="BS363" i="5"/>
  <c r="BQ363" i="5"/>
  <c r="BR363" i="5"/>
  <c r="BL363" i="5"/>
  <c r="BJ363" i="5"/>
  <c r="BM363" i="5"/>
  <c r="BH363" i="5"/>
  <c r="BK363" i="5"/>
  <c r="BI363" i="5"/>
  <c r="BG363" i="5"/>
  <c r="BF363" i="5"/>
  <c r="BE363" i="5"/>
  <c r="BD363" i="5"/>
  <c r="BA363" i="5"/>
  <c r="BP363" i="5" s="1"/>
  <c r="AZ363" i="5"/>
  <c r="AV363" i="5"/>
  <c r="BO363" i="5" s="1"/>
  <c r="AU363" i="5"/>
  <c r="BN363" i="5" s="1"/>
  <c r="AY363" i="5"/>
  <c r="CK587" i="5"/>
  <c r="CI587" i="5"/>
  <c r="CF587" i="5"/>
  <c r="CE587" i="5"/>
  <c r="CD587" i="5"/>
  <c r="CA587" i="5"/>
  <c r="CC587" i="5"/>
  <c r="BY587" i="5"/>
  <c r="BV587" i="5"/>
  <c r="BW587" i="5"/>
  <c r="BT587" i="5"/>
  <c r="BU587" i="5"/>
  <c r="BS587" i="5"/>
  <c r="BQ587" i="5"/>
  <c r="BR587" i="5"/>
  <c r="BJ587" i="5"/>
  <c r="BM587" i="5"/>
  <c r="BH587" i="5"/>
  <c r="BK587" i="5"/>
  <c r="BI587" i="5"/>
  <c r="BG587" i="5"/>
  <c r="BF587" i="5"/>
  <c r="BE587" i="5"/>
  <c r="BD587" i="5"/>
  <c r="BA587" i="5"/>
  <c r="BP587" i="5" s="1"/>
  <c r="AZ587" i="5"/>
  <c r="AV587" i="5"/>
  <c r="BC587" i="5" s="1"/>
  <c r="AU587" i="5"/>
  <c r="BB587" i="5" s="1"/>
  <c r="AY587" i="5"/>
  <c r="CK78" i="5"/>
  <c r="CJ78" i="5"/>
  <c r="CI78" i="5"/>
  <c r="CH78" i="5"/>
  <c r="CG78" i="5"/>
  <c r="CF78" i="5"/>
  <c r="CE78" i="5"/>
  <c r="CC78" i="5"/>
  <c r="CD78" i="5"/>
  <c r="BZ78" i="5"/>
  <c r="CA78" i="5"/>
  <c r="BW78" i="5"/>
  <c r="BY78" i="5"/>
  <c r="BX78" i="5"/>
  <c r="BU78" i="5"/>
  <c r="BS78" i="5"/>
  <c r="BV78" i="5"/>
  <c r="BR78" i="5"/>
  <c r="BT78" i="5"/>
  <c r="BQ78" i="5"/>
  <c r="BM78" i="5"/>
  <c r="BL78" i="5"/>
  <c r="BK78" i="5"/>
  <c r="BJ78" i="5"/>
  <c r="BI78" i="5"/>
  <c r="BH78" i="5"/>
  <c r="BG78" i="5"/>
  <c r="BF78" i="5"/>
  <c r="BE78" i="5"/>
  <c r="BD78" i="5"/>
  <c r="AZ78" i="5"/>
  <c r="AY78" i="5"/>
  <c r="BA78" i="5"/>
  <c r="BP78" i="5" s="1"/>
  <c r="AU78" i="5"/>
  <c r="BN78" i="5" s="1"/>
  <c r="AV78" i="5"/>
  <c r="BC78" i="5" s="1"/>
  <c r="CI134" i="5"/>
  <c r="CK134" i="5"/>
  <c r="CD134" i="5"/>
  <c r="CF134" i="5"/>
  <c r="CE134" i="5"/>
  <c r="CC134" i="5"/>
  <c r="CA134" i="5"/>
  <c r="BW134" i="5"/>
  <c r="BY134" i="5"/>
  <c r="BU134" i="5"/>
  <c r="BS134" i="5"/>
  <c r="BV134" i="5"/>
  <c r="BR134" i="5"/>
  <c r="BT134" i="5"/>
  <c r="BQ134" i="5"/>
  <c r="BM134" i="5"/>
  <c r="BK134" i="5"/>
  <c r="BI134" i="5"/>
  <c r="BH134" i="5"/>
  <c r="BJ134" i="5"/>
  <c r="BG134" i="5"/>
  <c r="BF134" i="5"/>
  <c r="BE134" i="5"/>
  <c r="BD134" i="5"/>
  <c r="AZ134" i="5"/>
  <c r="BA134" i="5"/>
  <c r="BP134" i="5" s="1"/>
  <c r="AU134" i="5"/>
  <c r="BB134" i="5" s="1"/>
  <c r="AY134" i="5"/>
  <c r="AV134" i="5"/>
  <c r="BO134" i="5" s="1"/>
  <c r="CJ166" i="5"/>
  <c r="CI166" i="5"/>
  <c r="CK166" i="5"/>
  <c r="CH166" i="5"/>
  <c r="CD166" i="5"/>
  <c r="CG166" i="5"/>
  <c r="CF166" i="5"/>
  <c r="CC166" i="5"/>
  <c r="CE166" i="5"/>
  <c r="BZ166" i="5"/>
  <c r="BX166" i="5"/>
  <c r="CA166" i="5"/>
  <c r="BW166" i="5"/>
  <c r="BY166" i="5"/>
  <c r="BU166" i="5"/>
  <c r="BS166" i="5"/>
  <c r="BV166" i="5"/>
  <c r="BR166" i="5"/>
  <c r="BT166" i="5"/>
  <c r="BQ166" i="5"/>
  <c r="BL166" i="5"/>
  <c r="BM166" i="5"/>
  <c r="BK166" i="5"/>
  <c r="BI166" i="5"/>
  <c r="BH166" i="5"/>
  <c r="BJ166" i="5"/>
  <c r="BG166" i="5"/>
  <c r="BF166" i="5"/>
  <c r="BE166" i="5"/>
  <c r="BD166" i="5"/>
  <c r="AZ166" i="5"/>
  <c r="BA166" i="5"/>
  <c r="AU166" i="5"/>
  <c r="AY166" i="5"/>
  <c r="AV166" i="5"/>
  <c r="CK198" i="5"/>
  <c r="CI198" i="5"/>
  <c r="CH198" i="5"/>
  <c r="CJ198" i="5"/>
  <c r="CD198" i="5"/>
  <c r="CG198" i="5"/>
  <c r="CE198" i="5"/>
  <c r="CF198" i="5"/>
  <c r="CC198" i="5"/>
  <c r="BZ198" i="5"/>
  <c r="BX198" i="5"/>
  <c r="CA198" i="5"/>
  <c r="BW198" i="5"/>
  <c r="BY198" i="5"/>
  <c r="BU198" i="5"/>
  <c r="BS198" i="5"/>
  <c r="BV198" i="5"/>
  <c r="BT198" i="5"/>
  <c r="BR198" i="5"/>
  <c r="BQ198" i="5"/>
  <c r="BM198" i="5"/>
  <c r="BL198" i="5"/>
  <c r="BK198" i="5"/>
  <c r="BI198" i="5"/>
  <c r="BH198" i="5"/>
  <c r="BJ198" i="5"/>
  <c r="BG198" i="5"/>
  <c r="BF198" i="5"/>
  <c r="BE198" i="5"/>
  <c r="BD198" i="5"/>
  <c r="AZ198" i="5"/>
  <c r="BA198" i="5"/>
  <c r="BP198" i="5" s="1"/>
  <c r="AU198" i="5"/>
  <c r="BN198" i="5" s="1"/>
  <c r="AY198" i="5"/>
  <c r="AV198" i="5"/>
  <c r="BC198" i="5" s="1"/>
  <c r="CI230" i="5"/>
  <c r="CK230" i="5"/>
  <c r="CD230" i="5"/>
  <c r="CF230" i="5"/>
  <c r="CE230" i="5"/>
  <c r="CC230" i="5"/>
  <c r="CA230" i="5"/>
  <c r="BW230" i="5"/>
  <c r="BY230" i="5"/>
  <c r="BU230" i="5"/>
  <c r="BS230" i="5"/>
  <c r="BV230" i="5"/>
  <c r="BT230" i="5"/>
  <c r="BR230" i="5"/>
  <c r="BQ230" i="5"/>
  <c r="BM230" i="5"/>
  <c r="BK230" i="5"/>
  <c r="BI230" i="5"/>
  <c r="BH230" i="5"/>
  <c r="BJ230" i="5"/>
  <c r="BG230" i="5"/>
  <c r="BF230" i="5"/>
  <c r="BE230" i="5"/>
  <c r="BD230" i="5"/>
  <c r="AZ230" i="5"/>
  <c r="BA230" i="5"/>
  <c r="BP230" i="5" s="1"/>
  <c r="AU230" i="5"/>
  <c r="BB230" i="5" s="1"/>
  <c r="AY230" i="5"/>
  <c r="AV230" i="5"/>
  <c r="BO230" i="5" s="1"/>
  <c r="CI262" i="5"/>
  <c r="CK262" i="5"/>
  <c r="CD262" i="5"/>
  <c r="CF262" i="5"/>
  <c r="CC262" i="5"/>
  <c r="CE262" i="5"/>
  <c r="CA262" i="5"/>
  <c r="BW262" i="5"/>
  <c r="BY262" i="5"/>
  <c r="BU262" i="5"/>
  <c r="BS262" i="5"/>
  <c r="BV262" i="5"/>
  <c r="BT262" i="5"/>
  <c r="BR262" i="5"/>
  <c r="BQ262" i="5"/>
  <c r="BM262" i="5"/>
  <c r="BK262" i="5"/>
  <c r="BI262" i="5"/>
  <c r="BH262" i="5"/>
  <c r="BJ262" i="5"/>
  <c r="BG262" i="5"/>
  <c r="BF262" i="5"/>
  <c r="BE262" i="5"/>
  <c r="BD262" i="5"/>
  <c r="AZ262" i="5"/>
  <c r="BA262" i="5"/>
  <c r="BP262" i="5" s="1"/>
  <c r="AU262" i="5"/>
  <c r="BB262" i="5" s="1"/>
  <c r="AY262" i="5"/>
  <c r="AV262" i="5"/>
  <c r="BO262" i="5" s="1"/>
  <c r="CI294" i="5"/>
  <c r="CK294" i="5"/>
  <c r="CF294" i="5"/>
  <c r="CD294" i="5"/>
  <c r="CE294" i="5"/>
  <c r="CC294" i="5"/>
  <c r="CA294" i="5"/>
  <c r="BW294" i="5"/>
  <c r="BY294" i="5"/>
  <c r="BU294" i="5"/>
  <c r="BS294" i="5"/>
  <c r="BV294" i="5"/>
  <c r="BT294" i="5"/>
  <c r="BR294" i="5"/>
  <c r="BQ294" i="5"/>
  <c r="BM294" i="5"/>
  <c r="BK294" i="5"/>
  <c r="BI294" i="5"/>
  <c r="BH294" i="5"/>
  <c r="BJ294" i="5"/>
  <c r="BG294" i="5"/>
  <c r="BF294" i="5"/>
  <c r="BE294" i="5"/>
  <c r="BD294" i="5"/>
  <c r="AZ294" i="5"/>
  <c r="BA294" i="5"/>
  <c r="BP294" i="5" s="1"/>
  <c r="AU294" i="5"/>
  <c r="BB294" i="5" s="1"/>
  <c r="AY294" i="5"/>
  <c r="AV294" i="5"/>
  <c r="BO294" i="5" s="1"/>
  <c r="CK326" i="5"/>
  <c r="CI326" i="5"/>
  <c r="CJ326" i="5"/>
  <c r="CH326" i="5"/>
  <c r="CF326" i="5"/>
  <c r="CE326" i="5"/>
  <c r="CG326" i="5"/>
  <c r="CD326" i="5"/>
  <c r="CC326" i="5"/>
  <c r="BZ326" i="5"/>
  <c r="CA326" i="5"/>
  <c r="BW326" i="5"/>
  <c r="BY326" i="5"/>
  <c r="BX326" i="5"/>
  <c r="BU326" i="5"/>
  <c r="BS326" i="5"/>
  <c r="BV326" i="5"/>
  <c r="BT326" i="5"/>
  <c r="BR326" i="5"/>
  <c r="BQ326" i="5"/>
  <c r="BM326" i="5"/>
  <c r="BL326" i="5"/>
  <c r="BK326" i="5"/>
  <c r="BI326" i="5"/>
  <c r="BH326" i="5"/>
  <c r="BJ326" i="5"/>
  <c r="BG326" i="5"/>
  <c r="BF326" i="5"/>
  <c r="BE326" i="5"/>
  <c r="BD326" i="5"/>
  <c r="AZ326" i="5"/>
  <c r="BA326" i="5"/>
  <c r="BP326" i="5" s="1"/>
  <c r="AU326" i="5"/>
  <c r="BN326" i="5" s="1"/>
  <c r="AY326" i="5"/>
  <c r="AV326" i="5"/>
  <c r="BO326" i="5" s="1"/>
  <c r="CK358" i="5"/>
  <c r="CI358" i="5"/>
  <c r="CJ358" i="5"/>
  <c r="CH358" i="5"/>
  <c r="CG358" i="5"/>
  <c r="CF358" i="5"/>
  <c r="CD358" i="5"/>
  <c r="CE358" i="5"/>
  <c r="CC358" i="5"/>
  <c r="BZ358" i="5"/>
  <c r="CA358" i="5"/>
  <c r="BW358" i="5"/>
  <c r="BY358" i="5"/>
  <c r="BX358" i="5"/>
  <c r="BU358" i="5"/>
  <c r="BS358" i="5"/>
  <c r="BV358" i="5"/>
  <c r="BT358" i="5"/>
  <c r="BR358" i="5"/>
  <c r="BQ358" i="5"/>
  <c r="BM358" i="5"/>
  <c r="BL358" i="5"/>
  <c r="BK358" i="5"/>
  <c r="BI358" i="5"/>
  <c r="BH358" i="5"/>
  <c r="BJ358" i="5"/>
  <c r="BG358" i="5"/>
  <c r="BF358" i="5"/>
  <c r="BE358" i="5"/>
  <c r="AZ358" i="5"/>
  <c r="BD358" i="5"/>
  <c r="BA358" i="5"/>
  <c r="BP358" i="5" s="1"/>
  <c r="AU358" i="5"/>
  <c r="BN358" i="5" s="1"/>
  <c r="AY358" i="5"/>
  <c r="AV358" i="5"/>
  <c r="BO358" i="5" s="1"/>
  <c r="CK390" i="5"/>
  <c r="CI390" i="5"/>
  <c r="CF390" i="5"/>
  <c r="CD390" i="5"/>
  <c r="CE390" i="5"/>
  <c r="CC390" i="5"/>
  <c r="CA390" i="5"/>
  <c r="BW390" i="5"/>
  <c r="BY390" i="5"/>
  <c r="BU390" i="5"/>
  <c r="BV390" i="5"/>
  <c r="BS390" i="5"/>
  <c r="BT390" i="5"/>
  <c r="BR390" i="5"/>
  <c r="BQ390" i="5"/>
  <c r="BM390" i="5"/>
  <c r="BK390" i="5"/>
  <c r="BI390" i="5"/>
  <c r="BH390" i="5"/>
  <c r="BJ390" i="5"/>
  <c r="BG390" i="5"/>
  <c r="BF390" i="5"/>
  <c r="BE390" i="5"/>
  <c r="AZ390" i="5"/>
  <c r="BD390" i="5"/>
  <c r="BA390" i="5"/>
  <c r="BP390" i="5" s="1"/>
  <c r="AU390" i="5"/>
  <c r="BB390" i="5" s="1"/>
  <c r="AY390" i="5"/>
  <c r="AV390" i="5"/>
  <c r="BO390" i="5" s="1"/>
  <c r="CK422" i="5"/>
  <c r="CK737" i="5" s="1"/>
  <c r="CK738" i="5" s="1"/>
  <c r="CI422" i="5"/>
  <c r="CI737" i="5" s="1"/>
  <c r="CI738" i="5" s="1"/>
  <c r="CF422" i="5"/>
  <c r="CD422" i="5"/>
  <c r="CC422" i="5"/>
  <c r="CE422" i="5"/>
  <c r="CE737" i="5" s="1"/>
  <c r="CE738" i="5" s="1"/>
  <c r="CA422" i="5"/>
  <c r="BW422" i="5"/>
  <c r="BY422" i="5"/>
  <c r="BV422" i="5"/>
  <c r="BS422" i="5"/>
  <c r="BT422" i="5"/>
  <c r="BU422" i="5"/>
  <c r="BR422" i="5"/>
  <c r="BQ422" i="5"/>
  <c r="BM422" i="5"/>
  <c r="BK422" i="5"/>
  <c r="BK737" i="5" s="1"/>
  <c r="BK738" i="5" s="1"/>
  <c r="BI422" i="5"/>
  <c r="BH422" i="5"/>
  <c r="BJ422" i="5"/>
  <c r="BG422" i="5"/>
  <c r="BF422" i="5"/>
  <c r="BF737" i="5" s="1"/>
  <c r="BF738" i="5" s="1"/>
  <c r="BE422" i="5"/>
  <c r="BE737" i="5" s="1"/>
  <c r="BE738" i="5" s="1"/>
  <c r="AZ422" i="5"/>
  <c r="AZ737" i="5" s="1"/>
  <c r="AZ738" i="5" s="1"/>
  <c r="BD422" i="5"/>
  <c r="BA422" i="5"/>
  <c r="BP422" i="5" s="1"/>
  <c r="AU422" i="5"/>
  <c r="BN422" i="5" s="1"/>
  <c r="AY422" i="5"/>
  <c r="AY737" i="5" s="1"/>
  <c r="AY738" i="5" s="1"/>
  <c r="AV422" i="5"/>
  <c r="BO422" i="5" s="1"/>
  <c r="CK454" i="5"/>
  <c r="CK748" i="5" s="1"/>
  <c r="CK749" i="5" s="1"/>
  <c r="CI454" i="5"/>
  <c r="CI748" i="5" s="1"/>
  <c r="CI749" i="5" s="1"/>
  <c r="CH454" i="5"/>
  <c r="CH748" i="5" s="1"/>
  <c r="CH749" i="5" s="1"/>
  <c r="CG454" i="5"/>
  <c r="CG748" i="5" s="1"/>
  <c r="CG749" i="5" s="1"/>
  <c r="CJ454" i="5"/>
  <c r="CJ748" i="5" s="1"/>
  <c r="CJ749" i="5" s="1"/>
  <c r="CF454" i="5"/>
  <c r="CF748" i="5" s="1"/>
  <c r="CF749" i="5" s="1"/>
  <c r="CE454" i="5"/>
  <c r="CE748" i="5" s="1"/>
  <c r="CE749" i="5" s="1"/>
  <c r="CD454" i="5"/>
  <c r="CD748" i="5" s="1"/>
  <c r="CD749" i="5" s="1"/>
  <c r="BZ454" i="5"/>
  <c r="CC454" i="5"/>
  <c r="CC748" i="5" s="1"/>
  <c r="CC749" i="5" s="1"/>
  <c r="CA454" i="5"/>
  <c r="CA748" i="5" s="1"/>
  <c r="CA749" i="5" s="1"/>
  <c r="BW454" i="5"/>
  <c r="BW748" i="5" s="1"/>
  <c r="BW749" i="5" s="1"/>
  <c r="BX454" i="5"/>
  <c r="BX748" i="5" s="1"/>
  <c r="BX749" i="5" s="1"/>
  <c r="BY454" i="5"/>
  <c r="BY748" i="5" s="1"/>
  <c r="BY749" i="5" s="1"/>
  <c r="BV454" i="5"/>
  <c r="BV748" i="5" s="1"/>
  <c r="BV749" i="5" s="1"/>
  <c r="BS454" i="5"/>
  <c r="BS748" i="5" s="1"/>
  <c r="BS749" i="5" s="1"/>
  <c r="BU454" i="5"/>
  <c r="BU748" i="5" s="1"/>
  <c r="BU749" i="5" s="1"/>
  <c r="BT454" i="5"/>
  <c r="BT748" i="5" s="1"/>
  <c r="BT749" i="5" s="1"/>
  <c r="BR454" i="5"/>
  <c r="BR748" i="5" s="1"/>
  <c r="BR749" i="5" s="1"/>
  <c r="BQ454" i="5"/>
  <c r="BQ748" i="5" s="1"/>
  <c r="BQ749" i="5" s="1"/>
  <c r="BM454" i="5"/>
  <c r="BM748" i="5" s="1"/>
  <c r="BM749" i="5" s="1"/>
  <c r="BL454" i="5"/>
  <c r="BL748" i="5" s="1"/>
  <c r="BL749" i="5" s="1"/>
  <c r="BK454" i="5"/>
  <c r="BK748" i="5" s="1"/>
  <c r="BK749" i="5" s="1"/>
  <c r="BI454" i="5"/>
  <c r="BI748" i="5" s="1"/>
  <c r="BI749" i="5" s="1"/>
  <c r="BH454" i="5"/>
  <c r="BH748" i="5" s="1"/>
  <c r="BH749" i="5" s="1"/>
  <c r="BJ454" i="5"/>
  <c r="BJ748" i="5" s="1"/>
  <c r="BJ749" i="5" s="1"/>
  <c r="BG454" i="5"/>
  <c r="BG748" i="5" s="1"/>
  <c r="BG749" i="5" s="1"/>
  <c r="BF454" i="5"/>
  <c r="BF748" i="5" s="1"/>
  <c r="BF749" i="5" s="1"/>
  <c r="BE454" i="5"/>
  <c r="BE748" i="5" s="1"/>
  <c r="BE749" i="5" s="1"/>
  <c r="AZ454" i="5"/>
  <c r="AZ748" i="5" s="1"/>
  <c r="AZ749" i="5" s="1"/>
  <c r="BD454" i="5"/>
  <c r="BD748" i="5" s="1"/>
  <c r="BD749" i="5" s="1"/>
  <c r="BA454" i="5"/>
  <c r="AU454" i="5"/>
  <c r="AY454" i="5"/>
  <c r="AY748" i="5" s="1"/>
  <c r="AY749" i="5" s="1"/>
  <c r="AV454" i="5"/>
  <c r="CI486" i="5"/>
  <c r="CJ486" i="5"/>
  <c r="CK486" i="5"/>
  <c r="CG486" i="5"/>
  <c r="CH486" i="5"/>
  <c r="CD486" i="5"/>
  <c r="CE486" i="5"/>
  <c r="CF486" i="5"/>
  <c r="CC486" i="5"/>
  <c r="BZ486" i="5"/>
  <c r="CA486" i="5"/>
  <c r="BW486" i="5"/>
  <c r="BX486" i="5"/>
  <c r="BY486" i="5"/>
  <c r="BV486" i="5"/>
  <c r="BS486" i="5"/>
  <c r="BU486" i="5"/>
  <c r="BT486" i="5"/>
  <c r="BR486" i="5"/>
  <c r="BQ486" i="5"/>
  <c r="BM486" i="5"/>
  <c r="BL486" i="5"/>
  <c r="BK486" i="5"/>
  <c r="BI486" i="5"/>
  <c r="BH486" i="5"/>
  <c r="BJ486" i="5"/>
  <c r="BG486" i="5"/>
  <c r="BF486" i="5"/>
  <c r="BE486" i="5"/>
  <c r="AZ486" i="5"/>
  <c r="BD486" i="5"/>
  <c r="BA486" i="5"/>
  <c r="BP486" i="5" s="1"/>
  <c r="AU486" i="5"/>
  <c r="BN486" i="5" s="1"/>
  <c r="AY486" i="5"/>
  <c r="AV486" i="5"/>
  <c r="BO486" i="5" s="1"/>
  <c r="CI518" i="5"/>
  <c r="CJ518" i="5"/>
  <c r="CK518" i="5"/>
  <c r="CG518" i="5"/>
  <c r="CH518" i="5"/>
  <c r="CF518" i="5"/>
  <c r="CD518" i="5"/>
  <c r="CE518" i="5"/>
  <c r="BZ518" i="5"/>
  <c r="CC518" i="5"/>
  <c r="CA518" i="5"/>
  <c r="BW518" i="5"/>
  <c r="BX518" i="5"/>
  <c r="BY518" i="5"/>
  <c r="BV518" i="5"/>
  <c r="BS518" i="5"/>
  <c r="BU518" i="5"/>
  <c r="BT518" i="5"/>
  <c r="BR518" i="5"/>
  <c r="BQ518" i="5"/>
  <c r="BM518" i="5"/>
  <c r="BL518" i="5"/>
  <c r="BK518" i="5"/>
  <c r="BI518" i="5"/>
  <c r="BH518" i="5"/>
  <c r="BJ518" i="5"/>
  <c r="BG518" i="5"/>
  <c r="BF518" i="5"/>
  <c r="BE518" i="5"/>
  <c r="AZ518" i="5"/>
  <c r="BD518" i="5"/>
  <c r="BA518" i="5"/>
  <c r="BP518" i="5" s="1"/>
  <c r="AU518" i="5"/>
  <c r="BN518" i="5" s="1"/>
  <c r="AY518" i="5"/>
  <c r="AV518" i="5"/>
  <c r="BO518" i="5" s="1"/>
  <c r="CI550" i="5"/>
  <c r="CJ550" i="5"/>
  <c r="CG550" i="5"/>
  <c r="CK550" i="5"/>
  <c r="CH550" i="5"/>
  <c r="CE550" i="5"/>
  <c r="CD550" i="5"/>
  <c r="CC550" i="5"/>
  <c r="CF550" i="5"/>
  <c r="CA550" i="5"/>
  <c r="BZ550" i="5"/>
  <c r="BX550" i="5"/>
  <c r="BY550" i="5"/>
  <c r="BW550" i="5"/>
  <c r="BV550" i="5"/>
  <c r="BS550" i="5"/>
  <c r="BU550" i="5"/>
  <c r="BT550" i="5"/>
  <c r="BR550" i="5"/>
  <c r="BQ550" i="5"/>
  <c r="BM550" i="5"/>
  <c r="BL550" i="5"/>
  <c r="BK550" i="5"/>
  <c r="BI550" i="5"/>
  <c r="BH550" i="5"/>
  <c r="BJ550" i="5"/>
  <c r="BG550" i="5"/>
  <c r="BF550" i="5"/>
  <c r="BE550" i="5"/>
  <c r="AZ550" i="5"/>
  <c r="BD550" i="5"/>
  <c r="BA550" i="5"/>
  <c r="BP550" i="5" s="1"/>
  <c r="AU550" i="5"/>
  <c r="BN550" i="5" s="1"/>
  <c r="AY550" i="5"/>
  <c r="AV550" i="5"/>
  <c r="BO550" i="5" s="1"/>
  <c r="CK582" i="5"/>
  <c r="CI582" i="5"/>
  <c r="CG582" i="5"/>
  <c r="CH582" i="5"/>
  <c r="CJ582" i="5"/>
  <c r="CF582" i="5"/>
  <c r="CE582" i="5"/>
  <c r="CD582" i="5"/>
  <c r="CA582" i="5"/>
  <c r="CC582" i="5"/>
  <c r="BZ582" i="5"/>
  <c r="BY582" i="5"/>
  <c r="BX582" i="5"/>
  <c r="BW582" i="5"/>
  <c r="BV582" i="5"/>
  <c r="BS582" i="5"/>
  <c r="BU582" i="5"/>
  <c r="BT582" i="5"/>
  <c r="BR582" i="5"/>
  <c r="BQ582" i="5"/>
  <c r="BL582" i="5"/>
  <c r="BM582" i="5"/>
  <c r="BK582" i="5"/>
  <c r="BI582" i="5"/>
  <c r="BH582" i="5"/>
  <c r="BJ582" i="5"/>
  <c r="BG582" i="5"/>
  <c r="BF582" i="5"/>
  <c r="BE582" i="5"/>
  <c r="AZ582" i="5"/>
  <c r="BD582" i="5"/>
  <c r="BA582" i="5"/>
  <c r="BP582" i="5" s="1"/>
  <c r="AU582" i="5"/>
  <c r="BN582" i="5" s="1"/>
  <c r="AY582" i="5"/>
  <c r="AV582" i="5"/>
  <c r="BO582" i="5" s="1"/>
  <c r="CI614" i="5"/>
  <c r="CK614" i="5"/>
  <c r="CF614" i="5"/>
  <c r="CD614" i="5"/>
  <c r="CC614" i="5"/>
  <c r="CE614" i="5"/>
  <c r="CA614" i="5"/>
  <c r="BY614" i="5"/>
  <c r="BW614" i="5"/>
  <c r="BV614" i="5"/>
  <c r="BS614" i="5"/>
  <c r="BU614" i="5"/>
  <c r="BT614" i="5"/>
  <c r="BR614" i="5"/>
  <c r="BQ614" i="5"/>
  <c r="BM614" i="5"/>
  <c r="BK614" i="5"/>
  <c r="BI614" i="5"/>
  <c r="BH614" i="5"/>
  <c r="BJ614" i="5"/>
  <c r="BG614" i="5"/>
  <c r="BF614" i="5"/>
  <c r="BE614" i="5"/>
  <c r="AZ614" i="5"/>
  <c r="BD614" i="5"/>
  <c r="BA614" i="5"/>
  <c r="BP614" i="5" s="1"/>
  <c r="AU614" i="5"/>
  <c r="BB614" i="5" s="1"/>
  <c r="AY614" i="5"/>
  <c r="AV614" i="5"/>
  <c r="BC614" i="5" s="1"/>
  <c r="CK646" i="5"/>
  <c r="CI646" i="5"/>
  <c r="CJ646" i="5"/>
  <c r="CH646" i="5"/>
  <c r="CG646" i="5"/>
  <c r="CF646" i="5"/>
  <c r="CE646" i="5"/>
  <c r="CD646" i="5"/>
  <c r="CC646" i="5"/>
  <c r="BZ646" i="5"/>
  <c r="BX646" i="5"/>
  <c r="BY646" i="5"/>
  <c r="CA646" i="5"/>
  <c r="BW646" i="5"/>
  <c r="BV646" i="5"/>
  <c r="BS646" i="5"/>
  <c r="BU646" i="5"/>
  <c r="BT646" i="5"/>
  <c r="BR646" i="5"/>
  <c r="BQ646" i="5"/>
  <c r="BM646" i="5"/>
  <c r="BL646" i="5"/>
  <c r="BK646" i="5"/>
  <c r="BI646" i="5"/>
  <c r="BH646" i="5"/>
  <c r="BJ646" i="5"/>
  <c r="BG646" i="5"/>
  <c r="BF646" i="5"/>
  <c r="BE646" i="5"/>
  <c r="AZ646" i="5"/>
  <c r="BD646" i="5"/>
  <c r="BA646" i="5"/>
  <c r="BP646" i="5" s="1"/>
  <c r="AU646" i="5"/>
  <c r="BB646" i="5" s="1"/>
  <c r="AY646" i="5"/>
  <c r="AV646" i="5"/>
  <c r="BC646" i="5" s="1"/>
  <c r="CK670" i="5"/>
  <c r="CI670" i="5"/>
  <c r="CJ670" i="5"/>
  <c r="CH670" i="5"/>
  <c r="CG670" i="5"/>
  <c r="CF670" i="5"/>
  <c r="CE670" i="5"/>
  <c r="CD670" i="5"/>
  <c r="CC670" i="5"/>
  <c r="CA670" i="5"/>
  <c r="BZ670" i="5"/>
  <c r="BY670" i="5"/>
  <c r="BX670" i="5"/>
  <c r="BV670" i="5"/>
  <c r="BW670" i="5"/>
  <c r="BS670" i="5"/>
  <c r="BT670" i="5"/>
  <c r="BU670" i="5"/>
  <c r="BR670" i="5"/>
  <c r="BQ670" i="5"/>
  <c r="BM670" i="5"/>
  <c r="BL670" i="5"/>
  <c r="BI670" i="5"/>
  <c r="BH670" i="5"/>
  <c r="BK670" i="5"/>
  <c r="BJ670" i="5"/>
  <c r="BG670" i="5"/>
  <c r="BF670" i="5"/>
  <c r="BE670" i="5"/>
  <c r="AZ670" i="5"/>
  <c r="BD670" i="5"/>
  <c r="BA670" i="5"/>
  <c r="BP670" i="5" s="1"/>
  <c r="AU670" i="5"/>
  <c r="BB670" i="5" s="1"/>
  <c r="AY670" i="5"/>
  <c r="AV670" i="5"/>
  <c r="BC670" i="5" s="1"/>
  <c r="BB44" i="5"/>
  <c r="BZ44" i="5" s="1"/>
  <c r="BX44" i="5"/>
  <c r="BB172" i="5"/>
  <c r="BZ172" i="5" s="1"/>
  <c r="BX172" i="5"/>
  <c r="CK247" i="5"/>
  <c r="CJ247" i="5"/>
  <c r="CH247" i="5"/>
  <c r="CI247" i="5"/>
  <c r="CF247" i="5"/>
  <c r="CG247" i="5"/>
  <c r="CE247" i="5"/>
  <c r="CC247" i="5"/>
  <c r="CD247" i="5"/>
  <c r="CA247" i="5"/>
  <c r="BY247" i="5"/>
  <c r="BX247" i="5"/>
  <c r="BZ247" i="5"/>
  <c r="BW247" i="5"/>
  <c r="BU247" i="5"/>
  <c r="BV247" i="5"/>
  <c r="BT247" i="5"/>
  <c r="BS247" i="5"/>
  <c r="BQ247" i="5"/>
  <c r="BR247" i="5"/>
  <c r="BL247" i="5"/>
  <c r="BM247" i="5"/>
  <c r="BJ247" i="5"/>
  <c r="BK247" i="5"/>
  <c r="BI247" i="5"/>
  <c r="BH247" i="5"/>
  <c r="BG247" i="5"/>
  <c r="BF247" i="5"/>
  <c r="BE247" i="5"/>
  <c r="BD247" i="5"/>
  <c r="BA247" i="5"/>
  <c r="BP247" i="5" s="1"/>
  <c r="AZ247" i="5"/>
  <c r="AY247" i="5"/>
  <c r="AU247" i="5"/>
  <c r="BN247" i="5" s="1"/>
  <c r="AV247" i="5"/>
  <c r="BC247" i="5" s="1"/>
  <c r="CJ567" i="5"/>
  <c r="CK567" i="5"/>
  <c r="CH567" i="5"/>
  <c r="CG567" i="5"/>
  <c r="CI567" i="5"/>
  <c r="CF567" i="5"/>
  <c r="CE567" i="5"/>
  <c r="CC567" i="5"/>
  <c r="CD567" i="5"/>
  <c r="CA567" i="5"/>
  <c r="BY567" i="5"/>
  <c r="BX567" i="5"/>
  <c r="BZ567" i="5"/>
  <c r="BW567" i="5"/>
  <c r="BV567" i="5"/>
  <c r="BT567" i="5"/>
  <c r="BS567" i="5"/>
  <c r="BU567" i="5"/>
  <c r="BQ567" i="5"/>
  <c r="BR567" i="5"/>
  <c r="BM567" i="5"/>
  <c r="BL567" i="5"/>
  <c r="BJ567" i="5"/>
  <c r="BK567" i="5"/>
  <c r="BI567" i="5"/>
  <c r="BH567" i="5"/>
  <c r="BG567" i="5"/>
  <c r="BF567" i="5"/>
  <c r="BE567" i="5"/>
  <c r="BD567" i="5"/>
  <c r="BA567" i="5"/>
  <c r="BP567" i="5" s="1"/>
  <c r="AZ567" i="5"/>
  <c r="AY567" i="5"/>
  <c r="AU567" i="5"/>
  <c r="BN567" i="5" s="1"/>
  <c r="AV567" i="5"/>
  <c r="BC567" i="5" s="1"/>
  <c r="CK7" i="5"/>
  <c r="CI7" i="5"/>
  <c r="CF7" i="5"/>
  <c r="CE7" i="5"/>
  <c r="CC7" i="5"/>
  <c r="CD7" i="5"/>
  <c r="CA7" i="5"/>
  <c r="BU7" i="5"/>
  <c r="BY7" i="5"/>
  <c r="BW7" i="5"/>
  <c r="BT7" i="5"/>
  <c r="BV7" i="5"/>
  <c r="BR7" i="5"/>
  <c r="BQ7" i="5"/>
  <c r="BS7" i="5"/>
  <c r="BM7" i="5"/>
  <c r="BK7" i="5"/>
  <c r="BJ7" i="5"/>
  <c r="BH7" i="5"/>
  <c r="BI7" i="5"/>
  <c r="BG7" i="5"/>
  <c r="BF7" i="5"/>
  <c r="BE7" i="5"/>
  <c r="BD7" i="5"/>
  <c r="BA7" i="5"/>
  <c r="BP7" i="5" s="1"/>
  <c r="AZ7" i="5"/>
  <c r="AY7" i="5"/>
  <c r="AU7" i="5"/>
  <c r="BB7" i="5" s="1"/>
  <c r="AV7" i="5"/>
  <c r="BO7" i="5" s="1"/>
  <c r="BX20" i="5"/>
  <c r="BX148" i="5"/>
  <c r="CK259" i="5"/>
  <c r="CJ259" i="5"/>
  <c r="CF259" i="5"/>
  <c r="CH259" i="5"/>
  <c r="CI259" i="5"/>
  <c r="CD259" i="5"/>
  <c r="CE259" i="5"/>
  <c r="CG259" i="5"/>
  <c r="CA259" i="5"/>
  <c r="CC259" i="5"/>
  <c r="BX259" i="5"/>
  <c r="BZ259" i="5"/>
  <c r="BY259" i="5"/>
  <c r="BV259" i="5"/>
  <c r="BW259" i="5"/>
  <c r="BU259" i="5"/>
  <c r="BT259" i="5"/>
  <c r="BS259" i="5"/>
  <c r="BQ259" i="5"/>
  <c r="BR259" i="5"/>
  <c r="BL259" i="5"/>
  <c r="BJ259" i="5"/>
  <c r="BM259" i="5"/>
  <c r="BH259" i="5"/>
  <c r="BK259" i="5"/>
  <c r="BI259" i="5"/>
  <c r="BG259" i="5"/>
  <c r="BF259" i="5"/>
  <c r="BE259" i="5"/>
  <c r="BD259" i="5"/>
  <c r="BA259" i="5"/>
  <c r="BP259" i="5" s="1"/>
  <c r="AZ259" i="5"/>
  <c r="AV259" i="5"/>
  <c r="BC259" i="5" s="1"/>
  <c r="AY259" i="5"/>
  <c r="AU259" i="5"/>
  <c r="BB259" i="5" s="1"/>
  <c r="CK451" i="5"/>
  <c r="CI451" i="5"/>
  <c r="CF451" i="5"/>
  <c r="CE451" i="5"/>
  <c r="CD451" i="5"/>
  <c r="CC451" i="5"/>
  <c r="CA451" i="5"/>
  <c r="BY451" i="5"/>
  <c r="BV451" i="5"/>
  <c r="BW451" i="5"/>
  <c r="BT451" i="5"/>
  <c r="BU451" i="5"/>
  <c r="BS451" i="5"/>
  <c r="BQ451" i="5"/>
  <c r="BR451" i="5"/>
  <c r="BJ451" i="5"/>
  <c r="BM451" i="5"/>
  <c r="BH451" i="5"/>
  <c r="BK451" i="5"/>
  <c r="BI451" i="5"/>
  <c r="BF451" i="5"/>
  <c r="BE451" i="5"/>
  <c r="BG451" i="5"/>
  <c r="BD451" i="5"/>
  <c r="BA451" i="5"/>
  <c r="BP451" i="5" s="1"/>
  <c r="AZ451" i="5"/>
  <c r="AV451" i="5"/>
  <c r="BO451" i="5" s="1"/>
  <c r="AY451" i="5"/>
  <c r="AU451" i="5"/>
  <c r="BN451" i="5" s="1"/>
  <c r="BL24" i="5"/>
  <c r="CB32" i="5"/>
  <c r="CB120" i="5"/>
  <c r="BL168" i="5"/>
  <c r="BL192" i="5"/>
  <c r="BX312" i="5"/>
  <c r="CB344" i="5"/>
  <c r="BL384" i="5"/>
  <c r="CB416" i="5"/>
  <c r="BX672" i="5"/>
  <c r="BX680" i="5"/>
  <c r="BL25" i="5"/>
  <c r="CB41" i="5"/>
  <c r="BL193" i="5"/>
  <c r="BL281" i="5"/>
  <c r="CB297" i="5"/>
  <c r="BL305" i="5"/>
  <c r="CB473" i="5"/>
  <c r="CB505" i="5"/>
  <c r="CB537" i="5"/>
  <c r="BX141" i="5"/>
  <c r="BL173" i="5"/>
  <c r="BL245" i="5"/>
  <c r="BX389" i="5"/>
  <c r="BL405" i="5"/>
  <c r="BX629" i="5"/>
  <c r="CI111" i="5"/>
  <c r="CK111" i="5"/>
  <c r="CD111" i="5"/>
  <c r="CF111" i="5"/>
  <c r="CE111" i="5"/>
  <c r="CC111" i="5"/>
  <c r="CA111" i="5"/>
  <c r="BY111" i="5"/>
  <c r="BU111" i="5"/>
  <c r="BT111" i="5"/>
  <c r="BW111" i="5"/>
  <c r="BV111" i="5"/>
  <c r="BS111" i="5"/>
  <c r="BR111" i="5"/>
  <c r="BQ111" i="5"/>
  <c r="BM111" i="5"/>
  <c r="BK111" i="5"/>
  <c r="BJ111" i="5"/>
  <c r="BI111" i="5"/>
  <c r="BH111" i="5"/>
  <c r="BF111" i="5"/>
  <c r="BG111" i="5"/>
  <c r="BE111" i="5"/>
  <c r="BD111" i="5"/>
  <c r="BA111" i="5"/>
  <c r="BP111" i="5" s="1"/>
  <c r="AZ111" i="5"/>
  <c r="AY111" i="5"/>
  <c r="AU111" i="5"/>
  <c r="BN111" i="5" s="1"/>
  <c r="AV111" i="5"/>
  <c r="BO111" i="5" s="1"/>
  <c r="CI303" i="5"/>
  <c r="CK303" i="5"/>
  <c r="CF303" i="5"/>
  <c r="CE303" i="5"/>
  <c r="CD303" i="5"/>
  <c r="CC303" i="5"/>
  <c r="CA303" i="5"/>
  <c r="BY303" i="5"/>
  <c r="BU303" i="5"/>
  <c r="BT303" i="5"/>
  <c r="BW303" i="5"/>
  <c r="BV303" i="5"/>
  <c r="BS303" i="5"/>
  <c r="BQ303" i="5"/>
  <c r="BR303" i="5"/>
  <c r="BM303" i="5"/>
  <c r="BJ303" i="5"/>
  <c r="BI303" i="5"/>
  <c r="BH303" i="5"/>
  <c r="BK303" i="5"/>
  <c r="BF303" i="5"/>
  <c r="BG303" i="5"/>
  <c r="BE303" i="5"/>
  <c r="BD303" i="5"/>
  <c r="BA303" i="5"/>
  <c r="BP303" i="5" s="1"/>
  <c r="AZ303" i="5"/>
  <c r="AY303" i="5"/>
  <c r="AU303" i="5"/>
  <c r="BN303" i="5" s="1"/>
  <c r="AV303" i="5"/>
  <c r="BC303" i="5" s="1"/>
  <c r="BL388" i="5"/>
  <c r="CJ463" i="5"/>
  <c r="CI463" i="5"/>
  <c r="CK463" i="5"/>
  <c r="CG463" i="5"/>
  <c r="CF463" i="5"/>
  <c r="CH463" i="5"/>
  <c r="CE463" i="5"/>
  <c r="CD463" i="5"/>
  <c r="CA463" i="5"/>
  <c r="CC463" i="5"/>
  <c r="BZ463" i="5"/>
  <c r="BY463" i="5"/>
  <c r="BX463" i="5"/>
  <c r="BT463" i="5"/>
  <c r="BW463" i="5"/>
  <c r="BV463" i="5"/>
  <c r="BS463" i="5"/>
  <c r="BQ463" i="5"/>
  <c r="BU463" i="5"/>
  <c r="BR463" i="5"/>
  <c r="BM463" i="5"/>
  <c r="BL463" i="5"/>
  <c r="BJ463" i="5"/>
  <c r="BI463" i="5"/>
  <c r="BH463" i="5"/>
  <c r="BK463" i="5"/>
  <c r="BG463" i="5"/>
  <c r="BF463" i="5"/>
  <c r="BE463" i="5"/>
  <c r="BD463" i="5"/>
  <c r="BA463" i="5"/>
  <c r="BP463" i="5" s="1"/>
  <c r="AZ463" i="5"/>
  <c r="AY463" i="5"/>
  <c r="AU463" i="5"/>
  <c r="BN463" i="5" s="1"/>
  <c r="AV463" i="5"/>
  <c r="BC463" i="5" s="1"/>
  <c r="CI623" i="5"/>
  <c r="CK623" i="5"/>
  <c r="CE623" i="5"/>
  <c r="CD623" i="5"/>
  <c r="CC623" i="5"/>
  <c r="CF623" i="5"/>
  <c r="CA623" i="5"/>
  <c r="BY623" i="5"/>
  <c r="BW623" i="5"/>
  <c r="BT623" i="5"/>
  <c r="BV623" i="5"/>
  <c r="BS623" i="5"/>
  <c r="BQ623" i="5"/>
  <c r="BU623" i="5"/>
  <c r="BR623" i="5"/>
  <c r="BM623" i="5"/>
  <c r="BJ623" i="5"/>
  <c r="BI623" i="5"/>
  <c r="BH623" i="5"/>
  <c r="BK623" i="5"/>
  <c r="BG623" i="5"/>
  <c r="BF623" i="5"/>
  <c r="BE623" i="5"/>
  <c r="BD623" i="5"/>
  <c r="BA623" i="5"/>
  <c r="BP623" i="5" s="1"/>
  <c r="AZ623" i="5"/>
  <c r="AY623" i="5"/>
  <c r="AU623" i="5"/>
  <c r="BN623" i="5" s="1"/>
  <c r="AV623" i="5"/>
  <c r="BC623" i="5" s="1"/>
  <c r="CJ507" i="5"/>
  <c r="CI507" i="5"/>
  <c r="CK507" i="5"/>
  <c r="CG507" i="5"/>
  <c r="CD507" i="5"/>
  <c r="CH507" i="5"/>
  <c r="CE507" i="5"/>
  <c r="CC507" i="5"/>
  <c r="CA507" i="5"/>
  <c r="CF507" i="5"/>
  <c r="BY507" i="5"/>
  <c r="BZ507" i="5"/>
  <c r="BX507" i="5"/>
  <c r="BW507" i="5"/>
  <c r="BV507" i="5"/>
  <c r="BT507" i="5"/>
  <c r="BU507" i="5"/>
  <c r="BS507" i="5"/>
  <c r="BQ507" i="5"/>
  <c r="BR507" i="5"/>
  <c r="BL507" i="5"/>
  <c r="BJ507" i="5"/>
  <c r="BM507" i="5"/>
  <c r="BH507" i="5"/>
  <c r="BK507" i="5"/>
  <c r="BI507" i="5"/>
  <c r="BF507" i="5"/>
  <c r="BE507" i="5"/>
  <c r="BD507" i="5"/>
  <c r="BG507" i="5"/>
  <c r="BA507" i="5"/>
  <c r="BP507" i="5" s="1"/>
  <c r="AZ507" i="5"/>
  <c r="AV507" i="5"/>
  <c r="BC507" i="5" s="1"/>
  <c r="AU507" i="5"/>
  <c r="BB507" i="5" s="1"/>
  <c r="AY507" i="5"/>
  <c r="CK10" i="5"/>
  <c r="CI10" i="5"/>
  <c r="CF10" i="5"/>
  <c r="CE10" i="5"/>
  <c r="CD10" i="5"/>
  <c r="CC10" i="5"/>
  <c r="CA10" i="5"/>
  <c r="BW10" i="5"/>
  <c r="BY10" i="5"/>
  <c r="BV10" i="5"/>
  <c r="BU10" i="5"/>
  <c r="BS10" i="5"/>
  <c r="BT10" i="5"/>
  <c r="BR10" i="5"/>
  <c r="BQ10" i="5"/>
  <c r="BK10" i="5"/>
  <c r="BI10" i="5"/>
  <c r="BM10" i="5"/>
  <c r="BG10" i="5"/>
  <c r="BJ10" i="5"/>
  <c r="BH10" i="5"/>
  <c r="BF10" i="5"/>
  <c r="BE10" i="5"/>
  <c r="BD10" i="5"/>
  <c r="BA10" i="5"/>
  <c r="BP10" i="5" s="1"/>
  <c r="AZ10" i="5"/>
  <c r="AY10" i="5"/>
  <c r="AV10" i="5"/>
  <c r="BO10" i="5" s="1"/>
  <c r="AU10" i="5"/>
  <c r="BB10" i="5" s="1"/>
  <c r="CI66" i="5"/>
  <c r="CK66" i="5"/>
  <c r="CF66" i="5"/>
  <c r="CC66" i="5"/>
  <c r="CE66" i="5"/>
  <c r="CD66" i="5"/>
  <c r="CA66" i="5"/>
  <c r="BY66" i="5"/>
  <c r="BW66" i="5"/>
  <c r="BV66" i="5"/>
  <c r="BU66" i="5"/>
  <c r="BS66" i="5"/>
  <c r="BT66" i="5"/>
  <c r="BR66" i="5"/>
  <c r="BQ66" i="5"/>
  <c r="BK66" i="5"/>
  <c r="BM66" i="5"/>
  <c r="BG66" i="5"/>
  <c r="BJ66" i="5"/>
  <c r="BI66" i="5"/>
  <c r="BH66" i="5"/>
  <c r="BF66" i="5"/>
  <c r="BE66" i="5"/>
  <c r="BD66" i="5"/>
  <c r="BA66" i="5"/>
  <c r="BP66" i="5" s="1"/>
  <c r="AZ66" i="5"/>
  <c r="AY66" i="5"/>
  <c r="AV66" i="5"/>
  <c r="BO66" i="5" s="1"/>
  <c r="AU66" i="5"/>
  <c r="BN66" i="5" s="1"/>
  <c r="CK98" i="5"/>
  <c r="CJ98" i="5"/>
  <c r="CI98" i="5"/>
  <c r="CH98" i="5"/>
  <c r="CG98" i="5"/>
  <c r="CF98" i="5"/>
  <c r="CE98" i="5"/>
  <c r="CD98" i="5"/>
  <c r="CC98" i="5"/>
  <c r="BZ98" i="5"/>
  <c r="CA98" i="5"/>
  <c r="BY98" i="5"/>
  <c r="BW98" i="5"/>
  <c r="BX98" i="5"/>
  <c r="BV98" i="5"/>
  <c r="BU98" i="5"/>
  <c r="BS98" i="5"/>
  <c r="BT98" i="5"/>
  <c r="BR98" i="5"/>
  <c r="BQ98" i="5"/>
  <c r="BL98" i="5"/>
  <c r="BK98" i="5"/>
  <c r="BM98" i="5"/>
  <c r="BG98" i="5"/>
  <c r="BJ98" i="5"/>
  <c r="BI98" i="5"/>
  <c r="BH98" i="5"/>
  <c r="BF98" i="5"/>
  <c r="BE98" i="5"/>
  <c r="BD98" i="5"/>
  <c r="BA98" i="5"/>
  <c r="BP98" i="5" s="1"/>
  <c r="AZ98" i="5"/>
  <c r="AY98" i="5"/>
  <c r="AV98" i="5"/>
  <c r="BO98" i="5" s="1"/>
  <c r="AU98" i="5"/>
  <c r="BN98" i="5" s="1"/>
  <c r="CK130" i="5"/>
  <c r="CI130" i="5"/>
  <c r="CF130" i="5"/>
  <c r="CE130" i="5"/>
  <c r="CC130" i="5"/>
  <c r="CD130" i="5"/>
  <c r="CA130" i="5"/>
  <c r="BY130" i="5"/>
  <c r="BW130" i="5"/>
  <c r="BV130" i="5"/>
  <c r="BU130" i="5"/>
  <c r="BS130" i="5"/>
  <c r="BT130" i="5"/>
  <c r="BR130" i="5"/>
  <c r="BQ130" i="5"/>
  <c r="BM130" i="5"/>
  <c r="BG130" i="5"/>
  <c r="BJ130" i="5"/>
  <c r="BK130" i="5"/>
  <c r="BI130" i="5"/>
  <c r="BH130" i="5"/>
  <c r="BF130" i="5"/>
  <c r="BE130" i="5"/>
  <c r="BD130" i="5"/>
  <c r="BA130" i="5"/>
  <c r="BP130" i="5" s="1"/>
  <c r="AZ130" i="5"/>
  <c r="AY130" i="5"/>
  <c r="AV130" i="5"/>
  <c r="BO130" i="5" s="1"/>
  <c r="AU130" i="5"/>
  <c r="BB130" i="5" s="1"/>
  <c r="CK162" i="5"/>
  <c r="CJ162" i="5"/>
  <c r="CH162" i="5"/>
  <c r="CI162" i="5"/>
  <c r="CF162" i="5"/>
  <c r="CG162" i="5"/>
  <c r="CE162" i="5"/>
  <c r="CC162" i="5"/>
  <c r="BZ162" i="5"/>
  <c r="CD162" i="5"/>
  <c r="CA162" i="5"/>
  <c r="BY162" i="5"/>
  <c r="BX162" i="5"/>
  <c r="BW162" i="5"/>
  <c r="BV162" i="5"/>
  <c r="BU162" i="5"/>
  <c r="BS162" i="5"/>
  <c r="BT162" i="5"/>
  <c r="BR162" i="5"/>
  <c r="BQ162" i="5"/>
  <c r="BM162" i="5"/>
  <c r="BL162" i="5"/>
  <c r="BG162" i="5"/>
  <c r="BJ162" i="5"/>
  <c r="BK162" i="5"/>
  <c r="BI162" i="5"/>
  <c r="BH162" i="5"/>
  <c r="BF162" i="5"/>
  <c r="BE162" i="5"/>
  <c r="BD162" i="5"/>
  <c r="BA162" i="5"/>
  <c r="BP162" i="5" s="1"/>
  <c r="AZ162" i="5"/>
  <c r="AY162" i="5"/>
  <c r="AV162" i="5"/>
  <c r="BO162" i="5" s="1"/>
  <c r="AU162" i="5"/>
  <c r="BB162" i="5" s="1"/>
  <c r="CI194" i="5"/>
  <c r="CK194" i="5"/>
  <c r="CF194" i="5"/>
  <c r="CD194" i="5"/>
  <c r="CC194" i="5"/>
  <c r="CE194" i="5"/>
  <c r="CA194" i="5"/>
  <c r="BY194" i="5"/>
  <c r="BW194" i="5"/>
  <c r="BV194" i="5"/>
  <c r="BU194" i="5"/>
  <c r="BS194" i="5"/>
  <c r="BT194" i="5"/>
  <c r="BR194" i="5"/>
  <c r="BQ194" i="5"/>
  <c r="BM194" i="5"/>
  <c r="BG194" i="5"/>
  <c r="BJ194" i="5"/>
  <c r="BK194" i="5"/>
  <c r="BI194" i="5"/>
  <c r="BH194" i="5"/>
  <c r="BF194" i="5"/>
  <c r="BE194" i="5"/>
  <c r="BD194" i="5"/>
  <c r="BA194" i="5"/>
  <c r="BP194" i="5" s="1"/>
  <c r="AZ194" i="5"/>
  <c r="AY194" i="5"/>
  <c r="AV194" i="5"/>
  <c r="BO194" i="5" s="1"/>
  <c r="AU194" i="5"/>
  <c r="BN194" i="5" s="1"/>
  <c r="CK226" i="5"/>
  <c r="CI226" i="5"/>
  <c r="CE226" i="5"/>
  <c r="CD226" i="5"/>
  <c r="CF226" i="5"/>
  <c r="CC226" i="5"/>
  <c r="CA226" i="5"/>
  <c r="BY226" i="5"/>
  <c r="BW226" i="5"/>
  <c r="BV226" i="5"/>
  <c r="BU226" i="5"/>
  <c r="BS226" i="5"/>
  <c r="BT226" i="5"/>
  <c r="BR226" i="5"/>
  <c r="BQ226" i="5"/>
  <c r="BM226" i="5"/>
  <c r="BG226" i="5"/>
  <c r="BJ226" i="5"/>
  <c r="BK226" i="5"/>
  <c r="BI226" i="5"/>
  <c r="BH226" i="5"/>
  <c r="BF226" i="5"/>
  <c r="BE226" i="5"/>
  <c r="BD226" i="5"/>
  <c r="BA226" i="5"/>
  <c r="BP226" i="5" s="1"/>
  <c r="AZ226" i="5"/>
  <c r="AY226" i="5"/>
  <c r="AV226" i="5"/>
  <c r="BO226" i="5" s="1"/>
  <c r="AU226" i="5"/>
  <c r="BN226" i="5" s="1"/>
  <c r="BB12" i="5"/>
  <c r="BZ12" i="5" s="1"/>
  <c r="BX12" i="5"/>
  <c r="BL188" i="5"/>
  <c r="CB220" i="5"/>
  <c r="CK391" i="5"/>
  <c r="CI391" i="5"/>
  <c r="CF391" i="5"/>
  <c r="CE391" i="5"/>
  <c r="CC391" i="5"/>
  <c r="CD391" i="5"/>
  <c r="CA391" i="5"/>
  <c r="BY391" i="5"/>
  <c r="BW391" i="5"/>
  <c r="BU391" i="5"/>
  <c r="BT391" i="5"/>
  <c r="BV391" i="5"/>
  <c r="BS391" i="5"/>
  <c r="BQ391" i="5"/>
  <c r="BR391" i="5"/>
  <c r="BM391" i="5"/>
  <c r="BJ391" i="5"/>
  <c r="BK391" i="5"/>
  <c r="BI391" i="5"/>
  <c r="BH391" i="5"/>
  <c r="BF391" i="5"/>
  <c r="BG391" i="5"/>
  <c r="BE391" i="5"/>
  <c r="BD391" i="5"/>
  <c r="BA391" i="5"/>
  <c r="BP391" i="5" s="1"/>
  <c r="AZ391" i="5"/>
  <c r="AY391" i="5"/>
  <c r="AU391" i="5"/>
  <c r="BB391" i="5" s="1"/>
  <c r="AV391" i="5"/>
  <c r="BO391" i="5" s="1"/>
  <c r="CB444" i="5"/>
  <c r="CK679" i="5"/>
  <c r="CH679" i="5"/>
  <c r="CJ679" i="5"/>
  <c r="CI679" i="5"/>
  <c r="CG679" i="5"/>
  <c r="CF679" i="5"/>
  <c r="CC679" i="5"/>
  <c r="CD679" i="5"/>
  <c r="CE679" i="5"/>
  <c r="CA679" i="5"/>
  <c r="BZ679" i="5"/>
  <c r="BY679" i="5"/>
  <c r="BX679" i="5"/>
  <c r="BT679" i="5"/>
  <c r="BW679" i="5"/>
  <c r="BV679" i="5"/>
  <c r="BS679" i="5"/>
  <c r="BU679" i="5"/>
  <c r="BQ679" i="5"/>
  <c r="BR679" i="5"/>
  <c r="BM679" i="5"/>
  <c r="BL679" i="5"/>
  <c r="BJ679" i="5"/>
  <c r="BK679" i="5"/>
  <c r="BI679" i="5"/>
  <c r="BH679" i="5"/>
  <c r="BG679" i="5"/>
  <c r="BF679" i="5"/>
  <c r="BE679" i="5"/>
  <c r="BD679" i="5"/>
  <c r="BA679" i="5"/>
  <c r="BP679" i="5" s="1"/>
  <c r="AZ679" i="5"/>
  <c r="AY679" i="5"/>
  <c r="AU679" i="5"/>
  <c r="BN679" i="5" s="1"/>
  <c r="AV679" i="5"/>
  <c r="BC679" i="5" s="1"/>
  <c r="CJ39" i="5"/>
  <c r="CK39" i="5"/>
  <c r="CI39" i="5"/>
  <c r="CF39" i="5"/>
  <c r="CG39" i="5"/>
  <c r="CH39" i="5"/>
  <c r="CC39" i="5"/>
  <c r="CE39" i="5"/>
  <c r="CD39" i="5"/>
  <c r="CA39" i="5"/>
  <c r="BU39" i="5"/>
  <c r="BY39" i="5"/>
  <c r="BX39" i="5"/>
  <c r="BZ39" i="5"/>
  <c r="BW39" i="5"/>
  <c r="BT39" i="5"/>
  <c r="BV39" i="5"/>
  <c r="BR39" i="5"/>
  <c r="BQ39" i="5"/>
  <c r="BS39" i="5"/>
  <c r="BL39" i="5"/>
  <c r="BM39" i="5"/>
  <c r="BK39" i="5"/>
  <c r="BJ39" i="5"/>
  <c r="BI39" i="5"/>
  <c r="BH39" i="5"/>
  <c r="BG39" i="5"/>
  <c r="BF39" i="5"/>
  <c r="BE39" i="5"/>
  <c r="BD39" i="5"/>
  <c r="BA39" i="5"/>
  <c r="BP39" i="5" s="1"/>
  <c r="AZ39" i="5"/>
  <c r="AY39" i="5"/>
  <c r="AU39" i="5"/>
  <c r="BN39" i="5" s="1"/>
  <c r="AV39" i="5"/>
  <c r="BC39" i="5" s="1"/>
  <c r="CK307" i="5"/>
  <c r="CI307" i="5"/>
  <c r="CD307" i="5"/>
  <c r="CF307" i="5"/>
  <c r="CC307" i="5"/>
  <c r="CA307" i="5"/>
  <c r="CE307" i="5"/>
  <c r="BY307" i="5"/>
  <c r="BV307" i="5"/>
  <c r="BW307" i="5"/>
  <c r="BU307" i="5"/>
  <c r="BT307" i="5"/>
  <c r="BS307" i="5"/>
  <c r="BQ307" i="5"/>
  <c r="BR307" i="5"/>
  <c r="BJ307" i="5"/>
  <c r="BM307" i="5"/>
  <c r="BH307" i="5"/>
  <c r="BK307" i="5"/>
  <c r="BI307" i="5"/>
  <c r="BG307" i="5"/>
  <c r="BF307" i="5"/>
  <c r="BE307" i="5"/>
  <c r="BD307" i="5"/>
  <c r="BA307" i="5"/>
  <c r="BP307" i="5" s="1"/>
  <c r="AZ307" i="5"/>
  <c r="AV307" i="5"/>
  <c r="BO307" i="5" s="1"/>
  <c r="AY307" i="5"/>
  <c r="AU307" i="5"/>
  <c r="BN307" i="5" s="1"/>
  <c r="CK563" i="5"/>
  <c r="CJ563" i="5"/>
  <c r="CI563" i="5"/>
  <c r="CH563" i="5"/>
  <c r="CF563" i="5"/>
  <c r="CG563" i="5"/>
  <c r="CD563" i="5"/>
  <c r="CA563" i="5"/>
  <c r="CE563" i="5"/>
  <c r="CC563" i="5"/>
  <c r="BZ563" i="5"/>
  <c r="BY563" i="5"/>
  <c r="BX563" i="5"/>
  <c r="BV563" i="5"/>
  <c r="BW563" i="5"/>
  <c r="BT563" i="5"/>
  <c r="BU563" i="5"/>
  <c r="BS563" i="5"/>
  <c r="BQ563" i="5"/>
  <c r="BR563" i="5"/>
  <c r="BL563" i="5"/>
  <c r="BJ563" i="5"/>
  <c r="BM563" i="5"/>
  <c r="BH563" i="5"/>
  <c r="BK563" i="5"/>
  <c r="BI563" i="5"/>
  <c r="BG563" i="5"/>
  <c r="BF563" i="5"/>
  <c r="BE563" i="5"/>
  <c r="BD563" i="5"/>
  <c r="BA563" i="5"/>
  <c r="BP563" i="5" s="1"/>
  <c r="AZ563" i="5"/>
  <c r="AV563" i="5"/>
  <c r="BO563" i="5" s="1"/>
  <c r="AY563" i="5"/>
  <c r="AU563" i="5"/>
  <c r="BN563" i="5" s="1"/>
  <c r="CK15" i="5"/>
  <c r="CG15" i="5"/>
  <c r="CI15" i="5"/>
  <c r="CF15" i="5"/>
  <c r="CE15" i="5"/>
  <c r="CC15" i="5"/>
  <c r="CD15" i="5"/>
  <c r="CA15" i="5"/>
  <c r="BY15" i="5"/>
  <c r="BU15" i="5"/>
  <c r="BT15" i="5"/>
  <c r="BW15" i="5"/>
  <c r="BV15" i="5"/>
  <c r="BS15" i="5"/>
  <c r="BR15" i="5"/>
  <c r="BQ15" i="5"/>
  <c r="BM15" i="5"/>
  <c r="BK15" i="5"/>
  <c r="BJ15" i="5"/>
  <c r="BH15" i="5"/>
  <c r="BI15" i="5"/>
  <c r="BF15" i="5"/>
  <c r="BG15" i="5"/>
  <c r="BE15" i="5"/>
  <c r="BD15" i="5"/>
  <c r="BA15" i="5"/>
  <c r="BP15" i="5" s="1"/>
  <c r="AZ15" i="5"/>
  <c r="AY15" i="5"/>
  <c r="AU15" i="5"/>
  <c r="BN15" i="5" s="1"/>
  <c r="AV15" i="5"/>
  <c r="BO15" i="5" s="1"/>
  <c r="BX28" i="5"/>
  <c r="BX156" i="5"/>
  <c r="CB244" i="5"/>
  <c r="BL404" i="5"/>
  <c r="CK479" i="5"/>
  <c r="CJ479" i="5"/>
  <c r="CH479" i="5"/>
  <c r="CI479" i="5"/>
  <c r="CE479" i="5"/>
  <c r="CG479" i="5"/>
  <c r="CF479" i="5"/>
  <c r="CC479" i="5"/>
  <c r="CD479" i="5"/>
  <c r="CA479" i="5"/>
  <c r="BZ479" i="5"/>
  <c r="BX479" i="5"/>
  <c r="BY479" i="5"/>
  <c r="BV479" i="5"/>
  <c r="BT479" i="5"/>
  <c r="BW479" i="5"/>
  <c r="BS479" i="5"/>
  <c r="BQ479" i="5"/>
  <c r="BU479" i="5"/>
  <c r="BR479" i="5"/>
  <c r="BM479" i="5"/>
  <c r="BL479" i="5"/>
  <c r="BJ479" i="5"/>
  <c r="BI479" i="5"/>
  <c r="BH479" i="5"/>
  <c r="BK479" i="5"/>
  <c r="BG479" i="5"/>
  <c r="BF479" i="5"/>
  <c r="BE479" i="5"/>
  <c r="BD479" i="5"/>
  <c r="BA479" i="5"/>
  <c r="BP479" i="5" s="1"/>
  <c r="AZ479" i="5"/>
  <c r="AY479" i="5"/>
  <c r="AU479" i="5"/>
  <c r="BN479" i="5" s="1"/>
  <c r="AV479" i="5"/>
  <c r="BO479" i="5" s="1"/>
  <c r="CK55" i="5"/>
  <c r="CI55" i="5"/>
  <c r="CE55" i="5"/>
  <c r="CD55" i="5"/>
  <c r="CF55" i="5"/>
  <c r="CC55" i="5"/>
  <c r="CA55" i="5"/>
  <c r="BY55" i="5"/>
  <c r="BW55" i="5"/>
  <c r="BU55" i="5"/>
  <c r="BV55" i="5"/>
  <c r="BT55" i="5"/>
  <c r="BS55" i="5"/>
  <c r="BR55" i="5"/>
  <c r="BQ55" i="5"/>
  <c r="BM55" i="5"/>
  <c r="BK55" i="5"/>
  <c r="BJ55" i="5"/>
  <c r="BI55" i="5"/>
  <c r="BH55" i="5"/>
  <c r="BG55" i="5"/>
  <c r="BF55" i="5"/>
  <c r="BE55" i="5"/>
  <c r="BD55" i="5"/>
  <c r="BA55" i="5"/>
  <c r="BP55" i="5" s="1"/>
  <c r="AZ55" i="5"/>
  <c r="AY55" i="5"/>
  <c r="AU55" i="5"/>
  <c r="BB55" i="5" s="1"/>
  <c r="AV55" i="5"/>
  <c r="BO55" i="5" s="1"/>
  <c r="CJ619" i="5"/>
  <c r="CK619" i="5"/>
  <c r="CI619" i="5"/>
  <c r="CH619" i="5"/>
  <c r="CG619" i="5"/>
  <c r="CF619" i="5"/>
  <c r="CD619" i="5"/>
  <c r="CE619" i="5"/>
  <c r="CA619" i="5"/>
  <c r="CC619" i="5"/>
  <c r="BY619" i="5"/>
  <c r="BX619" i="5"/>
  <c r="BZ619" i="5"/>
  <c r="BV619" i="5"/>
  <c r="BW619" i="5"/>
  <c r="BT619" i="5"/>
  <c r="BU619" i="5"/>
  <c r="BS619" i="5"/>
  <c r="BQ619" i="5"/>
  <c r="BR619" i="5"/>
  <c r="BL619" i="5"/>
  <c r="BJ619" i="5"/>
  <c r="BM619" i="5"/>
  <c r="BM760" i="5" s="1"/>
  <c r="BM761" i="5" s="1"/>
  <c r="BH619" i="5"/>
  <c r="BK619" i="5"/>
  <c r="BI619" i="5"/>
  <c r="BG619" i="5"/>
  <c r="BF619" i="5"/>
  <c r="BE619" i="5"/>
  <c r="BD619" i="5"/>
  <c r="BA619" i="5"/>
  <c r="AZ619" i="5"/>
  <c r="AZ760" i="5" s="1"/>
  <c r="AZ761" i="5" s="1"/>
  <c r="AV619" i="5"/>
  <c r="AU619" i="5"/>
  <c r="AY619" i="5"/>
  <c r="CK22" i="5"/>
  <c r="CI22" i="5"/>
  <c r="CJ22" i="5"/>
  <c r="CG22" i="5"/>
  <c r="CF22" i="5"/>
  <c r="CH22" i="5"/>
  <c r="CE22" i="5"/>
  <c r="CD22" i="5"/>
  <c r="CC22" i="5"/>
  <c r="BZ22" i="5"/>
  <c r="CA22" i="5"/>
  <c r="BY22" i="5"/>
  <c r="BX22" i="5"/>
  <c r="BW22" i="5"/>
  <c r="BV22" i="5"/>
  <c r="BS22" i="5"/>
  <c r="BU22" i="5"/>
  <c r="BR22" i="5"/>
  <c r="BT22" i="5"/>
  <c r="BQ22" i="5"/>
  <c r="BM22" i="5"/>
  <c r="BL22" i="5"/>
  <c r="BK22" i="5"/>
  <c r="BI22" i="5"/>
  <c r="BJ22" i="5"/>
  <c r="BH22" i="5"/>
  <c r="BG22" i="5"/>
  <c r="BF22" i="5"/>
  <c r="BE22" i="5"/>
  <c r="BD22" i="5"/>
  <c r="AZ22" i="5"/>
  <c r="AY22" i="5"/>
  <c r="BA22" i="5"/>
  <c r="BP22" i="5" s="1"/>
  <c r="AU22" i="5"/>
  <c r="BB22" i="5" s="1"/>
  <c r="AV22" i="5"/>
  <c r="BO22" i="5" s="1"/>
  <c r="CI54" i="5"/>
  <c r="CK54" i="5"/>
  <c r="CF54" i="5"/>
  <c r="CE54" i="5"/>
  <c r="CD54" i="5"/>
  <c r="CC54" i="5"/>
  <c r="CA54" i="5"/>
  <c r="BY54" i="5"/>
  <c r="BW54" i="5"/>
  <c r="BU54" i="5"/>
  <c r="BV54" i="5"/>
  <c r="BS54" i="5"/>
  <c r="BR54" i="5"/>
  <c r="BT54" i="5"/>
  <c r="BQ54" i="5"/>
  <c r="BM54" i="5"/>
  <c r="BK54" i="5"/>
  <c r="BJ54" i="5"/>
  <c r="BI54" i="5"/>
  <c r="BH54" i="5"/>
  <c r="BG54" i="5"/>
  <c r="BF54" i="5"/>
  <c r="BE54" i="5"/>
  <c r="BD54" i="5"/>
  <c r="AZ54" i="5"/>
  <c r="AY54" i="5"/>
  <c r="BA54" i="5"/>
  <c r="BP54" i="5" s="1"/>
  <c r="AU54" i="5"/>
  <c r="BN54" i="5" s="1"/>
  <c r="AV54" i="5"/>
  <c r="BO54" i="5" s="1"/>
  <c r="CK110" i="5"/>
  <c r="CI110" i="5"/>
  <c r="CJ110" i="5"/>
  <c r="CH110" i="5"/>
  <c r="CF110" i="5"/>
  <c r="CG110" i="5"/>
  <c r="CE110" i="5"/>
  <c r="CC110" i="5"/>
  <c r="CD110" i="5"/>
  <c r="BZ110" i="5"/>
  <c r="BX110" i="5"/>
  <c r="CA110" i="5"/>
  <c r="BW110" i="5"/>
  <c r="BY110" i="5"/>
  <c r="BU110" i="5"/>
  <c r="BS110" i="5"/>
  <c r="BV110" i="5"/>
  <c r="BR110" i="5"/>
  <c r="BT110" i="5"/>
  <c r="BQ110" i="5"/>
  <c r="BM110" i="5"/>
  <c r="BL110" i="5"/>
  <c r="BK110" i="5"/>
  <c r="BJ110" i="5"/>
  <c r="BI110" i="5"/>
  <c r="BH110" i="5"/>
  <c r="BG110" i="5"/>
  <c r="BF110" i="5"/>
  <c r="BE110" i="5"/>
  <c r="BD110" i="5"/>
  <c r="AZ110" i="5"/>
  <c r="BA110" i="5"/>
  <c r="BP110" i="5" s="1"/>
  <c r="AY110" i="5"/>
  <c r="AU110" i="5"/>
  <c r="BB110" i="5" s="1"/>
  <c r="AV110" i="5"/>
  <c r="BC110" i="5" s="1"/>
  <c r="CK31" i="5"/>
  <c r="CI31" i="5"/>
  <c r="CF31" i="5"/>
  <c r="CE31" i="5"/>
  <c r="CD31" i="5"/>
  <c r="CC31" i="5"/>
  <c r="CA31" i="5"/>
  <c r="BU31" i="5"/>
  <c r="BY31" i="5"/>
  <c r="BV31" i="5"/>
  <c r="BT31" i="5"/>
  <c r="BW31" i="5"/>
  <c r="BR31" i="5"/>
  <c r="BQ31" i="5"/>
  <c r="BS31" i="5"/>
  <c r="BM31" i="5"/>
  <c r="BK31" i="5"/>
  <c r="BJ31" i="5"/>
  <c r="BI31" i="5"/>
  <c r="BH31" i="5"/>
  <c r="BF31" i="5"/>
  <c r="BG31" i="5"/>
  <c r="BE31" i="5"/>
  <c r="BD31" i="5"/>
  <c r="BA31" i="5"/>
  <c r="BP31" i="5" s="1"/>
  <c r="AZ31" i="5"/>
  <c r="AY31" i="5"/>
  <c r="AU31" i="5"/>
  <c r="BN31" i="5" s="1"/>
  <c r="AV31" i="5"/>
  <c r="BC31" i="5" s="1"/>
  <c r="CK159" i="5"/>
  <c r="CJ159" i="5"/>
  <c r="CH159" i="5"/>
  <c r="CF159" i="5"/>
  <c r="CI159" i="5"/>
  <c r="CE159" i="5"/>
  <c r="CD159" i="5"/>
  <c r="CG159" i="5"/>
  <c r="CC159" i="5"/>
  <c r="CA159" i="5"/>
  <c r="BZ159" i="5"/>
  <c r="BY159" i="5"/>
  <c r="BX159" i="5"/>
  <c r="BV159" i="5"/>
  <c r="BU159" i="5"/>
  <c r="BT159" i="5"/>
  <c r="BW159" i="5"/>
  <c r="BR159" i="5"/>
  <c r="BQ159" i="5"/>
  <c r="BS159" i="5"/>
  <c r="BM159" i="5"/>
  <c r="BL159" i="5"/>
  <c r="BJ159" i="5"/>
  <c r="BI159" i="5"/>
  <c r="BH159" i="5"/>
  <c r="BK159" i="5"/>
  <c r="BF159" i="5"/>
  <c r="BG159" i="5"/>
  <c r="BE159" i="5"/>
  <c r="BD159" i="5"/>
  <c r="BA159" i="5"/>
  <c r="BP159" i="5" s="1"/>
  <c r="AZ159" i="5"/>
  <c r="AY159" i="5"/>
  <c r="AU159" i="5"/>
  <c r="BN159" i="5" s="1"/>
  <c r="AV159" i="5"/>
  <c r="BO159" i="5" s="1"/>
  <c r="CI279" i="5"/>
  <c r="CK279" i="5"/>
  <c r="CF279" i="5"/>
  <c r="CD279" i="5"/>
  <c r="CC279" i="5"/>
  <c r="CE279" i="5"/>
  <c r="CA279" i="5"/>
  <c r="BY279" i="5"/>
  <c r="BW279" i="5"/>
  <c r="BU279" i="5"/>
  <c r="BV279" i="5"/>
  <c r="BT279" i="5"/>
  <c r="BS279" i="5"/>
  <c r="BQ279" i="5"/>
  <c r="BR279" i="5"/>
  <c r="BM279" i="5"/>
  <c r="BJ279" i="5"/>
  <c r="BK279" i="5"/>
  <c r="BI279" i="5"/>
  <c r="BH279" i="5"/>
  <c r="BG279" i="5"/>
  <c r="BF279" i="5"/>
  <c r="BE279" i="5"/>
  <c r="BD279" i="5"/>
  <c r="BA279" i="5"/>
  <c r="BP279" i="5" s="1"/>
  <c r="AZ279" i="5"/>
  <c r="AY279" i="5"/>
  <c r="AU279" i="5"/>
  <c r="BB279" i="5" s="1"/>
  <c r="AV279" i="5"/>
  <c r="BO279" i="5" s="1"/>
  <c r="CK599" i="5"/>
  <c r="CI599" i="5"/>
  <c r="CJ599" i="5"/>
  <c r="CG599" i="5"/>
  <c r="CH599" i="5"/>
  <c r="CF599" i="5"/>
  <c r="CC599" i="5"/>
  <c r="CE599" i="5"/>
  <c r="CD599" i="5"/>
  <c r="CA599" i="5"/>
  <c r="BY599" i="5"/>
  <c r="BX599" i="5"/>
  <c r="BZ599" i="5"/>
  <c r="BW599" i="5"/>
  <c r="BV599" i="5"/>
  <c r="BT599" i="5"/>
  <c r="BS599" i="5"/>
  <c r="BU599" i="5"/>
  <c r="BQ599" i="5"/>
  <c r="BR599" i="5"/>
  <c r="BM599" i="5"/>
  <c r="BL599" i="5"/>
  <c r="BJ599" i="5"/>
  <c r="BK599" i="5"/>
  <c r="BI599" i="5"/>
  <c r="BH599" i="5"/>
  <c r="BG599" i="5"/>
  <c r="BF599" i="5"/>
  <c r="BE599" i="5"/>
  <c r="BD599" i="5"/>
  <c r="BA599" i="5"/>
  <c r="BP599" i="5" s="1"/>
  <c r="AZ599" i="5"/>
  <c r="AY599" i="5"/>
  <c r="AU599" i="5"/>
  <c r="BB599" i="5" s="1"/>
  <c r="AV599" i="5"/>
  <c r="BC599" i="5" s="1"/>
  <c r="CJ135" i="5"/>
  <c r="CK135" i="5"/>
  <c r="CI135" i="5"/>
  <c r="CG135" i="5"/>
  <c r="CH135" i="5"/>
  <c r="CF135" i="5"/>
  <c r="CE135" i="5"/>
  <c r="CC135" i="5"/>
  <c r="CD135" i="5"/>
  <c r="CA135" i="5"/>
  <c r="BZ135" i="5"/>
  <c r="BY135" i="5"/>
  <c r="BX135" i="5"/>
  <c r="BW135" i="5"/>
  <c r="BU135" i="5"/>
  <c r="BT135" i="5"/>
  <c r="BV135" i="5"/>
  <c r="BR135" i="5"/>
  <c r="BQ135" i="5"/>
  <c r="BS135" i="5"/>
  <c r="BL135" i="5"/>
  <c r="BM135" i="5"/>
  <c r="BJ135" i="5"/>
  <c r="BK135" i="5"/>
  <c r="BI135" i="5"/>
  <c r="BH135" i="5"/>
  <c r="BG135" i="5"/>
  <c r="BF135" i="5"/>
  <c r="BE135" i="5"/>
  <c r="BD135" i="5"/>
  <c r="BA135" i="5"/>
  <c r="BP135" i="5" s="1"/>
  <c r="AZ135" i="5"/>
  <c r="AY135" i="5"/>
  <c r="AU135" i="5"/>
  <c r="BB135" i="5" s="1"/>
  <c r="AV135" i="5"/>
  <c r="BO135" i="5" s="1"/>
  <c r="CI291" i="5"/>
  <c r="CK291" i="5"/>
  <c r="CF291" i="5"/>
  <c r="CE291" i="5"/>
  <c r="CD291" i="5"/>
  <c r="CC291" i="5"/>
  <c r="CA291" i="5"/>
  <c r="BY291" i="5"/>
  <c r="BV291" i="5"/>
  <c r="BW291" i="5"/>
  <c r="BU291" i="5"/>
  <c r="BT291" i="5"/>
  <c r="BS291" i="5"/>
  <c r="BQ291" i="5"/>
  <c r="BR291" i="5"/>
  <c r="BJ291" i="5"/>
  <c r="BM291" i="5"/>
  <c r="BH291" i="5"/>
  <c r="BK291" i="5"/>
  <c r="BI291" i="5"/>
  <c r="BG291" i="5"/>
  <c r="BF291" i="5"/>
  <c r="BE291" i="5"/>
  <c r="BD291" i="5"/>
  <c r="BA291" i="5"/>
  <c r="BP291" i="5" s="1"/>
  <c r="AZ291" i="5"/>
  <c r="AV291" i="5"/>
  <c r="BC291" i="5" s="1"/>
  <c r="AY291" i="5"/>
  <c r="AU291" i="5"/>
  <c r="BB291" i="5" s="1"/>
  <c r="CK483" i="5"/>
  <c r="CJ483" i="5"/>
  <c r="CH483" i="5"/>
  <c r="CI483" i="5"/>
  <c r="CF483" i="5"/>
  <c r="CE483" i="5"/>
  <c r="CD483" i="5"/>
  <c r="CG483" i="5"/>
  <c r="CA483" i="5"/>
  <c r="CC483" i="5"/>
  <c r="BY483" i="5"/>
  <c r="BZ483" i="5"/>
  <c r="BX483" i="5"/>
  <c r="BV483" i="5"/>
  <c r="BW483" i="5"/>
  <c r="BT483" i="5"/>
  <c r="BU483" i="5"/>
  <c r="BS483" i="5"/>
  <c r="BQ483" i="5"/>
  <c r="BR483" i="5"/>
  <c r="BL483" i="5"/>
  <c r="BJ483" i="5"/>
  <c r="BM483" i="5"/>
  <c r="BH483" i="5"/>
  <c r="BK483" i="5"/>
  <c r="BI483" i="5"/>
  <c r="BF483" i="5"/>
  <c r="BE483" i="5"/>
  <c r="BG483" i="5"/>
  <c r="BD483" i="5"/>
  <c r="BA483" i="5"/>
  <c r="BP483" i="5" s="1"/>
  <c r="AZ483" i="5"/>
  <c r="AV483" i="5"/>
  <c r="BC483" i="5" s="1"/>
  <c r="AY483" i="5"/>
  <c r="AU483" i="5"/>
  <c r="BN483" i="5" s="1"/>
  <c r="D14" i="7"/>
  <c r="AS788" i="5" l="1"/>
  <c r="BN49" i="5"/>
  <c r="BB49" i="5"/>
  <c r="BJ737" i="5"/>
  <c r="BJ738" i="5" s="1"/>
  <c r="BN176" i="5"/>
  <c r="BB176" i="5"/>
  <c r="BB224" i="5"/>
  <c r="BN224" i="5"/>
  <c r="AS806" i="5"/>
  <c r="BB52" i="5"/>
  <c r="BZ52" i="5" s="1"/>
  <c r="BC25" i="5"/>
  <c r="BO25" i="5"/>
  <c r="BO320" i="5"/>
  <c r="BC320" i="5"/>
  <c r="CB684" i="5"/>
  <c r="CB696" i="5"/>
  <c r="AS797" i="5"/>
  <c r="N41" i="37"/>
  <c r="H346" i="10"/>
  <c r="BN448" i="5"/>
  <c r="BB448" i="5"/>
  <c r="BB16" i="5"/>
  <c r="BN16" i="5"/>
  <c r="BN173" i="5"/>
  <c r="BB173" i="5"/>
  <c r="J39" i="43"/>
  <c r="AA39" i="43"/>
  <c r="BC686" i="5"/>
  <c r="AV775" i="5"/>
  <c r="AV776" i="5" s="1"/>
  <c r="BG775" i="5"/>
  <c r="BG776" i="5" s="1"/>
  <c r="BQ775" i="5"/>
  <c r="BQ776" i="5" s="1"/>
  <c r="BY775" i="5"/>
  <c r="BY776" i="5" s="1"/>
  <c r="D334" i="10"/>
  <c r="F10" i="42"/>
  <c r="G39" i="42"/>
  <c r="AA11" i="42"/>
  <c r="J11" i="42"/>
  <c r="AB11" i="42"/>
  <c r="BN686" i="5"/>
  <c r="AU775" i="5"/>
  <c r="AU776" i="5" s="1"/>
  <c r="F12" i="42"/>
  <c r="F40" i="42" s="1"/>
  <c r="D336" i="10"/>
  <c r="AV795" i="5"/>
  <c r="AV802" i="5"/>
  <c r="AV807" i="5"/>
  <c r="AV791" i="5"/>
  <c r="AY790" i="5"/>
  <c r="AV793" i="5"/>
  <c r="AV798" i="5"/>
  <c r="AY803" i="5"/>
  <c r="AV809" i="5"/>
  <c r="AV810" i="5" s="1"/>
  <c r="AY792" i="5"/>
  <c r="AV787" i="5"/>
  <c r="AV796" i="5"/>
  <c r="AY801" i="5"/>
  <c r="AV811" i="5"/>
  <c r="AV812" i="5" s="1"/>
  <c r="AY809" i="5"/>
  <c r="AY810" i="5" s="1"/>
  <c r="AY804" i="5"/>
  <c r="AY798" i="5"/>
  <c r="AY786" i="5"/>
  <c r="AV784" i="5"/>
  <c r="AV785" i="5" s="1"/>
  <c r="AV794" i="5"/>
  <c r="AV799" i="5"/>
  <c r="AV789" i="5"/>
  <c r="AY793" i="5"/>
  <c r="AY795" i="5"/>
  <c r="AY802" i="5"/>
  <c r="AY807" i="5"/>
  <c r="AV805" i="5"/>
  <c r="AV800" i="5"/>
  <c r="AV803" i="5"/>
  <c r="AV790" i="5"/>
  <c r="AV801" i="5"/>
  <c r="AY784" i="5"/>
  <c r="AY785" i="5" s="1"/>
  <c r="AY794" i="5"/>
  <c r="AY799" i="5"/>
  <c r="AY789" i="5"/>
  <c r="AV792" i="5"/>
  <c r="AY787" i="5"/>
  <c r="AY791" i="5"/>
  <c r="AY811" i="5"/>
  <c r="AY812" i="5" s="1"/>
  <c r="AY805" i="5"/>
  <c r="AY800" i="5"/>
  <c r="AV804" i="5"/>
  <c r="AY796" i="5"/>
  <c r="AV786" i="5"/>
  <c r="AY775" i="5"/>
  <c r="AY776" i="5" s="1"/>
  <c r="BP686" i="5"/>
  <c r="BP775" i="5" s="1"/>
  <c r="BP776" i="5" s="1"/>
  <c r="BA775" i="5"/>
  <c r="BA776" i="5" s="1"/>
  <c r="H335" i="10"/>
  <c r="BJ775" i="5"/>
  <c r="BJ776" i="5" s="1"/>
  <c r="CE775" i="5"/>
  <c r="CE776" i="5" s="1"/>
  <c r="AB45" i="42"/>
  <c r="AZ775" i="5"/>
  <c r="AZ776" i="5" s="1"/>
  <c r="D347" i="10"/>
  <c r="F12" i="43"/>
  <c r="F40" i="43" s="1"/>
  <c r="BO576" i="5"/>
  <c r="BC576" i="5"/>
  <c r="F10" i="43"/>
  <c r="D345" i="10"/>
  <c r="BK775" i="5"/>
  <c r="BK776" i="5" s="1"/>
  <c r="BT775" i="5"/>
  <c r="BT776" i="5" s="1"/>
  <c r="CA775" i="5"/>
  <c r="CA776" i="5" s="1"/>
  <c r="CI775" i="5"/>
  <c r="CI776" i="5" s="1"/>
  <c r="F75" i="43"/>
  <c r="F80" i="43" s="1"/>
  <c r="BH775" i="5"/>
  <c r="BH776" i="5" s="1"/>
  <c r="BU775" i="5"/>
  <c r="BU776" i="5" s="1"/>
  <c r="CC775" i="5"/>
  <c r="CC776" i="5" s="1"/>
  <c r="CK775" i="5"/>
  <c r="CK776" i="5" s="1"/>
  <c r="CD760" i="5"/>
  <c r="CD761" i="5" s="1"/>
  <c r="BM737" i="5"/>
  <c r="BM738" i="5" s="1"/>
  <c r="BW737" i="5"/>
  <c r="BW738" i="5" s="1"/>
  <c r="BI775" i="5"/>
  <c r="BI776" i="5" s="1"/>
  <c r="BS775" i="5"/>
  <c r="BS776" i="5" s="1"/>
  <c r="CD775" i="5"/>
  <c r="CD776" i="5" s="1"/>
  <c r="BD775" i="5"/>
  <c r="BD776" i="5" s="1"/>
  <c r="BV775" i="5"/>
  <c r="BV776" i="5" s="1"/>
  <c r="BH760" i="5"/>
  <c r="BH761" i="5" s="1"/>
  <c r="BV760" i="5"/>
  <c r="BV761" i="5" s="1"/>
  <c r="BE775" i="5"/>
  <c r="BE776" i="5" s="1"/>
  <c r="BM775" i="5"/>
  <c r="BM776" i="5" s="1"/>
  <c r="BW775" i="5"/>
  <c r="BW776" i="5" s="1"/>
  <c r="CF775" i="5"/>
  <c r="CF776" i="5" s="1"/>
  <c r="CE760" i="5"/>
  <c r="CE761" i="5" s="1"/>
  <c r="CD737" i="5"/>
  <c r="CD738" i="5" s="1"/>
  <c r="BF775" i="5"/>
  <c r="BF776" i="5" s="1"/>
  <c r="BR775" i="5"/>
  <c r="BR776" i="5" s="1"/>
  <c r="H324" i="10"/>
  <c r="BE773" i="5"/>
  <c r="BE774" i="5" s="1"/>
  <c r="BL773" i="5"/>
  <c r="BL774" i="5" s="1"/>
  <c r="BV773" i="5"/>
  <c r="BV774" i="5" s="1"/>
  <c r="BF773" i="5"/>
  <c r="BF774" i="5" s="1"/>
  <c r="BR773" i="5"/>
  <c r="BR774" i="5" s="1"/>
  <c r="BY773" i="5"/>
  <c r="BY774" i="5" s="1"/>
  <c r="CI773" i="5"/>
  <c r="CI774" i="5" s="1"/>
  <c r="AY773" i="5"/>
  <c r="AY774" i="5" s="1"/>
  <c r="BG773" i="5"/>
  <c r="BG774" i="5" s="1"/>
  <c r="BQ773" i="5"/>
  <c r="BQ774" i="5" s="1"/>
  <c r="BN659" i="5"/>
  <c r="AU773" i="5"/>
  <c r="AU774" i="5" s="1"/>
  <c r="BI773" i="5"/>
  <c r="BI774" i="5" s="1"/>
  <c r="BS773" i="5"/>
  <c r="BS774" i="5" s="1"/>
  <c r="CC773" i="5"/>
  <c r="CC774" i="5" s="1"/>
  <c r="CK773" i="5"/>
  <c r="CK774" i="5" s="1"/>
  <c r="G39" i="41"/>
  <c r="AB11" i="41"/>
  <c r="AB45" i="41" s="1"/>
  <c r="AA11" i="41"/>
  <c r="J11" i="41"/>
  <c r="BO659" i="5"/>
  <c r="AV773" i="5"/>
  <c r="AV774" i="5" s="1"/>
  <c r="BK773" i="5"/>
  <c r="BK774" i="5" s="1"/>
  <c r="BU773" i="5"/>
  <c r="BU774" i="5" s="1"/>
  <c r="CD773" i="5"/>
  <c r="CD774" i="5" s="1"/>
  <c r="AZ773" i="5"/>
  <c r="AZ774" i="5" s="1"/>
  <c r="BH773" i="5"/>
  <c r="BH774" i="5" s="1"/>
  <c r="BT773" i="5"/>
  <c r="BT774" i="5" s="1"/>
  <c r="CE773" i="5"/>
  <c r="CE774" i="5" s="1"/>
  <c r="F10" i="41"/>
  <c r="D323" i="10"/>
  <c r="BP659" i="5"/>
  <c r="BP773" i="5" s="1"/>
  <c r="BP774" i="5" s="1"/>
  <c r="BA773" i="5"/>
  <c r="BA774" i="5" s="1"/>
  <c r="BM773" i="5"/>
  <c r="BM774" i="5" s="1"/>
  <c r="BX773" i="5"/>
  <c r="BX774" i="5" s="1"/>
  <c r="CA773" i="5"/>
  <c r="CA774" i="5" s="1"/>
  <c r="D325" i="10"/>
  <c r="F12" i="41"/>
  <c r="F40" i="41" s="1"/>
  <c r="BD773" i="5"/>
  <c r="BD774" i="5" s="1"/>
  <c r="BJ773" i="5"/>
  <c r="BJ774" i="5" s="1"/>
  <c r="BW773" i="5"/>
  <c r="BW774" i="5" s="1"/>
  <c r="CF773" i="5"/>
  <c r="CF774" i="5" s="1"/>
  <c r="N13" i="39"/>
  <c r="AC10" i="39"/>
  <c r="AA39" i="38"/>
  <c r="AC39" i="38" s="1"/>
  <c r="J13" i="39"/>
  <c r="N41" i="39"/>
  <c r="L282" i="10"/>
  <c r="L292" i="10"/>
  <c r="F44" i="39"/>
  <c r="F45" i="39"/>
  <c r="G293" i="10"/>
  <c r="BF771" i="5"/>
  <c r="BF772" i="5" s="1"/>
  <c r="BR771" i="5"/>
  <c r="BR772" i="5" s="1"/>
  <c r="BY771" i="5"/>
  <c r="BY772" i="5" s="1"/>
  <c r="AA39" i="40"/>
  <c r="J39" i="40"/>
  <c r="BB634" i="5"/>
  <c r="BB769" i="5" s="1"/>
  <c r="BB770" i="5" s="1"/>
  <c r="AU769" i="5"/>
  <c r="AU770" i="5" s="1"/>
  <c r="L10" i="40"/>
  <c r="J312" i="10"/>
  <c r="BB635" i="5"/>
  <c r="AU771" i="5"/>
  <c r="AU772" i="5" s="1"/>
  <c r="BG771" i="5"/>
  <c r="BG772" i="5" s="1"/>
  <c r="BQ771" i="5"/>
  <c r="BQ772" i="5" s="1"/>
  <c r="BZ771" i="5"/>
  <c r="BZ772" i="5" s="1"/>
  <c r="BX4" i="5"/>
  <c r="D290" i="10"/>
  <c r="F10" i="38"/>
  <c r="F38" i="38" s="1"/>
  <c r="BO634" i="5"/>
  <c r="BO769" i="5" s="1"/>
  <c r="BO770" i="5" s="1"/>
  <c r="AV769" i="5"/>
  <c r="AV770" i="5" s="1"/>
  <c r="L12" i="40"/>
  <c r="J314" i="10"/>
  <c r="M10" i="40"/>
  <c r="M38" i="40" s="1"/>
  <c r="K312" i="10"/>
  <c r="BC635" i="5"/>
  <c r="AV771" i="5"/>
  <c r="AV772" i="5" s="1"/>
  <c r="BI771" i="5"/>
  <c r="BI772" i="5" s="1"/>
  <c r="BS771" i="5"/>
  <c r="BS772" i="5" s="1"/>
  <c r="CF771" i="5"/>
  <c r="CF772" i="5" s="1"/>
  <c r="CI771" i="5"/>
  <c r="CI772" i="5" s="1"/>
  <c r="F12" i="38"/>
  <c r="D292" i="10"/>
  <c r="AY771" i="5"/>
  <c r="AY772" i="5" s="1"/>
  <c r="BK771" i="5"/>
  <c r="BK772" i="5" s="1"/>
  <c r="BU771" i="5"/>
  <c r="BU772" i="5" s="1"/>
  <c r="CA771" i="5"/>
  <c r="CA772" i="5" s="1"/>
  <c r="CK771" i="5"/>
  <c r="CK772" i="5" s="1"/>
  <c r="G41" i="39"/>
  <c r="J39" i="39"/>
  <c r="J41" i="39" s="1"/>
  <c r="H51" i="39" s="1"/>
  <c r="H43" i="39" s="1"/>
  <c r="AA39" i="39"/>
  <c r="G38" i="38"/>
  <c r="G13" i="38"/>
  <c r="AA10" i="38"/>
  <c r="E314" i="10"/>
  <c r="G12" i="40"/>
  <c r="AZ771" i="5"/>
  <c r="AZ772" i="5" s="1"/>
  <c r="BH771" i="5"/>
  <c r="BH772" i="5" s="1"/>
  <c r="BT771" i="5"/>
  <c r="BT772" i="5" s="1"/>
  <c r="CC771" i="5"/>
  <c r="CC772" i="5" s="1"/>
  <c r="E293" i="10"/>
  <c r="G10" i="40"/>
  <c r="E312" i="10"/>
  <c r="M12" i="40"/>
  <c r="K314" i="10"/>
  <c r="BP634" i="5"/>
  <c r="BP769" i="5" s="1"/>
  <c r="BP770" i="5" s="1"/>
  <c r="BA769" i="5"/>
  <c r="BA770" i="5" s="1"/>
  <c r="BP635" i="5"/>
  <c r="BP771" i="5" s="1"/>
  <c r="BP772" i="5" s="1"/>
  <c r="BA771" i="5"/>
  <c r="BA772" i="5" s="1"/>
  <c r="BM771" i="5"/>
  <c r="BM772" i="5" s="1"/>
  <c r="BV771" i="5"/>
  <c r="BV772" i="5" s="1"/>
  <c r="CD771" i="5"/>
  <c r="CD772" i="5" s="1"/>
  <c r="I12" i="40"/>
  <c r="I40" i="40" s="1"/>
  <c r="G314" i="10"/>
  <c r="BD771" i="5"/>
  <c r="BD772" i="5" s="1"/>
  <c r="BJ771" i="5"/>
  <c r="BJ772" i="5" s="1"/>
  <c r="BW771" i="5"/>
  <c r="BW772" i="5" s="1"/>
  <c r="CE771" i="5"/>
  <c r="CE772" i="5" s="1"/>
  <c r="F10" i="40"/>
  <c r="D312" i="10"/>
  <c r="G312" i="10"/>
  <c r="I10" i="40"/>
  <c r="BE771" i="5"/>
  <c r="BE772" i="5" s="1"/>
  <c r="BL771" i="5"/>
  <c r="BL772" i="5" s="1"/>
  <c r="BX771" i="5"/>
  <c r="BX772" i="5" s="1"/>
  <c r="K10" i="38"/>
  <c r="I290" i="10"/>
  <c r="F12" i="40"/>
  <c r="F40" i="40" s="1"/>
  <c r="D314" i="10"/>
  <c r="BT737" i="5"/>
  <c r="BT738" i="5" s="1"/>
  <c r="BS737" i="5"/>
  <c r="BS738" i="5" s="1"/>
  <c r="BK760" i="5"/>
  <c r="BK761" i="5" s="1"/>
  <c r="BP737" i="5"/>
  <c r="BP738" i="5" s="1"/>
  <c r="BI737" i="5"/>
  <c r="BI738" i="5" s="1"/>
  <c r="AB38" i="39"/>
  <c r="I41" i="39"/>
  <c r="F75" i="40"/>
  <c r="F80" i="40" s="1"/>
  <c r="H304" i="10"/>
  <c r="E306" i="10" s="1"/>
  <c r="BE760" i="5"/>
  <c r="BE761" i="5" s="1"/>
  <c r="BZ748" i="5"/>
  <c r="BZ749" i="5" s="1"/>
  <c r="BR737" i="5"/>
  <c r="BR738" i="5" s="1"/>
  <c r="N38" i="39"/>
  <c r="J293" i="10"/>
  <c r="L290" i="10"/>
  <c r="L13" i="38"/>
  <c r="N10" i="38"/>
  <c r="L38" i="38"/>
  <c r="AB10" i="38"/>
  <c r="I38" i="38"/>
  <c r="I13" i="38"/>
  <c r="BR760" i="5"/>
  <c r="BR761" i="5" s="1"/>
  <c r="M13" i="38"/>
  <c r="M40" i="38"/>
  <c r="M41" i="38" s="1"/>
  <c r="L40" i="38"/>
  <c r="N12" i="38"/>
  <c r="H10" i="38"/>
  <c r="F290" i="10"/>
  <c r="H290" i="10" s="1"/>
  <c r="BT760" i="5"/>
  <c r="BT761" i="5" s="1"/>
  <c r="K293" i="10"/>
  <c r="BI760" i="5"/>
  <c r="BI761" i="5" s="1"/>
  <c r="BS760" i="5"/>
  <c r="BS761" i="5" s="1"/>
  <c r="CK760" i="5"/>
  <c r="CK761" i="5" s="1"/>
  <c r="F75" i="38"/>
  <c r="F80" i="38" s="1"/>
  <c r="AV765" i="5"/>
  <c r="AV766" i="5" s="1"/>
  <c r="BO633" i="5"/>
  <c r="BO765" i="5" s="1"/>
  <c r="BO766" i="5" s="1"/>
  <c r="BC633" i="5"/>
  <c r="BC765" i="5" s="1"/>
  <c r="BC766" i="5" s="1"/>
  <c r="BW760" i="5"/>
  <c r="BW761" i="5" s="1"/>
  <c r="AY760" i="5"/>
  <c r="AY761" i="5" s="1"/>
  <c r="BD760" i="5"/>
  <c r="BD761" i="5" s="1"/>
  <c r="BJ760" i="5"/>
  <c r="BJ761" i="5" s="1"/>
  <c r="CF760" i="5"/>
  <c r="CF761" i="5" s="1"/>
  <c r="AZ762" i="5"/>
  <c r="AZ763" i="5" s="1"/>
  <c r="BH762" i="5"/>
  <c r="BH763" i="5" s="1"/>
  <c r="BW762" i="5"/>
  <c r="BW763" i="5" s="1"/>
  <c r="CI762" i="5"/>
  <c r="CI763" i="5" s="1"/>
  <c r="J13" i="37"/>
  <c r="H15" i="37" s="1"/>
  <c r="H16" i="37" s="1"/>
  <c r="BP627" i="5"/>
  <c r="BP762" i="5" s="1"/>
  <c r="BP763" i="5" s="1"/>
  <c r="BA762" i="5"/>
  <c r="BA763" i="5" s="1"/>
  <c r="BM762" i="5"/>
  <c r="BM763" i="5" s="1"/>
  <c r="BV762" i="5"/>
  <c r="BV763" i="5" s="1"/>
  <c r="CK762" i="5"/>
  <c r="CK763" i="5" s="1"/>
  <c r="BF760" i="5"/>
  <c r="BF761" i="5" s="1"/>
  <c r="BD762" i="5"/>
  <c r="BD763" i="5" s="1"/>
  <c r="BJ762" i="5"/>
  <c r="BJ763" i="5" s="1"/>
  <c r="BY762" i="5"/>
  <c r="BY763" i="5" s="1"/>
  <c r="BP619" i="5"/>
  <c r="BP760" i="5" s="1"/>
  <c r="BP761" i="5" s="1"/>
  <c r="BA760" i="5"/>
  <c r="BA761" i="5" s="1"/>
  <c r="BG760" i="5"/>
  <c r="BG761" i="5" s="1"/>
  <c r="BQ760" i="5"/>
  <c r="BQ761" i="5" s="1"/>
  <c r="BY760" i="5"/>
  <c r="BY761" i="5" s="1"/>
  <c r="CI760" i="5"/>
  <c r="CI761" i="5" s="1"/>
  <c r="BE762" i="5"/>
  <c r="BE763" i="5" s="1"/>
  <c r="BR762" i="5"/>
  <c r="BR763" i="5" s="1"/>
  <c r="CC762" i="5"/>
  <c r="CC763" i="5" s="1"/>
  <c r="BN619" i="5"/>
  <c r="BN760" i="5" s="1"/>
  <c r="BN761" i="5" s="1"/>
  <c r="AU760" i="5"/>
  <c r="AU761" i="5" s="1"/>
  <c r="CC760" i="5"/>
  <c r="CC761" i="5" s="1"/>
  <c r="BF762" i="5"/>
  <c r="BF763" i="5" s="1"/>
  <c r="BQ762" i="5"/>
  <c r="BQ763" i="5" s="1"/>
  <c r="CD762" i="5"/>
  <c r="CD763" i="5" s="1"/>
  <c r="AB44" i="37"/>
  <c r="BO619" i="5"/>
  <c r="AV760" i="5"/>
  <c r="AV761" i="5" s="1"/>
  <c r="BU760" i="5"/>
  <c r="BU761" i="5" s="1"/>
  <c r="CA760" i="5"/>
  <c r="CA761" i="5" s="1"/>
  <c r="AY762" i="5"/>
  <c r="AY763" i="5" s="1"/>
  <c r="BG762" i="5"/>
  <c r="BG763" i="5" s="1"/>
  <c r="BS762" i="5"/>
  <c r="BS763" i="5" s="1"/>
  <c r="CA762" i="5"/>
  <c r="CA763" i="5" s="1"/>
  <c r="BN627" i="5"/>
  <c r="AU762" i="5"/>
  <c r="AU763" i="5" s="1"/>
  <c r="BI762" i="5"/>
  <c r="BI763" i="5" s="1"/>
  <c r="BU762" i="5"/>
  <c r="BU763" i="5" s="1"/>
  <c r="CE762" i="5"/>
  <c r="CE763" i="5" s="1"/>
  <c r="BC627" i="5"/>
  <c r="AV762" i="5"/>
  <c r="AV763" i="5" s="1"/>
  <c r="BK762" i="5"/>
  <c r="BK763" i="5" s="1"/>
  <c r="BT762" i="5"/>
  <c r="BT763" i="5" s="1"/>
  <c r="CF762" i="5"/>
  <c r="CF763" i="5" s="1"/>
  <c r="AC10" i="37"/>
  <c r="G12" i="36"/>
  <c r="G40" i="36" s="1"/>
  <c r="E270" i="10"/>
  <c r="D268" i="10"/>
  <c r="F10" i="36"/>
  <c r="F38" i="36" s="1"/>
  <c r="H282" i="10"/>
  <c r="F284" i="10" s="1"/>
  <c r="F285" i="10" s="1"/>
  <c r="CB428" i="5"/>
  <c r="F12" i="36"/>
  <c r="D270" i="10"/>
  <c r="AA39" i="37"/>
  <c r="J39" i="37"/>
  <c r="H269" i="10"/>
  <c r="G10" i="36"/>
  <c r="E268" i="10"/>
  <c r="G41" i="37"/>
  <c r="J38" i="37"/>
  <c r="AA38" i="37"/>
  <c r="F44" i="37"/>
  <c r="I41" i="37"/>
  <c r="AA11" i="36"/>
  <c r="J11" i="36"/>
  <c r="AB11" i="36"/>
  <c r="AB45" i="36" s="1"/>
  <c r="G39" i="36"/>
  <c r="CH719" i="5"/>
  <c r="CH720" i="5" s="1"/>
  <c r="F45" i="37"/>
  <c r="F75" i="37"/>
  <c r="F80" i="37" s="1"/>
  <c r="K270" i="10"/>
  <c r="M12" i="36"/>
  <c r="M40" i="36" s="1"/>
  <c r="G270" i="10"/>
  <c r="I12" i="36"/>
  <c r="J270" i="10"/>
  <c r="L12" i="36"/>
  <c r="AB45" i="34"/>
  <c r="F75" i="36"/>
  <c r="F80" i="36" s="1"/>
  <c r="H236" i="10"/>
  <c r="J11" i="34"/>
  <c r="BC296" i="5"/>
  <c r="BO296" i="5"/>
  <c r="BP754" i="5"/>
  <c r="BP755" i="5" s="1"/>
  <c r="H258" i="10"/>
  <c r="BE750" i="5"/>
  <c r="BE751" i="5" s="1"/>
  <c r="BI754" i="5"/>
  <c r="BI755" i="5" s="1"/>
  <c r="BS754" i="5"/>
  <c r="BS755" i="5" s="1"/>
  <c r="BL750" i="5"/>
  <c r="BL751" i="5" s="1"/>
  <c r="BX750" i="5"/>
  <c r="BX751" i="5" s="1"/>
  <c r="AY750" i="5"/>
  <c r="AY751" i="5" s="1"/>
  <c r="E246" i="10" s="1"/>
  <c r="AZ754" i="5"/>
  <c r="AZ755" i="5" s="1"/>
  <c r="E259" i="10" s="1"/>
  <c r="AZ750" i="5"/>
  <c r="AZ751" i="5" s="1"/>
  <c r="G12" i="34" s="1"/>
  <c r="G40" i="34" s="1"/>
  <c r="AY754" i="5"/>
  <c r="AY755" i="5" s="1"/>
  <c r="G10" i="35" s="1"/>
  <c r="CF754" i="5"/>
  <c r="CF755" i="5" s="1"/>
  <c r="CF750" i="5"/>
  <c r="CF751" i="5" s="1"/>
  <c r="BC462" i="5"/>
  <c r="AV752" i="5"/>
  <c r="AV753" i="5" s="1"/>
  <c r="AA39" i="35"/>
  <c r="J39" i="35"/>
  <c r="BD754" i="5"/>
  <c r="BD755" i="5" s="1"/>
  <c r="BK754" i="5"/>
  <c r="BK755" i="5" s="1"/>
  <c r="BV754" i="5"/>
  <c r="BV755" i="5" s="1"/>
  <c r="CE754" i="5"/>
  <c r="CE755" i="5" s="1"/>
  <c r="G10" i="33"/>
  <c r="E235" i="10"/>
  <c r="BN462" i="5"/>
  <c r="AU752" i="5"/>
  <c r="AU753" i="5" s="1"/>
  <c r="AU754" i="5"/>
  <c r="AU755" i="5" s="1"/>
  <c r="AB11" i="33"/>
  <c r="AB45" i="33" s="1"/>
  <c r="G39" i="33"/>
  <c r="J11" i="33"/>
  <c r="AA11" i="33"/>
  <c r="AA39" i="34"/>
  <c r="J39" i="34"/>
  <c r="AV754" i="5"/>
  <c r="AV755" i="5" s="1"/>
  <c r="BH750" i="5"/>
  <c r="BH751" i="5" s="1"/>
  <c r="CA750" i="5"/>
  <c r="CA751" i="5" s="1"/>
  <c r="J248" i="10" s="1"/>
  <c r="CI750" i="5"/>
  <c r="CI751" i="5" s="1"/>
  <c r="AY752" i="5"/>
  <c r="AY753" i="5" s="1"/>
  <c r="F10" i="34"/>
  <c r="F38" i="34" s="1"/>
  <c r="D246" i="10"/>
  <c r="AU756" i="5"/>
  <c r="AU757" i="5" s="1"/>
  <c r="BP462" i="5"/>
  <c r="BP752" i="5" s="1"/>
  <c r="BP753" i="5" s="1"/>
  <c r="BA752" i="5"/>
  <c r="BA753" i="5" s="1"/>
  <c r="F10" i="33"/>
  <c r="D235" i="10"/>
  <c r="AU750" i="5"/>
  <c r="AU751" i="5" s="1"/>
  <c r="F12" i="34"/>
  <c r="D248" i="10"/>
  <c r="CD754" i="5"/>
  <c r="CD755" i="5" s="1"/>
  <c r="BF754" i="5"/>
  <c r="BF755" i="5" s="1"/>
  <c r="BQ754" i="5"/>
  <c r="BQ755" i="5" s="1"/>
  <c r="BW754" i="5"/>
  <c r="BW755" i="5" s="1"/>
  <c r="BT750" i="5"/>
  <c r="BT751" i="5" s="1"/>
  <c r="CD750" i="5"/>
  <c r="CD751" i="5" s="1"/>
  <c r="CK750" i="5"/>
  <c r="CK751" i="5" s="1"/>
  <c r="M12" i="34" s="1"/>
  <c r="M40" i="34" s="1"/>
  <c r="F12" i="33"/>
  <c r="F40" i="33" s="1"/>
  <c r="D237" i="10"/>
  <c r="AV750" i="5"/>
  <c r="AV751" i="5" s="1"/>
  <c r="BC457" i="5"/>
  <c r="BC750" i="5" s="1"/>
  <c r="BC751" i="5" s="1"/>
  <c r="BO457" i="5"/>
  <c r="BM754" i="5"/>
  <c r="BM755" i="5" s="1"/>
  <c r="BG754" i="5"/>
  <c r="BG755" i="5" s="1"/>
  <c r="BR754" i="5"/>
  <c r="BR755" i="5" s="1"/>
  <c r="CA754" i="5"/>
  <c r="CA755" i="5" s="1"/>
  <c r="CK754" i="5"/>
  <c r="CK755" i="5" s="1"/>
  <c r="E237" i="10"/>
  <c r="G12" i="33"/>
  <c r="G40" i="33" s="1"/>
  <c r="AZ752" i="5"/>
  <c r="AZ753" i="5" s="1"/>
  <c r="BA754" i="5"/>
  <c r="BA755" i="5" s="1"/>
  <c r="BY754" i="5"/>
  <c r="BY755" i="5" s="1"/>
  <c r="BE754" i="5"/>
  <c r="BE755" i="5" s="1"/>
  <c r="BJ754" i="5"/>
  <c r="BJ755" i="5" s="1"/>
  <c r="BT754" i="5"/>
  <c r="BT755" i="5" s="1"/>
  <c r="BG750" i="5"/>
  <c r="BG751" i="5" s="1"/>
  <c r="BV750" i="5"/>
  <c r="BV751" i="5" s="1"/>
  <c r="BA756" i="5"/>
  <c r="BA757" i="5" s="1"/>
  <c r="AV756" i="5"/>
  <c r="AV757" i="5" s="1"/>
  <c r="BC617" i="5"/>
  <c r="BC756" i="5" s="1"/>
  <c r="BC757" i="5" s="1"/>
  <c r="BO617" i="5"/>
  <c r="F10" i="35"/>
  <c r="D257" i="10"/>
  <c r="BH754" i="5"/>
  <c r="BH755" i="5" s="1"/>
  <c r="BU754" i="5"/>
  <c r="BU755" i="5" s="1"/>
  <c r="CC754" i="5"/>
  <c r="CC755" i="5" s="1"/>
  <c r="CI754" i="5"/>
  <c r="CI755" i="5" s="1"/>
  <c r="BN756" i="5"/>
  <c r="BN757" i="5" s="1"/>
  <c r="BP756" i="5"/>
  <c r="BP757" i="5" s="1"/>
  <c r="BA750" i="5"/>
  <c r="BA751" i="5" s="1"/>
  <c r="F12" i="35"/>
  <c r="F40" i="35" s="1"/>
  <c r="D259" i="10"/>
  <c r="BD737" i="5"/>
  <c r="BD738" i="5" s="1"/>
  <c r="BY737" i="5"/>
  <c r="BY738" i="5" s="1"/>
  <c r="BP750" i="5"/>
  <c r="BP751" i="5" s="1"/>
  <c r="BM750" i="5"/>
  <c r="BM751" i="5" s="1"/>
  <c r="BY750" i="5"/>
  <c r="BY751" i="5" s="1"/>
  <c r="CE750" i="5"/>
  <c r="CE751" i="5" s="1"/>
  <c r="BF752" i="5"/>
  <c r="BF753" i="5" s="1"/>
  <c r="BR752" i="5"/>
  <c r="BR753" i="5" s="1"/>
  <c r="BW752" i="5"/>
  <c r="BW753" i="5" s="1"/>
  <c r="CJ752" i="5"/>
  <c r="CJ753" i="5" s="1"/>
  <c r="G246" i="10"/>
  <c r="I10" i="34"/>
  <c r="BG752" i="5"/>
  <c r="BG753" i="5" s="1"/>
  <c r="BQ752" i="5"/>
  <c r="BQ753" i="5" s="1"/>
  <c r="CC752" i="5"/>
  <c r="CC753" i="5" s="1"/>
  <c r="CG752" i="5"/>
  <c r="CG753" i="5" s="1"/>
  <c r="BQ737" i="5"/>
  <c r="BQ738" i="5" s="1"/>
  <c r="CA737" i="5"/>
  <c r="CA738" i="5" s="1"/>
  <c r="L12" i="28" s="1"/>
  <c r="BF750" i="5"/>
  <c r="BF751" i="5" s="1"/>
  <c r="BQ750" i="5"/>
  <c r="BQ751" i="5" s="1"/>
  <c r="BW750" i="5"/>
  <c r="BW751" i="5" s="1"/>
  <c r="CH750" i="5"/>
  <c r="CH751" i="5" s="1"/>
  <c r="BK752" i="5"/>
  <c r="BK753" i="5" s="1"/>
  <c r="BT752" i="5"/>
  <c r="BT753" i="5" s="1"/>
  <c r="CA752" i="5"/>
  <c r="CA753" i="5" s="1"/>
  <c r="CK752" i="5"/>
  <c r="CK753" i="5" s="1"/>
  <c r="BR750" i="5"/>
  <c r="BR751" i="5" s="1"/>
  <c r="BH752" i="5"/>
  <c r="BH753" i="5" s="1"/>
  <c r="BU752" i="5"/>
  <c r="BU753" i="5" s="1"/>
  <c r="BZ752" i="5"/>
  <c r="BZ753" i="5" s="1"/>
  <c r="CI752" i="5"/>
  <c r="CI753" i="5" s="1"/>
  <c r="BG737" i="5"/>
  <c r="BG738" i="5" s="1"/>
  <c r="BU737" i="5"/>
  <c r="BU738" i="5" s="1"/>
  <c r="CC737" i="5"/>
  <c r="CC738" i="5" s="1"/>
  <c r="BJ750" i="5"/>
  <c r="BJ751" i="5" s="1"/>
  <c r="BS750" i="5"/>
  <c r="BS751" i="5" s="1"/>
  <c r="CC750" i="5"/>
  <c r="CC751" i="5" s="1"/>
  <c r="CJ750" i="5"/>
  <c r="CJ751" i="5" s="1"/>
  <c r="BI752" i="5"/>
  <c r="BI753" i="5" s="1"/>
  <c r="BS752" i="5"/>
  <c r="BS753" i="5" s="1"/>
  <c r="CD752" i="5"/>
  <c r="CD753" i="5" s="1"/>
  <c r="BD752" i="5"/>
  <c r="BD753" i="5" s="1"/>
  <c r="BJ752" i="5"/>
  <c r="BJ753" i="5" s="1"/>
  <c r="BV752" i="5"/>
  <c r="BV753" i="5" s="1"/>
  <c r="CE752" i="5"/>
  <c r="CE753" i="5" s="1"/>
  <c r="BI750" i="5"/>
  <c r="BI751" i="5" s="1"/>
  <c r="BH737" i="5"/>
  <c r="BH738" i="5" s="1"/>
  <c r="CF737" i="5"/>
  <c r="CF738" i="5" s="1"/>
  <c r="BK750" i="5"/>
  <c r="BK751" i="5" s="1"/>
  <c r="BU750" i="5"/>
  <c r="BU751" i="5" s="1"/>
  <c r="BZ750" i="5"/>
  <c r="BZ751" i="5" s="1"/>
  <c r="BL752" i="5"/>
  <c r="BL753" i="5" s="1"/>
  <c r="BX752" i="5"/>
  <c r="BX753" i="5" s="1"/>
  <c r="CF752" i="5"/>
  <c r="CF753" i="5" s="1"/>
  <c r="BV737" i="5"/>
  <c r="BV738" i="5" s="1"/>
  <c r="BD750" i="5"/>
  <c r="BD751" i="5" s="1"/>
  <c r="CG750" i="5"/>
  <c r="CG751" i="5" s="1"/>
  <c r="BE752" i="5"/>
  <c r="BE753" i="5" s="1"/>
  <c r="BM752" i="5"/>
  <c r="BM753" i="5" s="1"/>
  <c r="BY752" i="5"/>
  <c r="BY753" i="5" s="1"/>
  <c r="CH752" i="5"/>
  <c r="CH753" i="5" s="1"/>
  <c r="K237" i="10"/>
  <c r="M12" i="33"/>
  <c r="M40" i="33" s="1"/>
  <c r="F75" i="34"/>
  <c r="F80" i="34" s="1"/>
  <c r="I10" i="33"/>
  <c r="G235" i="10"/>
  <c r="G237" i="10"/>
  <c r="I12" i="33"/>
  <c r="I40" i="33" s="1"/>
  <c r="K235" i="10"/>
  <c r="M10" i="33"/>
  <c r="L12" i="33"/>
  <c r="J237" i="10"/>
  <c r="L10" i="33"/>
  <c r="J235" i="10"/>
  <c r="BH741" i="5"/>
  <c r="BH742" i="5" s="1"/>
  <c r="F75" i="33"/>
  <c r="F80" i="33" s="1"/>
  <c r="BN454" i="5"/>
  <c r="AU748" i="5"/>
  <c r="AU749" i="5" s="1"/>
  <c r="BO454" i="5"/>
  <c r="AV748" i="5"/>
  <c r="AV749" i="5" s="1"/>
  <c r="BP454" i="5"/>
  <c r="BP748" i="5" s="1"/>
  <c r="BP749" i="5" s="1"/>
  <c r="BA748" i="5"/>
  <c r="BA749" i="5" s="1"/>
  <c r="AC10" i="32"/>
  <c r="AB44" i="32"/>
  <c r="F44" i="32"/>
  <c r="G126" i="10"/>
  <c r="H126" i="10" s="1"/>
  <c r="N13" i="32"/>
  <c r="H15" i="32"/>
  <c r="H16" i="32" s="1"/>
  <c r="AB45" i="32"/>
  <c r="I15" i="32"/>
  <c r="I16" i="32" s="1"/>
  <c r="AA39" i="32"/>
  <c r="J39" i="32"/>
  <c r="J38" i="32"/>
  <c r="AA38" i="32"/>
  <c r="G41" i="32"/>
  <c r="J15" i="32"/>
  <c r="J16" i="32" s="1"/>
  <c r="I41" i="32"/>
  <c r="H227" i="10"/>
  <c r="E229" i="10" s="1"/>
  <c r="L41" i="32"/>
  <c r="N41" i="32" s="1"/>
  <c r="N40" i="32"/>
  <c r="CA741" i="5"/>
  <c r="CA742" i="5" s="1"/>
  <c r="L12" i="30" s="1"/>
  <c r="L40" i="30" s="1"/>
  <c r="F45" i="32"/>
  <c r="F75" i="32"/>
  <c r="F80" i="32" s="1"/>
  <c r="F10" i="31"/>
  <c r="D213" i="10"/>
  <c r="F12" i="31"/>
  <c r="F40" i="31" s="1"/>
  <c r="D215" i="10"/>
  <c r="H214" i="10"/>
  <c r="AA11" i="31"/>
  <c r="G39" i="31"/>
  <c r="J11" i="31"/>
  <c r="AB11" i="31"/>
  <c r="AB45" i="31" s="1"/>
  <c r="BI741" i="5"/>
  <c r="BI742" i="5" s="1"/>
  <c r="BS741" i="5"/>
  <c r="BS742" i="5" s="1"/>
  <c r="F75" i="31"/>
  <c r="F80" i="31" s="1"/>
  <c r="BZ8" i="5"/>
  <c r="H203" i="10"/>
  <c r="BN285" i="5"/>
  <c r="J11" i="29"/>
  <c r="AZ744" i="5"/>
  <c r="AZ745" i="5" s="1"/>
  <c r="BJ744" i="5"/>
  <c r="BJ745" i="5" s="1"/>
  <c r="BS744" i="5"/>
  <c r="BS745" i="5" s="1"/>
  <c r="CC744" i="5"/>
  <c r="CC745" i="5" s="1"/>
  <c r="BP450" i="5"/>
  <c r="BP744" i="5" s="1"/>
  <c r="BP745" i="5" s="1"/>
  <c r="BA744" i="5"/>
  <c r="BA745" i="5" s="1"/>
  <c r="BG744" i="5"/>
  <c r="BG745" i="5" s="1"/>
  <c r="BV744" i="5"/>
  <c r="BV745" i="5" s="1"/>
  <c r="BD744" i="5"/>
  <c r="BD745" i="5" s="1"/>
  <c r="BM744" i="5"/>
  <c r="BM745" i="5" s="1"/>
  <c r="CK744" i="5"/>
  <c r="CK745" i="5" s="1"/>
  <c r="BE744" i="5"/>
  <c r="BE745" i="5" s="1"/>
  <c r="BW744" i="5"/>
  <c r="BW745" i="5" s="1"/>
  <c r="CD744" i="5"/>
  <c r="CD745" i="5" s="1"/>
  <c r="BF744" i="5"/>
  <c r="BF745" i="5" s="1"/>
  <c r="BQ744" i="5"/>
  <c r="BQ745" i="5" s="1"/>
  <c r="BY744" i="5"/>
  <c r="BY745" i="5" s="1"/>
  <c r="CF744" i="5"/>
  <c r="CF745" i="5" s="1"/>
  <c r="BN450" i="5"/>
  <c r="BN744" i="5" s="1"/>
  <c r="BN745" i="5" s="1"/>
  <c r="AU744" i="5"/>
  <c r="AU745" i="5" s="1"/>
  <c r="BH744" i="5"/>
  <c r="BH745" i="5" s="1"/>
  <c r="BR744" i="5"/>
  <c r="BR745" i="5" s="1"/>
  <c r="CA744" i="5"/>
  <c r="CA745" i="5" s="1"/>
  <c r="CI744" i="5"/>
  <c r="CI745" i="5" s="1"/>
  <c r="BO450" i="5"/>
  <c r="BO744" i="5" s="1"/>
  <c r="BO745" i="5" s="1"/>
  <c r="AV744" i="5"/>
  <c r="AV745" i="5" s="1"/>
  <c r="BI744" i="5"/>
  <c r="BI745" i="5" s="1"/>
  <c r="BU744" i="5"/>
  <c r="BU745" i="5" s="1"/>
  <c r="CE744" i="5"/>
  <c r="CE745" i="5" s="1"/>
  <c r="AY744" i="5"/>
  <c r="AY745" i="5" s="1"/>
  <c r="BK744" i="5"/>
  <c r="BK745" i="5" s="1"/>
  <c r="BT744" i="5"/>
  <c r="BT745" i="5" s="1"/>
  <c r="AC39" i="25"/>
  <c r="G10" i="30"/>
  <c r="E202" i="10"/>
  <c r="BZ312" i="5"/>
  <c r="I39" i="30"/>
  <c r="J11" i="30"/>
  <c r="F10" i="30"/>
  <c r="D202" i="10"/>
  <c r="F12" i="30"/>
  <c r="F40" i="30" s="1"/>
  <c r="D204" i="10"/>
  <c r="AB11" i="25"/>
  <c r="BJ735" i="5"/>
  <c r="BJ736" i="5" s="1"/>
  <c r="AB11" i="19"/>
  <c r="J39" i="25"/>
  <c r="G39" i="19"/>
  <c r="AZ741" i="5"/>
  <c r="AZ742" i="5" s="1"/>
  <c r="BK741" i="5"/>
  <c r="BK742" i="5" s="1"/>
  <c r="BT741" i="5"/>
  <c r="BT742" i="5" s="1"/>
  <c r="BP442" i="5"/>
  <c r="BP741" i="5" s="1"/>
  <c r="BP742" i="5" s="1"/>
  <c r="BA741" i="5"/>
  <c r="BA742" i="5" s="1"/>
  <c r="BG741" i="5"/>
  <c r="BG742" i="5" s="1"/>
  <c r="BV741" i="5"/>
  <c r="BV742" i="5" s="1"/>
  <c r="CE741" i="5"/>
  <c r="CE742" i="5" s="1"/>
  <c r="BD741" i="5"/>
  <c r="BD742" i="5" s="1"/>
  <c r="BW741" i="5"/>
  <c r="BW742" i="5" s="1"/>
  <c r="BE741" i="5"/>
  <c r="BE742" i="5" s="1"/>
  <c r="BM741" i="5"/>
  <c r="BM742" i="5" s="1"/>
  <c r="CF741" i="5"/>
  <c r="CF742" i="5" s="1"/>
  <c r="BF741" i="5"/>
  <c r="BF742" i="5" s="1"/>
  <c r="BR741" i="5"/>
  <c r="BR742" i="5" s="1"/>
  <c r="BY741" i="5"/>
  <c r="BY742" i="5" s="1"/>
  <c r="CI741" i="5"/>
  <c r="CI742" i="5" s="1"/>
  <c r="BQ741" i="5"/>
  <c r="BQ742" i="5" s="1"/>
  <c r="BB442" i="5"/>
  <c r="AU741" i="5"/>
  <c r="AU742" i="5" s="1"/>
  <c r="CC741" i="5"/>
  <c r="CC742" i="5" s="1"/>
  <c r="BC442" i="5"/>
  <c r="AV741" i="5"/>
  <c r="AV742" i="5" s="1"/>
  <c r="BJ741" i="5"/>
  <c r="BJ742" i="5" s="1"/>
  <c r="BU741" i="5"/>
  <c r="BU742" i="5" s="1"/>
  <c r="CD741" i="5"/>
  <c r="CD742" i="5" s="1"/>
  <c r="CK741" i="5"/>
  <c r="CK742" i="5" s="1"/>
  <c r="AB45" i="25"/>
  <c r="J11" i="24"/>
  <c r="AA11" i="25"/>
  <c r="AA45" i="25" s="1"/>
  <c r="G11" i="23"/>
  <c r="AA11" i="23" s="1"/>
  <c r="J11" i="28"/>
  <c r="AB45" i="28"/>
  <c r="AS728" i="5"/>
  <c r="F10" i="23" s="1"/>
  <c r="AB11" i="29"/>
  <c r="AB45" i="29" s="1"/>
  <c r="AT728" i="5"/>
  <c r="D127" i="10" s="1"/>
  <c r="J11" i="25"/>
  <c r="AA11" i="29"/>
  <c r="BU735" i="5"/>
  <c r="BU736" i="5" s="1"/>
  <c r="AZ735" i="5"/>
  <c r="AZ736" i="5" s="1"/>
  <c r="E171" i="10" s="1"/>
  <c r="G39" i="24"/>
  <c r="AA11" i="24"/>
  <c r="AZ727" i="5"/>
  <c r="G10" i="28"/>
  <c r="E180" i="10"/>
  <c r="G12" i="28"/>
  <c r="E182" i="10"/>
  <c r="BN430" i="5"/>
  <c r="AU739" i="5"/>
  <c r="AU740" i="5" s="1"/>
  <c r="F10" i="27"/>
  <c r="D169" i="10"/>
  <c r="D182" i="10"/>
  <c r="F12" i="28"/>
  <c r="F40" i="28" s="1"/>
  <c r="F12" i="29"/>
  <c r="F40" i="29" s="1"/>
  <c r="D193" i="10"/>
  <c r="AY735" i="5"/>
  <c r="AY736" i="5" s="1"/>
  <c r="AY739" i="5"/>
  <c r="AY740" i="5" s="1"/>
  <c r="F12" i="27"/>
  <c r="F40" i="27" s="1"/>
  <c r="D171" i="10"/>
  <c r="AV737" i="5"/>
  <c r="AV738" i="5" s="1"/>
  <c r="AU737" i="5"/>
  <c r="AU738" i="5" s="1"/>
  <c r="H170" i="10"/>
  <c r="BP430" i="5"/>
  <c r="BP739" i="5" s="1"/>
  <c r="BP740" i="5" s="1"/>
  <c r="BA739" i="5"/>
  <c r="BA740" i="5" s="1"/>
  <c r="G39" i="27"/>
  <c r="J11" i="27"/>
  <c r="AB11" i="27"/>
  <c r="AB45" i="27" s="1"/>
  <c r="AA11" i="27"/>
  <c r="CI735" i="5"/>
  <c r="CI736" i="5" s="1"/>
  <c r="AZ739" i="5"/>
  <c r="AZ740" i="5" s="1"/>
  <c r="J39" i="28"/>
  <c r="AA39" i="28"/>
  <c r="BO430" i="5"/>
  <c r="AV739" i="5"/>
  <c r="AV740" i="5" s="1"/>
  <c r="J39" i="29"/>
  <c r="AA39" i="29"/>
  <c r="BA737" i="5"/>
  <c r="BA738" i="5" s="1"/>
  <c r="F10" i="28"/>
  <c r="D180" i="10"/>
  <c r="F10" i="29"/>
  <c r="D191" i="10"/>
  <c r="BG739" i="5"/>
  <c r="BG740" i="5" s="1"/>
  <c r="BT739" i="5"/>
  <c r="BT740" i="5" s="1"/>
  <c r="CD739" i="5"/>
  <c r="CD740" i="5" s="1"/>
  <c r="BK739" i="5"/>
  <c r="BK740" i="5" s="1"/>
  <c r="BU739" i="5"/>
  <c r="BU740" i="5" s="1"/>
  <c r="CE739" i="5"/>
  <c r="CE740" i="5" s="1"/>
  <c r="BH739" i="5"/>
  <c r="BH740" i="5" s="1"/>
  <c r="BS739" i="5"/>
  <c r="BS740" i="5" s="1"/>
  <c r="CF739" i="5"/>
  <c r="CF740" i="5" s="1"/>
  <c r="BI739" i="5"/>
  <c r="BI740" i="5" s="1"/>
  <c r="BV739" i="5"/>
  <c r="BV740" i="5" s="1"/>
  <c r="CI739" i="5"/>
  <c r="CI740" i="5" s="1"/>
  <c r="CC727" i="5"/>
  <c r="BD739" i="5"/>
  <c r="BD740" i="5" s="1"/>
  <c r="BJ739" i="5"/>
  <c r="BJ740" i="5" s="1"/>
  <c r="BY739" i="5"/>
  <c r="BY740" i="5" s="1"/>
  <c r="CK739" i="5"/>
  <c r="CK740" i="5" s="1"/>
  <c r="M12" i="28"/>
  <c r="M40" i="28" s="1"/>
  <c r="K182" i="10"/>
  <c r="G182" i="10"/>
  <c r="I12" i="28"/>
  <c r="I40" i="28" s="1"/>
  <c r="BK735" i="5"/>
  <c r="BK736" i="5" s="1"/>
  <c r="BM739" i="5"/>
  <c r="BM740" i="5" s="1"/>
  <c r="BW739" i="5"/>
  <c r="BW740" i="5" s="1"/>
  <c r="F75" i="29"/>
  <c r="F80" i="29" s="1"/>
  <c r="BE739" i="5"/>
  <c r="BE740" i="5" s="1"/>
  <c r="BR739" i="5"/>
  <c r="BR740" i="5" s="1"/>
  <c r="CA739" i="5"/>
  <c r="CA740" i="5" s="1"/>
  <c r="BF739" i="5"/>
  <c r="BF740" i="5" s="1"/>
  <c r="BQ739" i="5"/>
  <c r="BQ740" i="5" s="1"/>
  <c r="CC739" i="5"/>
  <c r="CC740" i="5" s="1"/>
  <c r="BH735" i="5"/>
  <c r="BH736" i="5" s="1"/>
  <c r="BS735" i="5"/>
  <c r="BS736" i="5" s="1"/>
  <c r="CD735" i="5"/>
  <c r="CD736" i="5" s="1"/>
  <c r="F75" i="28"/>
  <c r="F80" i="28" s="1"/>
  <c r="BI735" i="5"/>
  <c r="BI736" i="5" s="1"/>
  <c r="CE735" i="5"/>
  <c r="CE736" i="5" s="1"/>
  <c r="BZ421" i="5"/>
  <c r="BG735" i="5"/>
  <c r="BG736" i="5" s="1"/>
  <c r="BW735" i="5"/>
  <c r="BW736" i="5" s="1"/>
  <c r="CK735" i="5"/>
  <c r="CK736" i="5" s="1"/>
  <c r="BE735" i="5"/>
  <c r="BE736" i="5" s="1"/>
  <c r="BR735" i="5"/>
  <c r="BR736" i="5" s="1"/>
  <c r="CA735" i="5"/>
  <c r="CA736" i="5" s="1"/>
  <c r="BF735" i="5"/>
  <c r="BF736" i="5" s="1"/>
  <c r="BQ735" i="5"/>
  <c r="BQ736" i="5" s="1"/>
  <c r="CC735" i="5"/>
  <c r="CC736" i="5" s="1"/>
  <c r="BT735" i="5"/>
  <c r="BT736" i="5" s="1"/>
  <c r="F44" i="26"/>
  <c r="BV735" i="5"/>
  <c r="BV736" i="5" s="1"/>
  <c r="CF735" i="5"/>
  <c r="CF736" i="5" s="1"/>
  <c r="CB28" i="5"/>
  <c r="BD735" i="5"/>
  <c r="BD736" i="5" s="1"/>
  <c r="BM735" i="5"/>
  <c r="BM736" i="5" s="1"/>
  <c r="BY735" i="5"/>
  <c r="BY736" i="5" s="1"/>
  <c r="H71" i="10"/>
  <c r="BO366" i="5"/>
  <c r="AV729" i="5"/>
  <c r="AV730" i="5" s="1"/>
  <c r="BA735" i="5"/>
  <c r="BA736" i="5" s="1"/>
  <c r="L161" i="10"/>
  <c r="AY731" i="5"/>
  <c r="AY732" i="5" s="1"/>
  <c r="BN366" i="5"/>
  <c r="AU729" i="5"/>
  <c r="AU730" i="5" s="1"/>
  <c r="BP735" i="5"/>
  <c r="BP736" i="5" s="1"/>
  <c r="AB38" i="26"/>
  <c r="AB44" i="26" s="1"/>
  <c r="I41" i="26"/>
  <c r="BN379" i="5"/>
  <c r="AU731" i="5"/>
  <c r="AU732" i="5" s="1"/>
  <c r="AY729" i="5"/>
  <c r="AY730" i="5" s="1"/>
  <c r="AC10" i="26"/>
  <c r="J13" i="26"/>
  <c r="BO379" i="5"/>
  <c r="AV731" i="5"/>
  <c r="AV732" i="5" s="1"/>
  <c r="BP366" i="5"/>
  <c r="BP729" i="5" s="1"/>
  <c r="BP730" i="5" s="1"/>
  <c r="BA729" i="5"/>
  <c r="BA730" i="5" s="1"/>
  <c r="N40" i="26"/>
  <c r="L41" i="26"/>
  <c r="N41" i="26" s="1"/>
  <c r="F10" i="25"/>
  <c r="D147" i="10"/>
  <c r="AZ731" i="5"/>
  <c r="AZ732" i="5" s="1"/>
  <c r="D149" i="10"/>
  <c r="F12" i="25"/>
  <c r="F40" i="25" s="1"/>
  <c r="F10" i="24"/>
  <c r="D136" i="10"/>
  <c r="AY726" i="5"/>
  <c r="BP379" i="5"/>
  <c r="BP731" i="5" s="1"/>
  <c r="BP732" i="5" s="1"/>
  <c r="BA731" i="5"/>
  <c r="BA732" i="5" s="1"/>
  <c r="AZ729" i="5"/>
  <c r="AZ730" i="5" s="1"/>
  <c r="AU735" i="5"/>
  <c r="AU736" i="5" s="1"/>
  <c r="J39" i="26"/>
  <c r="AA39" i="26"/>
  <c r="F12" i="24"/>
  <c r="F40" i="24" s="1"/>
  <c r="D138" i="10"/>
  <c r="AV735" i="5"/>
  <c r="AV736" i="5" s="1"/>
  <c r="AX728" i="5"/>
  <c r="H161" i="10"/>
  <c r="F163" i="10" s="1"/>
  <c r="F164" i="10" s="1"/>
  <c r="AA38" i="26"/>
  <c r="G41" i="26"/>
  <c r="J38" i="26"/>
  <c r="CE727" i="5"/>
  <c r="BW731" i="5"/>
  <c r="BW732" i="5" s="1"/>
  <c r="CK731" i="5"/>
  <c r="CK732" i="5" s="1"/>
  <c r="F45" i="26"/>
  <c r="F75" i="26"/>
  <c r="F80" i="26" s="1"/>
  <c r="BE731" i="5"/>
  <c r="BE732" i="5" s="1"/>
  <c r="BQ731" i="5"/>
  <c r="BQ732" i="5" s="1"/>
  <c r="CC731" i="5"/>
  <c r="CC732" i="5" s="1"/>
  <c r="BM731" i="5"/>
  <c r="BM732" i="5" s="1"/>
  <c r="BF731" i="5"/>
  <c r="BF732" i="5" s="1"/>
  <c r="BS731" i="5"/>
  <c r="BS732" i="5" s="1"/>
  <c r="CE731" i="5"/>
  <c r="CE732" i="5" s="1"/>
  <c r="F75" i="25"/>
  <c r="F80" i="25" s="1"/>
  <c r="BI731" i="5"/>
  <c r="BI732" i="5" s="1"/>
  <c r="BT731" i="5"/>
  <c r="BT732" i="5" s="1"/>
  <c r="CF731" i="5"/>
  <c r="CF732" i="5" s="1"/>
  <c r="BV727" i="5"/>
  <c r="BK731" i="5"/>
  <c r="BK732" i="5" s="1"/>
  <c r="BU731" i="5"/>
  <c r="BU732" i="5" s="1"/>
  <c r="CD731" i="5"/>
  <c r="CD732" i="5" s="1"/>
  <c r="BH731" i="5"/>
  <c r="BH732" i="5" s="1"/>
  <c r="BV731" i="5"/>
  <c r="BV732" i="5" s="1"/>
  <c r="CI731" i="5"/>
  <c r="CI732" i="5" s="1"/>
  <c r="BG731" i="5"/>
  <c r="BG732" i="5" s="1"/>
  <c r="BJ731" i="5"/>
  <c r="BJ732" i="5" s="1"/>
  <c r="BY731" i="5"/>
  <c r="BY732" i="5" s="1"/>
  <c r="BD731" i="5"/>
  <c r="BD732" i="5" s="1"/>
  <c r="BR731" i="5"/>
  <c r="BR732" i="5" s="1"/>
  <c r="CA731" i="5"/>
  <c r="CA732" i="5" s="1"/>
  <c r="CF729" i="5"/>
  <c r="CF730" i="5" s="1"/>
  <c r="BE729" i="5"/>
  <c r="BE730" i="5" s="1"/>
  <c r="BM729" i="5"/>
  <c r="BM730" i="5" s="1"/>
  <c r="BY729" i="5"/>
  <c r="BY730" i="5" s="1"/>
  <c r="CK729" i="5"/>
  <c r="CK730" i="5" s="1"/>
  <c r="BF729" i="5"/>
  <c r="BF730" i="5" s="1"/>
  <c r="BR729" i="5"/>
  <c r="BR730" i="5" s="1"/>
  <c r="BW729" i="5"/>
  <c r="BW730" i="5" s="1"/>
  <c r="BG729" i="5"/>
  <c r="BG730" i="5" s="1"/>
  <c r="BQ729" i="5"/>
  <c r="BQ730" i="5" s="1"/>
  <c r="CA729" i="5"/>
  <c r="CA730" i="5" s="1"/>
  <c r="J11" i="19"/>
  <c r="BK729" i="5"/>
  <c r="BK730" i="5" s="1"/>
  <c r="BT729" i="5"/>
  <c r="BT730" i="5" s="1"/>
  <c r="CK727" i="5"/>
  <c r="BH729" i="5"/>
  <c r="BH730" i="5" s="1"/>
  <c r="BS729" i="5"/>
  <c r="BS730" i="5" s="1"/>
  <c r="CD729" i="5"/>
  <c r="CD730" i="5" s="1"/>
  <c r="CI729" i="5"/>
  <c r="CI730" i="5" s="1"/>
  <c r="BI727" i="5"/>
  <c r="BI729" i="5"/>
  <c r="BI730" i="5" s="1"/>
  <c r="BV729" i="5"/>
  <c r="BV730" i="5" s="1"/>
  <c r="CC729" i="5"/>
  <c r="CC730" i="5" s="1"/>
  <c r="BD729" i="5"/>
  <c r="BD730" i="5" s="1"/>
  <c r="BJ729" i="5"/>
  <c r="BJ730" i="5" s="1"/>
  <c r="BU729" i="5"/>
  <c r="BU730" i="5" s="1"/>
  <c r="CE729" i="5"/>
  <c r="CE730" i="5" s="1"/>
  <c r="F75" i="23"/>
  <c r="F80" i="23" s="1"/>
  <c r="BK727" i="5"/>
  <c r="BU727" i="5"/>
  <c r="CD727" i="5"/>
  <c r="BF719" i="5"/>
  <c r="BF720" i="5" s="1"/>
  <c r="BQ719" i="5"/>
  <c r="BQ720" i="5" s="1"/>
  <c r="CF727" i="5"/>
  <c r="BR719" i="5"/>
  <c r="BR720" i="5" s="1"/>
  <c r="BE727" i="5"/>
  <c r="BX727" i="5"/>
  <c r="BM727" i="5"/>
  <c r="BY727" i="5"/>
  <c r="BZ727" i="5"/>
  <c r="BF727" i="5"/>
  <c r="BQ727" i="5"/>
  <c r="BW727" i="5"/>
  <c r="BL727" i="5"/>
  <c r="BG727" i="5"/>
  <c r="BR727" i="5"/>
  <c r="CA727" i="5"/>
  <c r="AY727" i="5"/>
  <c r="BJ727" i="5"/>
  <c r="BT727" i="5"/>
  <c r="CI727" i="5"/>
  <c r="BH727" i="5"/>
  <c r="BS727" i="5"/>
  <c r="BD727" i="5"/>
  <c r="AU727" i="5"/>
  <c r="BA727" i="5"/>
  <c r="BP727" i="5"/>
  <c r="AV727" i="5"/>
  <c r="BE726" i="5"/>
  <c r="BL726" i="5"/>
  <c r="BW726" i="5"/>
  <c r="CF726" i="5"/>
  <c r="BF726" i="5"/>
  <c r="BR726" i="5"/>
  <c r="BX726" i="5"/>
  <c r="CI726" i="5"/>
  <c r="BH726" i="5"/>
  <c r="BQ726" i="5"/>
  <c r="CA726" i="5"/>
  <c r="CJ726" i="5"/>
  <c r="BI726" i="5"/>
  <c r="BT726" i="5"/>
  <c r="CE726" i="5"/>
  <c r="CH726" i="5"/>
  <c r="BK726" i="5"/>
  <c r="BS726" i="5"/>
  <c r="BZ726" i="5"/>
  <c r="CK726" i="5"/>
  <c r="AZ726" i="5"/>
  <c r="BJ726" i="5"/>
  <c r="BV726" i="5"/>
  <c r="CD726" i="5"/>
  <c r="BG726" i="5"/>
  <c r="BU726" i="5"/>
  <c r="CC726" i="5"/>
  <c r="BD726" i="5"/>
  <c r="BM726" i="5"/>
  <c r="BY726" i="5"/>
  <c r="CG726" i="5"/>
  <c r="BH724" i="5"/>
  <c r="BV724" i="5"/>
  <c r="CK724" i="5"/>
  <c r="BE725" i="5"/>
  <c r="CF725" i="5"/>
  <c r="AB45" i="19"/>
  <c r="H115" i="10"/>
  <c r="BP726" i="5"/>
  <c r="AZ724" i="5"/>
  <c r="BI724" i="5"/>
  <c r="BY724" i="5"/>
  <c r="CI724" i="5"/>
  <c r="BF725" i="5"/>
  <c r="BQ725" i="5"/>
  <c r="BY725" i="5"/>
  <c r="BD724" i="5"/>
  <c r="BM724" i="5"/>
  <c r="BW724" i="5"/>
  <c r="BH725" i="5"/>
  <c r="BR725" i="5"/>
  <c r="CA725" i="5"/>
  <c r="BE724" i="5"/>
  <c r="BQ724" i="5"/>
  <c r="CA724" i="5"/>
  <c r="BI725" i="5"/>
  <c r="BT725" i="5"/>
  <c r="CI725" i="5"/>
  <c r="AU726" i="5"/>
  <c r="AV726" i="5"/>
  <c r="BC337" i="5"/>
  <c r="BO337" i="5"/>
  <c r="BF724" i="5"/>
  <c r="BR724" i="5"/>
  <c r="CC724" i="5"/>
  <c r="AY725" i="5"/>
  <c r="BK725" i="5"/>
  <c r="BS725" i="5"/>
  <c r="CC725" i="5"/>
  <c r="CK725" i="5"/>
  <c r="AV724" i="5"/>
  <c r="BJ724" i="5"/>
  <c r="BT724" i="5"/>
  <c r="CD724" i="5"/>
  <c r="AZ725" i="5"/>
  <c r="BJ725" i="5"/>
  <c r="BU725" i="5"/>
  <c r="CE725" i="5"/>
  <c r="BG724" i="5"/>
  <c r="BS724" i="5"/>
  <c r="CE724" i="5"/>
  <c r="BG725" i="5"/>
  <c r="BV725" i="5"/>
  <c r="CD725" i="5"/>
  <c r="AY724" i="5"/>
  <c r="BK724" i="5"/>
  <c r="BU724" i="5"/>
  <c r="CF724" i="5"/>
  <c r="BD725" i="5"/>
  <c r="BM725" i="5"/>
  <c r="BW725" i="5"/>
  <c r="G39" i="17"/>
  <c r="AA39" i="17" s="1"/>
  <c r="BA726" i="5"/>
  <c r="BZ285" i="5"/>
  <c r="BA724" i="5"/>
  <c r="AU725" i="5"/>
  <c r="AV725" i="5"/>
  <c r="BC321" i="5"/>
  <c r="BO321" i="5"/>
  <c r="BP724" i="5"/>
  <c r="BA725" i="5"/>
  <c r="BP725" i="5"/>
  <c r="F10" i="22"/>
  <c r="D114" i="10"/>
  <c r="AU724" i="5"/>
  <c r="D116" i="10"/>
  <c r="F12" i="22"/>
  <c r="F40" i="22" s="1"/>
  <c r="J11" i="22"/>
  <c r="G39" i="22"/>
  <c r="AB11" i="22"/>
  <c r="AB45" i="22" s="1"/>
  <c r="AA11" i="22"/>
  <c r="BZ245" i="5"/>
  <c r="F75" i="22"/>
  <c r="F80" i="22" s="1"/>
  <c r="BE721" i="5"/>
  <c r="BE722" i="5" s="1"/>
  <c r="BY721" i="5"/>
  <c r="BY722" i="5" s="1"/>
  <c r="CK721" i="5"/>
  <c r="CK722" i="5" s="1"/>
  <c r="BF721" i="5"/>
  <c r="BF722" i="5" s="1"/>
  <c r="BR721" i="5"/>
  <c r="BR722" i="5" s="1"/>
  <c r="CF721" i="5"/>
  <c r="CF722" i="5" s="1"/>
  <c r="H104" i="10"/>
  <c r="AY721" i="5"/>
  <c r="AY722" i="5" s="1"/>
  <c r="BH721" i="5"/>
  <c r="BH722" i="5" s="1"/>
  <c r="BQ721" i="5"/>
  <c r="BQ722" i="5" s="1"/>
  <c r="CA721" i="5"/>
  <c r="CA722" i="5" s="1"/>
  <c r="G39" i="21"/>
  <c r="AA11" i="21"/>
  <c r="J11" i="21"/>
  <c r="AB11" i="21"/>
  <c r="AB45" i="21" s="1"/>
  <c r="AU721" i="5"/>
  <c r="AU722" i="5" s="1"/>
  <c r="BI721" i="5"/>
  <c r="BI722" i="5" s="1"/>
  <c r="BT721" i="5"/>
  <c r="BT722" i="5" s="1"/>
  <c r="CC721" i="5"/>
  <c r="CC722" i="5" s="1"/>
  <c r="CI721" i="5"/>
  <c r="CI722" i="5" s="1"/>
  <c r="BO218" i="5"/>
  <c r="AV721" i="5"/>
  <c r="AV722" i="5" s="1"/>
  <c r="BJ721" i="5"/>
  <c r="BJ722" i="5" s="1"/>
  <c r="BS721" i="5"/>
  <c r="BS722" i="5" s="1"/>
  <c r="CD721" i="5"/>
  <c r="CD722" i="5" s="1"/>
  <c r="AZ721" i="5"/>
  <c r="AZ722" i="5" s="1"/>
  <c r="BK721" i="5"/>
  <c r="BK722" i="5" s="1"/>
  <c r="BU721" i="5"/>
  <c r="BU722" i="5" s="1"/>
  <c r="BP218" i="5"/>
  <c r="BP721" i="5" s="1"/>
  <c r="BP722" i="5" s="1"/>
  <c r="BA721" i="5"/>
  <c r="BA722" i="5" s="1"/>
  <c r="BG721" i="5"/>
  <c r="BG722" i="5" s="1"/>
  <c r="BV721" i="5"/>
  <c r="BV722" i="5" s="1"/>
  <c r="CE721" i="5"/>
  <c r="CE722" i="5" s="1"/>
  <c r="F10" i="21"/>
  <c r="F38" i="21" s="1"/>
  <c r="D103" i="10"/>
  <c r="BD721" i="5"/>
  <c r="BD722" i="5" s="1"/>
  <c r="BM721" i="5"/>
  <c r="BM722" i="5" s="1"/>
  <c r="BW721" i="5"/>
  <c r="BW722" i="5" s="1"/>
  <c r="F12" i="21"/>
  <c r="D105" i="10"/>
  <c r="BZ296" i="5"/>
  <c r="BZ109" i="5"/>
  <c r="BZ112" i="5"/>
  <c r="F75" i="21"/>
  <c r="F80" i="21" s="1"/>
  <c r="J11" i="14"/>
  <c r="AB45" i="14"/>
  <c r="J11" i="16"/>
  <c r="BZ189" i="5"/>
  <c r="CK719" i="5"/>
  <c r="CK720" i="5" s="1"/>
  <c r="BB400" i="5"/>
  <c r="BN400" i="5"/>
  <c r="BN40" i="5"/>
  <c r="BB40" i="5"/>
  <c r="CA719" i="5"/>
  <c r="CA720" i="5" s="1"/>
  <c r="CJ719" i="5"/>
  <c r="CJ720" i="5" s="1"/>
  <c r="BB4" i="5"/>
  <c r="BZ4" i="5" s="1"/>
  <c r="BN72" i="5"/>
  <c r="BB72" i="5"/>
  <c r="AA11" i="13"/>
  <c r="BB152" i="5"/>
  <c r="BN152" i="5"/>
  <c r="CB164" i="5"/>
  <c r="CB715" i="5" s="1"/>
  <c r="CB716" i="5" s="1"/>
  <c r="AB11" i="13"/>
  <c r="AB45" i="13" s="1"/>
  <c r="J11" i="17"/>
  <c r="J11" i="13"/>
  <c r="CB44" i="5"/>
  <c r="CI719" i="5"/>
  <c r="CI720" i="5" s="1"/>
  <c r="AB11" i="17"/>
  <c r="AB45" i="17" s="1"/>
  <c r="BB672" i="5"/>
  <c r="BN672" i="5"/>
  <c r="BC8" i="5"/>
  <c r="BO8" i="5"/>
  <c r="BS719" i="5"/>
  <c r="BS720" i="5" s="1"/>
  <c r="BN336" i="5"/>
  <c r="BB336" i="5"/>
  <c r="BO312" i="5"/>
  <c r="BC312" i="5"/>
  <c r="BN20" i="5"/>
  <c r="BZ20" i="5" s="1"/>
  <c r="BN120" i="5"/>
  <c r="BB120" i="5"/>
  <c r="H93" i="10"/>
  <c r="BY719" i="5"/>
  <c r="BY720" i="5" s="1"/>
  <c r="BH719" i="5"/>
  <c r="BH720" i="5" s="1"/>
  <c r="BV719" i="5"/>
  <c r="BV720" i="5" s="1"/>
  <c r="CC719" i="5"/>
  <c r="CC720" i="5" s="1"/>
  <c r="CF719" i="5"/>
  <c r="CF720" i="5" s="1"/>
  <c r="AZ719" i="5"/>
  <c r="AZ720" i="5" s="1"/>
  <c r="BK719" i="5"/>
  <c r="BK720" i="5" s="1"/>
  <c r="BU719" i="5"/>
  <c r="BU720" i="5" s="1"/>
  <c r="CE719" i="5"/>
  <c r="CE720" i="5" s="1"/>
  <c r="BD719" i="5"/>
  <c r="BD720" i="5" s="1"/>
  <c r="CG719" i="5"/>
  <c r="CG720" i="5" s="1"/>
  <c r="BI719" i="5"/>
  <c r="BI720" i="5" s="1"/>
  <c r="AY717" i="5"/>
  <c r="AY718" i="5" s="1"/>
  <c r="G10" i="20" s="1"/>
  <c r="BL719" i="5"/>
  <c r="BL720" i="5" s="1"/>
  <c r="AY719" i="5"/>
  <c r="AY720" i="5" s="1"/>
  <c r="BJ719" i="5"/>
  <c r="BJ720" i="5" s="1"/>
  <c r="BT719" i="5"/>
  <c r="BT720" i="5" s="1"/>
  <c r="BZ719" i="5"/>
  <c r="BZ720" i="5" s="1"/>
  <c r="BN311" i="5"/>
  <c r="BB543" i="5"/>
  <c r="BB539" i="5"/>
  <c r="BE719" i="5"/>
  <c r="BE720" i="5" s="1"/>
  <c r="BM719" i="5"/>
  <c r="BM720" i="5" s="1"/>
  <c r="BW719" i="5"/>
  <c r="BW720" i="5" s="1"/>
  <c r="CD719" i="5"/>
  <c r="CD720" i="5" s="1"/>
  <c r="BN606" i="5"/>
  <c r="BC318" i="5"/>
  <c r="BO402" i="5"/>
  <c r="BG719" i="5"/>
  <c r="BG720" i="5" s="1"/>
  <c r="BX719" i="5"/>
  <c r="BX720" i="5" s="1"/>
  <c r="BP166" i="5"/>
  <c r="BP717" i="5" s="1"/>
  <c r="BP718" i="5" s="1"/>
  <c r="BA717" i="5"/>
  <c r="BA718" i="5" s="1"/>
  <c r="K10" i="19"/>
  <c r="I81" i="10"/>
  <c r="AB11" i="16"/>
  <c r="AB45" i="16" s="1"/>
  <c r="AZ717" i="5"/>
  <c r="AZ718" i="5" s="1"/>
  <c r="F10" i="20"/>
  <c r="D92" i="10"/>
  <c r="AA39" i="20"/>
  <c r="J39" i="20"/>
  <c r="BB435" i="5"/>
  <c r="BB342" i="5"/>
  <c r="G10" i="19"/>
  <c r="E81" i="10"/>
  <c r="F12" i="20"/>
  <c r="F40" i="20" s="1"/>
  <c r="D94" i="10"/>
  <c r="D95" i="10" s="1"/>
  <c r="D98" i="10" s="1"/>
  <c r="BA719" i="5"/>
  <c r="BA720" i="5" s="1"/>
  <c r="BN81" i="5"/>
  <c r="BB81" i="5"/>
  <c r="BO666" i="5"/>
  <c r="BN555" i="5"/>
  <c r="BP719" i="5"/>
  <c r="BP720" i="5" s="1"/>
  <c r="BN390" i="5"/>
  <c r="BZ390" i="5" s="1"/>
  <c r="BO166" i="5"/>
  <c r="AV717" i="5"/>
  <c r="AV718" i="5" s="1"/>
  <c r="G12" i="19"/>
  <c r="G40" i="19" s="1"/>
  <c r="E83" i="10"/>
  <c r="AA11" i="16"/>
  <c r="AA45" i="16" s="1"/>
  <c r="AU719" i="5"/>
  <c r="AU720" i="5" s="1"/>
  <c r="BB197" i="5"/>
  <c r="BN197" i="5"/>
  <c r="AA39" i="19"/>
  <c r="J39" i="19"/>
  <c r="F10" i="19"/>
  <c r="D81" i="10"/>
  <c r="AV719" i="5"/>
  <c r="AV720" i="5" s="1"/>
  <c r="BN166" i="5"/>
  <c r="AU717" i="5"/>
  <c r="AU718" i="5" s="1"/>
  <c r="BB374" i="5"/>
  <c r="F12" i="19"/>
  <c r="F40" i="19" s="1"/>
  <c r="D83" i="10"/>
  <c r="J39" i="16"/>
  <c r="BI717" i="5"/>
  <c r="BI718" i="5" s="1"/>
  <c r="BS717" i="5"/>
  <c r="BS718" i="5" s="1"/>
  <c r="CC717" i="5"/>
  <c r="CC718" i="5" s="1"/>
  <c r="J83" i="10"/>
  <c r="L12" i="19"/>
  <c r="BK717" i="5"/>
  <c r="BK718" i="5" s="1"/>
  <c r="BU717" i="5"/>
  <c r="BU718" i="5" s="1"/>
  <c r="CF717" i="5"/>
  <c r="CF718" i="5" s="1"/>
  <c r="BD717" i="5"/>
  <c r="BD718" i="5" s="1"/>
  <c r="BM717" i="5"/>
  <c r="BM718" i="5" s="1"/>
  <c r="BY717" i="5"/>
  <c r="BY718" i="5" s="1"/>
  <c r="F83" i="10"/>
  <c r="H12" i="19"/>
  <c r="L10" i="19"/>
  <c r="J81" i="10"/>
  <c r="BZ281" i="5"/>
  <c r="H10" i="19"/>
  <c r="F81" i="10"/>
  <c r="BE717" i="5"/>
  <c r="BE718" i="5" s="1"/>
  <c r="BW717" i="5"/>
  <c r="BW718" i="5" s="1"/>
  <c r="CD717" i="5"/>
  <c r="CD718" i="5" s="1"/>
  <c r="BF717" i="5"/>
  <c r="BF718" i="5" s="1"/>
  <c r="BQ717" i="5"/>
  <c r="BQ718" i="5" s="1"/>
  <c r="CA717" i="5"/>
  <c r="CA718" i="5" s="1"/>
  <c r="BG717" i="5"/>
  <c r="BG718" i="5" s="1"/>
  <c r="BT717" i="5"/>
  <c r="BT718" i="5" s="1"/>
  <c r="CK717" i="5"/>
  <c r="CK718" i="5" s="1"/>
  <c r="M12" i="19"/>
  <c r="M40" i="19" s="1"/>
  <c r="K83" i="10"/>
  <c r="BJ717" i="5"/>
  <c r="BJ718" i="5" s="1"/>
  <c r="BR717" i="5"/>
  <c r="BR718" i="5" s="1"/>
  <c r="CI717" i="5"/>
  <c r="CI718" i="5" s="1"/>
  <c r="G81" i="10"/>
  <c r="I10" i="19"/>
  <c r="BH717" i="5"/>
  <c r="BH718" i="5" s="1"/>
  <c r="BV717" i="5"/>
  <c r="BV718" i="5" s="1"/>
  <c r="CE717" i="5"/>
  <c r="CE718" i="5" s="1"/>
  <c r="G83" i="10"/>
  <c r="I12" i="19"/>
  <c r="I40" i="19" s="1"/>
  <c r="F75" i="20"/>
  <c r="F80" i="20" s="1"/>
  <c r="F75" i="19"/>
  <c r="F80" i="19" s="1"/>
  <c r="CB20" i="5"/>
  <c r="H38" i="10"/>
  <c r="BN502" i="5"/>
  <c r="BB458" i="5"/>
  <c r="BB750" i="5" s="1"/>
  <c r="BB751" i="5" s="1"/>
  <c r="AZ705" i="5"/>
  <c r="AZ706" i="5" s="1"/>
  <c r="E28" i="10" s="1"/>
  <c r="BB615" i="5"/>
  <c r="AY713" i="5"/>
  <c r="AY714" i="5" s="1"/>
  <c r="G10" i="18" s="1"/>
  <c r="BO163" i="5"/>
  <c r="BO713" i="5" s="1"/>
  <c r="BO714" i="5" s="1"/>
  <c r="BB643" i="5"/>
  <c r="AZ713" i="5"/>
  <c r="AZ714" i="5" s="1"/>
  <c r="G12" i="18" s="1"/>
  <c r="BC266" i="5"/>
  <c r="BO715" i="5"/>
  <c r="BO716" i="5" s="1"/>
  <c r="AV711" i="5"/>
  <c r="AV712" i="5" s="1"/>
  <c r="BI713" i="5"/>
  <c r="BI714" i="5" s="1"/>
  <c r="BV713" i="5"/>
  <c r="BV714" i="5" s="1"/>
  <c r="CE713" i="5"/>
  <c r="CE714" i="5" s="1"/>
  <c r="BB182" i="5"/>
  <c r="BB575" i="5"/>
  <c r="BB207" i="5"/>
  <c r="F10" i="15"/>
  <c r="D37" i="10"/>
  <c r="F12" i="16"/>
  <c r="F40" i="16" s="1"/>
  <c r="D50" i="10"/>
  <c r="AU713" i="5"/>
  <c r="AU714" i="5" s="1"/>
  <c r="BB157" i="5"/>
  <c r="BN157" i="5"/>
  <c r="AY707" i="5"/>
  <c r="AY708" i="5" s="1"/>
  <c r="AZ711" i="5"/>
  <c r="AZ712" i="5" s="1"/>
  <c r="BD713" i="5"/>
  <c r="BD714" i="5" s="1"/>
  <c r="CF713" i="5"/>
  <c r="CF714" i="5" s="1"/>
  <c r="F12" i="15"/>
  <c r="F40" i="15" s="1"/>
  <c r="D39" i="10"/>
  <c r="AV713" i="5"/>
  <c r="AV714" i="5" s="1"/>
  <c r="AZ707" i="5"/>
  <c r="AZ708" i="5" s="1"/>
  <c r="BP122" i="5"/>
  <c r="BP711" i="5" s="1"/>
  <c r="BP712" i="5" s="1"/>
  <c r="BA711" i="5"/>
  <c r="BA712" i="5" s="1"/>
  <c r="BE713" i="5"/>
  <c r="BE714" i="5" s="1"/>
  <c r="BM713" i="5"/>
  <c r="BM714" i="5" s="1"/>
  <c r="BY713" i="5"/>
  <c r="BY714" i="5" s="1"/>
  <c r="BA713" i="5"/>
  <c r="BA714" i="5" s="1"/>
  <c r="BB102" i="5"/>
  <c r="BC615" i="5"/>
  <c r="BN90" i="5"/>
  <c r="BZ90" i="5" s="1"/>
  <c r="AU709" i="5"/>
  <c r="AU710" i="5" s="1"/>
  <c r="BF713" i="5"/>
  <c r="BF714" i="5" s="1"/>
  <c r="BQ713" i="5"/>
  <c r="BQ714" i="5" s="1"/>
  <c r="BW713" i="5"/>
  <c r="BW714" i="5" s="1"/>
  <c r="BC499" i="5"/>
  <c r="BC90" i="5"/>
  <c r="AV709" i="5"/>
  <c r="AV710" i="5" s="1"/>
  <c r="BJ713" i="5"/>
  <c r="BJ714" i="5" s="1"/>
  <c r="BT713" i="5"/>
  <c r="BT714" i="5" s="1"/>
  <c r="CA713" i="5"/>
  <c r="CA714" i="5" s="1"/>
  <c r="BB298" i="5"/>
  <c r="J39" i="18"/>
  <c r="AA39" i="18"/>
  <c r="AY709" i="5"/>
  <c r="AY710" i="5" s="1"/>
  <c r="BG713" i="5"/>
  <c r="BG714" i="5" s="1"/>
  <c r="BR713" i="5"/>
  <c r="BR714" i="5" s="1"/>
  <c r="CI713" i="5"/>
  <c r="CI714" i="5" s="1"/>
  <c r="BC107" i="5"/>
  <c r="BC298" i="5"/>
  <c r="AY705" i="5"/>
  <c r="AY706" i="5" s="1"/>
  <c r="E26" i="10" s="1"/>
  <c r="BN270" i="5"/>
  <c r="F10" i="17"/>
  <c r="D59" i="10"/>
  <c r="G39" i="15"/>
  <c r="AB11" i="15"/>
  <c r="AB45" i="15" s="1"/>
  <c r="AA11" i="15"/>
  <c r="J11" i="15"/>
  <c r="AY711" i="5"/>
  <c r="AY712" i="5" s="1"/>
  <c r="AZ709" i="5"/>
  <c r="AZ710" i="5" s="1"/>
  <c r="BK713" i="5"/>
  <c r="BK714" i="5" s="1"/>
  <c r="BS713" i="5"/>
  <c r="BS714" i="5" s="1"/>
  <c r="CC713" i="5"/>
  <c r="CC714" i="5" s="1"/>
  <c r="CK713" i="5"/>
  <c r="CK714" i="5" s="1"/>
  <c r="BN142" i="5"/>
  <c r="F12" i="17"/>
  <c r="F40" i="17" s="1"/>
  <c r="D61" i="10"/>
  <c r="F10" i="18"/>
  <c r="F38" i="18" s="1"/>
  <c r="D70" i="10"/>
  <c r="BN442" i="5"/>
  <c r="BN741" i="5" s="1"/>
  <c r="BN742" i="5" s="1"/>
  <c r="BN331" i="5"/>
  <c r="BN122" i="5"/>
  <c r="AU711" i="5"/>
  <c r="AU712" i="5" s="1"/>
  <c r="BP90" i="5"/>
  <c r="BP709" i="5" s="1"/>
  <c r="BP710" i="5" s="1"/>
  <c r="BA709" i="5"/>
  <c r="BA710" i="5" s="1"/>
  <c r="BP713" i="5"/>
  <c r="BP714" i="5" s="1"/>
  <c r="BH713" i="5"/>
  <c r="BH714" i="5" s="1"/>
  <c r="BU713" i="5"/>
  <c r="BU714" i="5" s="1"/>
  <c r="CD713" i="5"/>
  <c r="CD714" i="5" s="1"/>
  <c r="BC150" i="5"/>
  <c r="BC30" i="5"/>
  <c r="F10" i="16"/>
  <c r="D48" i="10"/>
  <c r="D72" i="10"/>
  <c r="F12" i="18"/>
  <c r="F75" i="18"/>
  <c r="F80" i="18" s="1"/>
  <c r="BH711" i="5"/>
  <c r="BH712" i="5" s="1"/>
  <c r="BT711" i="5"/>
  <c r="BT712" i="5" s="1"/>
  <c r="CD711" i="5"/>
  <c r="CD712" i="5" s="1"/>
  <c r="BI711" i="5"/>
  <c r="BI712" i="5" s="1"/>
  <c r="BS711" i="5"/>
  <c r="BS712" i="5" s="1"/>
  <c r="CE711" i="5"/>
  <c r="CE712" i="5" s="1"/>
  <c r="BJ711" i="5"/>
  <c r="BJ712" i="5" s="1"/>
  <c r="BU711" i="5"/>
  <c r="BU712" i="5" s="1"/>
  <c r="CF711" i="5"/>
  <c r="CF712" i="5" s="1"/>
  <c r="BG711" i="5"/>
  <c r="BG712" i="5" s="1"/>
  <c r="BV711" i="5"/>
  <c r="BV712" i="5" s="1"/>
  <c r="CK711" i="5"/>
  <c r="CK712" i="5" s="1"/>
  <c r="BM711" i="5"/>
  <c r="BM712" i="5" s="1"/>
  <c r="BW711" i="5"/>
  <c r="BW712" i="5" s="1"/>
  <c r="CI711" i="5"/>
  <c r="CI712" i="5" s="1"/>
  <c r="F75" i="17"/>
  <c r="F80" i="17" s="1"/>
  <c r="BD711" i="5"/>
  <c r="BD712" i="5" s="1"/>
  <c r="BK711" i="5"/>
  <c r="BK712" i="5" s="1"/>
  <c r="BY711" i="5"/>
  <c r="BY712" i="5" s="1"/>
  <c r="BE711" i="5"/>
  <c r="BE712" i="5" s="1"/>
  <c r="BQ711" i="5"/>
  <c r="BQ712" i="5" s="1"/>
  <c r="CA711" i="5"/>
  <c r="CA712" i="5" s="1"/>
  <c r="BF711" i="5"/>
  <c r="BF712" i="5" s="1"/>
  <c r="BR711" i="5"/>
  <c r="BR712" i="5" s="1"/>
  <c r="CC711" i="5"/>
  <c r="CC712" i="5" s="1"/>
  <c r="BI709" i="5"/>
  <c r="BI710" i="5" s="1"/>
  <c r="BS709" i="5"/>
  <c r="BS710" i="5" s="1"/>
  <c r="CE709" i="5"/>
  <c r="CE710" i="5" s="1"/>
  <c r="BJ709" i="5"/>
  <c r="BJ710" i="5" s="1"/>
  <c r="BU709" i="5"/>
  <c r="BU710" i="5" s="1"/>
  <c r="CF709" i="5"/>
  <c r="CF710" i="5" s="1"/>
  <c r="BG709" i="5"/>
  <c r="BG710" i="5" s="1"/>
  <c r="BV709" i="5"/>
  <c r="BV710" i="5" s="1"/>
  <c r="CK709" i="5"/>
  <c r="CK710" i="5" s="1"/>
  <c r="BM709" i="5"/>
  <c r="BM710" i="5" s="1"/>
  <c r="BW709" i="5"/>
  <c r="BW710" i="5" s="1"/>
  <c r="CI709" i="5"/>
  <c r="CI710" i="5" s="1"/>
  <c r="BD709" i="5"/>
  <c r="BD710" i="5" s="1"/>
  <c r="BK709" i="5"/>
  <c r="BK710" i="5" s="1"/>
  <c r="BY709" i="5"/>
  <c r="BY710" i="5" s="1"/>
  <c r="BE709" i="5"/>
  <c r="BE710" i="5" s="1"/>
  <c r="BQ709" i="5"/>
  <c r="BQ710" i="5" s="1"/>
  <c r="CA709" i="5"/>
  <c r="CA710" i="5" s="1"/>
  <c r="BF709" i="5"/>
  <c r="BF710" i="5" s="1"/>
  <c r="BR709" i="5"/>
  <c r="BR710" i="5" s="1"/>
  <c r="CC709" i="5"/>
  <c r="CC710" i="5" s="1"/>
  <c r="BH709" i="5"/>
  <c r="BH710" i="5" s="1"/>
  <c r="BT709" i="5"/>
  <c r="BT710" i="5" s="1"/>
  <c r="CD709" i="5"/>
  <c r="CD710" i="5" s="1"/>
  <c r="F75" i="16"/>
  <c r="F80" i="16" s="1"/>
  <c r="BH707" i="5"/>
  <c r="BH708" i="5" s="1"/>
  <c r="BR707" i="5"/>
  <c r="BR708" i="5" s="1"/>
  <c r="CI707" i="5"/>
  <c r="CI708" i="5" s="1"/>
  <c r="BI707" i="5"/>
  <c r="BI708" i="5" s="1"/>
  <c r="CC707" i="5"/>
  <c r="CC708" i="5" s="1"/>
  <c r="BD705" i="5"/>
  <c r="BD706" i="5" s="1"/>
  <c r="CF705" i="5"/>
  <c r="CF706" i="5" s="1"/>
  <c r="BZ444" i="5"/>
  <c r="BV707" i="5"/>
  <c r="BV708" i="5" s="1"/>
  <c r="BJ707" i="5"/>
  <c r="BJ708" i="5" s="1"/>
  <c r="BS707" i="5"/>
  <c r="BS708" i="5" s="1"/>
  <c r="CD707" i="5"/>
  <c r="CD708" i="5" s="1"/>
  <c r="BE705" i="5"/>
  <c r="BE706" i="5" s="1"/>
  <c r="BU707" i="5"/>
  <c r="BU708" i="5" s="1"/>
  <c r="BD707" i="5"/>
  <c r="BD708" i="5" s="1"/>
  <c r="BK707" i="5"/>
  <c r="BK708" i="5" s="1"/>
  <c r="BY707" i="5"/>
  <c r="BY708" i="5" s="1"/>
  <c r="CE707" i="5"/>
  <c r="CE708" i="5" s="1"/>
  <c r="BE707" i="5"/>
  <c r="BE708" i="5" s="1"/>
  <c r="BM707" i="5"/>
  <c r="BM708" i="5" s="1"/>
  <c r="BW707" i="5"/>
  <c r="BW708" i="5" s="1"/>
  <c r="CC705" i="5"/>
  <c r="CC706" i="5" s="1"/>
  <c r="BF707" i="5"/>
  <c r="BF708" i="5" s="1"/>
  <c r="BQ707" i="5"/>
  <c r="BQ708" i="5" s="1"/>
  <c r="CA707" i="5"/>
  <c r="CA708" i="5" s="1"/>
  <c r="CF707" i="5"/>
  <c r="CF708" i="5" s="1"/>
  <c r="CB427" i="5"/>
  <c r="BS705" i="5"/>
  <c r="BS706" i="5" s="1"/>
  <c r="BG707" i="5"/>
  <c r="BG708" i="5" s="1"/>
  <c r="BT707" i="5"/>
  <c r="BT708" i="5" s="1"/>
  <c r="CK707" i="5"/>
  <c r="CK708" i="5" s="1"/>
  <c r="F75" i="15"/>
  <c r="F80" i="15" s="1"/>
  <c r="F12" i="13"/>
  <c r="F40" i="13" s="1"/>
  <c r="D17" i="10"/>
  <c r="F10" i="14"/>
  <c r="F38" i="14" s="1"/>
  <c r="D26" i="10"/>
  <c r="BB243" i="5"/>
  <c r="BZ243" i="5" s="1"/>
  <c r="BC287" i="5"/>
  <c r="BO171" i="5"/>
  <c r="BK705" i="5"/>
  <c r="BK706" i="5" s="1"/>
  <c r="BY705" i="5"/>
  <c r="BY706" i="5" s="1"/>
  <c r="BC239" i="5"/>
  <c r="F12" i="14"/>
  <c r="D28" i="10"/>
  <c r="BB483" i="5"/>
  <c r="BN506" i="5"/>
  <c r="CB475" i="5"/>
  <c r="BB299" i="5"/>
  <c r="CB51" i="5"/>
  <c r="BO306" i="5"/>
  <c r="BC167" i="5"/>
  <c r="BF705" i="5"/>
  <c r="BF706" i="5" s="1"/>
  <c r="BQ705" i="5"/>
  <c r="BQ706" i="5" s="1"/>
  <c r="BW705" i="5"/>
  <c r="BW706" i="5" s="1"/>
  <c r="CI705" i="5"/>
  <c r="CI706" i="5" s="1"/>
  <c r="AA39" i="13"/>
  <c r="J39" i="13"/>
  <c r="BA705" i="5"/>
  <c r="BA706" i="5" s="1"/>
  <c r="BN10" i="5"/>
  <c r="BZ10" i="5" s="1"/>
  <c r="BN162" i="5"/>
  <c r="BO27" i="5"/>
  <c r="BN570" i="5"/>
  <c r="BC299" i="5"/>
  <c r="BC411" i="5"/>
  <c r="BB18" i="5"/>
  <c r="AU703" i="5"/>
  <c r="AU704" i="5" s="1"/>
  <c r="BH705" i="5"/>
  <c r="BH706" i="5" s="1"/>
  <c r="BR705" i="5"/>
  <c r="BR706" i="5" s="1"/>
  <c r="CA705" i="5"/>
  <c r="CA706" i="5" s="1"/>
  <c r="BB302" i="5"/>
  <c r="BC539" i="5"/>
  <c r="AU705" i="5"/>
  <c r="AU706" i="5" s="1"/>
  <c r="CB4" i="5"/>
  <c r="AU707" i="5"/>
  <c r="AU708" i="5" s="1"/>
  <c r="BB45" i="5"/>
  <c r="BN45" i="5"/>
  <c r="BO154" i="5"/>
  <c r="CB274" i="5"/>
  <c r="BO18" i="5"/>
  <c r="AV703" i="5"/>
  <c r="AV704" i="5" s="1"/>
  <c r="BJ705" i="5"/>
  <c r="BJ706" i="5" s="1"/>
  <c r="BT705" i="5"/>
  <c r="BT706" i="5" s="1"/>
  <c r="AV705" i="5"/>
  <c r="AV706" i="5" s="1"/>
  <c r="AA39" i="14"/>
  <c r="J39" i="14"/>
  <c r="AV707" i="5"/>
  <c r="AV708" i="5" s="1"/>
  <c r="BO91" i="5"/>
  <c r="BO643" i="5"/>
  <c r="AY703" i="5"/>
  <c r="AY704" i="5" s="1"/>
  <c r="BI705" i="5"/>
  <c r="BI706" i="5" s="1"/>
  <c r="CK705" i="5"/>
  <c r="CK706" i="5" s="1"/>
  <c r="BA707" i="5"/>
  <c r="BA708" i="5" s="1"/>
  <c r="BC262" i="5"/>
  <c r="BO350" i="5"/>
  <c r="BC222" i="5"/>
  <c r="BB343" i="5"/>
  <c r="AZ703" i="5"/>
  <c r="AZ704" i="5" s="1"/>
  <c r="BG705" i="5"/>
  <c r="BG706" i="5" s="1"/>
  <c r="BU705" i="5"/>
  <c r="BU706" i="5" s="1"/>
  <c r="CD705" i="5"/>
  <c r="CD706" i="5" s="1"/>
  <c r="BP707" i="5"/>
  <c r="BP708" i="5" s="1"/>
  <c r="BO670" i="5"/>
  <c r="BO671" i="5"/>
  <c r="BP18" i="5"/>
  <c r="BP703" i="5" s="1"/>
  <c r="BP704" i="5" s="1"/>
  <c r="BA703" i="5"/>
  <c r="BA704" i="5" s="1"/>
  <c r="BP705" i="5"/>
  <c r="BP706" i="5" s="1"/>
  <c r="BM705" i="5"/>
  <c r="BM706" i="5" s="1"/>
  <c r="BV705" i="5"/>
  <c r="BV706" i="5" s="1"/>
  <c r="CE705" i="5"/>
  <c r="CE706" i="5" s="1"/>
  <c r="F10" i="13"/>
  <c r="D15" i="10"/>
  <c r="CB146" i="5"/>
  <c r="CB62" i="5"/>
  <c r="CB578" i="5"/>
  <c r="F75" i="14"/>
  <c r="F80" i="14" s="1"/>
  <c r="BZ169" i="5"/>
  <c r="CB14" i="5"/>
  <c r="BD703" i="5"/>
  <c r="BD704" i="5" s="1"/>
  <c r="CB463" i="5"/>
  <c r="CB415" i="5"/>
  <c r="CB95" i="5"/>
  <c r="BE703" i="5"/>
  <c r="BE704" i="5" s="1"/>
  <c r="BK703" i="5"/>
  <c r="BK704" i="5" s="1"/>
  <c r="BY703" i="5"/>
  <c r="BY704" i="5" s="1"/>
  <c r="CF703" i="5"/>
  <c r="CF704" i="5" s="1"/>
  <c r="CB546" i="5"/>
  <c r="CB139" i="5"/>
  <c r="BF703" i="5"/>
  <c r="BF704" i="5" s="1"/>
  <c r="BQ703" i="5"/>
  <c r="BQ704" i="5" s="1"/>
  <c r="BW703" i="5"/>
  <c r="BW704" i="5" s="1"/>
  <c r="CB471" i="5"/>
  <c r="BH703" i="5"/>
  <c r="BH704" i="5" s="1"/>
  <c r="BR703" i="5"/>
  <c r="BR704" i="5" s="1"/>
  <c r="CA703" i="5"/>
  <c r="CA704" i="5" s="1"/>
  <c r="CK703" i="5"/>
  <c r="CK704" i="5" s="1"/>
  <c r="BZ233" i="5"/>
  <c r="F75" i="13"/>
  <c r="F80" i="13" s="1"/>
  <c r="BJ703" i="5"/>
  <c r="BJ704" i="5" s="1"/>
  <c r="BT703" i="5"/>
  <c r="BT704" i="5" s="1"/>
  <c r="CI703" i="5"/>
  <c r="CI704" i="5" s="1"/>
  <c r="CB599" i="5"/>
  <c r="CB83" i="5"/>
  <c r="CB338" i="5"/>
  <c r="BG703" i="5"/>
  <c r="BG704" i="5" s="1"/>
  <c r="BS703" i="5"/>
  <c r="BS704" i="5" s="1"/>
  <c r="CC703" i="5"/>
  <c r="CC704" i="5" s="1"/>
  <c r="CB418" i="5"/>
  <c r="BM703" i="5"/>
  <c r="BM704" i="5" s="1"/>
  <c r="BV703" i="5"/>
  <c r="BV704" i="5" s="1"/>
  <c r="CD703" i="5"/>
  <c r="CD704" i="5" s="1"/>
  <c r="CB582" i="5"/>
  <c r="BI703" i="5"/>
  <c r="BI704" i="5" s="1"/>
  <c r="BU703" i="5"/>
  <c r="BU704" i="5" s="1"/>
  <c r="CE703" i="5"/>
  <c r="CE704" i="5" s="1"/>
  <c r="CB31" i="5"/>
  <c r="CB7" i="5"/>
  <c r="BO567" i="5"/>
  <c r="BB46" i="5"/>
  <c r="BN250" i="5"/>
  <c r="CB542" i="5"/>
  <c r="BC382" i="5"/>
  <c r="CB254" i="5"/>
  <c r="BC158" i="5"/>
  <c r="CB306" i="5"/>
  <c r="BX150" i="5"/>
  <c r="CB179" i="5"/>
  <c r="BC75" i="5"/>
  <c r="BC603" i="5"/>
  <c r="BC231" i="5"/>
  <c r="BN86" i="5"/>
  <c r="BZ86" i="5" s="1"/>
  <c r="CB395" i="5"/>
  <c r="BB166" i="5"/>
  <c r="BB542" i="5"/>
  <c r="CB299" i="5"/>
  <c r="BO562" i="5"/>
  <c r="BB295" i="5"/>
  <c r="BB50" i="5"/>
  <c r="BZ50" i="5" s="1"/>
  <c r="BB439" i="5"/>
  <c r="BZ439" i="5" s="1"/>
  <c r="BB547" i="5"/>
  <c r="CB151" i="5"/>
  <c r="BC270" i="5"/>
  <c r="BN383" i="5"/>
  <c r="BN602" i="5"/>
  <c r="BN538" i="5"/>
  <c r="BN474" i="5"/>
  <c r="BB154" i="5"/>
  <c r="CB126" i="5"/>
  <c r="CB63" i="5"/>
  <c r="BB370" i="5"/>
  <c r="CB202" i="5"/>
  <c r="CB430" i="5"/>
  <c r="BC375" i="5"/>
  <c r="BB119" i="5"/>
  <c r="BZ119" i="5" s="1"/>
  <c r="CB294" i="5"/>
  <c r="BB303" i="5"/>
  <c r="BZ303" i="5" s="1"/>
  <c r="BC451" i="5"/>
  <c r="BB486" i="5"/>
  <c r="CB78" i="5"/>
  <c r="BO123" i="5"/>
  <c r="BC271" i="5"/>
  <c r="CB658" i="5"/>
  <c r="BO434" i="5"/>
  <c r="BO338" i="5"/>
  <c r="BB6" i="5"/>
  <c r="BZ6" i="5" s="1"/>
  <c r="BB691" i="5"/>
  <c r="BZ691" i="5" s="1"/>
  <c r="BB586" i="5"/>
  <c r="CB362" i="5"/>
  <c r="BN67" i="5"/>
  <c r="CB455" i="5"/>
  <c r="BO110" i="5"/>
  <c r="CB46" i="5"/>
  <c r="BO658" i="5"/>
  <c r="CB131" i="5"/>
  <c r="BB95" i="5"/>
  <c r="BC295" i="5"/>
  <c r="BO355" i="5"/>
  <c r="BB246" i="5"/>
  <c r="BB659" i="5"/>
  <c r="BC543" i="5"/>
  <c r="BB255" i="5"/>
  <c r="BC366" i="5"/>
  <c r="BB35" i="5"/>
  <c r="BZ35" i="5" s="1"/>
  <c r="BB283" i="5"/>
  <c r="BC104" i="5"/>
  <c r="BO104" i="5"/>
  <c r="BB619" i="5"/>
  <c r="BC199" i="5"/>
  <c r="BB446" i="5"/>
  <c r="BZ446" i="5" s="1"/>
  <c r="CB79" i="5"/>
  <c r="BO635" i="5"/>
  <c r="BO210" i="5"/>
  <c r="BB82" i="5"/>
  <c r="BN630" i="5"/>
  <c r="BZ630" i="5" s="1"/>
  <c r="BB43" i="5"/>
  <c r="BZ43" i="5" s="1"/>
  <c r="BZ705" i="5" s="1"/>
  <c r="BZ706" i="5" s="1"/>
  <c r="BB11" i="5"/>
  <c r="BZ11" i="5" s="1"/>
  <c r="BN330" i="5"/>
  <c r="BB603" i="5"/>
  <c r="BC347" i="5"/>
  <c r="BN398" i="5"/>
  <c r="BZ398" i="5" s="1"/>
  <c r="CB334" i="5"/>
  <c r="BB354" i="5"/>
  <c r="BC283" i="5"/>
  <c r="BN32" i="5"/>
  <c r="BB32" i="5"/>
  <c r="BC10" i="5"/>
  <c r="BO346" i="5"/>
  <c r="BO431" i="5"/>
  <c r="BB523" i="5"/>
  <c r="BC82" i="5"/>
  <c r="BN470" i="5"/>
  <c r="BB75" i="5"/>
  <c r="BC43" i="5"/>
  <c r="BB362" i="5"/>
  <c r="CB42" i="5"/>
  <c r="BC354" i="5"/>
  <c r="BB290" i="5"/>
  <c r="BO655" i="5"/>
  <c r="BC32" i="5"/>
  <c r="BO32" i="5"/>
  <c r="BO507" i="5"/>
  <c r="BC619" i="5"/>
  <c r="BB550" i="5"/>
  <c r="CB22" i="5"/>
  <c r="BN507" i="5"/>
  <c r="BO78" i="5"/>
  <c r="BN531" i="5"/>
  <c r="BB647" i="5"/>
  <c r="CB314" i="5"/>
  <c r="CB555" i="5"/>
  <c r="BC327" i="5"/>
  <c r="CB638" i="5"/>
  <c r="BB147" i="5"/>
  <c r="BZ147" i="5" s="1"/>
  <c r="BC115" i="5"/>
  <c r="CB402" i="5"/>
  <c r="BC370" i="5"/>
  <c r="BN471" i="5"/>
  <c r="CB435" i="5"/>
  <c r="CB114" i="5"/>
  <c r="BN459" i="5"/>
  <c r="BN750" i="5" s="1"/>
  <c r="BN751" i="5" s="1"/>
  <c r="BO11" i="5"/>
  <c r="BO519" i="5"/>
  <c r="BB42" i="5"/>
  <c r="BC151" i="5"/>
  <c r="BC687" i="5"/>
  <c r="BB678" i="5"/>
  <c r="BC334" i="5"/>
  <c r="BN511" i="5"/>
  <c r="BO642" i="5"/>
  <c r="BB422" i="5"/>
  <c r="BZ422" i="5" s="1"/>
  <c r="BB31" i="5"/>
  <c r="BZ31" i="5" s="1"/>
  <c r="CB307" i="5"/>
  <c r="CB454" i="5"/>
  <c r="BN134" i="5"/>
  <c r="BZ134" i="5" s="1"/>
  <c r="BC363" i="5"/>
  <c r="BC647" i="5"/>
  <c r="BB314" i="5"/>
  <c r="BZ314" i="5" s="1"/>
  <c r="CB591" i="5"/>
  <c r="BC102" i="5"/>
  <c r="BB122" i="5"/>
  <c r="BC387" i="5"/>
  <c r="BN510" i="5"/>
  <c r="BC190" i="5"/>
  <c r="BN158" i="5"/>
  <c r="BC147" i="5"/>
  <c r="BO583" i="5"/>
  <c r="CB242" i="5"/>
  <c r="CB278" i="5"/>
  <c r="CB214" i="5"/>
  <c r="CB235" i="5"/>
  <c r="CB575" i="5"/>
  <c r="BO487" i="5"/>
  <c r="BO4" i="5"/>
  <c r="BC4" i="5"/>
  <c r="BC479" i="5"/>
  <c r="CB279" i="5"/>
  <c r="BB307" i="5"/>
  <c r="BZ307" i="5" s="1"/>
  <c r="BB451" i="5"/>
  <c r="BZ451" i="5" s="1"/>
  <c r="BZ744" i="5" s="1"/>
  <c r="BZ745" i="5" s="1"/>
  <c r="CB518" i="5"/>
  <c r="BC378" i="5"/>
  <c r="CB551" i="5"/>
  <c r="CB458" i="5"/>
  <c r="BB395" i="5"/>
  <c r="BZ395" i="5" s="1"/>
  <c r="BN80" i="5"/>
  <c r="BB80" i="5"/>
  <c r="BC175" i="5"/>
  <c r="CB522" i="5"/>
  <c r="CB347" i="5"/>
  <c r="BB559" i="5"/>
  <c r="BC654" i="5"/>
  <c r="BB371" i="5"/>
  <c r="BZ371" i="5" s="1"/>
  <c r="BB455" i="5"/>
  <c r="BB258" i="5"/>
  <c r="BO80" i="5"/>
  <c r="BC80" i="5"/>
  <c r="BN227" i="5"/>
  <c r="CB123" i="5"/>
  <c r="BO127" i="5"/>
  <c r="CB346" i="5"/>
  <c r="BN591" i="5"/>
  <c r="CB387" i="5"/>
  <c r="BC503" i="5"/>
  <c r="BC690" i="5"/>
  <c r="BO498" i="5"/>
  <c r="BC50" i="5"/>
  <c r="BC695" i="5"/>
  <c r="CB439" i="5"/>
  <c r="BN598" i="5"/>
  <c r="BN214" i="5"/>
  <c r="CB586" i="5"/>
  <c r="BB522" i="5"/>
  <c r="BC330" i="5"/>
  <c r="BB347" i="5"/>
  <c r="BC559" i="5"/>
  <c r="CB547" i="5"/>
  <c r="BC255" i="5"/>
  <c r="BC571" i="5"/>
  <c r="BC258" i="5"/>
  <c r="BN104" i="5"/>
  <c r="BB104" i="5"/>
  <c r="BB479" i="5"/>
  <c r="CB111" i="5"/>
  <c r="BL614" i="5"/>
  <c r="BB582" i="5"/>
  <c r="BB518" i="5"/>
  <c r="BB454" i="5"/>
  <c r="BN666" i="5"/>
  <c r="BO275" i="5"/>
  <c r="BC275" i="5"/>
  <c r="BC122" i="5"/>
  <c r="BO122" i="5"/>
  <c r="BN503" i="5"/>
  <c r="BO126" i="5"/>
  <c r="BC126" i="5"/>
  <c r="BN291" i="5"/>
  <c r="BZ291" i="5" s="1"/>
  <c r="BC135" i="5"/>
  <c r="BB623" i="5"/>
  <c r="BZ623" i="5" s="1"/>
  <c r="BC7" i="5"/>
  <c r="BB247" i="5"/>
  <c r="BB198" i="5"/>
  <c r="BO359" i="5"/>
  <c r="BC314" i="5"/>
  <c r="BO282" i="5"/>
  <c r="BN387" i="5"/>
  <c r="BB387" i="5"/>
  <c r="BN662" i="5"/>
  <c r="BB662" i="5"/>
  <c r="BN467" i="5"/>
  <c r="BB467" i="5"/>
  <c r="BO274" i="5"/>
  <c r="BC274" i="5"/>
  <c r="BN375" i="5"/>
  <c r="BB375" i="5"/>
  <c r="BC279" i="5"/>
  <c r="BO31" i="5"/>
  <c r="BN22" i="5"/>
  <c r="BO39" i="5"/>
  <c r="BC194" i="5"/>
  <c r="BC98" i="5"/>
  <c r="BC111" i="5"/>
  <c r="BN294" i="5"/>
  <c r="BZ294" i="5" s="1"/>
  <c r="BN359" i="5"/>
  <c r="BB346" i="5"/>
  <c r="BB431" i="5"/>
  <c r="BZ431" i="5" s="1"/>
  <c r="BB218" i="5"/>
  <c r="BN218" i="5"/>
  <c r="BO667" i="5"/>
  <c r="BC667" i="5"/>
  <c r="BB478" i="5"/>
  <c r="BO19" i="5"/>
  <c r="BC19" i="5"/>
  <c r="BO691" i="5"/>
  <c r="BC691" i="5"/>
  <c r="BN259" i="5"/>
  <c r="BB159" i="5"/>
  <c r="BB563" i="5"/>
  <c r="BB111" i="5"/>
  <c r="BZ111" i="5" s="1"/>
  <c r="BB567" i="5"/>
  <c r="CB550" i="5"/>
  <c r="CB486" i="5"/>
  <c r="CB230" i="5"/>
  <c r="BB447" i="5"/>
  <c r="CB531" i="5"/>
  <c r="BO155" i="5"/>
  <c r="CB127" i="5"/>
  <c r="CB378" i="5"/>
  <c r="CB34" i="5"/>
  <c r="BB14" i="5"/>
  <c r="BO555" i="5"/>
  <c r="BO254" i="5"/>
  <c r="BC254" i="5"/>
  <c r="BB191" i="5"/>
  <c r="BZ191" i="5" s="1"/>
  <c r="BB690" i="5"/>
  <c r="BZ690" i="5" s="1"/>
  <c r="BC466" i="5"/>
  <c r="BO466" i="5"/>
  <c r="BN611" i="5"/>
  <c r="BZ611" i="5" s="1"/>
  <c r="BO471" i="5"/>
  <c r="BC471" i="5"/>
  <c r="CB291" i="5"/>
  <c r="BO599" i="5"/>
  <c r="CB55" i="5"/>
  <c r="CB226" i="5"/>
  <c r="CB326" i="5"/>
  <c r="BO59" i="5"/>
  <c r="BB378" i="5"/>
  <c r="BB34" i="5"/>
  <c r="BZ34" i="5" s="1"/>
  <c r="F12" i="12"/>
  <c r="F40" i="12" s="1"/>
  <c r="D6" i="10"/>
  <c r="BC227" i="5"/>
  <c r="BO227" i="5"/>
  <c r="BZ102" i="5"/>
  <c r="BN574" i="5"/>
  <c r="BB574" i="5"/>
  <c r="BC530" i="5"/>
  <c r="BO530" i="5"/>
  <c r="BN306" i="5"/>
  <c r="BB306" i="5"/>
  <c r="CB159" i="5"/>
  <c r="BX54" i="5"/>
  <c r="BO679" i="5"/>
  <c r="BN155" i="5"/>
  <c r="BN634" i="5"/>
  <c r="BN769" i="5" s="1"/>
  <c r="BN770" i="5" s="1"/>
  <c r="CB327" i="5"/>
  <c r="CB87" i="5"/>
  <c r="BO286" i="5"/>
  <c r="BC286" i="5"/>
  <c r="BO639" i="5"/>
  <c r="BC639" i="5"/>
  <c r="BB51" i="5"/>
  <c r="BN51" i="5"/>
  <c r="BO247" i="5"/>
  <c r="BN419" i="5"/>
  <c r="BO443" i="5"/>
  <c r="BC443" i="5"/>
  <c r="BN271" i="5"/>
  <c r="BN126" i="5"/>
  <c r="BO523" i="5"/>
  <c r="BC523" i="5"/>
  <c r="BN639" i="5"/>
  <c r="BB639" i="5"/>
  <c r="BO51" i="5"/>
  <c r="BC51" i="5"/>
  <c r="BN63" i="5"/>
  <c r="BB63" i="5"/>
  <c r="BC63" i="5"/>
  <c r="CB635" i="5"/>
  <c r="BO303" i="5"/>
  <c r="CB647" i="5"/>
  <c r="CB282" i="5"/>
  <c r="BB475" i="5"/>
  <c r="BN475" i="5"/>
  <c r="BC215" i="5"/>
  <c r="BC399" i="5"/>
  <c r="CB195" i="5"/>
  <c r="BB638" i="5"/>
  <c r="BN19" i="5"/>
  <c r="BZ19" i="5" s="1"/>
  <c r="BN338" i="5"/>
  <c r="BN411" i="5"/>
  <c r="BB411" i="5"/>
  <c r="BO663" i="5"/>
  <c r="BN315" i="5"/>
  <c r="BN239" i="5"/>
  <c r="BO206" i="5"/>
  <c r="BO339" i="5"/>
  <c r="BC67" i="5"/>
  <c r="BC35" i="5"/>
  <c r="BO290" i="5"/>
  <c r="BO207" i="5"/>
  <c r="BB512" i="5"/>
  <c r="BN512" i="5"/>
  <c r="BB552" i="5"/>
  <c r="BN552" i="5"/>
  <c r="BB240" i="5"/>
  <c r="BN240" i="5"/>
  <c r="BC232" i="5"/>
  <c r="BO232" i="5"/>
  <c r="BC464" i="5"/>
  <c r="BO464" i="5"/>
  <c r="BB656" i="5"/>
  <c r="BN656" i="5"/>
  <c r="BN520" i="5"/>
  <c r="BB520" i="5"/>
  <c r="BN264" i="5"/>
  <c r="BB264" i="5"/>
  <c r="BB688" i="5"/>
  <c r="BN688" i="5"/>
  <c r="BN775" i="5" s="1"/>
  <c r="BN776" i="5" s="1"/>
  <c r="BB440" i="5"/>
  <c r="BN440" i="5"/>
  <c r="BB23" i="5"/>
  <c r="BZ23" i="5" s="1"/>
  <c r="BB175" i="5"/>
  <c r="BZ175" i="5" s="1"/>
  <c r="BC579" i="5"/>
  <c r="BB71" i="5"/>
  <c r="BZ71" i="5" s="1"/>
  <c r="BB686" i="5"/>
  <c r="BB534" i="5"/>
  <c r="BB406" i="5"/>
  <c r="BB278" i="5"/>
  <c r="BO263" i="5"/>
  <c r="BN663" i="5"/>
  <c r="BN367" i="5"/>
  <c r="CB99" i="5"/>
  <c r="CB495" i="5"/>
  <c r="BC512" i="5"/>
  <c r="BO512" i="5"/>
  <c r="BC552" i="5"/>
  <c r="BO552" i="5"/>
  <c r="BO240" i="5"/>
  <c r="BC240" i="5"/>
  <c r="BB664" i="5"/>
  <c r="BN664" i="5"/>
  <c r="BB408" i="5"/>
  <c r="BN408" i="5"/>
  <c r="BB200" i="5"/>
  <c r="BN200" i="5"/>
  <c r="BB480" i="5"/>
  <c r="BN480" i="5"/>
  <c r="BC656" i="5"/>
  <c r="BO656" i="5"/>
  <c r="BO520" i="5"/>
  <c r="BC520" i="5"/>
  <c r="BC264" i="5"/>
  <c r="BO264" i="5"/>
  <c r="BC688" i="5"/>
  <c r="BO688" i="5"/>
  <c r="CB19" i="5"/>
  <c r="CB626" i="5"/>
  <c r="BB274" i="5"/>
  <c r="BZ274" i="5" s="1"/>
  <c r="BO26" i="5"/>
  <c r="BB38" i="5"/>
  <c r="BB47" i="5"/>
  <c r="BZ47" i="5" s="1"/>
  <c r="BB310" i="5"/>
  <c r="BZ310" i="5" s="1"/>
  <c r="BO94" i="5"/>
  <c r="BB235" i="5"/>
  <c r="BZ235" i="5" s="1"/>
  <c r="BC139" i="5"/>
  <c r="CB519" i="5"/>
  <c r="BN263" i="5"/>
  <c r="BB427" i="5"/>
  <c r="BB627" i="5"/>
  <c r="CB138" i="5"/>
  <c r="BC367" i="5"/>
  <c r="BN515" i="5"/>
  <c r="BB334" i="5"/>
  <c r="BC302" i="5"/>
  <c r="BB174" i="5"/>
  <c r="BZ174" i="5" s="1"/>
  <c r="BN203" i="5"/>
  <c r="BC143" i="5"/>
  <c r="BB131" i="5"/>
  <c r="BZ131" i="5" s="1"/>
  <c r="BN608" i="5"/>
  <c r="BB608" i="5"/>
  <c r="BN488" i="5"/>
  <c r="BB488" i="5"/>
  <c r="BB208" i="5"/>
  <c r="BN208" i="5"/>
  <c r="BC408" i="5"/>
  <c r="BO408" i="5"/>
  <c r="BC200" i="5"/>
  <c r="BO200" i="5"/>
  <c r="BC480" i="5"/>
  <c r="BO480" i="5"/>
  <c r="BN432" i="5"/>
  <c r="BB432" i="5"/>
  <c r="BN456" i="5"/>
  <c r="BB456" i="5"/>
  <c r="BN640" i="5"/>
  <c r="BB640" i="5"/>
  <c r="BN632" i="5"/>
  <c r="BB632" i="5"/>
  <c r="BN248" i="5"/>
  <c r="BB248" i="5"/>
  <c r="BN215" i="5"/>
  <c r="CB102" i="5"/>
  <c r="CB671" i="5"/>
  <c r="BN327" i="5"/>
  <c r="CB154" i="5"/>
  <c r="CB643" i="5"/>
  <c r="CB510" i="5"/>
  <c r="CB382" i="5"/>
  <c r="CB158" i="5"/>
  <c r="BO191" i="5"/>
  <c r="BC103" i="5"/>
  <c r="BL115" i="5"/>
  <c r="CB411" i="5"/>
  <c r="BB70" i="5"/>
  <c r="BZ70" i="5" s="1"/>
  <c r="BO178" i="5"/>
  <c r="BB566" i="5"/>
  <c r="BB438" i="5"/>
  <c r="CB287" i="5"/>
  <c r="BB403" i="5"/>
  <c r="BZ403" i="5" s="1"/>
  <c r="BO179" i="5"/>
  <c r="BC362" i="5"/>
  <c r="BC18" i="5"/>
  <c r="BO311" i="5"/>
  <c r="BN654" i="5"/>
  <c r="BC62" i="5"/>
  <c r="BC138" i="5"/>
  <c r="BC42" i="5"/>
  <c r="BN571" i="5"/>
  <c r="CB407" i="5"/>
  <c r="CB383" i="5"/>
  <c r="BB143" i="5"/>
  <c r="BZ143" i="5" s="1"/>
  <c r="CB163" i="5"/>
  <c r="CB450" i="5"/>
  <c r="CB283" i="5"/>
  <c r="BC608" i="5"/>
  <c r="BO608" i="5"/>
  <c r="BO488" i="5"/>
  <c r="BC488" i="5"/>
  <c r="BO208" i="5"/>
  <c r="BC208" i="5"/>
  <c r="BB137" i="5"/>
  <c r="BN137" i="5"/>
  <c r="BB600" i="5"/>
  <c r="BN600" i="5"/>
  <c r="BN344" i="5"/>
  <c r="BB344" i="5"/>
  <c r="BB368" i="5"/>
  <c r="BN368" i="5"/>
  <c r="BN97" i="5"/>
  <c r="BB97" i="5"/>
  <c r="BO432" i="5"/>
  <c r="BC432" i="5"/>
  <c r="BO456" i="5"/>
  <c r="BC456" i="5"/>
  <c r="BC640" i="5"/>
  <c r="BO640" i="5"/>
  <c r="BN89" i="5"/>
  <c r="BB89" i="5"/>
  <c r="BC248" i="5"/>
  <c r="BO248" i="5"/>
  <c r="BN428" i="5"/>
  <c r="BB428" i="5"/>
  <c r="BZ244" i="5"/>
  <c r="CB171" i="5"/>
  <c r="BO618" i="5"/>
  <c r="BB394" i="5"/>
  <c r="BB366" i="5"/>
  <c r="BB238" i="5"/>
  <c r="BZ238" i="5" s="1"/>
  <c r="CB206" i="5"/>
  <c r="BN680" i="5"/>
  <c r="BB680" i="5"/>
  <c r="BB424" i="5"/>
  <c r="BN424" i="5"/>
  <c r="BN592" i="5"/>
  <c r="BB592" i="5"/>
  <c r="BO137" i="5"/>
  <c r="BC137" i="5"/>
  <c r="BO344" i="5"/>
  <c r="BC344" i="5"/>
  <c r="BC368" i="5"/>
  <c r="BO368" i="5"/>
  <c r="BO729" i="5" s="1"/>
  <c r="BO730" i="5" s="1"/>
  <c r="BC97" i="5"/>
  <c r="BO97" i="5"/>
  <c r="BN648" i="5"/>
  <c r="BB648" i="5"/>
  <c r="BN392" i="5"/>
  <c r="BB392" i="5"/>
  <c r="BO89" i="5"/>
  <c r="BC89" i="5"/>
  <c r="BN568" i="5"/>
  <c r="BB568" i="5"/>
  <c r="BB216" i="5"/>
  <c r="BN216" i="5"/>
  <c r="F10" i="12"/>
  <c r="D4" i="10"/>
  <c r="BB199" i="5"/>
  <c r="BB414" i="5"/>
  <c r="BZ414" i="5" s="1"/>
  <c r="BC79" i="5"/>
  <c r="CB50" i="5"/>
  <c r="BO47" i="5"/>
  <c r="CB355" i="5"/>
  <c r="CB246" i="5"/>
  <c r="CB659" i="5"/>
  <c r="CB682" i="5"/>
  <c r="CB554" i="5"/>
  <c r="CB490" i="5"/>
  <c r="CB426" i="5"/>
  <c r="BC394" i="5"/>
  <c r="BB266" i="5"/>
  <c r="CB323" i="5"/>
  <c r="CB30" i="5"/>
  <c r="BB683" i="5"/>
  <c r="BN167" i="5"/>
  <c r="BN487" i="5"/>
  <c r="BN231" i="5"/>
  <c r="BC315" i="5"/>
  <c r="CB515" i="5"/>
  <c r="BB206" i="5"/>
  <c r="CB651" i="5"/>
  <c r="CB514" i="5"/>
  <c r="BN655" i="5"/>
  <c r="CB207" i="5"/>
  <c r="BC424" i="5"/>
  <c r="BO424" i="5"/>
  <c r="BO592" i="5"/>
  <c r="BC592" i="5"/>
  <c r="BN560" i="5"/>
  <c r="BB560" i="5"/>
  <c r="BN536" i="5"/>
  <c r="BB536" i="5"/>
  <c r="BN280" i="5"/>
  <c r="BB280" i="5"/>
  <c r="BN304" i="5"/>
  <c r="BB304" i="5"/>
  <c r="BC392" i="5"/>
  <c r="BO392" i="5"/>
  <c r="BN57" i="5"/>
  <c r="BB57" i="5"/>
  <c r="BC216" i="5"/>
  <c r="BO216" i="5"/>
  <c r="AA11" i="12"/>
  <c r="J11" i="12"/>
  <c r="G39" i="12"/>
  <c r="AB11" i="12"/>
  <c r="AB45" i="12" s="1"/>
  <c r="CB211" i="5"/>
  <c r="CB94" i="5"/>
  <c r="BZ575" i="5"/>
  <c r="BN179" i="5"/>
  <c r="BZ179" i="5" s="1"/>
  <c r="CB11" i="5"/>
  <c r="BB554" i="5"/>
  <c r="BB490" i="5"/>
  <c r="BB426" i="5"/>
  <c r="BZ426" i="5" s="1"/>
  <c r="BB323" i="5"/>
  <c r="CB654" i="5"/>
  <c r="CB527" i="5"/>
  <c r="CB526" i="5"/>
  <c r="BC238" i="5"/>
  <c r="BB651" i="5"/>
  <c r="CB511" i="5"/>
  <c r="BB322" i="5"/>
  <c r="BC495" i="5"/>
  <c r="CB335" i="5"/>
  <c r="BN528" i="5"/>
  <c r="BB528" i="5"/>
  <c r="BB616" i="5"/>
  <c r="BN616" i="5"/>
  <c r="BN360" i="5"/>
  <c r="BB360" i="5"/>
  <c r="BN9" i="5"/>
  <c r="BB9" i="5"/>
  <c r="BC560" i="5"/>
  <c r="BO560" i="5"/>
  <c r="BO280" i="5"/>
  <c r="BC280" i="5"/>
  <c r="BO304" i="5"/>
  <c r="BC304" i="5"/>
  <c r="BN584" i="5"/>
  <c r="BB584" i="5"/>
  <c r="BN328" i="5"/>
  <c r="BB328" i="5"/>
  <c r="BO57" i="5"/>
  <c r="BC57" i="5"/>
  <c r="BN504" i="5"/>
  <c r="BB504" i="5"/>
  <c r="BN41" i="5"/>
  <c r="BN705" i="5" s="1"/>
  <c r="BN706" i="5" s="1"/>
  <c r="BB41" i="5"/>
  <c r="BO684" i="5"/>
  <c r="BC684" i="5"/>
  <c r="CB234" i="5"/>
  <c r="BC383" i="5"/>
  <c r="BC322" i="5"/>
  <c r="BC528" i="5"/>
  <c r="BO528" i="5"/>
  <c r="BC616" i="5"/>
  <c r="BO616" i="5"/>
  <c r="BC360" i="5"/>
  <c r="BO360" i="5"/>
  <c r="BO9" i="5"/>
  <c r="BC9" i="5"/>
  <c r="BN472" i="5"/>
  <c r="BB472" i="5"/>
  <c r="BB232" i="5"/>
  <c r="BN232" i="5"/>
  <c r="BB464" i="5"/>
  <c r="BN464" i="5"/>
  <c r="BC584" i="5"/>
  <c r="BO584" i="5"/>
  <c r="BO328" i="5"/>
  <c r="BC328" i="5"/>
  <c r="BO41" i="5"/>
  <c r="BO705" i="5" s="1"/>
  <c r="BO706" i="5" s="1"/>
  <c r="BC41" i="5"/>
  <c r="CB194" i="5"/>
  <c r="CB98" i="5"/>
  <c r="CB358" i="5"/>
  <c r="CB122" i="5"/>
  <c r="CB443" i="5"/>
  <c r="BL195" i="5"/>
  <c r="CB478" i="5"/>
  <c r="CB350" i="5"/>
  <c r="CB523" i="5"/>
  <c r="CB243" i="5"/>
  <c r="CB562" i="5"/>
  <c r="CB498" i="5"/>
  <c r="BX70" i="5"/>
  <c r="CB82" i="5"/>
  <c r="CB379" i="5"/>
  <c r="BL182" i="5"/>
  <c r="CB182" i="5"/>
  <c r="CB403" i="5"/>
  <c r="CB603" i="5"/>
  <c r="CB543" i="5"/>
  <c r="CB571" i="5"/>
  <c r="CB678" i="5"/>
  <c r="CB302" i="5"/>
  <c r="CB174" i="5"/>
  <c r="CB203" i="5"/>
  <c r="CB339" i="5"/>
  <c r="CB610" i="5"/>
  <c r="CB479" i="5"/>
  <c r="CB563" i="5"/>
  <c r="BX391" i="5"/>
  <c r="CB10" i="5"/>
  <c r="CB614" i="5"/>
  <c r="CB390" i="5"/>
  <c r="BX134" i="5"/>
  <c r="CB155" i="5"/>
  <c r="CB27" i="5"/>
  <c r="CB227" i="5"/>
  <c r="CB535" i="5"/>
  <c r="CB275" i="5"/>
  <c r="CB615" i="5"/>
  <c r="BL387" i="5"/>
  <c r="CB574" i="5"/>
  <c r="CB639" i="5"/>
  <c r="CB183" i="5"/>
  <c r="CB70" i="5"/>
  <c r="CB491" i="5"/>
  <c r="CB175" i="5"/>
  <c r="CB579" i="5"/>
  <c r="CB686" i="5"/>
  <c r="BZ182" i="5"/>
  <c r="CB650" i="5"/>
  <c r="CB118" i="5"/>
  <c r="CB683" i="5"/>
  <c r="CB371" i="5"/>
  <c r="CB590" i="5"/>
  <c r="BL430" i="5"/>
  <c r="CB142" i="5"/>
  <c r="CB143" i="5"/>
  <c r="CB482" i="5"/>
  <c r="CB539" i="5"/>
  <c r="CB39" i="5"/>
  <c r="CB670" i="5"/>
  <c r="CB698" i="5"/>
  <c r="CB634" i="5"/>
  <c r="CB769" i="5" s="1"/>
  <c r="CB770" i="5" s="1"/>
  <c r="CB570" i="5"/>
  <c r="CB506" i="5"/>
  <c r="CB442" i="5"/>
  <c r="BL314" i="5"/>
  <c r="CB431" i="5"/>
  <c r="CB675" i="5"/>
  <c r="CB218" i="5"/>
  <c r="CB191" i="5"/>
  <c r="CB423" i="5"/>
  <c r="CB607" i="5"/>
  <c r="CB178" i="5"/>
  <c r="CB106" i="5"/>
  <c r="CB687" i="5"/>
  <c r="CB494" i="5"/>
  <c r="CB342" i="5"/>
  <c r="CB107" i="5"/>
  <c r="CB3" i="5"/>
  <c r="CB386" i="5"/>
  <c r="CB110" i="5"/>
  <c r="CB507" i="5"/>
  <c r="CB623" i="5"/>
  <c r="CB262" i="5"/>
  <c r="CB499" i="5"/>
  <c r="CB199" i="5"/>
  <c r="CB667" i="5"/>
  <c r="CB606" i="5"/>
  <c r="CB467" i="5"/>
  <c r="CB530" i="5"/>
  <c r="CB466" i="5"/>
  <c r="CB267" i="5"/>
  <c r="CB23" i="5"/>
  <c r="BX403" i="5"/>
  <c r="CB618" i="5"/>
  <c r="CB756" i="5" s="1"/>
  <c r="CB757" i="5" s="1"/>
  <c r="CB394" i="5"/>
  <c r="CB622" i="5"/>
  <c r="CB558" i="5"/>
  <c r="CB366" i="5"/>
  <c r="CB642" i="5"/>
  <c r="CB483" i="5"/>
  <c r="BL31" i="5"/>
  <c r="CB54" i="5"/>
  <c r="CB619" i="5"/>
  <c r="CB130" i="5"/>
  <c r="CB303" i="5"/>
  <c r="CB451" i="5"/>
  <c r="CB259" i="5"/>
  <c r="CB567" i="5"/>
  <c r="CB363" i="5"/>
  <c r="CB359" i="5"/>
  <c r="CB666" i="5"/>
  <c r="CB419" i="5"/>
  <c r="CB331" i="5"/>
  <c r="CB694" i="5"/>
  <c r="CB446" i="5"/>
  <c r="CB318" i="5"/>
  <c r="CB190" i="5"/>
  <c r="CB351" i="5"/>
  <c r="CB147" i="5"/>
  <c r="CB115" i="5"/>
  <c r="CB583" i="5"/>
  <c r="CB594" i="5"/>
  <c r="CB370" i="5"/>
  <c r="CB375" i="5"/>
  <c r="CB319" i="5"/>
  <c r="BZ435" i="5"/>
  <c r="CB695" i="5"/>
  <c r="CB343" i="5"/>
  <c r="CB459" i="5"/>
  <c r="CB74" i="5"/>
  <c r="CB315" i="5"/>
  <c r="CB239" i="5"/>
  <c r="CB462" i="5"/>
  <c r="CB595" i="5"/>
  <c r="F75" i="12"/>
  <c r="F80" i="12" s="1"/>
  <c r="CB166" i="5"/>
  <c r="CB162" i="5"/>
  <c r="BL303" i="5"/>
  <c r="CB646" i="5"/>
  <c r="CB602" i="5"/>
  <c r="CB538" i="5"/>
  <c r="CB474" i="5"/>
  <c r="CB410" i="5"/>
  <c r="CB223" i="5"/>
  <c r="CB250" i="5"/>
  <c r="CB186" i="5"/>
  <c r="BX399" i="5"/>
  <c r="BL434" i="5"/>
  <c r="CB210" i="5"/>
  <c r="CB630" i="5"/>
  <c r="CB150" i="5"/>
  <c r="CB75" i="5"/>
  <c r="BL43" i="5"/>
  <c r="BL705" i="5" s="1"/>
  <c r="BL706" i="5" s="1"/>
  <c r="CB263" i="5"/>
  <c r="CB663" i="5"/>
  <c r="CB170" i="5"/>
  <c r="CB270" i="5"/>
  <c r="BL119" i="5"/>
  <c r="CB43" i="5"/>
  <c r="BL170" i="5"/>
  <c r="CB674" i="5"/>
  <c r="CB655" i="5"/>
  <c r="CB222" i="5"/>
  <c r="BX222" i="5"/>
  <c r="CB587" i="5"/>
  <c r="BX587" i="5"/>
  <c r="CB691" i="5"/>
  <c r="BX691" i="5"/>
  <c r="CB310" i="5"/>
  <c r="BX310" i="5"/>
  <c r="CB627" i="5"/>
  <c r="BX627" i="5"/>
  <c r="CB398" i="5"/>
  <c r="BX398" i="5"/>
  <c r="BN279" i="5"/>
  <c r="BZ279" i="5" s="1"/>
  <c r="BB54" i="5"/>
  <c r="BZ54" i="5" s="1"/>
  <c r="BX7" i="5"/>
  <c r="BO198" i="5"/>
  <c r="BN55" i="5"/>
  <c r="BZ55" i="5" s="1"/>
  <c r="BC15" i="5"/>
  <c r="CB15" i="5"/>
  <c r="BC563" i="5"/>
  <c r="BC307" i="5"/>
  <c r="BB39" i="5"/>
  <c r="BB679" i="5"/>
  <c r="CB679" i="5"/>
  <c r="BC391" i="5"/>
  <c r="CB391" i="5"/>
  <c r="BO483" i="5"/>
  <c r="BO291" i="5"/>
  <c r="BX291" i="5"/>
  <c r="BN110" i="5"/>
  <c r="BC54" i="5"/>
  <c r="BC55" i="5"/>
  <c r="BB15" i="5"/>
  <c r="BZ15" i="5" s="1"/>
  <c r="BC162" i="5"/>
  <c r="BC130" i="5"/>
  <c r="CB66" i="5"/>
  <c r="BC159" i="5"/>
  <c r="BX31" i="5"/>
  <c r="BB226" i="5"/>
  <c r="BZ226" i="5" s="1"/>
  <c r="BL130" i="5"/>
  <c r="BX130" i="5"/>
  <c r="BB463" i="5"/>
  <c r="BO259" i="5"/>
  <c r="BL422" i="5"/>
  <c r="BC390" i="5"/>
  <c r="BX390" i="5"/>
  <c r="BB358" i="5"/>
  <c r="BB326" i="5"/>
  <c r="BN262" i="5"/>
  <c r="BZ262" i="5" s="1"/>
  <c r="BC230" i="5"/>
  <c r="BX230" i="5"/>
  <c r="BX123" i="5"/>
  <c r="BX127" i="5"/>
  <c r="BB698" i="5"/>
  <c r="BB410" i="5"/>
  <c r="BZ410" i="5" s="1"/>
  <c r="BL34" i="5"/>
  <c r="BX34" i="5"/>
  <c r="BA701" i="5"/>
  <c r="BA702" i="5" s="1"/>
  <c r="BK701" i="5"/>
  <c r="BK702" i="5" s="1"/>
  <c r="BQ701" i="5"/>
  <c r="BQ702" i="5" s="1"/>
  <c r="CC701" i="5"/>
  <c r="CC702" i="5" s="1"/>
  <c r="BC675" i="5"/>
  <c r="BC419" i="5"/>
  <c r="BB535" i="5"/>
  <c r="BC46" i="5"/>
  <c r="BC14" i="5"/>
  <c r="BC331" i="5"/>
  <c r="BB415" i="5"/>
  <c r="BZ415" i="5" s="1"/>
  <c r="BO223" i="5"/>
  <c r="BN499" i="5"/>
  <c r="BC250" i="5"/>
  <c r="BC218" i="5"/>
  <c r="BC186" i="5"/>
  <c r="BO90" i="5"/>
  <c r="BB58" i="5"/>
  <c r="BZ58" i="5" s="1"/>
  <c r="BC195" i="5"/>
  <c r="BB694" i="5"/>
  <c r="BZ694" i="5" s="1"/>
  <c r="BO638" i="5"/>
  <c r="BO606" i="5"/>
  <c r="BL446" i="5"/>
  <c r="BC414" i="5"/>
  <c r="BB382" i="5"/>
  <c r="BB350" i="5"/>
  <c r="BB318" i="5"/>
  <c r="BB286" i="5"/>
  <c r="BZ286" i="5" s="1"/>
  <c r="CB286" i="5"/>
  <c r="BN254" i="5"/>
  <c r="BB190" i="5"/>
  <c r="BZ190" i="5" s="1"/>
  <c r="BB351" i="5"/>
  <c r="BC467" i="5"/>
  <c r="BO243" i="5"/>
  <c r="BX243" i="5"/>
  <c r="BL83" i="5"/>
  <c r="BB423" i="5"/>
  <c r="BZ423" i="5" s="1"/>
  <c r="BB658" i="5"/>
  <c r="BB626" i="5"/>
  <c r="BB594" i="5"/>
  <c r="BB562" i="5"/>
  <c r="BB530" i="5"/>
  <c r="BB498" i="5"/>
  <c r="BB466" i="5"/>
  <c r="BB434" i="5"/>
  <c r="BZ434" i="5" s="1"/>
  <c r="BL402" i="5"/>
  <c r="BX274" i="5"/>
  <c r="BB26" i="5"/>
  <c r="BZ26" i="5" s="1"/>
  <c r="BN635" i="5"/>
  <c r="BC183" i="5"/>
  <c r="BC70" i="5"/>
  <c r="BX267" i="5"/>
  <c r="BB607" i="5"/>
  <c r="BB319" i="5"/>
  <c r="BC435" i="5"/>
  <c r="BX435" i="5"/>
  <c r="BN211" i="5"/>
  <c r="BB551" i="5"/>
  <c r="BC242" i="5"/>
  <c r="BX50" i="5"/>
  <c r="BB379" i="5"/>
  <c r="BC23" i="5"/>
  <c r="CB47" i="5"/>
  <c r="BC71" i="5"/>
  <c r="CB71" i="5"/>
  <c r="BL439" i="5"/>
  <c r="BC343" i="5"/>
  <c r="BC630" i="5"/>
  <c r="BO278" i="5"/>
  <c r="BO182" i="5"/>
  <c r="BX182" i="5"/>
  <c r="BB150" i="5"/>
  <c r="BZ150" i="5" s="1"/>
  <c r="BL150" i="5"/>
  <c r="BN94" i="5"/>
  <c r="BO235" i="5"/>
  <c r="BN107" i="5"/>
  <c r="BZ107" i="5" s="1"/>
  <c r="BL11" i="5"/>
  <c r="BL618" i="5"/>
  <c r="BL756" i="5" s="1"/>
  <c r="BL757" i="5" s="1"/>
  <c r="BO554" i="5"/>
  <c r="BO522" i="5"/>
  <c r="BO490" i="5"/>
  <c r="BO426" i="5"/>
  <c r="BN118" i="5"/>
  <c r="BZ118" i="5" s="1"/>
  <c r="BO627" i="5"/>
  <c r="BO762" i="5" s="1"/>
  <c r="BO763" i="5" s="1"/>
  <c r="BO234" i="5"/>
  <c r="BO202" i="5"/>
  <c r="BL138" i="5"/>
  <c r="BX138" i="5"/>
  <c r="BX151" i="5"/>
  <c r="BB631" i="5"/>
  <c r="BZ631" i="5" s="1"/>
  <c r="BB622" i="5"/>
  <c r="BZ622" i="5" s="1"/>
  <c r="BO590" i="5"/>
  <c r="BO558" i="5"/>
  <c r="BO526" i="5"/>
  <c r="BO494" i="5"/>
  <c r="BO462" i="5"/>
  <c r="BL398" i="5"/>
  <c r="BO395" i="5"/>
  <c r="BL143" i="5"/>
  <c r="BN595" i="5"/>
  <c r="BN339" i="5"/>
  <c r="BL163" i="5"/>
  <c r="BL713" i="5" s="1"/>
  <c r="BL714" i="5" s="1"/>
  <c r="BB99" i="5"/>
  <c r="BZ99" i="5" s="1"/>
  <c r="BB3" i="5"/>
  <c r="BZ3" i="5" s="1"/>
  <c r="BC546" i="5"/>
  <c r="BC514" i="5"/>
  <c r="BC482" i="5"/>
  <c r="BC450" i="5"/>
  <c r="BB335" i="5"/>
  <c r="BZ335" i="5" s="1"/>
  <c r="BZ725" i="5" s="1"/>
  <c r="BL194" i="5"/>
  <c r="BL279" i="5"/>
  <c r="BL55" i="5"/>
  <c r="BC226" i="5"/>
  <c r="BN130" i="5"/>
  <c r="BZ130" i="5" s="1"/>
  <c r="BB98" i="5"/>
  <c r="BB66" i="5"/>
  <c r="BZ66" i="5" s="1"/>
  <c r="BL623" i="5"/>
  <c r="BO623" i="5"/>
  <c r="BL451" i="5"/>
  <c r="BL744" i="5" s="1"/>
  <c r="BL745" i="5" s="1"/>
  <c r="CB247" i="5"/>
  <c r="BO646" i="5"/>
  <c r="BO614" i="5"/>
  <c r="BC550" i="5"/>
  <c r="BC518" i="5"/>
  <c r="BC486" i="5"/>
  <c r="BC454" i="5"/>
  <c r="CB134" i="5"/>
  <c r="BO587" i="5"/>
  <c r="BB363" i="5"/>
  <c r="CB447" i="5"/>
  <c r="BB91" i="5"/>
  <c r="BB59" i="5"/>
  <c r="BB27" i="5"/>
  <c r="BZ27" i="5" s="1"/>
  <c r="BN127" i="5"/>
  <c r="BZ127" i="5" s="1"/>
  <c r="BC698" i="5"/>
  <c r="BC634" i="5"/>
  <c r="BC769" i="5" s="1"/>
  <c r="BC770" i="5" s="1"/>
  <c r="BC602" i="5"/>
  <c r="BC570" i="5"/>
  <c r="BL410" i="5"/>
  <c r="BO34" i="5"/>
  <c r="BH701" i="5"/>
  <c r="BH702" i="5" s="1"/>
  <c r="BS701" i="5"/>
  <c r="BS702" i="5" s="1"/>
  <c r="CA701" i="5"/>
  <c r="CA702" i="5" s="1"/>
  <c r="BC475" i="5"/>
  <c r="BL431" i="5"/>
  <c r="BX223" i="5"/>
  <c r="BN275" i="5"/>
  <c r="BL186" i="5"/>
  <c r="BX186" i="5"/>
  <c r="BC58" i="5"/>
  <c r="BL443" i="5"/>
  <c r="BL741" i="5" s="1"/>
  <c r="BL742" i="5" s="1"/>
  <c r="BO87" i="5"/>
  <c r="BX87" i="5"/>
  <c r="BX195" i="5"/>
  <c r="BC694" i="5"/>
  <c r="BL694" i="5"/>
  <c r="BX414" i="5"/>
  <c r="BC119" i="5"/>
  <c r="CB119" i="5"/>
  <c r="BX115" i="5"/>
  <c r="BX19" i="5"/>
  <c r="BC626" i="5"/>
  <c r="BC594" i="5"/>
  <c r="BX434" i="5"/>
  <c r="BL411" i="5"/>
  <c r="BL375" i="5"/>
  <c r="BB183" i="5"/>
  <c r="BZ183" i="5" s="1"/>
  <c r="BO491" i="5"/>
  <c r="BO267" i="5"/>
  <c r="BC607" i="5"/>
  <c r="BL691" i="5"/>
  <c r="BL178" i="5"/>
  <c r="BL175" i="5"/>
  <c r="BN579" i="5"/>
  <c r="BN355" i="5"/>
  <c r="BO686" i="5"/>
  <c r="CB598" i="5"/>
  <c r="CB566" i="5"/>
  <c r="CB534" i="5"/>
  <c r="CB502" i="5"/>
  <c r="CB470" i="5"/>
  <c r="CB438" i="5"/>
  <c r="CB406" i="5"/>
  <c r="CB374" i="5"/>
  <c r="BO246" i="5"/>
  <c r="BO214" i="5"/>
  <c r="BO459" i="5"/>
  <c r="BC575" i="5"/>
  <c r="BX575" i="5"/>
  <c r="BC659" i="5"/>
  <c r="BL179" i="5"/>
  <c r="BB171" i="5"/>
  <c r="BB139" i="5"/>
  <c r="BZ139" i="5" s="1"/>
  <c r="BX43" i="5"/>
  <c r="BX705" i="5" s="1"/>
  <c r="BX706" i="5" s="1"/>
  <c r="BO586" i="5"/>
  <c r="BO458" i="5"/>
  <c r="CB559" i="5"/>
  <c r="BC683" i="5"/>
  <c r="BC427" i="5"/>
  <c r="CB167" i="5"/>
  <c r="CB487" i="5"/>
  <c r="CB231" i="5"/>
  <c r="BN138" i="5"/>
  <c r="BZ138" i="5" s="1"/>
  <c r="BB106" i="5"/>
  <c r="BB74" i="5"/>
  <c r="BZ74" i="5" s="1"/>
  <c r="BN151" i="5"/>
  <c r="BZ151" i="5" s="1"/>
  <c r="BC515" i="5"/>
  <c r="BC631" i="5"/>
  <c r="BO407" i="5"/>
  <c r="BX407" i="5"/>
  <c r="BC678" i="5"/>
  <c r="BC622" i="5"/>
  <c r="BC398" i="5"/>
  <c r="BO174" i="5"/>
  <c r="BL86" i="5"/>
  <c r="CB86" i="5"/>
  <c r="BO651" i="5"/>
  <c r="BC203" i="5"/>
  <c r="BC99" i="5"/>
  <c r="CB35" i="5"/>
  <c r="BC3" i="5"/>
  <c r="BB674" i="5"/>
  <c r="BB642" i="5"/>
  <c r="BB610" i="5"/>
  <c r="BB578" i="5"/>
  <c r="BB418" i="5"/>
  <c r="BB386" i="5"/>
  <c r="BZ386" i="5" s="1"/>
  <c r="BC66" i="5"/>
  <c r="BX111" i="5"/>
  <c r="BX614" i="5"/>
  <c r="BC582" i="5"/>
  <c r="BC326" i="5"/>
  <c r="BC294" i="5"/>
  <c r="BX294" i="5"/>
  <c r="BL134" i="5"/>
  <c r="BN587" i="5"/>
  <c r="BZ587" i="5" s="1"/>
  <c r="BC410" i="5"/>
  <c r="BX410" i="5"/>
  <c r="BM701" i="5"/>
  <c r="BM702" i="5" s="1"/>
  <c r="BU701" i="5"/>
  <c r="BU702" i="5" s="1"/>
  <c r="CE701" i="5"/>
  <c r="CE702" i="5" s="1"/>
  <c r="BO591" i="5"/>
  <c r="BN675" i="5"/>
  <c r="CB215" i="5"/>
  <c r="BN223" i="5"/>
  <c r="BZ223" i="5" s="1"/>
  <c r="BL58" i="5"/>
  <c r="BX58" i="5"/>
  <c r="BN87" i="5"/>
  <c r="BZ87" i="5" s="1"/>
  <c r="BL399" i="5"/>
  <c r="CB503" i="5"/>
  <c r="CB662" i="5"/>
  <c r="BL286" i="5"/>
  <c r="BL190" i="5"/>
  <c r="BL103" i="5"/>
  <c r="BL147" i="5"/>
  <c r="BB83" i="5"/>
  <c r="BZ83" i="5" s="1"/>
  <c r="BL690" i="5"/>
  <c r="BL26" i="5"/>
  <c r="BO95" i="5"/>
  <c r="CB6" i="5"/>
  <c r="BN267" i="5"/>
  <c r="BZ267" i="5" s="1"/>
  <c r="BC211" i="5"/>
  <c r="CB295" i="5"/>
  <c r="BX178" i="5"/>
  <c r="BB146" i="5"/>
  <c r="BB114" i="5"/>
  <c r="BZ114" i="5" s="1"/>
  <c r="BC379" i="5"/>
  <c r="BX379" i="5"/>
  <c r="BL23" i="5"/>
  <c r="BL47" i="5"/>
  <c r="BL71" i="5"/>
  <c r="BO439" i="5"/>
  <c r="BL310" i="5"/>
  <c r="BL287" i="5"/>
  <c r="BC403" i="5"/>
  <c r="BL107" i="5"/>
  <c r="BB682" i="5"/>
  <c r="BB650" i="5"/>
  <c r="BB618" i="5"/>
  <c r="BZ618" i="5" s="1"/>
  <c r="BZ756" i="5" s="1"/>
  <c r="BZ757" i="5" s="1"/>
  <c r="CB311" i="5"/>
  <c r="CB255" i="5"/>
  <c r="BC371" i="5"/>
  <c r="BX371" i="5"/>
  <c r="BC106" i="5"/>
  <c r="BC74" i="5"/>
  <c r="CB367" i="5"/>
  <c r="BX631" i="5"/>
  <c r="BN407" i="5"/>
  <c r="BZ407" i="5" s="1"/>
  <c r="BL622" i="5"/>
  <c r="CB238" i="5"/>
  <c r="BB163" i="5"/>
  <c r="BZ163" i="5" s="1"/>
  <c r="BZ713" i="5" s="1"/>
  <c r="BZ714" i="5" s="1"/>
  <c r="BX99" i="5"/>
  <c r="CB67" i="5"/>
  <c r="BL35" i="5"/>
  <c r="BO455" i="5"/>
  <c r="BB546" i="5"/>
  <c r="BB514" i="5"/>
  <c r="BB482" i="5"/>
  <c r="BB450" i="5"/>
  <c r="BL386" i="5"/>
  <c r="BL391" i="5"/>
  <c r="BL226" i="5"/>
  <c r="BX226" i="5"/>
  <c r="BL291" i="5"/>
  <c r="BX279" i="5"/>
  <c r="BC22" i="5"/>
  <c r="BL307" i="5"/>
  <c r="BB194" i="5"/>
  <c r="BZ194" i="5" s="1"/>
  <c r="BL66" i="5"/>
  <c r="BX66" i="5"/>
  <c r="BN7" i="5"/>
  <c r="BZ7" i="5" s="1"/>
  <c r="BN670" i="5"/>
  <c r="BN614" i="5"/>
  <c r="BZ614" i="5" s="1"/>
  <c r="BC358" i="5"/>
  <c r="BN230" i="5"/>
  <c r="BZ230" i="5" s="1"/>
  <c r="CB198" i="5"/>
  <c r="BC166" i="5"/>
  <c r="BC134" i="5"/>
  <c r="BN123" i="5"/>
  <c r="BZ123" i="5" s="1"/>
  <c r="BO538" i="5"/>
  <c r="BO506" i="5"/>
  <c r="BN282" i="5"/>
  <c r="BD701" i="5"/>
  <c r="BD702" i="5" s="1"/>
  <c r="BP701" i="5"/>
  <c r="BP702" i="5" s="1"/>
  <c r="CB2" i="5"/>
  <c r="BX2" i="5"/>
  <c r="BT701" i="5"/>
  <c r="BT702" i="5" s="1"/>
  <c r="CD701" i="5"/>
  <c r="CD702" i="5" s="1"/>
  <c r="BL415" i="5"/>
  <c r="BN186" i="5"/>
  <c r="BZ186" i="5" s="1"/>
  <c r="BB667" i="5"/>
  <c r="BB443" i="5"/>
  <c r="BZ443" i="5" s="1"/>
  <c r="CB271" i="5"/>
  <c r="BC574" i="5"/>
  <c r="BC542" i="5"/>
  <c r="BC510" i="5"/>
  <c r="BC478" i="5"/>
  <c r="BC446" i="5"/>
  <c r="BL414" i="5"/>
  <c r="CB414" i="5"/>
  <c r="BN79" i="5"/>
  <c r="BC83" i="5"/>
  <c r="BL423" i="5"/>
  <c r="BX63" i="5"/>
  <c r="CB690" i="5"/>
  <c r="BB402" i="5"/>
  <c r="BZ402" i="5" s="1"/>
  <c r="BX26" i="5"/>
  <c r="BL611" i="5"/>
  <c r="CB611" i="5"/>
  <c r="BX611" i="5"/>
  <c r="BX375" i="5"/>
  <c r="CB38" i="5"/>
  <c r="BL6" i="5"/>
  <c r="BN491" i="5"/>
  <c r="BN178" i="5"/>
  <c r="BZ178" i="5" s="1"/>
  <c r="BC146" i="5"/>
  <c r="BC114" i="5"/>
  <c r="BX630" i="5"/>
  <c r="BC598" i="5"/>
  <c r="BC566" i="5"/>
  <c r="BC534" i="5"/>
  <c r="BC502" i="5"/>
  <c r="BC470" i="5"/>
  <c r="BC438" i="5"/>
  <c r="BC342" i="5"/>
  <c r="BC310" i="5"/>
  <c r="BL235" i="5"/>
  <c r="BX139" i="5"/>
  <c r="BN519" i="5"/>
  <c r="BC682" i="5"/>
  <c r="BC650" i="5"/>
  <c r="BX618" i="5"/>
  <c r="BX756" i="5" s="1"/>
  <c r="BX757" i="5" s="1"/>
  <c r="BL426" i="5"/>
  <c r="BN18" i="5"/>
  <c r="BN62" i="5"/>
  <c r="BN30" i="5"/>
  <c r="BL627" i="5"/>
  <c r="BB234" i="5"/>
  <c r="BB202" i="5"/>
  <c r="BB170" i="5"/>
  <c r="BZ170" i="5" s="1"/>
  <c r="BL74" i="5"/>
  <c r="BX74" i="5"/>
  <c r="BB590" i="5"/>
  <c r="BB558" i="5"/>
  <c r="BB526" i="5"/>
  <c r="BB494" i="5"/>
  <c r="BB462" i="5"/>
  <c r="BB430" i="5"/>
  <c r="BL238" i="5"/>
  <c r="BC142" i="5"/>
  <c r="BC86" i="5"/>
  <c r="BL395" i="5"/>
  <c r="BX143" i="5"/>
  <c r="BC595" i="5"/>
  <c r="BL131" i="5"/>
  <c r="BC674" i="5"/>
  <c r="BC610" i="5"/>
  <c r="BC578" i="5"/>
  <c r="BC418" i="5"/>
  <c r="BC386" i="5"/>
  <c r="BX386" i="5"/>
  <c r="BL335" i="5"/>
  <c r="BL725" i="5" s="1"/>
  <c r="BX451" i="5"/>
  <c r="BX744" i="5" s="1"/>
  <c r="BX745" i="5" s="1"/>
  <c r="BN646" i="5"/>
  <c r="BC422" i="5"/>
  <c r="BL390" i="5"/>
  <c r="BL262" i="5"/>
  <c r="BB78" i="5"/>
  <c r="BL587" i="5"/>
  <c r="BL123" i="5"/>
  <c r="BO474" i="5"/>
  <c r="BO442" i="5"/>
  <c r="AU701" i="5"/>
  <c r="AU702" i="5" s="1"/>
  <c r="BE701" i="5"/>
  <c r="BE702" i="5" s="1"/>
  <c r="BN2" i="5"/>
  <c r="BV701" i="5"/>
  <c r="BV702" i="5" s="1"/>
  <c r="CF701" i="5"/>
  <c r="CF702" i="5" s="1"/>
  <c r="BX431" i="5"/>
  <c r="BL102" i="5"/>
  <c r="BO415" i="5"/>
  <c r="BL122" i="5"/>
  <c r="BX122" i="5"/>
  <c r="BX443" i="5"/>
  <c r="BN195" i="5"/>
  <c r="BZ195" i="5" s="1"/>
  <c r="BX694" i="5"/>
  <c r="BC662" i="5"/>
  <c r="BB222" i="5"/>
  <c r="BZ222" i="5" s="1"/>
  <c r="BX190" i="5"/>
  <c r="BL191" i="5"/>
  <c r="BL243" i="5"/>
  <c r="BX103" i="5"/>
  <c r="BN115" i="5"/>
  <c r="BZ115" i="5" s="1"/>
  <c r="BX83" i="5"/>
  <c r="BL19" i="5"/>
  <c r="BX690" i="5"/>
  <c r="BL183" i="5"/>
  <c r="BC38" i="5"/>
  <c r="BC6" i="5"/>
  <c r="BX6" i="5"/>
  <c r="BL267" i="5"/>
  <c r="BO319" i="5"/>
  <c r="BL435" i="5"/>
  <c r="BN242" i="5"/>
  <c r="BN210" i="5"/>
  <c r="BL114" i="5"/>
  <c r="BX175" i="5"/>
  <c r="BB695" i="5"/>
  <c r="BC406" i="5"/>
  <c r="BC374" i="5"/>
  <c r="BL575" i="5"/>
  <c r="BX287" i="5"/>
  <c r="BX426" i="5"/>
  <c r="BL118" i="5"/>
  <c r="BC170" i="5"/>
  <c r="BO527" i="5"/>
  <c r="BL631" i="5"/>
  <c r="BX622" i="5"/>
  <c r="BX238" i="5"/>
  <c r="BX174" i="5"/>
  <c r="BX86" i="5"/>
  <c r="BX163" i="5"/>
  <c r="BX713" i="5" s="1"/>
  <c r="BX714" i="5" s="1"/>
  <c r="BX3" i="5"/>
  <c r="CB354" i="5"/>
  <c r="CB322" i="5"/>
  <c r="CB290" i="5"/>
  <c r="CB258" i="5"/>
  <c r="BO335" i="5"/>
  <c r="BN135" i="5"/>
  <c r="BN599" i="5"/>
  <c r="BL54" i="5"/>
  <c r="BX262" i="5"/>
  <c r="BX27" i="5"/>
  <c r="BX314" i="5"/>
  <c r="AV701" i="5"/>
  <c r="AV702" i="5" s="1"/>
  <c r="BF701" i="5"/>
  <c r="BF702" i="5" s="1"/>
  <c r="BO2" i="5"/>
  <c r="BW701" i="5"/>
  <c r="BW702" i="5" s="1"/>
  <c r="BX102" i="5"/>
  <c r="BN671" i="5"/>
  <c r="BX415" i="5"/>
  <c r="BN399" i="5"/>
  <c r="BZ399" i="5" s="1"/>
  <c r="BO351" i="5"/>
  <c r="BN103" i="5"/>
  <c r="BZ103" i="5" s="1"/>
  <c r="BO423" i="5"/>
  <c r="BX423" i="5"/>
  <c r="BX402" i="5"/>
  <c r="BX411" i="5"/>
  <c r="BX114" i="5"/>
  <c r="BN287" i="5"/>
  <c r="BZ287" i="5" s="1"/>
  <c r="BX179" i="5"/>
  <c r="BX170" i="5"/>
  <c r="BO511" i="5"/>
  <c r="BX15" i="5"/>
  <c r="BN391" i="5"/>
  <c r="BZ391" i="5" s="1"/>
  <c r="BX194" i="5"/>
  <c r="BO463" i="5"/>
  <c r="BL10" i="5"/>
  <c r="BX10" i="5"/>
  <c r="BX623" i="5"/>
  <c r="BL7" i="5"/>
  <c r="BO447" i="5"/>
  <c r="BC531" i="5"/>
  <c r="CB91" i="5"/>
  <c r="CB59" i="5"/>
  <c r="BL127" i="5"/>
  <c r="AY701" i="5"/>
  <c r="AY702" i="5" s="1"/>
  <c r="BG701" i="5"/>
  <c r="BG702" i="5" s="1"/>
  <c r="BJ701" i="5"/>
  <c r="BJ702" i="5" s="1"/>
  <c r="BY701" i="5"/>
  <c r="BY702" i="5" s="1"/>
  <c r="CI701" i="5"/>
  <c r="CI702" i="5" s="1"/>
  <c r="BO535" i="5"/>
  <c r="CB58" i="5"/>
  <c r="CB399" i="5"/>
  <c r="BX387" i="5"/>
  <c r="BX446" i="5"/>
  <c r="BL222" i="5"/>
  <c r="BX191" i="5"/>
  <c r="CB103" i="5"/>
  <c r="BX147" i="5"/>
  <c r="BN583" i="5"/>
  <c r="CB434" i="5"/>
  <c r="CB26" i="5"/>
  <c r="BC611" i="5"/>
  <c r="BX183" i="5"/>
  <c r="BO551" i="5"/>
  <c r="BL379" i="5"/>
  <c r="BX71" i="5"/>
  <c r="BL403" i="5"/>
  <c r="BX107" i="5"/>
  <c r="BX11" i="5"/>
  <c r="BC547" i="5"/>
  <c r="BC323" i="5"/>
  <c r="BC118" i="5"/>
  <c r="BL371" i="5"/>
  <c r="BL729" i="5" s="1"/>
  <c r="BL730" i="5" s="1"/>
  <c r="BL151" i="5"/>
  <c r="BB687" i="5"/>
  <c r="BN527" i="5"/>
  <c r="BC430" i="5"/>
  <c r="BL174" i="5"/>
  <c r="BC131" i="5"/>
  <c r="BL99" i="5"/>
  <c r="BX35" i="5"/>
  <c r="BL3" i="5"/>
  <c r="BN495" i="5"/>
  <c r="BX335" i="5"/>
  <c r="BX725" i="5" s="1"/>
  <c r="BX55" i="5"/>
  <c r="CB135" i="5"/>
  <c r="BL15" i="5"/>
  <c r="BX307" i="5"/>
  <c r="BX303" i="5"/>
  <c r="BL111" i="5"/>
  <c r="CB422" i="5"/>
  <c r="BX422" i="5"/>
  <c r="BL294" i="5"/>
  <c r="BL230" i="5"/>
  <c r="BL27" i="5"/>
  <c r="AZ701" i="5"/>
  <c r="AZ702" i="5" s="1"/>
  <c r="BL2" i="5"/>
  <c r="BI701" i="5"/>
  <c r="BI702" i="5" s="1"/>
  <c r="BR701" i="5"/>
  <c r="BR702" i="5" s="1"/>
  <c r="CK701" i="5"/>
  <c r="CK702" i="5" s="1"/>
  <c r="BL223" i="5"/>
  <c r="BL90" i="5"/>
  <c r="BL87" i="5"/>
  <c r="BX286" i="5"/>
  <c r="BX119" i="5"/>
  <c r="BL63" i="5"/>
  <c r="BL274" i="5"/>
  <c r="BL70" i="5"/>
  <c r="BL50" i="5"/>
  <c r="BX23" i="5"/>
  <c r="BX47" i="5"/>
  <c r="BX439" i="5"/>
  <c r="BL630" i="5"/>
  <c r="BX235" i="5"/>
  <c r="BL139" i="5"/>
  <c r="CB330" i="5"/>
  <c r="CB298" i="5"/>
  <c r="CB266" i="5"/>
  <c r="BX118" i="5"/>
  <c r="CB631" i="5"/>
  <c r="BL407" i="5"/>
  <c r="BX430" i="5"/>
  <c r="BX395" i="5"/>
  <c r="BX131" i="5"/>
  <c r="AB10" i="9"/>
  <c r="K248" i="10" l="1"/>
  <c r="BZ224" i="5"/>
  <c r="F12" i="23"/>
  <c r="F40" i="23" s="1"/>
  <c r="H52" i="39"/>
  <c r="H56" i="39" s="1"/>
  <c r="H60" i="39" s="1"/>
  <c r="BZ16" i="5"/>
  <c r="BX775" i="5"/>
  <c r="BX776" i="5" s="1"/>
  <c r="D348" i="10"/>
  <c r="D351" i="10" s="1"/>
  <c r="G15" i="37"/>
  <c r="I15" i="37" s="1"/>
  <c r="I16" i="37" s="1"/>
  <c r="D337" i="10"/>
  <c r="D340" i="10" s="1"/>
  <c r="BC775" i="5"/>
  <c r="BC776" i="5" s="1"/>
  <c r="I51" i="39"/>
  <c r="I52" i="39" s="1"/>
  <c r="I56" i="39" s="1"/>
  <c r="I60" i="39" s="1"/>
  <c r="I44" i="39" s="1"/>
  <c r="AA45" i="38"/>
  <c r="AC45" i="38" s="1"/>
  <c r="BZ173" i="5"/>
  <c r="BL775" i="5"/>
  <c r="BL776" i="5" s="1"/>
  <c r="F38" i="42"/>
  <c r="F41" i="42" s="1"/>
  <c r="F13" i="42"/>
  <c r="F16" i="42" s="1"/>
  <c r="AW801" i="5"/>
  <c r="AW811" i="5"/>
  <c r="AW812" i="5" s="1"/>
  <c r="AW799" i="5"/>
  <c r="AW791" i="5"/>
  <c r="AW793" i="5"/>
  <c r="AW804" i="5"/>
  <c r="E345" i="10"/>
  <c r="G10" i="43"/>
  <c r="AW805" i="5"/>
  <c r="AW794" i="5"/>
  <c r="AW787" i="5"/>
  <c r="AW807" i="5"/>
  <c r="AZ800" i="5"/>
  <c r="AZ803" i="5"/>
  <c r="AZ790" i="5"/>
  <c r="AZ792" i="5"/>
  <c r="AZ804" i="5"/>
  <c r="AZ801" i="5"/>
  <c r="AZ809" i="5"/>
  <c r="AZ810" i="5" s="1"/>
  <c r="AZ793" i="5"/>
  <c r="AZ798" i="5"/>
  <c r="AZ786" i="5"/>
  <c r="AZ807" i="5"/>
  <c r="AZ794" i="5"/>
  <c r="AZ799" i="5"/>
  <c r="AZ795" i="5"/>
  <c r="AZ802" i="5"/>
  <c r="AZ784" i="5"/>
  <c r="AZ785" i="5" s="1"/>
  <c r="AZ805" i="5"/>
  <c r="AZ787" i="5"/>
  <c r="AZ791" i="5"/>
  <c r="AZ811" i="5"/>
  <c r="AZ812" i="5" s="1"/>
  <c r="AZ789" i="5"/>
  <c r="AZ796" i="5"/>
  <c r="L12" i="43"/>
  <c r="J347" i="10"/>
  <c r="G12" i="43"/>
  <c r="E347" i="10"/>
  <c r="AV806" i="5"/>
  <c r="AY788" i="5"/>
  <c r="AW809" i="5"/>
  <c r="AW810" i="5" s="1"/>
  <c r="AW803" i="5"/>
  <c r="AW784" i="5"/>
  <c r="AW785" i="5" s="1"/>
  <c r="AW802" i="5"/>
  <c r="BZ775" i="5"/>
  <c r="BZ776" i="5" s="1"/>
  <c r="AX792" i="5"/>
  <c r="AX786" i="5"/>
  <c r="AX804" i="5"/>
  <c r="AX793" i="5"/>
  <c r="AX798" i="5"/>
  <c r="AX795" i="5"/>
  <c r="AX802" i="5"/>
  <c r="AX807" i="5"/>
  <c r="AX799" i="5"/>
  <c r="AX787" i="5"/>
  <c r="AX791" i="5"/>
  <c r="AX784" i="5"/>
  <c r="AX785" i="5" s="1"/>
  <c r="AX794" i="5"/>
  <c r="AX805" i="5"/>
  <c r="AX796" i="5"/>
  <c r="AX789" i="5"/>
  <c r="AX800" i="5"/>
  <c r="AX790" i="5"/>
  <c r="AX811" i="5"/>
  <c r="AX812" i="5" s="1"/>
  <c r="AX809" i="5"/>
  <c r="AX810" i="5" s="1"/>
  <c r="AX801" i="5"/>
  <c r="AX803" i="5"/>
  <c r="M12" i="43"/>
  <c r="M40" i="43" s="1"/>
  <c r="K347" i="10"/>
  <c r="AY808" i="5"/>
  <c r="AV797" i="5"/>
  <c r="AW795" i="5"/>
  <c r="K315" i="10"/>
  <c r="AV788" i="5"/>
  <c r="AW790" i="5"/>
  <c r="AW786" i="5"/>
  <c r="H12" i="43"/>
  <c r="H40" i="43" s="1"/>
  <c r="F347" i="10"/>
  <c r="G12" i="42"/>
  <c r="G40" i="42" s="1"/>
  <c r="E336" i="10"/>
  <c r="F38" i="43"/>
  <c r="F41" i="43" s="1"/>
  <c r="F13" i="43"/>
  <c r="F16" i="43" s="1"/>
  <c r="AY806" i="5"/>
  <c r="AV808" i="5"/>
  <c r="AW792" i="5"/>
  <c r="K10" i="42"/>
  <c r="I334" i="10"/>
  <c r="I12" i="43"/>
  <c r="I40" i="43" s="1"/>
  <c r="G347" i="10"/>
  <c r="AY797" i="5"/>
  <c r="AW800" i="5"/>
  <c r="AC39" i="43"/>
  <c r="AA45" i="43"/>
  <c r="AC45" i="43" s="1"/>
  <c r="G10" i="42"/>
  <c r="E334" i="10"/>
  <c r="I345" i="10"/>
  <c r="K10" i="43"/>
  <c r="AA39" i="42"/>
  <c r="J39" i="42"/>
  <c r="AW789" i="5"/>
  <c r="AW796" i="5"/>
  <c r="AW798" i="5"/>
  <c r="BB775" i="5"/>
  <c r="BB776" i="5" s="1"/>
  <c r="G336" i="10"/>
  <c r="I12" i="42"/>
  <c r="I10" i="42"/>
  <c r="G334" i="10"/>
  <c r="CB775" i="5"/>
  <c r="CB776" i="5" s="1"/>
  <c r="K336" i="10"/>
  <c r="M12" i="42"/>
  <c r="BO775" i="5"/>
  <c r="BO776" i="5" s="1"/>
  <c r="J336" i="10"/>
  <c r="L12" i="42"/>
  <c r="L40" i="42" s="1"/>
  <c r="AC45" i="25"/>
  <c r="G51" i="39"/>
  <c r="J51" i="39" s="1"/>
  <c r="J52" i="39" s="1"/>
  <c r="J56" i="39" s="1"/>
  <c r="J60" i="39" s="1"/>
  <c r="J67" i="39" s="1"/>
  <c r="I69" i="39" s="1"/>
  <c r="J69" i="39" s="1"/>
  <c r="D183" i="10"/>
  <c r="D186" i="10" s="1"/>
  <c r="D326" i="10"/>
  <c r="D329" i="10" s="1"/>
  <c r="G323" i="10"/>
  <c r="I10" i="41"/>
  <c r="BO773" i="5"/>
  <c r="BO774" i="5" s="1"/>
  <c r="BC773" i="5"/>
  <c r="BC774" i="5" s="1"/>
  <c r="CB773" i="5"/>
  <c r="CB774" i="5" s="1"/>
  <c r="G10" i="41"/>
  <c r="E323" i="10"/>
  <c r="BN773" i="5"/>
  <c r="BN774" i="5" s="1"/>
  <c r="E325" i="10"/>
  <c r="G12" i="41"/>
  <c r="L10" i="41"/>
  <c r="J323" i="10"/>
  <c r="J39" i="41"/>
  <c r="AA39" i="41"/>
  <c r="BB773" i="5"/>
  <c r="BB774" i="5" s="1"/>
  <c r="K325" i="10"/>
  <c r="M12" i="41"/>
  <c r="M40" i="41" s="1"/>
  <c r="G325" i="10"/>
  <c r="I12" i="41"/>
  <c r="I40" i="41" s="1"/>
  <c r="J325" i="10"/>
  <c r="L12" i="41"/>
  <c r="F38" i="41"/>
  <c r="F41" i="41" s="1"/>
  <c r="F13" i="41"/>
  <c r="F16" i="41" s="1"/>
  <c r="I323" i="10"/>
  <c r="K10" i="41"/>
  <c r="L293" i="10"/>
  <c r="AB11" i="23"/>
  <c r="AB45" i="23" s="1"/>
  <c r="AC10" i="38"/>
  <c r="H15" i="39"/>
  <c r="H16" i="39" s="1"/>
  <c r="G15" i="39"/>
  <c r="D125" i="10"/>
  <c r="D128" i="10" s="1"/>
  <c r="D131" i="10" s="1"/>
  <c r="E248" i="10"/>
  <c r="E249" i="10" s="1"/>
  <c r="D293" i="10"/>
  <c r="D296" i="10" s="1"/>
  <c r="F306" i="10"/>
  <c r="F307" i="10" s="1"/>
  <c r="G315" i="10"/>
  <c r="F13" i="38"/>
  <c r="F16" i="38" s="1"/>
  <c r="F40" i="38"/>
  <c r="F41" i="38" s="1"/>
  <c r="M13" i="40"/>
  <c r="M40" i="40"/>
  <c r="G13" i="40"/>
  <c r="G40" i="40"/>
  <c r="L314" i="10"/>
  <c r="F312" i="10"/>
  <c r="H312" i="10" s="1"/>
  <c r="H10" i="40"/>
  <c r="J10" i="40" s="1"/>
  <c r="F13" i="40"/>
  <c r="F16" i="40" s="1"/>
  <c r="F38" i="40"/>
  <c r="F41" i="40" s="1"/>
  <c r="E315" i="10"/>
  <c r="N12" i="40"/>
  <c r="L40" i="40"/>
  <c r="AA10" i="40"/>
  <c r="G38" i="40"/>
  <c r="AC39" i="40"/>
  <c r="AA45" i="40"/>
  <c r="AC45" i="40" s="1"/>
  <c r="BN771" i="5"/>
  <c r="BN772" i="5" s="1"/>
  <c r="H12" i="40"/>
  <c r="H40" i="40" s="1"/>
  <c r="F314" i="10"/>
  <c r="AA38" i="38"/>
  <c r="AA44" i="38" s="1"/>
  <c r="G41" i="38"/>
  <c r="BB771" i="5"/>
  <c r="BB772" i="5" s="1"/>
  <c r="I312" i="10"/>
  <c r="K10" i="40"/>
  <c r="AC39" i="39"/>
  <c r="AA45" i="39"/>
  <c r="AC45" i="39" s="1"/>
  <c r="BC771" i="5"/>
  <c r="BC772" i="5" s="1"/>
  <c r="J315" i="10"/>
  <c r="L312" i="10"/>
  <c r="L315" i="10" s="1"/>
  <c r="BO771" i="5"/>
  <c r="BO772" i="5" s="1"/>
  <c r="CB771" i="5"/>
  <c r="CB772" i="5" s="1"/>
  <c r="G10" i="34"/>
  <c r="G13" i="34" s="1"/>
  <c r="D315" i="10"/>
  <c r="D318" i="10" s="1"/>
  <c r="I38" i="40"/>
  <c r="AB10" i="40"/>
  <c r="I13" i="40"/>
  <c r="N10" i="40"/>
  <c r="L13" i="40"/>
  <c r="L38" i="40"/>
  <c r="G306" i="10"/>
  <c r="G307" i="10" s="1"/>
  <c r="E307" i="10"/>
  <c r="H306" i="10"/>
  <c r="H307" i="10" s="1"/>
  <c r="AB44" i="39"/>
  <c r="AC44" i="39" s="1"/>
  <c r="AC38" i="39"/>
  <c r="N40" i="38"/>
  <c r="I43" i="39"/>
  <c r="I67" i="39"/>
  <c r="I45" i="39" s="1"/>
  <c r="H44" i="39"/>
  <c r="H67" i="39"/>
  <c r="N38" i="38"/>
  <c r="L41" i="38"/>
  <c r="N41" i="38" s="1"/>
  <c r="N13" i="38"/>
  <c r="F292" i="10"/>
  <c r="H12" i="38"/>
  <c r="H13" i="38" s="1"/>
  <c r="J13" i="38" s="1"/>
  <c r="H38" i="38"/>
  <c r="J10" i="38"/>
  <c r="I41" i="38"/>
  <c r="AB38" i="38"/>
  <c r="BZ760" i="5"/>
  <c r="BZ761" i="5" s="1"/>
  <c r="E271" i="10"/>
  <c r="E284" i="10"/>
  <c r="G284" i="10" s="1"/>
  <c r="G285" i="10" s="1"/>
  <c r="CB760" i="5"/>
  <c r="CB761" i="5" s="1"/>
  <c r="BB760" i="5"/>
  <c r="BB761" i="5" s="1"/>
  <c r="J15" i="37"/>
  <c r="J16" i="37" s="1"/>
  <c r="L16" i="37" s="1"/>
  <c r="BL760" i="5"/>
  <c r="BL761" i="5" s="1"/>
  <c r="G16" i="37"/>
  <c r="BX760" i="5"/>
  <c r="BX761" i="5" s="1"/>
  <c r="BN762" i="5"/>
  <c r="BN763" i="5" s="1"/>
  <c r="BO760" i="5"/>
  <c r="BO761" i="5" s="1"/>
  <c r="L270" i="10"/>
  <c r="BX762" i="5"/>
  <c r="BX763" i="5" s="1"/>
  <c r="BC762" i="5"/>
  <c r="BC763" i="5" s="1"/>
  <c r="BL762" i="5"/>
  <c r="BL763" i="5" s="1"/>
  <c r="CB762" i="5"/>
  <c r="CB763" i="5" s="1"/>
  <c r="BZ627" i="5"/>
  <c r="BB762" i="5"/>
  <c r="BB763" i="5" s="1"/>
  <c r="D271" i="10"/>
  <c r="D274" i="10" s="1"/>
  <c r="BC760" i="5"/>
  <c r="BC761" i="5" s="1"/>
  <c r="G38" i="36"/>
  <c r="G13" i="36"/>
  <c r="AA10" i="36"/>
  <c r="K10" i="36"/>
  <c r="I268" i="10"/>
  <c r="AC38" i="37"/>
  <c r="AA44" i="37"/>
  <c r="AC44" i="37" s="1"/>
  <c r="AC39" i="37"/>
  <c r="AA45" i="37"/>
  <c r="AC45" i="37" s="1"/>
  <c r="J41" i="37"/>
  <c r="J39" i="36"/>
  <c r="AA39" i="36"/>
  <c r="F13" i="36"/>
  <c r="F16" i="36" s="1"/>
  <c r="F40" i="36"/>
  <c r="F41" i="36" s="1"/>
  <c r="L10" i="36"/>
  <c r="J268" i="10"/>
  <c r="L40" i="36"/>
  <c r="N40" i="36" s="1"/>
  <c r="N12" i="36"/>
  <c r="I40" i="36"/>
  <c r="CF728" i="5"/>
  <c r="F270" i="10"/>
  <c r="H12" i="36"/>
  <c r="I10" i="36"/>
  <c r="I13" i="36" s="1"/>
  <c r="G268" i="10"/>
  <c r="G271" i="10" s="1"/>
  <c r="J11" i="23"/>
  <c r="J182" i="10"/>
  <c r="L182" i="10" s="1"/>
  <c r="G39" i="23"/>
  <c r="AA39" i="23" s="1"/>
  <c r="AC39" i="23" s="1"/>
  <c r="L12" i="34"/>
  <c r="N12" i="34" s="1"/>
  <c r="G10" i="14"/>
  <c r="BC744" i="5"/>
  <c r="BC745" i="5" s="1"/>
  <c r="H12" i="31" s="1"/>
  <c r="H40" i="31" s="1"/>
  <c r="J39" i="17"/>
  <c r="E257" i="10"/>
  <c r="E260" i="10" s="1"/>
  <c r="BT728" i="5"/>
  <c r="L237" i="10"/>
  <c r="BX754" i="5"/>
  <c r="BX755" i="5" s="1"/>
  <c r="BC754" i="5"/>
  <c r="BC755" i="5" s="1"/>
  <c r="H12" i="35" s="1"/>
  <c r="G12" i="35"/>
  <c r="G13" i="35" s="1"/>
  <c r="BO750" i="5"/>
  <c r="BO751" i="5" s="1"/>
  <c r="F248" i="10"/>
  <c r="H12" i="34"/>
  <c r="H40" i="34" s="1"/>
  <c r="BN754" i="5"/>
  <c r="BN755" i="5" s="1"/>
  <c r="M12" i="35"/>
  <c r="M40" i="35" s="1"/>
  <c r="K259" i="10"/>
  <c r="K10" i="34"/>
  <c r="I246" i="10"/>
  <c r="F13" i="35"/>
  <c r="F16" i="35" s="1"/>
  <c r="F38" i="35"/>
  <c r="F41" i="35" s="1"/>
  <c r="L12" i="35"/>
  <c r="J259" i="10"/>
  <c r="AA10" i="35"/>
  <c r="G38" i="35"/>
  <c r="J204" i="10"/>
  <c r="BO756" i="5"/>
  <c r="BO757" i="5" s="1"/>
  <c r="BB756" i="5"/>
  <c r="BB757" i="5" s="1"/>
  <c r="BO754" i="5"/>
  <c r="BO755" i="5" s="1"/>
  <c r="D249" i="10"/>
  <c r="D252" i="10" s="1"/>
  <c r="AA45" i="35"/>
  <c r="AC45" i="35" s="1"/>
  <c r="AC39" i="35"/>
  <c r="K10" i="33"/>
  <c r="I235" i="10"/>
  <c r="I257" i="10"/>
  <c r="K10" i="35"/>
  <c r="I12" i="35"/>
  <c r="I40" i="35" s="1"/>
  <c r="G259" i="10"/>
  <c r="F13" i="34"/>
  <c r="F16" i="34" s="1"/>
  <c r="F40" i="34"/>
  <c r="F41" i="34" s="1"/>
  <c r="AC39" i="34"/>
  <c r="AA45" i="34"/>
  <c r="AC45" i="34" s="1"/>
  <c r="E238" i="10"/>
  <c r="BN752" i="5"/>
  <c r="BN753" i="5" s="1"/>
  <c r="BB754" i="5"/>
  <c r="BB755" i="5" s="1"/>
  <c r="G238" i="10"/>
  <c r="G38" i="33"/>
  <c r="AA10" i="33"/>
  <c r="G13" i="33"/>
  <c r="CB754" i="5"/>
  <c r="CB755" i="5" s="1"/>
  <c r="CB748" i="5"/>
  <c r="CB749" i="5" s="1"/>
  <c r="D238" i="10"/>
  <c r="D241" i="10" s="1"/>
  <c r="BC752" i="5"/>
  <c r="BC753" i="5" s="1"/>
  <c r="BL754" i="5"/>
  <c r="BL755" i="5" s="1"/>
  <c r="D260" i="10"/>
  <c r="D263" i="10" s="1"/>
  <c r="F38" i="33"/>
  <c r="F41" i="33" s="1"/>
  <c r="F13" i="33"/>
  <c r="F16" i="33" s="1"/>
  <c r="AA39" i="33"/>
  <c r="J39" i="33"/>
  <c r="BC748" i="5"/>
  <c r="BC749" i="5" s="1"/>
  <c r="F237" i="10" s="1"/>
  <c r="L248" i="10"/>
  <c r="H10" i="34"/>
  <c r="F246" i="10"/>
  <c r="H246" i="10" s="1"/>
  <c r="M10" i="34"/>
  <c r="K246" i="10"/>
  <c r="K249" i="10" s="1"/>
  <c r="BB752" i="5"/>
  <c r="BB753" i="5" s="1"/>
  <c r="CB752" i="5"/>
  <c r="CB753" i="5" s="1"/>
  <c r="CB750" i="5"/>
  <c r="CB751" i="5" s="1"/>
  <c r="BO752" i="5"/>
  <c r="BO753" i="5" s="1"/>
  <c r="L10" i="34"/>
  <c r="J246" i="10"/>
  <c r="AB10" i="34"/>
  <c r="I38" i="34"/>
  <c r="G248" i="10"/>
  <c r="I12" i="34"/>
  <c r="I40" i="34" s="1"/>
  <c r="K238" i="10"/>
  <c r="I13" i="33"/>
  <c r="AB10" i="33"/>
  <c r="I38" i="33"/>
  <c r="J238" i="10"/>
  <c r="L235" i="10"/>
  <c r="L13" i="33"/>
  <c r="N10" i="33"/>
  <c r="L38" i="33"/>
  <c r="N12" i="33"/>
  <c r="L40" i="33"/>
  <c r="N40" i="33" s="1"/>
  <c r="M13" i="33"/>
  <c r="M38" i="33"/>
  <c r="M41" i="33" s="1"/>
  <c r="BB748" i="5"/>
  <c r="BB749" i="5" s="1"/>
  <c r="BO748" i="5"/>
  <c r="BO749" i="5" s="1"/>
  <c r="BN748" i="5"/>
  <c r="BN749" i="5" s="1"/>
  <c r="J41" i="32"/>
  <c r="G229" i="10"/>
  <c r="G230" i="10" s="1"/>
  <c r="H229" i="10"/>
  <c r="H230" i="10" s="1"/>
  <c r="E230" i="10"/>
  <c r="L16" i="32"/>
  <c r="J230" i="10"/>
  <c r="F229" i="10"/>
  <c r="F230" i="10" s="1"/>
  <c r="AC38" i="32"/>
  <c r="AA44" i="32"/>
  <c r="AC44" i="32" s="1"/>
  <c r="AC39" i="32"/>
  <c r="AA45" i="32"/>
  <c r="AC45" i="32" s="1"/>
  <c r="BS728" i="5"/>
  <c r="D216" i="10"/>
  <c r="D219" i="10" s="1"/>
  <c r="J213" i="10"/>
  <c r="L10" i="31"/>
  <c r="BZ122" i="5"/>
  <c r="G12" i="31"/>
  <c r="E215" i="10"/>
  <c r="J39" i="31"/>
  <c r="AA39" i="31"/>
  <c r="J215" i="10"/>
  <c r="L12" i="31"/>
  <c r="I10" i="31"/>
  <c r="G213" i="10"/>
  <c r="G10" i="31"/>
  <c r="E213" i="10"/>
  <c r="I213" i="10"/>
  <c r="K10" i="31"/>
  <c r="M12" i="31"/>
  <c r="M40" i="31" s="1"/>
  <c r="K215" i="10"/>
  <c r="I12" i="31"/>
  <c r="I40" i="31" s="1"/>
  <c r="G215" i="10"/>
  <c r="F13" i="31"/>
  <c r="F16" i="31" s="1"/>
  <c r="F38" i="31"/>
  <c r="F41" i="31" s="1"/>
  <c r="BB744" i="5"/>
  <c r="BB745" i="5" s="1"/>
  <c r="CB744" i="5"/>
  <c r="CB745" i="5" s="1"/>
  <c r="BX729" i="5"/>
  <c r="BX730" i="5" s="1"/>
  <c r="G12" i="14"/>
  <c r="BZ741" i="5"/>
  <c r="BZ742" i="5" s="1"/>
  <c r="J202" i="10" s="1"/>
  <c r="G202" i="10"/>
  <c r="I10" i="30"/>
  <c r="I202" i="10"/>
  <c r="K10" i="30"/>
  <c r="I12" i="30"/>
  <c r="I40" i="30" s="1"/>
  <c r="G204" i="10"/>
  <c r="D205" i="10"/>
  <c r="D208" i="10" s="1"/>
  <c r="M12" i="30"/>
  <c r="K204" i="10"/>
  <c r="F13" i="30"/>
  <c r="F16" i="30" s="1"/>
  <c r="F38" i="30"/>
  <c r="F41" i="30" s="1"/>
  <c r="AA10" i="30"/>
  <c r="G38" i="30"/>
  <c r="E204" i="10"/>
  <c r="E205" i="10" s="1"/>
  <c r="G12" i="30"/>
  <c r="AB39" i="30"/>
  <c r="J39" i="30"/>
  <c r="BO741" i="5"/>
  <c r="BO742" i="5" s="1"/>
  <c r="BX741" i="5"/>
  <c r="BX742" i="5" s="1"/>
  <c r="BB741" i="5"/>
  <c r="BB742" i="5" s="1"/>
  <c r="BC741" i="5"/>
  <c r="BC742" i="5" s="1"/>
  <c r="CB741" i="5"/>
  <c r="CB742" i="5" s="1"/>
  <c r="G12" i="27"/>
  <c r="G40" i="27" s="1"/>
  <c r="AA39" i="24"/>
  <c r="J39" i="24"/>
  <c r="BC737" i="5"/>
  <c r="BC738" i="5" s="1"/>
  <c r="F182" i="10" s="1"/>
  <c r="BO737" i="5"/>
  <c r="BO738" i="5" s="1"/>
  <c r="BA728" i="5"/>
  <c r="K10" i="23" s="1"/>
  <c r="L12" i="29"/>
  <c r="J193" i="10"/>
  <c r="D172" i="10"/>
  <c r="D175" i="10" s="1"/>
  <c r="I12" i="29"/>
  <c r="I40" i="29" s="1"/>
  <c r="G193" i="10"/>
  <c r="F38" i="29"/>
  <c r="F41" i="29" s="1"/>
  <c r="F13" i="29"/>
  <c r="F16" i="29" s="1"/>
  <c r="AC39" i="28"/>
  <c r="AA45" i="28"/>
  <c r="AC45" i="28" s="1"/>
  <c r="F38" i="27"/>
  <c r="F41" i="27" s="1"/>
  <c r="F13" i="27"/>
  <c r="F16" i="27" s="1"/>
  <c r="BL737" i="5"/>
  <c r="BL738" i="5" s="1"/>
  <c r="G180" i="10" s="1"/>
  <c r="G183" i="10" s="1"/>
  <c r="AU728" i="5"/>
  <c r="AA39" i="27"/>
  <c r="AC39" i="27" s="1"/>
  <c r="J39" i="27"/>
  <c r="G10" i="29"/>
  <c r="E191" i="10"/>
  <c r="F13" i="28"/>
  <c r="F16" i="28" s="1"/>
  <c r="F38" i="28"/>
  <c r="F41" i="28" s="1"/>
  <c r="G12" i="29"/>
  <c r="E193" i="10"/>
  <c r="K10" i="29"/>
  <c r="I191" i="10"/>
  <c r="G10" i="27"/>
  <c r="E169" i="10"/>
  <c r="E172" i="10" s="1"/>
  <c r="K10" i="28"/>
  <c r="I180" i="10"/>
  <c r="D194" i="10"/>
  <c r="D197" i="10" s="1"/>
  <c r="K10" i="27"/>
  <c r="I169" i="10"/>
  <c r="AC39" i="29"/>
  <c r="AA45" i="29"/>
  <c r="AC45" i="29" s="1"/>
  <c r="G13" i="28"/>
  <c r="G40" i="28"/>
  <c r="BN737" i="5"/>
  <c r="BN738" i="5" s="1"/>
  <c r="AY728" i="5"/>
  <c r="G10" i="23" s="1"/>
  <c r="E183" i="10"/>
  <c r="BN739" i="5"/>
  <c r="BN740" i="5" s="1"/>
  <c r="BO739" i="5"/>
  <c r="BO740" i="5" s="1"/>
  <c r="M12" i="29"/>
  <c r="K193" i="10"/>
  <c r="AA10" i="28"/>
  <c r="G38" i="28"/>
  <c r="BL735" i="5"/>
  <c r="BL736" i="5" s="1"/>
  <c r="G169" i="10" s="1"/>
  <c r="BL739" i="5"/>
  <c r="BL740" i="5" s="1"/>
  <c r="BX737" i="5"/>
  <c r="BX738" i="5" s="1"/>
  <c r="CB737" i="5"/>
  <c r="CB738" i="5" s="1"/>
  <c r="L40" i="28"/>
  <c r="N40" i="28" s="1"/>
  <c r="N12" i="28"/>
  <c r="BX739" i="5"/>
  <c r="BX740" i="5" s="1"/>
  <c r="CB739" i="5"/>
  <c r="CB740" i="5" s="1"/>
  <c r="BZ430" i="5"/>
  <c r="BB739" i="5"/>
  <c r="BB740" i="5" s="1"/>
  <c r="CE728" i="5"/>
  <c r="BC739" i="5"/>
  <c r="BC740" i="5" s="1"/>
  <c r="G171" i="10"/>
  <c r="I12" i="27"/>
  <c r="I40" i="27" s="1"/>
  <c r="M12" i="27"/>
  <c r="M40" i="27" s="1"/>
  <c r="K171" i="10"/>
  <c r="BB737" i="5"/>
  <c r="BB738" i="5" s="1"/>
  <c r="L12" i="27"/>
  <c r="J171" i="10"/>
  <c r="BZ737" i="5"/>
  <c r="BZ738" i="5" s="1"/>
  <c r="CB735" i="5"/>
  <c r="CB736" i="5" s="1"/>
  <c r="J41" i="26"/>
  <c r="G51" i="26" s="1"/>
  <c r="BF728" i="5"/>
  <c r="E163" i="10"/>
  <c r="H163" i="10" s="1"/>
  <c r="H164" i="10" s="1"/>
  <c r="D139" i="10"/>
  <c r="D142" i="10" s="1"/>
  <c r="BX735" i="5"/>
  <c r="BX736" i="5" s="1"/>
  <c r="F38" i="23"/>
  <c r="F41" i="23" s="1"/>
  <c r="F13" i="23"/>
  <c r="F16" i="23" s="1"/>
  <c r="E136" i="10"/>
  <c r="G10" i="24"/>
  <c r="BN735" i="5"/>
  <c r="BN736" i="5" s="1"/>
  <c r="AC39" i="26"/>
  <c r="AA45" i="26"/>
  <c r="AC45" i="26" s="1"/>
  <c r="I136" i="10"/>
  <c r="K10" i="24"/>
  <c r="G10" i="25"/>
  <c r="E147" i="10"/>
  <c r="BX731" i="5"/>
  <c r="BX732" i="5" s="1"/>
  <c r="BB735" i="5"/>
  <c r="BB736" i="5" s="1"/>
  <c r="AC38" i="26"/>
  <c r="AA44" i="26"/>
  <c r="AC44" i="26" s="1"/>
  <c r="G12" i="25"/>
  <c r="G40" i="25" s="1"/>
  <c r="E149" i="10"/>
  <c r="G12" i="24"/>
  <c r="G40" i="24" s="1"/>
  <c r="E138" i="10"/>
  <c r="F38" i="25"/>
  <c r="F41" i="25" s="1"/>
  <c r="F13" i="25"/>
  <c r="F16" i="25" s="1"/>
  <c r="BN729" i="5"/>
  <c r="BN730" i="5" s="1"/>
  <c r="AZ728" i="5"/>
  <c r="K10" i="25"/>
  <c r="I147" i="10"/>
  <c r="F38" i="24"/>
  <c r="F41" i="24" s="1"/>
  <c r="F13" i="24"/>
  <c r="F16" i="24" s="1"/>
  <c r="AV728" i="5"/>
  <c r="H15" i="26"/>
  <c r="H16" i="26" s="1"/>
  <c r="G15" i="26"/>
  <c r="BO735" i="5"/>
  <c r="BO736" i="5" s="1"/>
  <c r="BC735" i="5"/>
  <c r="BC736" i="5" s="1"/>
  <c r="D150" i="10"/>
  <c r="D153" i="10" s="1"/>
  <c r="K149" i="10"/>
  <c r="M12" i="25"/>
  <c r="M40" i="25" s="1"/>
  <c r="G149" i="10"/>
  <c r="I12" i="25"/>
  <c r="I40" i="25" s="1"/>
  <c r="BO731" i="5"/>
  <c r="BO732" i="5" s="1"/>
  <c r="BN713" i="5"/>
  <c r="BN714" i="5" s="1"/>
  <c r="BN731" i="5"/>
  <c r="BN732" i="5" s="1"/>
  <c r="J149" i="10"/>
  <c r="L12" i="25"/>
  <c r="CB731" i="5"/>
  <c r="CB732" i="5" s="1"/>
  <c r="BU728" i="5"/>
  <c r="CA728" i="5"/>
  <c r="L12" i="23" s="1"/>
  <c r="L12" i="24"/>
  <c r="J138" i="10"/>
  <c r="G138" i="10"/>
  <c r="I12" i="24"/>
  <c r="I40" i="24" s="1"/>
  <c r="G136" i="10"/>
  <c r="I10" i="24"/>
  <c r="BL731" i="5"/>
  <c r="BL732" i="5" s="1"/>
  <c r="BK728" i="5"/>
  <c r="BQ728" i="5"/>
  <c r="BZ379" i="5"/>
  <c r="BB731" i="5"/>
  <c r="BB732" i="5" s="1"/>
  <c r="BC731" i="5"/>
  <c r="BC732" i="5" s="1"/>
  <c r="BB729" i="5"/>
  <c r="BB730" i="5" s="1"/>
  <c r="CC728" i="5"/>
  <c r="BI728" i="5"/>
  <c r="K138" i="10"/>
  <c r="M12" i="24"/>
  <c r="M40" i="24" s="1"/>
  <c r="CB729" i="5"/>
  <c r="CB730" i="5" s="1"/>
  <c r="BE728" i="5"/>
  <c r="BC729" i="5"/>
  <c r="BC730" i="5" s="1"/>
  <c r="BX90" i="5"/>
  <c r="BA789" i="5" s="1"/>
  <c r="CB719" i="5"/>
  <c r="CB720" i="5" s="1"/>
  <c r="CB727" i="5"/>
  <c r="CD728" i="5"/>
  <c r="BY728" i="5"/>
  <c r="CK728" i="5"/>
  <c r="BW728" i="5"/>
  <c r="BV728" i="5"/>
  <c r="BC727" i="5"/>
  <c r="BJ728" i="5"/>
  <c r="BR728" i="5"/>
  <c r="BM728" i="5"/>
  <c r="BH728" i="5"/>
  <c r="BG728" i="5"/>
  <c r="BD728" i="5"/>
  <c r="CB90" i="5"/>
  <c r="BB727" i="5"/>
  <c r="BP728" i="5"/>
  <c r="CI728" i="5"/>
  <c r="BO727" i="5"/>
  <c r="BN727" i="5"/>
  <c r="BX724" i="5"/>
  <c r="BX728" i="5" s="1"/>
  <c r="BB725" i="5"/>
  <c r="BO724" i="5"/>
  <c r="BN725" i="5"/>
  <c r="D117" i="10"/>
  <c r="D120" i="10" s="1"/>
  <c r="BN726" i="5"/>
  <c r="BB726" i="5"/>
  <c r="CB726" i="5"/>
  <c r="CB724" i="5"/>
  <c r="BC726" i="5"/>
  <c r="BL724" i="5"/>
  <c r="BL728" i="5" s="1"/>
  <c r="BL721" i="5"/>
  <c r="BL722" i="5" s="1"/>
  <c r="I10" i="22" s="1"/>
  <c r="CB725" i="5"/>
  <c r="BC724" i="5"/>
  <c r="BO726" i="5"/>
  <c r="I12" i="22"/>
  <c r="G116" i="10"/>
  <c r="F13" i="22"/>
  <c r="F16" i="22" s="1"/>
  <c r="F38" i="22"/>
  <c r="F41" i="22" s="1"/>
  <c r="J39" i="22"/>
  <c r="AA39" i="22"/>
  <c r="BO725" i="5"/>
  <c r="BZ724" i="5"/>
  <c r="BZ728" i="5" s="1"/>
  <c r="J116" i="10"/>
  <c r="L12" i="22"/>
  <c r="K116" i="10"/>
  <c r="M12" i="22"/>
  <c r="M40" i="22" s="1"/>
  <c r="BC725" i="5"/>
  <c r="BB724" i="5"/>
  <c r="G12" i="22"/>
  <c r="E116" i="10"/>
  <c r="BN724" i="5"/>
  <c r="E114" i="10"/>
  <c r="G10" i="22"/>
  <c r="I114" i="10"/>
  <c r="K10" i="22"/>
  <c r="BX721" i="5"/>
  <c r="BX722" i="5" s="1"/>
  <c r="AC45" i="16"/>
  <c r="L10" i="21"/>
  <c r="J103" i="10"/>
  <c r="D106" i="10"/>
  <c r="D109" i="10" s="1"/>
  <c r="BO721" i="5"/>
  <c r="BO722" i="5" s="1"/>
  <c r="BN721" i="5"/>
  <c r="BN722" i="5" s="1"/>
  <c r="E92" i="10"/>
  <c r="AA39" i="21"/>
  <c r="J39" i="21"/>
  <c r="CB721" i="5"/>
  <c r="CB722" i="5" s="1"/>
  <c r="BB721" i="5"/>
  <c r="BB722" i="5" s="1"/>
  <c r="M12" i="21"/>
  <c r="K105" i="10"/>
  <c r="BC721" i="5"/>
  <c r="BC722" i="5" s="1"/>
  <c r="I103" i="10"/>
  <c r="K10" i="21"/>
  <c r="I12" i="21"/>
  <c r="I40" i="21" s="1"/>
  <c r="G105" i="10"/>
  <c r="G10" i="21"/>
  <c r="E103" i="10"/>
  <c r="F13" i="21"/>
  <c r="F16" i="21" s="1"/>
  <c r="F40" i="21"/>
  <c r="F41" i="21" s="1"/>
  <c r="G103" i="10"/>
  <c r="I10" i="21"/>
  <c r="E105" i="10"/>
  <c r="G12" i="21"/>
  <c r="M10" i="21"/>
  <c r="K103" i="10"/>
  <c r="L12" i="21"/>
  <c r="L40" i="21" s="1"/>
  <c r="J105" i="10"/>
  <c r="BZ400" i="5"/>
  <c r="BZ672" i="5"/>
  <c r="BZ81" i="5"/>
  <c r="E84" i="10"/>
  <c r="D84" i="10"/>
  <c r="D87" i="10" s="1"/>
  <c r="BX717" i="5"/>
  <c r="BX718" i="5" s="1"/>
  <c r="BO719" i="5"/>
  <c r="BO720" i="5" s="1"/>
  <c r="E72" i="10"/>
  <c r="BC719" i="5"/>
  <c r="BC720" i="5" s="1"/>
  <c r="BO717" i="5"/>
  <c r="BO718" i="5" s="1"/>
  <c r="H81" i="10"/>
  <c r="I12" i="20"/>
  <c r="I40" i="20" s="1"/>
  <c r="G94" i="10"/>
  <c r="BB719" i="5"/>
  <c r="BB720" i="5" s="1"/>
  <c r="F38" i="20"/>
  <c r="F41" i="20" s="1"/>
  <c r="F13" i="20"/>
  <c r="F16" i="20" s="1"/>
  <c r="E94" i="10"/>
  <c r="E95" i="10" s="1"/>
  <c r="G12" i="20"/>
  <c r="G13" i="20" s="1"/>
  <c r="BL717" i="5"/>
  <c r="BL718" i="5" s="1"/>
  <c r="L12" i="20"/>
  <c r="J94" i="10"/>
  <c r="F13" i="19"/>
  <c r="F16" i="19" s="1"/>
  <c r="F38" i="19"/>
  <c r="F41" i="19" s="1"/>
  <c r="G38" i="19"/>
  <c r="AA10" i="19"/>
  <c r="G13" i="19"/>
  <c r="BZ717" i="5"/>
  <c r="BZ718" i="5" s="1"/>
  <c r="BN717" i="5"/>
  <c r="BN718" i="5" s="1"/>
  <c r="G84" i="10"/>
  <c r="AA10" i="20"/>
  <c r="G38" i="20"/>
  <c r="AC39" i="19"/>
  <c r="AA45" i="19"/>
  <c r="AC45" i="19" s="1"/>
  <c r="AA45" i="20"/>
  <c r="AC45" i="20" s="1"/>
  <c r="AC39" i="20"/>
  <c r="I92" i="10"/>
  <c r="K10" i="20"/>
  <c r="M12" i="20"/>
  <c r="M40" i="20" s="1"/>
  <c r="K94" i="10"/>
  <c r="BN719" i="5"/>
  <c r="BN720" i="5" s="1"/>
  <c r="F84" i="10"/>
  <c r="H83" i="10"/>
  <c r="CB717" i="5"/>
  <c r="CB718" i="5" s="1"/>
  <c r="BC717" i="5"/>
  <c r="BC718" i="5" s="1"/>
  <c r="BB717" i="5"/>
  <c r="BB718" i="5" s="1"/>
  <c r="I13" i="19"/>
  <c r="I38" i="19"/>
  <c r="N12" i="19"/>
  <c r="L40" i="19"/>
  <c r="N40" i="19" s="1"/>
  <c r="H38" i="19"/>
  <c r="J10" i="19"/>
  <c r="L83" i="10"/>
  <c r="J84" i="10"/>
  <c r="L13" i="19"/>
  <c r="L38" i="19"/>
  <c r="H13" i="19"/>
  <c r="J12" i="19"/>
  <c r="H40" i="19"/>
  <c r="D40" i="10"/>
  <c r="D43" i="10" s="1"/>
  <c r="BB705" i="5"/>
  <c r="BB706" i="5" s="1"/>
  <c r="F26" i="10" s="1"/>
  <c r="D62" i="10"/>
  <c r="D65" i="10" s="1"/>
  <c r="CB713" i="5"/>
  <c r="CB714" i="5" s="1"/>
  <c r="E70" i="10"/>
  <c r="BO701" i="5"/>
  <c r="BO702" i="5" s="1"/>
  <c r="J72" i="10"/>
  <c r="L12" i="18"/>
  <c r="K72" i="10"/>
  <c r="M12" i="18"/>
  <c r="M40" i="18" s="1"/>
  <c r="I59" i="10"/>
  <c r="K10" i="17"/>
  <c r="D51" i="10"/>
  <c r="D54" i="10" s="1"/>
  <c r="AA39" i="15"/>
  <c r="J39" i="15"/>
  <c r="G12" i="17"/>
  <c r="G40" i="17" s="1"/>
  <c r="E61" i="10"/>
  <c r="I10" i="18"/>
  <c r="G70" i="10"/>
  <c r="K10" i="15"/>
  <c r="I37" i="10"/>
  <c r="G12" i="15"/>
  <c r="E39" i="10"/>
  <c r="G10" i="15"/>
  <c r="E37" i="10"/>
  <c r="F13" i="18"/>
  <c r="F16" i="18" s="1"/>
  <c r="F40" i="18"/>
  <c r="F41" i="18" s="1"/>
  <c r="F38" i="17"/>
  <c r="F41" i="17" s="1"/>
  <c r="F13" i="17"/>
  <c r="F16" i="17" s="1"/>
  <c r="G10" i="16"/>
  <c r="E48" i="10"/>
  <c r="F38" i="15"/>
  <c r="F41" i="15" s="1"/>
  <c r="F13" i="15"/>
  <c r="F16" i="15" s="1"/>
  <c r="G40" i="18"/>
  <c r="D73" i="10"/>
  <c r="D76" i="10" s="1"/>
  <c r="G12" i="16"/>
  <c r="G40" i="16" s="1"/>
  <c r="E50" i="10"/>
  <c r="AA45" i="18"/>
  <c r="AC45" i="18" s="1"/>
  <c r="AC39" i="18"/>
  <c r="I70" i="10"/>
  <c r="K10" i="18"/>
  <c r="AA45" i="17"/>
  <c r="AC45" i="17" s="1"/>
  <c r="AC39" i="17"/>
  <c r="J70" i="10"/>
  <c r="L10" i="18"/>
  <c r="I48" i="10"/>
  <c r="K10" i="16"/>
  <c r="G10" i="17"/>
  <c r="E59" i="10"/>
  <c r="E62" i="10" s="1"/>
  <c r="BB713" i="5"/>
  <c r="BB714" i="5" s="1"/>
  <c r="F38" i="16"/>
  <c r="F41" i="16" s="1"/>
  <c r="F13" i="16"/>
  <c r="F16" i="16" s="1"/>
  <c r="G72" i="10"/>
  <c r="I12" i="18"/>
  <c r="I40" i="18" s="1"/>
  <c r="G38" i="18"/>
  <c r="AA10" i="18"/>
  <c r="G13" i="18"/>
  <c r="J61" i="10"/>
  <c r="L12" i="17"/>
  <c r="L40" i="17" s="1"/>
  <c r="BC713" i="5"/>
  <c r="BC714" i="5" s="1"/>
  <c r="G61" i="10"/>
  <c r="I12" i="17"/>
  <c r="I40" i="17" s="1"/>
  <c r="BZ387" i="5"/>
  <c r="CB18" i="5"/>
  <c r="CB703" i="5" s="1"/>
  <c r="CB704" i="5" s="1"/>
  <c r="M12" i="17"/>
  <c r="K61" i="10"/>
  <c r="BN709" i="5"/>
  <c r="BN710" i="5" s="1"/>
  <c r="BC709" i="5"/>
  <c r="BC710" i="5" s="1"/>
  <c r="BX711" i="5"/>
  <c r="BX712" i="5" s="1"/>
  <c r="CB711" i="5"/>
  <c r="CB712" i="5" s="1"/>
  <c r="BL711" i="5"/>
  <c r="BL712" i="5" s="1"/>
  <c r="BN711" i="5"/>
  <c r="BN712" i="5" s="1"/>
  <c r="BO711" i="5"/>
  <c r="BO712" i="5" s="1"/>
  <c r="BB711" i="5"/>
  <c r="BB712" i="5" s="1"/>
  <c r="BB709" i="5"/>
  <c r="BB710" i="5" s="1"/>
  <c r="BZ711" i="5"/>
  <c r="BZ712" i="5" s="1"/>
  <c r="BC711" i="5"/>
  <c r="BC712" i="5" s="1"/>
  <c r="J50" i="10"/>
  <c r="L12" i="16"/>
  <c r="G50" i="10"/>
  <c r="I12" i="16"/>
  <c r="I40" i="16" s="1"/>
  <c r="K50" i="10"/>
  <c r="M12" i="16"/>
  <c r="M40" i="16" s="1"/>
  <c r="M12" i="15"/>
  <c r="K39" i="10"/>
  <c r="BC705" i="5"/>
  <c r="BC706" i="5" s="1"/>
  <c r="F28" i="10" s="1"/>
  <c r="BL709" i="5"/>
  <c r="BL710" i="5" s="1"/>
  <c r="BO709" i="5"/>
  <c r="BO710" i="5" s="1"/>
  <c r="BZ709" i="5"/>
  <c r="BZ710" i="5" s="1"/>
  <c r="G39" i="10"/>
  <c r="I12" i="15"/>
  <c r="I40" i="15" s="1"/>
  <c r="CB709" i="5"/>
  <c r="CB710" i="5" s="1"/>
  <c r="J39" i="10"/>
  <c r="L12" i="15"/>
  <c r="L40" i="15" s="1"/>
  <c r="D18" i="10"/>
  <c r="D21" i="10" s="1"/>
  <c r="BC707" i="5"/>
  <c r="BC708" i="5" s="1"/>
  <c r="CB707" i="5"/>
  <c r="CB708" i="5" s="1"/>
  <c r="D29" i="10"/>
  <c r="D32" i="10" s="1"/>
  <c r="BL707" i="5"/>
  <c r="BL708" i="5" s="1"/>
  <c r="BO707" i="5"/>
  <c r="BO708" i="5" s="1"/>
  <c r="BX707" i="5"/>
  <c r="BX708" i="5" s="1"/>
  <c r="G28" i="10"/>
  <c r="I12" i="14"/>
  <c r="I40" i="14" s="1"/>
  <c r="AC39" i="14"/>
  <c r="AA45" i="14"/>
  <c r="AC45" i="14" s="1"/>
  <c r="J28" i="10"/>
  <c r="L12" i="14"/>
  <c r="G26" i="10"/>
  <c r="I10" i="14"/>
  <c r="J26" i="10"/>
  <c r="L10" i="14"/>
  <c r="K28" i="10"/>
  <c r="M12" i="14"/>
  <c r="M40" i="14" s="1"/>
  <c r="BN707" i="5"/>
  <c r="BN708" i="5" s="1"/>
  <c r="G40" i="14"/>
  <c r="K10" i="13"/>
  <c r="I15" i="10"/>
  <c r="G12" i="13"/>
  <c r="G40" i="13" s="1"/>
  <c r="E17" i="10"/>
  <c r="BB707" i="5"/>
  <c r="BB708" i="5" s="1"/>
  <c r="F13" i="14"/>
  <c r="F16" i="14" s="1"/>
  <c r="F40" i="14"/>
  <c r="F41" i="14" s="1"/>
  <c r="G10" i="13"/>
  <c r="E15" i="10"/>
  <c r="I26" i="10"/>
  <c r="K10" i="14"/>
  <c r="E29" i="10"/>
  <c r="G38" i="14"/>
  <c r="AA10" i="14"/>
  <c r="G13" i="14"/>
  <c r="CB705" i="5"/>
  <c r="CB706" i="5" s="1"/>
  <c r="F38" i="13"/>
  <c r="F41" i="13" s="1"/>
  <c r="F13" i="13"/>
  <c r="F16" i="13" s="1"/>
  <c r="AC39" i="13"/>
  <c r="AA45" i="13"/>
  <c r="AC45" i="13" s="1"/>
  <c r="BL703" i="5"/>
  <c r="BL704" i="5" s="1"/>
  <c r="G15" i="10" s="1"/>
  <c r="BB703" i="5"/>
  <c r="BB704" i="5" s="1"/>
  <c r="BX703" i="5"/>
  <c r="BX704" i="5" s="1"/>
  <c r="BO703" i="5"/>
  <c r="BO704" i="5" s="1"/>
  <c r="M12" i="13"/>
  <c r="K17" i="10"/>
  <c r="J17" i="10"/>
  <c r="L12" i="13"/>
  <c r="L40" i="13" s="1"/>
  <c r="BN703" i="5"/>
  <c r="BN704" i="5" s="1"/>
  <c r="G17" i="10"/>
  <c r="I12" i="13"/>
  <c r="I40" i="13" s="1"/>
  <c r="BZ680" i="5"/>
  <c r="BC703" i="5"/>
  <c r="BC704" i="5" s="1"/>
  <c r="BZ32" i="5"/>
  <c r="BZ703" i="5" s="1"/>
  <c r="BZ704" i="5" s="1"/>
  <c r="CB701" i="5"/>
  <c r="CB702" i="5" s="1"/>
  <c r="BZ248" i="5"/>
  <c r="BZ440" i="5"/>
  <c r="BZ592" i="5"/>
  <c r="BZ632" i="5"/>
  <c r="BZ408" i="5"/>
  <c r="BZ63" i="5"/>
  <c r="G12" i="12"/>
  <c r="E6" i="10"/>
  <c r="G10" i="12"/>
  <c r="E4" i="10"/>
  <c r="AA39" i="12"/>
  <c r="J39" i="12"/>
  <c r="BZ664" i="5"/>
  <c r="M12" i="12"/>
  <c r="M40" i="12" s="1"/>
  <c r="K6" i="10"/>
  <c r="K10" i="12"/>
  <c r="I4" i="10"/>
  <c r="F38" i="12"/>
  <c r="F41" i="12" s="1"/>
  <c r="F13" i="12"/>
  <c r="F16" i="12" s="1"/>
  <c r="L12" i="12"/>
  <c r="J6" i="10"/>
  <c r="BZ232" i="5"/>
  <c r="D7" i="10"/>
  <c r="D10" i="10" s="1"/>
  <c r="BZ375" i="5"/>
  <c r="BZ729" i="5" s="1"/>
  <c r="BZ730" i="5" s="1"/>
  <c r="I12" i="12"/>
  <c r="I40" i="12" s="1"/>
  <c r="G6" i="10"/>
  <c r="BZ584" i="5"/>
  <c r="BZ240" i="5"/>
  <c r="BZ411" i="5"/>
  <c r="BC701" i="5"/>
  <c r="BC702" i="5" s="1"/>
  <c r="BL701" i="5"/>
  <c r="BL702" i="5" s="1"/>
  <c r="BN701" i="5"/>
  <c r="BN702" i="5" s="1"/>
  <c r="BZ2" i="5"/>
  <c r="BZ701" i="5" s="1"/>
  <c r="BZ702" i="5" s="1"/>
  <c r="BX701" i="5"/>
  <c r="BX702" i="5" s="1"/>
  <c r="BB701" i="5"/>
  <c r="BB702" i="5" s="1"/>
  <c r="AA11" i="9"/>
  <c r="AC11" i="9"/>
  <c r="AA10" i="9"/>
  <c r="AX788" i="5" l="1"/>
  <c r="E337" i="10"/>
  <c r="BX709" i="5"/>
  <c r="BX710" i="5" s="1"/>
  <c r="H68" i="39"/>
  <c r="J68" i="39" s="1"/>
  <c r="F215" i="10"/>
  <c r="G72" i="39"/>
  <c r="I72" i="39" s="1"/>
  <c r="J72" i="39" s="1"/>
  <c r="AA10" i="34"/>
  <c r="G38" i="34"/>
  <c r="G40" i="35"/>
  <c r="L238" i="10"/>
  <c r="G43" i="39"/>
  <c r="J43" i="39" s="1"/>
  <c r="K43" i="39" s="1"/>
  <c r="M72" i="39"/>
  <c r="J39" i="23"/>
  <c r="BZ773" i="5"/>
  <c r="BZ774" i="5" s="1"/>
  <c r="O72" i="39"/>
  <c r="AW797" i="5"/>
  <c r="BA793" i="5"/>
  <c r="BA803" i="5"/>
  <c r="L40" i="43"/>
  <c r="N12" i="43"/>
  <c r="AW808" i="5"/>
  <c r="K45" i="39"/>
  <c r="F345" i="10"/>
  <c r="F348" i="10" s="1"/>
  <c r="H10" i="43"/>
  <c r="AW788" i="5"/>
  <c r="BA805" i="5"/>
  <c r="L10" i="43"/>
  <c r="L38" i="43" s="1"/>
  <c r="J345" i="10"/>
  <c r="AZ808" i="5"/>
  <c r="AZ806" i="5"/>
  <c r="G38" i="43"/>
  <c r="AA10" i="43"/>
  <c r="G13" i="43"/>
  <c r="G38" i="42"/>
  <c r="AA10" i="42"/>
  <c r="G13" i="42"/>
  <c r="BA804" i="5"/>
  <c r="BA792" i="5"/>
  <c r="AW806" i="5"/>
  <c r="BA799" i="5"/>
  <c r="BA807" i="5"/>
  <c r="BA811" i="5"/>
  <c r="BA812" i="5" s="1"/>
  <c r="AX797" i="5"/>
  <c r="AX808" i="5"/>
  <c r="BA794" i="5"/>
  <c r="BA802" i="5"/>
  <c r="BA786" i="5"/>
  <c r="BA800" i="5"/>
  <c r="AX806" i="5"/>
  <c r="G73" i="39"/>
  <c r="I73" i="39" s="1"/>
  <c r="J73" i="39" s="1"/>
  <c r="BA796" i="5"/>
  <c r="BA784" i="5"/>
  <c r="BA785" i="5" s="1"/>
  <c r="BA795" i="5"/>
  <c r="BA801" i="5"/>
  <c r="E348" i="10"/>
  <c r="H347" i="10"/>
  <c r="F43" i="42"/>
  <c r="F45" i="42"/>
  <c r="F44" i="42"/>
  <c r="L325" i="10"/>
  <c r="AA45" i="42"/>
  <c r="AC45" i="42" s="1"/>
  <c r="AC39" i="42"/>
  <c r="F43" i="43"/>
  <c r="F44" i="43"/>
  <c r="F45" i="43"/>
  <c r="BA791" i="5"/>
  <c r="BA790" i="5"/>
  <c r="G40" i="43"/>
  <c r="J40" i="43" s="1"/>
  <c r="J12" i="43"/>
  <c r="AZ797" i="5"/>
  <c r="AZ788" i="5"/>
  <c r="G52" i="39"/>
  <c r="G56" i="39" s="1"/>
  <c r="G60" i="39" s="1"/>
  <c r="G67" i="39" s="1"/>
  <c r="L336" i="10"/>
  <c r="BA809" i="5"/>
  <c r="BA810" i="5" s="1"/>
  <c r="BA787" i="5"/>
  <c r="BA798" i="5"/>
  <c r="L347" i="10"/>
  <c r="I10" i="43"/>
  <c r="G345" i="10"/>
  <c r="G348" i="10" s="1"/>
  <c r="F336" i="10"/>
  <c r="H12" i="42"/>
  <c r="H40" i="42" s="1"/>
  <c r="L10" i="42"/>
  <c r="J334" i="10"/>
  <c r="G337" i="10"/>
  <c r="I38" i="42"/>
  <c r="I13" i="42"/>
  <c r="I40" i="42"/>
  <c r="H10" i="42"/>
  <c r="F334" i="10"/>
  <c r="H334" i="10" s="1"/>
  <c r="N12" i="42"/>
  <c r="M40" i="42"/>
  <c r="N40" i="42" s="1"/>
  <c r="F325" i="10"/>
  <c r="H325" i="10" s="1"/>
  <c r="H12" i="41"/>
  <c r="H40" i="41" s="1"/>
  <c r="F43" i="41"/>
  <c r="F44" i="41"/>
  <c r="F45" i="41"/>
  <c r="AA45" i="41"/>
  <c r="AC45" i="41" s="1"/>
  <c r="AC39" i="41"/>
  <c r="G13" i="41"/>
  <c r="AA10" i="41"/>
  <c r="G38" i="41"/>
  <c r="N12" i="41"/>
  <c r="L40" i="41"/>
  <c r="N40" i="41" s="1"/>
  <c r="J326" i="10"/>
  <c r="H10" i="41"/>
  <c r="J10" i="41" s="1"/>
  <c r="F323" i="10"/>
  <c r="H323" i="10" s="1"/>
  <c r="L13" i="41"/>
  <c r="L38" i="41"/>
  <c r="G40" i="41"/>
  <c r="I38" i="41"/>
  <c r="I13" i="41"/>
  <c r="L40" i="34"/>
  <c r="N40" i="34" s="1"/>
  <c r="E326" i="10"/>
  <c r="G326" i="10"/>
  <c r="J285" i="10"/>
  <c r="L204" i="10"/>
  <c r="H248" i="10"/>
  <c r="J15" i="39"/>
  <c r="J16" i="39" s="1"/>
  <c r="G16" i="39"/>
  <c r="I15" i="39"/>
  <c r="I16" i="39" s="1"/>
  <c r="E285" i="10"/>
  <c r="H284" i="10"/>
  <c r="H285" i="10" s="1"/>
  <c r="F315" i="10"/>
  <c r="H315" i="10" s="1"/>
  <c r="E317" i="10" s="1"/>
  <c r="N40" i="40"/>
  <c r="N38" i="40"/>
  <c r="L41" i="40"/>
  <c r="J40" i="40"/>
  <c r="F43" i="38"/>
  <c r="F44" i="38"/>
  <c r="F45" i="38"/>
  <c r="AA38" i="40"/>
  <c r="G41" i="40"/>
  <c r="F43" i="40"/>
  <c r="F44" i="40"/>
  <c r="F45" i="40"/>
  <c r="AC10" i="40"/>
  <c r="H13" i="40"/>
  <c r="J13" i="40" s="1"/>
  <c r="G15" i="40" s="1"/>
  <c r="H38" i="40"/>
  <c r="H41" i="40" s="1"/>
  <c r="M41" i="40"/>
  <c r="L39" i="10"/>
  <c r="AB38" i="40"/>
  <c r="AB44" i="40" s="1"/>
  <c r="I41" i="40"/>
  <c r="N13" i="40"/>
  <c r="H314" i="10"/>
  <c r="J12" i="40"/>
  <c r="H45" i="39"/>
  <c r="H75" i="39"/>
  <c r="H80" i="39" s="1"/>
  <c r="J75" i="39"/>
  <c r="J80" i="39" s="1"/>
  <c r="H40" i="38"/>
  <c r="J40" i="38" s="1"/>
  <c r="J12" i="38"/>
  <c r="J38" i="38"/>
  <c r="F293" i="10"/>
  <c r="H292" i="10"/>
  <c r="H15" i="38"/>
  <c r="H16" i="38" s="1"/>
  <c r="G15" i="38"/>
  <c r="I75" i="39"/>
  <c r="I80" i="39" s="1"/>
  <c r="AB44" i="38"/>
  <c r="AC44" i="38" s="1"/>
  <c r="AC38" i="38"/>
  <c r="BZ762" i="5"/>
  <c r="BZ763" i="5" s="1"/>
  <c r="F43" i="36"/>
  <c r="F44" i="36"/>
  <c r="F45" i="36"/>
  <c r="AA38" i="36"/>
  <c r="AA44" i="36" s="1"/>
  <c r="G41" i="36"/>
  <c r="AA45" i="36"/>
  <c r="AC45" i="36" s="1"/>
  <c r="AC39" i="36"/>
  <c r="H51" i="37"/>
  <c r="I51" i="37"/>
  <c r="G51" i="37"/>
  <c r="H40" i="36"/>
  <c r="J40" i="36" s="1"/>
  <c r="J12" i="36"/>
  <c r="H270" i="10"/>
  <c r="J271" i="10"/>
  <c r="L38" i="36"/>
  <c r="L13" i="36"/>
  <c r="H10" i="36"/>
  <c r="F268" i="10"/>
  <c r="H268" i="10" s="1"/>
  <c r="I38" i="36"/>
  <c r="I13" i="34"/>
  <c r="H12" i="33"/>
  <c r="J12" i="33" s="1"/>
  <c r="AC10" i="33"/>
  <c r="J12" i="34"/>
  <c r="F259" i="10"/>
  <c r="H259" i="10" s="1"/>
  <c r="L259" i="10"/>
  <c r="N13" i="33"/>
  <c r="F43" i="34"/>
  <c r="F44" i="34"/>
  <c r="F45" i="34"/>
  <c r="F43" i="33"/>
  <c r="F44" i="33"/>
  <c r="F45" i="33"/>
  <c r="AA38" i="33"/>
  <c r="AA44" i="33" s="1"/>
  <c r="G41" i="33"/>
  <c r="BZ754" i="5"/>
  <c r="BZ755" i="5" s="1"/>
  <c r="G257" i="10"/>
  <c r="G260" i="10" s="1"/>
  <c r="I10" i="35"/>
  <c r="F257" i="10"/>
  <c r="H10" i="35"/>
  <c r="H13" i="35" s="1"/>
  <c r="N12" i="35"/>
  <c r="L40" i="35"/>
  <c r="N40" i="35" s="1"/>
  <c r="F43" i="35"/>
  <c r="F44" i="35"/>
  <c r="F45" i="35"/>
  <c r="I125" i="10"/>
  <c r="AC10" i="34"/>
  <c r="H40" i="35"/>
  <c r="G41" i="34"/>
  <c r="AA38" i="34"/>
  <c r="AA44" i="34" s="1"/>
  <c r="AA45" i="33"/>
  <c r="AC45" i="33" s="1"/>
  <c r="AC39" i="33"/>
  <c r="J12" i="35"/>
  <c r="G41" i="35"/>
  <c r="AA38" i="35"/>
  <c r="J40" i="34"/>
  <c r="J249" i="10"/>
  <c r="L246" i="10"/>
  <c r="L249" i="10" s="1"/>
  <c r="L13" i="34"/>
  <c r="N10" i="34"/>
  <c r="N13" i="34" s="1"/>
  <c r="L38" i="34"/>
  <c r="G249" i="10"/>
  <c r="I41" i="34"/>
  <c r="M13" i="34"/>
  <c r="M38" i="34"/>
  <c r="M41" i="34" s="1"/>
  <c r="F249" i="10"/>
  <c r="H38" i="34"/>
  <c r="J10" i="34"/>
  <c r="H13" i="34"/>
  <c r="H40" i="33"/>
  <c r="J40" i="33" s="1"/>
  <c r="H237" i="10"/>
  <c r="L41" i="33"/>
  <c r="N41" i="33" s="1"/>
  <c r="N38" i="33"/>
  <c r="I41" i="33"/>
  <c r="AB38" i="33"/>
  <c r="H10" i="33"/>
  <c r="F235" i="10"/>
  <c r="H235" i="10" s="1"/>
  <c r="H51" i="32"/>
  <c r="G51" i="32"/>
  <c r="I51" i="32"/>
  <c r="H215" i="10"/>
  <c r="L215" i="10"/>
  <c r="H10" i="31"/>
  <c r="F213" i="10"/>
  <c r="H213" i="10" s="1"/>
  <c r="F43" i="31"/>
  <c r="F44" i="31"/>
  <c r="F45" i="31"/>
  <c r="E216" i="10"/>
  <c r="AA10" i="31"/>
  <c r="G38" i="31"/>
  <c r="G13" i="31"/>
  <c r="G40" i="31"/>
  <c r="J40" i="31" s="1"/>
  <c r="J12" i="31"/>
  <c r="G216" i="10"/>
  <c r="I13" i="31"/>
  <c r="I38" i="31"/>
  <c r="L38" i="31"/>
  <c r="L13" i="31"/>
  <c r="L40" i="31"/>
  <c r="N40" i="31" s="1"/>
  <c r="N12" i="31"/>
  <c r="J216" i="10"/>
  <c r="AC39" i="31"/>
  <c r="AA45" i="31"/>
  <c r="AC45" i="31" s="1"/>
  <c r="L10" i="30"/>
  <c r="L13" i="30" s="1"/>
  <c r="AB45" i="30"/>
  <c r="AC45" i="30" s="1"/>
  <c r="AC39" i="30"/>
  <c r="G40" i="30"/>
  <c r="F43" i="30"/>
  <c r="F44" i="30"/>
  <c r="F45" i="30"/>
  <c r="G163" i="10"/>
  <c r="G164" i="10" s="1"/>
  <c r="J205" i="10"/>
  <c r="F204" i="10"/>
  <c r="H204" i="10" s="1"/>
  <c r="H12" i="30"/>
  <c r="H40" i="30" s="1"/>
  <c r="N12" i="30"/>
  <c r="M40" i="30"/>
  <c r="N40" i="30" s="1"/>
  <c r="F202" i="10"/>
  <c r="H10" i="30"/>
  <c r="G13" i="30"/>
  <c r="I38" i="30"/>
  <c r="I13" i="30"/>
  <c r="AA38" i="30"/>
  <c r="G205" i="10"/>
  <c r="H12" i="28"/>
  <c r="H40" i="28" s="1"/>
  <c r="J40" i="28" s="1"/>
  <c r="E164" i="10"/>
  <c r="E125" i="10"/>
  <c r="I10" i="27"/>
  <c r="I38" i="27" s="1"/>
  <c r="L149" i="10"/>
  <c r="AA45" i="24"/>
  <c r="AC45" i="24" s="1"/>
  <c r="AC39" i="24"/>
  <c r="I10" i="28"/>
  <c r="I13" i="28" s="1"/>
  <c r="AA45" i="27"/>
  <c r="AC45" i="27" s="1"/>
  <c r="G172" i="10"/>
  <c r="M40" i="29"/>
  <c r="AA10" i="27"/>
  <c r="G13" i="27"/>
  <c r="G38" i="27"/>
  <c r="G38" i="29"/>
  <c r="G13" i="29"/>
  <c r="AA10" i="29"/>
  <c r="F193" i="10"/>
  <c r="H12" i="29"/>
  <c r="H40" i="29" s="1"/>
  <c r="G191" i="10"/>
  <c r="G194" i="10" s="1"/>
  <c r="I10" i="29"/>
  <c r="F43" i="29"/>
  <c r="F44" i="29"/>
  <c r="F45" i="29"/>
  <c r="F191" i="10"/>
  <c r="H10" i="29"/>
  <c r="G41" i="28"/>
  <c r="AA38" i="28"/>
  <c r="AA44" i="28" s="1"/>
  <c r="G40" i="29"/>
  <c r="F43" i="28"/>
  <c r="F44" i="28"/>
  <c r="F45" i="28"/>
  <c r="F44" i="27"/>
  <c r="F43" i="27"/>
  <c r="F45" i="27"/>
  <c r="L193" i="10"/>
  <c r="E194" i="10"/>
  <c r="L40" i="29"/>
  <c r="N12" i="29"/>
  <c r="H182" i="10"/>
  <c r="L10" i="28"/>
  <c r="J180" i="10"/>
  <c r="L171" i="10"/>
  <c r="F180" i="10"/>
  <c r="H180" i="10" s="1"/>
  <c r="H10" i="28"/>
  <c r="BZ739" i="5"/>
  <c r="BZ740" i="5" s="1"/>
  <c r="H12" i="27"/>
  <c r="F171" i="10"/>
  <c r="L40" i="27"/>
  <c r="N40" i="27" s="1"/>
  <c r="N12" i="27"/>
  <c r="H10" i="27"/>
  <c r="F169" i="10"/>
  <c r="H169" i="10" s="1"/>
  <c r="G43" i="26"/>
  <c r="J43" i="26" s="1"/>
  <c r="G52" i="26"/>
  <c r="G56" i="26" s="1"/>
  <c r="G60" i="26" s="1"/>
  <c r="G44" i="26" s="1"/>
  <c r="J44" i="26" s="1"/>
  <c r="J51" i="26"/>
  <c r="J52" i="26" s="1"/>
  <c r="J56" i="26" s="1"/>
  <c r="J60" i="26" s="1"/>
  <c r="J67" i="26" s="1"/>
  <c r="K45" i="26" s="1"/>
  <c r="E150" i="10"/>
  <c r="E139" i="10"/>
  <c r="I51" i="26"/>
  <c r="H51" i="26"/>
  <c r="G13" i="24"/>
  <c r="G38" i="24"/>
  <c r="AA10" i="24"/>
  <c r="F43" i="25"/>
  <c r="F44" i="25"/>
  <c r="F45" i="25"/>
  <c r="G38" i="25"/>
  <c r="AA10" i="25"/>
  <c r="G13" i="25"/>
  <c r="G139" i="10"/>
  <c r="F43" i="23"/>
  <c r="F44" i="23"/>
  <c r="F45" i="23"/>
  <c r="BZ735" i="5"/>
  <c r="BZ736" i="5" s="1"/>
  <c r="J127" i="10"/>
  <c r="AA45" i="23"/>
  <c r="AC45" i="23" s="1"/>
  <c r="F43" i="24"/>
  <c r="F44" i="24"/>
  <c r="F45" i="24"/>
  <c r="J15" i="26"/>
  <c r="J16" i="26" s="1"/>
  <c r="G16" i="26"/>
  <c r="I15" i="26"/>
  <c r="I16" i="26" s="1"/>
  <c r="E127" i="10"/>
  <c r="G12" i="23"/>
  <c r="G40" i="23" s="1"/>
  <c r="G38" i="23"/>
  <c r="AA10" i="23"/>
  <c r="I10" i="25"/>
  <c r="G147" i="10"/>
  <c r="G150" i="10" s="1"/>
  <c r="N12" i="25"/>
  <c r="L40" i="25"/>
  <c r="N40" i="25" s="1"/>
  <c r="F149" i="10"/>
  <c r="H12" i="25"/>
  <c r="H10" i="25"/>
  <c r="F147" i="10"/>
  <c r="H12" i="14"/>
  <c r="H40" i="14" s="1"/>
  <c r="J40" i="14" s="1"/>
  <c r="BZ731" i="5"/>
  <c r="BZ732" i="5" s="1"/>
  <c r="BN728" i="5"/>
  <c r="L138" i="10"/>
  <c r="N12" i="24"/>
  <c r="L40" i="24"/>
  <c r="N40" i="24" s="1"/>
  <c r="L10" i="24"/>
  <c r="J136" i="10"/>
  <c r="H10" i="24"/>
  <c r="F136" i="10"/>
  <c r="H136" i="10" s="1"/>
  <c r="H12" i="24"/>
  <c r="F138" i="10"/>
  <c r="I38" i="24"/>
  <c r="I13" i="24"/>
  <c r="H10" i="14"/>
  <c r="J10" i="14" s="1"/>
  <c r="L105" i="10"/>
  <c r="G125" i="10"/>
  <c r="I10" i="23"/>
  <c r="L40" i="23"/>
  <c r="CB728" i="5"/>
  <c r="M12" i="23"/>
  <c r="M40" i="23" s="1"/>
  <c r="K127" i="10"/>
  <c r="L10" i="23"/>
  <c r="J125" i="10"/>
  <c r="G127" i="10"/>
  <c r="I12" i="23"/>
  <c r="I40" i="23" s="1"/>
  <c r="BO728" i="5"/>
  <c r="BC728" i="5"/>
  <c r="BB728" i="5"/>
  <c r="G114" i="10"/>
  <c r="G117" i="10" s="1"/>
  <c r="AC39" i="22"/>
  <c r="AA45" i="22"/>
  <c r="AC45" i="22" s="1"/>
  <c r="H12" i="22"/>
  <c r="H40" i="22" s="1"/>
  <c r="F116" i="10"/>
  <c r="H116" i="10" s="1"/>
  <c r="F43" i="22"/>
  <c r="F44" i="22"/>
  <c r="F45" i="22"/>
  <c r="E73" i="10"/>
  <c r="AA10" i="22"/>
  <c r="G38" i="22"/>
  <c r="E117" i="10"/>
  <c r="L40" i="22"/>
  <c r="N40" i="22" s="1"/>
  <c r="N12" i="22"/>
  <c r="F114" i="10"/>
  <c r="H10" i="22"/>
  <c r="J10" i="22" s="1"/>
  <c r="L116" i="10"/>
  <c r="I13" i="22"/>
  <c r="I40" i="22"/>
  <c r="G13" i="22"/>
  <c r="G40" i="22"/>
  <c r="I38" i="22"/>
  <c r="K106" i="10"/>
  <c r="BZ721" i="5"/>
  <c r="BZ722" i="5" s="1"/>
  <c r="F43" i="21"/>
  <c r="F44" i="21"/>
  <c r="F45" i="21"/>
  <c r="H12" i="21"/>
  <c r="H40" i="21" s="1"/>
  <c r="F105" i="10"/>
  <c r="H105" i="10" s="1"/>
  <c r="E106" i="10"/>
  <c r="N12" i="21"/>
  <c r="M40" i="21"/>
  <c r="N40" i="21" s="1"/>
  <c r="M38" i="21"/>
  <c r="M13" i="21"/>
  <c r="G38" i="21"/>
  <c r="G13" i="21"/>
  <c r="AA10" i="21"/>
  <c r="F103" i="10"/>
  <c r="H103" i="10" s="1"/>
  <c r="H10" i="21"/>
  <c r="J10" i="21" s="1"/>
  <c r="G40" i="21"/>
  <c r="J106" i="10"/>
  <c r="L103" i="10"/>
  <c r="N10" i="21"/>
  <c r="L13" i="21"/>
  <c r="L38" i="21"/>
  <c r="I13" i="21"/>
  <c r="I38" i="21"/>
  <c r="AB10" i="21"/>
  <c r="AC39" i="21"/>
  <c r="AA45" i="21"/>
  <c r="AC45" i="21" s="1"/>
  <c r="G106" i="10"/>
  <c r="J13" i="19"/>
  <c r="G15" i="19" s="1"/>
  <c r="F92" i="10"/>
  <c r="H10" i="20"/>
  <c r="AA38" i="19"/>
  <c r="AA44" i="19" s="1"/>
  <c r="G41" i="19"/>
  <c r="H12" i="20"/>
  <c r="H40" i="20" s="1"/>
  <c r="F94" i="10"/>
  <c r="H94" i="10" s="1"/>
  <c r="F43" i="19"/>
  <c r="F44" i="19"/>
  <c r="F45" i="19"/>
  <c r="F43" i="20"/>
  <c r="F44" i="20"/>
  <c r="F45" i="20"/>
  <c r="J38" i="19"/>
  <c r="L94" i="10"/>
  <c r="L40" i="20"/>
  <c r="N40" i="20" s="1"/>
  <c r="N12" i="20"/>
  <c r="L10" i="20"/>
  <c r="J92" i="10"/>
  <c r="G92" i="10"/>
  <c r="G95" i="10" s="1"/>
  <c r="I10" i="20"/>
  <c r="AA38" i="20"/>
  <c r="G40" i="20"/>
  <c r="H41" i="19"/>
  <c r="J40" i="19"/>
  <c r="H84" i="10"/>
  <c r="E86" i="10" s="1"/>
  <c r="L41" i="19"/>
  <c r="I41" i="19"/>
  <c r="L72" i="10"/>
  <c r="F43" i="18"/>
  <c r="F44" i="18"/>
  <c r="F45" i="18"/>
  <c r="F72" i="10"/>
  <c r="H12" i="18"/>
  <c r="G13" i="16"/>
  <c r="G38" i="16"/>
  <c r="AA10" i="16"/>
  <c r="G13" i="15"/>
  <c r="G40" i="15"/>
  <c r="AA45" i="15"/>
  <c r="AC45" i="15" s="1"/>
  <c r="AC39" i="15"/>
  <c r="L61" i="10"/>
  <c r="G41" i="18"/>
  <c r="AA38" i="18"/>
  <c r="F43" i="17"/>
  <c r="F44" i="17"/>
  <c r="F45" i="17"/>
  <c r="G38" i="17"/>
  <c r="G13" i="17"/>
  <c r="AA10" i="17"/>
  <c r="G73" i="10"/>
  <c r="I13" i="18"/>
  <c r="I38" i="18"/>
  <c r="E40" i="10"/>
  <c r="F43" i="16"/>
  <c r="F44" i="16"/>
  <c r="F45" i="16"/>
  <c r="L38" i="18"/>
  <c r="L13" i="18"/>
  <c r="F43" i="15"/>
  <c r="F44" i="15"/>
  <c r="F45" i="15"/>
  <c r="AA10" i="15"/>
  <c r="G38" i="15"/>
  <c r="L40" i="18"/>
  <c r="N40" i="18" s="1"/>
  <c r="N12" i="18"/>
  <c r="H10" i="18"/>
  <c r="F70" i="10"/>
  <c r="H70" i="10" s="1"/>
  <c r="J73" i="10"/>
  <c r="E51" i="10"/>
  <c r="F61" i="10"/>
  <c r="H12" i="17"/>
  <c r="L10" i="17"/>
  <c r="J59" i="10"/>
  <c r="H10" i="17"/>
  <c r="F59" i="10"/>
  <c r="N12" i="17"/>
  <c r="M40" i="17"/>
  <c r="N40" i="17" s="1"/>
  <c r="G59" i="10"/>
  <c r="G62" i="10" s="1"/>
  <c r="I10" i="17"/>
  <c r="H10" i="16"/>
  <c r="F48" i="10"/>
  <c r="L10" i="16"/>
  <c r="J48" i="10"/>
  <c r="G48" i="10"/>
  <c r="G51" i="10" s="1"/>
  <c r="I10" i="16"/>
  <c r="H28" i="10"/>
  <c r="L40" i="16"/>
  <c r="N40" i="16" s="1"/>
  <c r="N12" i="16"/>
  <c r="L50" i="10"/>
  <c r="F50" i="10"/>
  <c r="H12" i="16"/>
  <c r="F29" i="10"/>
  <c r="G37" i="10"/>
  <c r="G40" i="10" s="1"/>
  <c r="I10" i="15"/>
  <c r="F37" i="10"/>
  <c r="H10" i="15"/>
  <c r="H38" i="15" s="1"/>
  <c r="N12" i="15"/>
  <c r="M40" i="15"/>
  <c r="N40" i="15" s="1"/>
  <c r="F39" i="10"/>
  <c r="H12" i="15"/>
  <c r="G29" i="10"/>
  <c r="BZ707" i="5"/>
  <c r="BZ708" i="5" s="1"/>
  <c r="L6" i="10"/>
  <c r="I10" i="13"/>
  <c r="I13" i="13" s="1"/>
  <c r="F43" i="13"/>
  <c r="F44" i="13"/>
  <c r="F45" i="13"/>
  <c r="F43" i="14"/>
  <c r="F44" i="14"/>
  <c r="F45" i="14"/>
  <c r="L40" i="14"/>
  <c r="N40" i="14" s="1"/>
  <c r="N12" i="14"/>
  <c r="E18" i="10"/>
  <c r="L13" i="14"/>
  <c r="L38" i="14"/>
  <c r="L28" i="10"/>
  <c r="AA10" i="13"/>
  <c r="G38" i="13"/>
  <c r="G13" i="13"/>
  <c r="J29" i="10"/>
  <c r="AA38" i="14"/>
  <c r="G41" i="14"/>
  <c r="H26" i="10"/>
  <c r="I38" i="14"/>
  <c r="I13" i="14"/>
  <c r="J15" i="10"/>
  <c r="L10" i="13"/>
  <c r="N12" i="13"/>
  <c r="M40" i="13"/>
  <c r="N40" i="13" s="1"/>
  <c r="H12" i="13"/>
  <c r="F17" i="10"/>
  <c r="L17" i="10"/>
  <c r="G18" i="10"/>
  <c r="H10" i="13"/>
  <c r="F15" i="10"/>
  <c r="H15" i="10" s="1"/>
  <c r="F43" i="12"/>
  <c r="F44" i="12"/>
  <c r="F45" i="12"/>
  <c r="E7" i="10"/>
  <c r="F4" i="10"/>
  <c r="H10" i="12"/>
  <c r="G38" i="12"/>
  <c r="G13" i="12"/>
  <c r="AA10" i="12"/>
  <c r="L10" i="12"/>
  <c r="J4" i="10"/>
  <c r="G40" i="12"/>
  <c r="F6" i="10"/>
  <c r="H12" i="12"/>
  <c r="H40" i="12" s="1"/>
  <c r="L40" i="12"/>
  <c r="N40" i="12" s="1"/>
  <c r="N12" i="12"/>
  <c r="G4" i="10"/>
  <c r="G7" i="10" s="1"/>
  <c r="I10" i="12"/>
  <c r="AA45" i="12"/>
  <c r="AC45" i="12" s="1"/>
  <c r="AC39" i="12"/>
  <c r="AC10" i="9"/>
  <c r="F7" i="10" l="1"/>
  <c r="J13" i="34"/>
  <c r="G15" i="34" s="1"/>
  <c r="J12" i="42"/>
  <c r="G44" i="39"/>
  <c r="J44" i="39" s="1"/>
  <c r="K44" i="39" s="1"/>
  <c r="J40" i="41"/>
  <c r="I38" i="43"/>
  <c r="I13" i="43"/>
  <c r="J348" i="10"/>
  <c r="BA808" i="5"/>
  <c r="G41" i="42"/>
  <c r="AA38" i="42"/>
  <c r="AA44" i="42" s="1"/>
  <c r="L41" i="43"/>
  <c r="N40" i="43"/>
  <c r="BA788" i="5"/>
  <c r="H348" i="10"/>
  <c r="F350" i="10" s="1"/>
  <c r="F351" i="10" s="1"/>
  <c r="AA38" i="43"/>
  <c r="G41" i="43"/>
  <c r="L13" i="43"/>
  <c r="H345" i="10"/>
  <c r="J10" i="43"/>
  <c r="BA806" i="5"/>
  <c r="BA797" i="5"/>
  <c r="H38" i="43"/>
  <c r="H41" i="43" s="1"/>
  <c r="H13" i="43"/>
  <c r="J13" i="43" s="1"/>
  <c r="H15" i="43" s="1"/>
  <c r="H16" i="43" s="1"/>
  <c r="I41" i="42"/>
  <c r="J337" i="10"/>
  <c r="H38" i="42"/>
  <c r="H13" i="42"/>
  <c r="J13" i="42" s="1"/>
  <c r="J10" i="42"/>
  <c r="L38" i="42"/>
  <c r="L13" i="42"/>
  <c r="J40" i="42"/>
  <c r="F337" i="10"/>
  <c r="H336" i="10"/>
  <c r="J12" i="41"/>
  <c r="I41" i="41"/>
  <c r="L41" i="41"/>
  <c r="G41" i="41"/>
  <c r="AA38" i="41"/>
  <c r="H38" i="41"/>
  <c r="H41" i="41" s="1"/>
  <c r="H13" i="41"/>
  <c r="J13" i="41" s="1"/>
  <c r="G15" i="41" s="1"/>
  <c r="F326" i="10"/>
  <c r="L16" i="39"/>
  <c r="J307" i="10"/>
  <c r="J38" i="40"/>
  <c r="J41" i="40" s="1"/>
  <c r="H51" i="40" s="1"/>
  <c r="H43" i="40" s="1"/>
  <c r="H15" i="40"/>
  <c r="H16" i="40" s="1"/>
  <c r="G317" i="10"/>
  <c r="G318" i="10" s="1"/>
  <c r="E318" i="10"/>
  <c r="H317" i="10"/>
  <c r="H318" i="10" s="1"/>
  <c r="J15" i="40"/>
  <c r="J16" i="40" s="1"/>
  <c r="G16" i="40"/>
  <c r="I15" i="40"/>
  <c r="I16" i="40" s="1"/>
  <c r="F317" i="10"/>
  <c r="F318" i="10" s="1"/>
  <c r="AC38" i="40"/>
  <c r="AA44" i="40"/>
  <c r="AC44" i="40" s="1"/>
  <c r="N41" i="40"/>
  <c r="G45" i="39"/>
  <c r="J45" i="39" s="1"/>
  <c r="K46" i="39" s="1"/>
  <c r="G75" i="39"/>
  <c r="G80" i="39" s="1"/>
  <c r="H293" i="10"/>
  <c r="E295" i="10" s="1"/>
  <c r="H41" i="38"/>
  <c r="J41" i="38"/>
  <c r="G16" i="38"/>
  <c r="I15" i="38"/>
  <c r="I16" i="38" s="1"/>
  <c r="J15" i="38"/>
  <c r="J16" i="38" s="1"/>
  <c r="H43" i="37"/>
  <c r="H52" i="37"/>
  <c r="H56" i="37" s="1"/>
  <c r="H60" i="37" s="1"/>
  <c r="G43" i="37"/>
  <c r="J43" i="37" s="1"/>
  <c r="J51" i="37"/>
  <c r="J52" i="37" s="1"/>
  <c r="J56" i="37" s="1"/>
  <c r="J60" i="37" s="1"/>
  <c r="J67" i="37" s="1"/>
  <c r="G52" i="37"/>
  <c r="G56" i="37" s="1"/>
  <c r="G60" i="37" s="1"/>
  <c r="I52" i="37"/>
  <c r="I56" i="37" s="1"/>
  <c r="I60" i="37" s="1"/>
  <c r="I43" i="37"/>
  <c r="I41" i="36"/>
  <c r="F271" i="10"/>
  <c r="H38" i="36"/>
  <c r="J10" i="36"/>
  <c r="L41" i="36"/>
  <c r="H13" i="36"/>
  <c r="J13" i="36" s="1"/>
  <c r="F260" i="10"/>
  <c r="H260" i="10" s="1"/>
  <c r="E262" i="10" s="1"/>
  <c r="H257" i="10"/>
  <c r="AB38" i="34"/>
  <c r="AB44" i="34" s="1"/>
  <c r="AC44" i="34" s="1"/>
  <c r="AA44" i="35"/>
  <c r="L10" i="35"/>
  <c r="J257" i="10"/>
  <c r="H38" i="35"/>
  <c r="J10" i="35"/>
  <c r="I38" i="35"/>
  <c r="I13" i="35"/>
  <c r="J13" i="35" s="1"/>
  <c r="J40" i="35"/>
  <c r="J15" i="34"/>
  <c r="J16" i="34" s="1"/>
  <c r="I15" i="34"/>
  <c r="I16" i="34" s="1"/>
  <c r="G16" i="34"/>
  <c r="H41" i="34"/>
  <c r="J38" i="34"/>
  <c r="J41" i="34" s="1"/>
  <c r="G51" i="34" s="1"/>
  <c r="N38" i="34"/>
  <c r="L41" i="34"/>
  <c r="N41" i="34" s="1"/>
  <c r="H249" i="10"/>
  <c r="E251" i="10" s="1"/>
  <c r="H15" i="34"/>
  <c r="H16" i="34" s="1"/>
  <c r="F238" i="10"/>
  <c r="H38" i="33"/>
  <c r="H13" i="33"/>
  <c r="J13" i="33" s="1"/>
  <c r="J10" i="33"/>
  <c r="AB44" i="33"/>
  <c r="AC44" i="33" s="1"/>
  <c r="AC38" i="33"/>
  <c r="F216" i="10"/>
  <c r="H216" i="10" s="1"/>
  <c r="F218" i="10" s="1"/>
  <c r="F219" i="10" s="1"/>
  <c r="I52" i="32"/>
  <c r="I56" i="32" s="1"/>
  <c r="I60" i="32" s="1"/>
  <c r="I43" i="32"/>
  <c r="G52" i="32"/>
  <c r="G56" i="32" s="1"/>
  <c r="G60" i="32" s="1"/>
  <c r="J51" i="32"/>
  <c r="J52" i="32" s="1"/>
  <c r="J56" i="32" s="1"/>
  <c r="J60" i="32" s="1"/>
  <c r="J67" i="32" s="1"/>
  <c r="G43" i="32"/>
  <c r="J43" i="32" s="1"/>
  <c r="H43" i="32"/>
  <c r="H52" i="32"/>
  <c r="H56" i="32" s="1"/>
  <c r="H60" i="32" s="1"/>
  <c r="L38" i="30"/>
  <c r="L41" i="30" s="1"/>
  <c r="I41" i="31"/>
  <c r="L41" i="31"/>
  <c r="G41" i="31"/>
  <c r="AA38" i="31"/>
  <c r="J10" i="31"/>
  <c r="H13" i="31"/>
  <c r="J13" i="31" s="1"/>
  <c r="H15" i="31" s="1"/>
  <c r="H16" i="31" s="1"/>
  <c r="H38" i="31"/>
  <c r="H41" i="31" s="1"/>
  <c r="J12" i="28"/>
  <c r="I41" i="30"/>
  <c r="J40" i="30"/>
  <c r="G41" i="30"/>
  <c r="H38" i="30"/>
  <c r="H13" i="30"/>
  <c r="J13" i="30" s="1"/>
  <c r="H15" i="30" s="1"/>
  <c r="H16" i="30" s="1"/>
  <c r="J10" i="30"/>
  <c r="J12" i="30"/>
  <c r="AA44" i="30"/>
  <c r="F205" i="10"/>
  <c r="H202" i="10"/>
  <c r="N40" i="29"/>
  <c r="E128" i="10"/>
  <c r="L127" i="10"/>
  <c r="M72" i="26"/>
  <c r="O72" i="26"/>
  <c r="G72" i="26"/>
  <c r="J72" i="26" s="1"/>
  <c r="J75" i="26" s="1"/>
  <c r="J80" i="26" s="1"/>
  <c r="I13" i="27"/>
  <c r="I38" i="28"/>
  <c r="I41" i="28" s="1"/>
  <c r="J12" i="29"/>
  <c r="I69" i="26"/>
  <c r="J69" i="26" s="1"/>
  <c r="H191" i="10"/>
  <c r="J10" i="29"/>
  <c r="J40" i="29"/>
  <c r="L106" i="10"/>
  <c r="AA38" i="29"/>
  <c r="G41" i="29"/>
  <c r="I38" i="29"/>
  <c r="I13" i="29"/>
  <c r="G41" i="27"/>
  <c r="AA38" i="27"/>
  <c r="AA44" i="27" s="1"/>
  <c r="L10" i="29"/>
  <c r="J191" i="10"/>
  <c r="H13" i="29"/>
  <c r="H38" i="29"/>
  <c r="H41" i="29" s="1"/>
  <c r="F194" i="10"/>
  <c r="H194" i="10" s="1"/>
  <c r="E196" i="10" s="1"/>
  <c r="H193" i="10"/>
  <c r="H68" i="26"/>
  <c r="J68" i="26" s="1"/>
  <c r="J183" i="10"/>
  <c r="L13" i="28"/>
  <c r="L38" i="28"/>
  <c r="K43" i="26"/>
  <c r="H38" i="28"/>
  <c r="H13" i="28"/>
  <c r="J13" i="28" s="1"/>
  <c r="J10" i="28"/>
  <c r="G67" i="26"/>
  <c r="G75" i="26" s="1"/>
  <c r="G80" i="26" s="1"/>
  <c r="F183" i="10"/>
  <c r="G73" i="26"/>
  <c r="I73" i="26" s="1"/>
  <c r="J73" i="26" s="1"/>
  <c r="L10" i="27"/>
  <c r="J169" i="10"/>
  <c r="I41" i="27"/>
  <c r="H13" i="27"/>
  <c r="H38" i="27"/>
  <c r="J10" i="27"/>
  <c r="K44" i="26"/>
  <c r="F172" i="10"/>
  <c r="H171" i="10"/>
  <c r="H40" i="27"/>
  <c r="J40" i="27" s="1"/>
  <c r="J12" i="27"/>
  <c r="H43" i="26"/>
  <c r="H52" i="26"/>
  <c r="H56" i="26" s="1"/>
  <c r="H60" i="26" s="1"/>
  <c r="J12" i="14"/>
  <c r="I52" i="26"/>
  <c r="I56" i="26" s="1"/>
  <c r="I60" i="26" s="1"/>
  <c r="I43" i="26"/>
  <c r="G13" i="23"/>
  <c r="AA38" i="25"/>
  <c r="AA44" i="25" s="1"/>
  <c r="G41" i="25"/>
  <c r="N12" i="23"/>
  <c r="L16" i="26"/>
  <c r="J164" i="10"/>
  <c r="N40" i="23"/>
  <c r="AA38" i="23"/>
  <c r="AA44" i="23" s="1"/>
  <c r="G41" i="23"/>
  <c r="AA38" i="24"/>
  <c r="AA44" i="24" s="1"/>
  <c r="G41" i="24"/>
  <c r="H13" i="25"/>
  <c r="H38" i="25"/>
  <c r="J10" i="25"/>
  <c r="H40" i="25"/>
  <c r="J40" i="25" s="1"/>
  <c r="J12" i="25"/>
  <c r="F150" i="10"/>
  <c r="H149" i="10"/>
  <c r="L10" i="25"/>
  <c r="J147" i="10"/>
  <c r="H147" i="10"/>
  <c r="I38" i="25"/>
  <c r="I13" i="25"/>
  <c r="H13" i="24"/>
  <c r="J13" i="24" s="1"/>
  <c r="J10" i="24"/>
  <c r="H38" i="24"/>
  <c r="H38" i="14"/>
  <c r="H41" i="14" s="1"/>
  <c r="H114" i="10"/>
  <c r="H13" i="14"/>
  <c r="J13" i="14" s="1"/>
  <c r="G15" i="14" s="1"/>
  <c r="J12" i="22"/>
  <c r="L13" i="24"/>
  <c r="L38" i="24"/>
  <c r="J41" i="19"/>
  <c r="H51" i="19" s="1"/>
  <c r="AC10" i="21"/>
  <c r="I41" i="24"/>
  <c r="F139" i="10"/>
  <c r="H138" i="10"/>
  <c r="G128" i="10"/>
  <c r="H40" i="24"/>
  <c r="J40" i="24" s="1"/>
  <c r="J12" i="24"/>
  <c r="H15" i="19"/>
  <c r="H16" i="19" s="1"/>
  <c r="J139" i="10"/>
  <c r="H10" i="23"/>
  <c r="F125" i="10"/>
  <c r="H125" i="10" s="1"/>
  <c r="H12" i="23"/>
  <c r="F127" i="10"/>
  <c r="I38" i="23"/>
  <c r="I13" i="23"/>
  <c r="J128" i="10"/>
  <c r="L13" i="23"/>
  <c r="L38" i="23"/>
  <c r="J40" i="22"/>
  <c r="F117" i="10"/>
  <c r="H117" i="10" s="1"/>
  <c r="E119" i="10" s="1"/>
  <c r="I41" i="22"/>
  <c r="H38" i="22"/>
  <c r="H41" i="22" s="1"/>
  <c r="H13" i="22"/>
  <c r="J13" i="22" s="1"/>
  <c r="AA38" i="22"/>
  <c r="G41" i="22"/>
  <c r="L10" i="22"/>
  <c r="J114" i="10"/>
  <c r="N13" i="21"/>
  <c r="F106" i="10"/>
  <c r="H106" i="10" s="1"/>
  <c r="J40" i="21"/>
  <c r="M41" i="21"/>
  <c r="J12" i="21"/>
  <c r="G41" i="21"/>
  <c r="AA38" i="21"/>
  <c r="AB38" i="21"/>
  <c r="AB44" i="21" s="1"/>
  <c r="I41" i="21"/>
  <c r="N38" i="21"/>
  <c r="L41" i="21"/>
  <c r="H38" i="21"/>
  <c r="H41" i="21" s="1"/>
  <c r="H13" i="21"/>
  <c r="J13" i="21" s="1"/>
  <c r="J12" i="20"/>
  <c r="F86" i="10"/>
  <c r="F87" i="10" s="1"/>
  <c r="J95" i="10"/>
  <c r="L13" i="20"/>
  <c r="L38" i="20"/>
  <c r="J40" i="20"/>
  <c r="H13" i="20"/>
  <c r="H38" i="20"/>
  <c r="J10" i="20"/>
  <c r="AA44" i="20"/>
  <c r="H92" i="10"/>
  <c r="G41" i="20"/>
  <c r="I38" i="20"/>
  <c r="I13" i="20"/>
  <c r="F95" i="10"/>
  <c r="G86" i="10"/>
  <c r="G87" i="10" s="1"/>
  <c r="E87" i="10"/>
  <c r="I15" i="19"/>
  <c r="I16" i="19" s="1"/>
  <c r="G16" i="19"/>
  <c r="H48" i="10"/>
  <c r="H37" i="10"/>
  <c r="G41" i="16"/>
  <c r="AA38" i="16"/>
  <c r="AA44" i="16" s="1"/>
  <c r="G41" i="17"/>
  <c r="AA38" i="17"/>
  <c r="AA44" i="17" s="1"/>
  <c r="I41" i="18"/>
  <c r="H38" i="18"/>
  <c r="J10" i="18"/>
  <c r="H13" i="18"/>
  <c r="J13" i="18" s="1"/>
  <c r="G15" i="18" s="1"/>
  <c r="H40" i="18"/>
  <c r="J40" i="18" s="1"/>
  <c r="J12" i="18"/>
  <c r="H59" i="10"/>
  <c r="F73" i="10"/>
  <c r="H72" i="10"/>
  <c r="L41" i="18"/>
  <c r="AA44" i="18"/>
  <c r="G41" i="15"/>
  <c r="AA38" i="15"/>
  <c r="AA44" i="15" s="1"/>
  <c r="H38" i="17"/>
  <c r="H13" i="17"/>
  <c r="J10" i="17"/>
  <c r="H29" i="10"/>
  <c r="E31" i="10" s="1"/>
  <c r="E32" i="10" s="1"/>
  <c r="J62" i="10"/>
  <c r="I13" i="17"/>
  <c r="I38" i="17"/>
  <c r="L38" i="17"/>
  <c r="L13" i="17"/>
  <c r="H40" i="17"/>
  <c r="J40" i="17" s="1"/>
  <c r="J12" i="17"/>
  <c r="F62" i="10"/>
  <c r="H61" i="10"/>
  <c r="I38" i="16"/>
  <c r="I13" i="16"/>
  <c r="I38" i="13"/>
  <c r="I41" i="13" s="1"/>
  <c r="J10" i="13"/>
  <c r="H40" i="16"/>
  <c r="J40" i="16" s="1"/>
  <c r="J12" i="16"/>
  <c r="J51" i="10"/>
  <c r="L13" i="16"/>
  <c r="L38" i="16"/>
  <c r="L41" i="16" s="1"/>
  <c r="F51" i="10"/>
  <c r="H50" i="10"/>
  <c r="H13" i="16"/>
  <c r="J10" i="16"/>
  <c r="H38" i="16"/>
  <c r="F40" i="10"/>
  <c r="H39" i="10"/>
  <c r="J10" i="15"/>
  <c r="I38" i="15"/>
  <c r="J38" i="15" s="1"/>
  <c r="I13" i="15"/>
  <c r="J37" i="10"/>
  <c r="L10" i="15"/>
  <c r="H13" i="15"/>
  <c r="H40" i="15"/>
  <c r="J40" i="15" s="1"/>
  <c r="J12" i="15"/>
  <c r="I41" i="14"/>
  <c r="AA44" i="14"/>
  <c r="L41" i="14"/>
  <c r="G41" i="13"/>
  <c r="AA38" i="13"/>
  <c r="AA44" i="13" s="1"/>
  <c r="L38" i="13"/>
  <c r="L13" i="13"/>
  <c r="J18" i="10"/>
  <c r="H38" i="13"/>
  <c r="H13" i="13"/>
  <c r="J13" i="13" s="1"/>
  <c r="F18" i="10"/>
  <c r="H17" i="10"/>
  <c r="H40" i="13"/>
  <c r="J40" i="13" s="1"/>
  <c r="J12" i="13"/>
  <c r="J12" i="12"/>
  <c r="H4" i="10"/>
  <c r="G41" i="12"/>
  <c r="AA38" i="12"/>
  <c r="J10" i="12"/>
  <c r="H13" i="12"/>
  <c r="H38" i="12"/>
  <c r="H41" i="12" s="1"/>
  <c r="I38" i="12"/>
  <c r="I13" i="12"/>
  <c r="H6" i="10"/>
  <c r="J7" i="10"/>
  <c r="H7" i="10"/>
  <c r="F9" i="10" s="1"/>
  <c r="F10" i="10" s="1"/>
  <c r="L38" i="12"/>
  <c r="L13" i="12"/>
  <c r="J40" i="12"/>
  <c r="E73" i="9"/>
  <c r="E72" i="9"/>
  <c r="AA44" i="43" l="1"/>
  <c r="J38" i="43"/>
  <c r="J41" i="43" s="1"/>
  <c r="H51" i="43" s="1"/>
  <c r="G15" i="43"/>
  <c r="I41" i="43"/>
  <c r="I51" i="43" s="1"/>
  <c r="E350" i="10"/>
  <c r="H15" i="42"/>
  <c r="H16" i="42" s="1"/>
  <c r="G15" i="42"/>
  <c r="H41" i="42"/>
  <c r="J38" i="42"/>
  <c r="J41" i="42" s="1"/>
  <c r="I51" i="42" s="1"/>
  <c r="H337" i="10"/>
  <c r="E339" i="10" s="1"/>
  <c r="L41" i="42"/>
  <c r="H15" i="41"/>
  <c r="H16" i="41" s="1"/>
  <c r="G16" i="41"/>
  <c r="I15" i="41"/>
  <c r="I16" i="41" s="1"/>
  <c r="AA44" i="41"/>
  <c r="H326" i="10"/>
  <c r="E328" i="10" s="1"/>
  <c r="J38" i="41"/>
  <c r="J41" i="41" s="1"/>
  <c r="H51" i="41" s="1"/>
  <c r="G51" i="40"/>
  <c r="G43" i="40" s="1"/>
  <c r="J43" i="40" s="1"/>
  <c r="H52" i="40"/>
  <c r="H56" i="40" s="1"/>
  <c r="H60" i="40" s="1"/>
  <c r="H44" i="40" s="1"/>
  <c r="I51" i="40"/>
  <c r="I52" i="40" s="1"/>
  <c r="I56" i="40" s="1"/>
  <c r="I60" i="40" s="1"/>
  <c r="L16" i="40"/>
  <c r="J318" i="10"/>
  <c r="F295" i="10"/>
  <c r="F296" i="10" s="1"/>
  <c r="L16" i="38"/>
  <c r="J296" i="10"/>
  <c r="G51" i="38"/>
  <c r="I51" i="38"/>
  <c r="H51" i="38"/>
  <c r="G295" i="10"/>
  <c r="G296" i="10" s="1"/>
  <c r="E296" i="10"/>
  <c r="H295" i="10"/>
  <c r="H296" i="10" s="1"/>
  <c r="K43" i="37"/>
  <c r="I44" i="37"/>
  <c r="I67" i="37"/>
  <c r="G44" i="37"/>
  <c r="J44" i="37" s="1"/>
  <c r="K44" i="37" s="1"/>
  <c r="G67" i="37"/>
  <c r="K45" i="37"/>
  <c r="G72" i="37"/>
  <c r="I72" i="37" s="1"/>
  <c r="J72" i="37" s="1"/>
  <c r="J75" i="37" s="1"/>
  <c r="J80" i="37" s="1"/>
  <c r="O72" i="37"/>
  <c r="M72" i="37"/>
  <c r="H68" i="37"/>
  <c r="J68" i="37" s="1"/>
  <c r="I69" i="37"/>
  <c r="J69" i="37" s="1"/>
  <c r="G73" i="37"/>
  <c r="I73" i="37" s="1"/>
  <c r="J73" i="37" s="1"/>
  <c r="H44" i="37"/>
  <c r="H67" i="37"/>
  <c r="H15" i="36"/>
  <c r="H16" i="36" s="1"/>
  <c r="G15" i="36"/>
  <c r="H41" i="36"/>
  <c r="J38" i="36"/>
  <c r="J41" i="36" s="1"/>
  <c r="G51" i="36" s="1"/>
  <c r="H271" i="10"/>
  <c r="E273" i="10" s="1"/>
  <c r="AC38" i="34"/>
  <c r="I51" i="34"/>
  <c r="I52" i="34" s="1"/>
  <c r="I56" i="34" s="1"/>
  <c r="I60" i="34" s="1"/>
  <c r="J38" i="35"/>
  <c r="J41" i="35" s="1"/>
  <c r="G51" i="35" s="1"/>
  <c r="G52" i="35" s="1"/>
  <c r="G56" i="35" s="1"/>
  <c r="G60" i="35" s="1"/>
  <c r="H15" i="35"/>
  <c r="H16" i="35" s="1"/>
  <c r="G15" i="35"/>
  <c r="H41" i="35"/>
  <c r="I41" i="35"/>
  <c r="G262" i="10"/>
  <c r="G263" i="10" s="1"/>
  <c r="E263" i="10"/>
  <c r="F262" i="10"/>
  <c r="F263" i="10" s="1"/>
  <c r="J260" i="10"/>
  <c r="L38" i="35"/>
  <c r="L13" i="35"/>
  <c r="F251" i="10"/>
  <c r="F252" i="10" s="1"/>
  <c r="G43" i="34"/>
  <c r="J43" i="34" s="1"/>
  <c r="J51" i="34"/>
  <c r="J52" i="34" s="1"/>
  <c r="J56" i="34" s="1"/>
  <c r="J60" i="34" s="1"/>
  <c r="J67" i="34" s="1"/>
  <c r="G52" i="34"/>
  <c r="G56" i="34" s="1"/>
  <c r="G60" i="34" s="1"/>
  <c r="H51" i="34"/>
  <c r="G251" i="10"/>
  <c r="G252" i="10" s="1"/>
  <c r="E252" i="10"/>
  <c r="H251" i="10"/>
  <c r="H252" i="10" s="1"/>
  <c r="L16" i="34"/>
  <c r="J252" i="10"/>
  <c r="H15" i="33"/>
  <c r="H16" i="33" s="1"/>
  <c r="G15" i="33"/>
  <c r="H41" i="33"/>
  <c r="J38" i="33"/>
  <c r="J41" i="33" s="1"/>
  <c r="H238" i="10"/>
  <c r="E240" i="10" s="1"/>
  <c r="K43" i="32"/>
  <c r="E218" i="10"/>
  <c r="G218" i="10" s="1"/>
  <c r="G219" i="10" s="1"/>
  <c r="H44" i="32"/>
  <c r="H67" i="32"/>
  <c r="G73" i="32"/>
  <c r="I73" i="32" s="1"/>
  <c r="J73" i="32" s="1"/>
  <c r="O72" i="32"/>
  <c r="M72" i="32"/>
  <c r="K45" i="32"/>
  <c r="I69" i="32"/>
  <c r="J69" i="32" s="1"/>
  <c r="G72" i="32"/>
  <c r="H68" i="32"/>
  <c r="J68" i="32" s="1"/>
  <c r="G44" i="32"/>
  <c r="G67" i="32"/>
  <c r="I44" i="32"/>
  <c r="I67" i="32"/>
  <c r="I45" i="32" s="1"/>
  <c r="AA44" i="31"/>
  <c r="J38" i="31"/>
  <c r="J41" i="31" s="1"/>
  <c r="G51" i="31" s="1"/>
  <c r="G15" i="31"/>
  <c r="H41" i="30"/>
  <c r="J38" i="30"/>
  <c r="J41" i="30" s="1"/>
  <c r="I51" i="30" s="1"/>
  <c r="H205" i="10"/>
  <c r="E207" i="10" s="1"/>
  <c r="G15" i="30"/>
  <c r="G45" i="26"/>
  <c r="J45" i="26" s="1"/>
  <c r="K46" i="26" s="1"/>
  <c r="I72" i="26"/>
  <c r="I51" i="19"/>
  <c r="I52" i="19" s="1"/>
  <c r="I56" i="19" s="1"/>
  <c r="I60" i="19" s="1"/>
  <c r="J38" i="14"/>
  <c r="J41" i="14" s="1"/>
  <c r="H51" i="14" s="1"/>
  <c r="H52" i="14" s="1"/>
  <c r="H56" i="14" s="1"/>
  <c r="H60" i="14" s="1"/>
  <c r="G196" i="10"/>
  <c r="G197" i="10" s="1"/>
  <c r="E197" i="10"/>
  <c r="I41" i="29"/>
  <c r="J194" i="10"/>
  <c r="AA44" i="29"/>
  <c r="L38" i="29"/>
  <c r="L13" i="29"/>
  <c r="J38" i="29"/>
  <c r="J41" i="29" s="1"/>
  <c r="G51" i="29" s="1"/>
  <c r="F196" i="10"/>
  <c r="F197" i="10" s="1"/>
  <c r="J13" i="29"/>
  <c r="G15" i="29" s="1"/>
  <c r="G51" i="19"/>
  <c r="J13" i="25"/>
  <c r="G15" i="25" s="1"/>
  <c r="G16" i="25" s="1"/>
  <c r="H15" i="28"/>
  <c r="H16" i="28" s="1"/>
  <c r="G15" i="28"/>
  <c r="J38" i="28"/>
  <c r="J41" i="28" s="1"/>
  <c r="G51" i="28" s="1"/>
  <c r="H41" i="28"/>
  <c r="L41" i="28"/>
  <c r="H183" i="10"/>
  <c r="E185" i="10" s="1"/>
  <c r="J38" i="27"/>
  <c r="J41" i="27" s="1"/>
  <c r="G51" i="27" s="1"/>
  <c r="H41" i="27"/>
  <c r="J13" i="27"/>
  <c r="G15" i="27" s="1"/>
  <c r="J172" i="10"/>
  <c r="H172" i="10"/>
  <c r="E174" i="10" s="1"/>
  <c r="L13" i="27"/>
  <c r="L38" i="27"/>
  <c r="I44" i="26"/>
  <c r="I67" i="26"/>
  <c r="H44" i="26"/>
  <c r="H67" i="26"/>
  <c r="L38" i="25"/>
  <c r="L41" i="25" s="1"/>
  <c r="L13" i="25"/>
  <c r="H150" i="10"/>
  <c r="E152" i="10" s="1"/>
  <c r="I41" i="25"/>
  <c r="J38" i="25"/>
  <c r="J41" i="25" s="1"/>
  <c r="H41" i="25"/>
  <c r="J150" i="10"/>
  <c r="H15" i="24"/>
  <c r="H16" i="24" s="1"/>
  <c r="G15" i="24"/>
  <c r="H139" i="10"/>
  <c r="E141" i="10" s="1"/>
  <c r="L41" i="24"/>
  <c r="J38" i="24"/>
  <c r="J41" i="24" s="1"/>
  <c r="H41" i="24"/>
  <c r="I41" i="23"/>
  <c r="L41" i="23"/>
  <c r="F128" i="10"/>
  <c r="H127" i="10"/>
  <c r="H40" i="23"/>
  <c r="J40" i="23" s="1"/>
  <c r="J12" i="23"/>
  <c r="H38" i="23"/>
  <c r="H13" i="23"/>
  <c r="J13" i="23" s="1"/>
  <c r="J10" i="23"/>
  <c r="H15" i="22"/>
  <c r="H16" i="22" s="1"/>
  <c r="G15" i="22"/>
  <c r="G119" i="10"/>
  <c r="G120" i="10" s="1"/>
  <c r="E120" i="10"/>
  <c r="J117" i="10"/>
  <c r="L38" i="22"/>
  <c r="L13" i="22"/>
  <c r="J38" i="22"/>
  <c r="J41" i="22" s="1"/>
  <c r="I51" i="22" s="1"/>
  <c r="F119" i="10"/>
  <c r="F120" i="10" s="1"/>
  <c r="AA44" i="22"/>
  <c r="N41" i="21"/>
  <c r="E108" i="10"/>
  <c r="E109" i="10" s="1"/>
  <c r="F108" i="10"/>
  <c r="F109" i="10" s="1"/>
  <c r="H15" i="21"/>
  <c r="H16" i="21" s="1"/>
  <c r="G15" i="21"/>
  <c r="J38" i="21"/>
  <c r="J41" i="21" s="1"/>
  <c r="H51" i="21" s="1"/>
  <c r="AA44" i="21"/>
  <c r="AC44" i="21" s="1"/>
  <c r="AC38" i="21"/>
  <c r="J15" i="19"/>
  <c r="J16" i="19" s="1"/>
  <c r="L16" i="19" s="1"/>
  <c r="H41" i="20"/>
  <c r="J38" i="20"/>
  <c r="J41" i="20" s="1"/>
  <c r="J13" i="20"/>
  <c r="I41" i="20"/>
  <c r="L41" i="20"/>
  <c r="H86" i="10"/>
  <c r="H87" i="10" s="1"/>
  <c r="H95" i="10"/>
  <c r="E97" i="10" s="1"/>
  <c r="H43" i="19"/>
  <c r="H52" i="19"/>
  <c r="H56" i="19" s="1"/>
  <c r="H60" i="19" s="1"/>
  <c r="G31" i="10"/>
  <c r="G32" i="10" s="1"/>
  <c r="F31" i="10"/>
  <c r="F32" i="10" s="1"/>
  <c r="H41" i="18"/>
  <c r="H73" i="10"/>
  <c r="E75" i="10" s="1"/>
  <c r="G16" i="18"/>
  <c r="I15" i="18"/>
  <c r="I16" i="18" s="1"/>
  <c r="J38" i="18"/>
  <c r="J41" i="18" s="1"/>
  <c r="H15" i="18"/>
  <c r="H16" i="18" s="1"/>
  <c r="I41" i="17"/>
  <c r="H62" i="10"/>
  <c r="E64" i="10" s="1"/>
  <c r="L41" i="17"/>
  <c r="J13" i="17"/>
  <c r="G15" i="17" s="1"/>
  <c r="J38" i="17"/>
  <c r="J41" i="17" s="1"/>
  <c r="H41" i="17"/>
  <c r="H41" i="16"/>
  <c r="J38" i="16"/>
  <c r="J41" i="16" s="1"/>
  <c r="G51" i="16" s="1"/>
  <c r="I41" i="16"/>
  <c r="J13" i="16"/>
  <c r="G15" i="16" s="1"/>
  <c r="H51" i="10"/>
  <c r="E53" i="10" s="1"/>
  <c r="J13" i="15"/>
  <c r="G15" i="15" s="1"/>
  <c r="J40" i="10"/>
  <c r="I41" i="15"/>
  <c r="H41" i="15"/>
  <c r="J41" i="15"/>
  <c r="L38" i="15"/>
  <c r="L13" i="15"/>
  <c r="H40" i="10"/>
  <c r="E42" i="10" s="1"/>
  <c r="G16" i="14"/>
  <c r="I15" i="14"/>
  <c r="I16" i="14" s="1"/>
  <c r="H15" i="14"/>
  <c r="H16" i="14" s="1"/>
  <c r="L41" i="13"/>
  <c r="H41" i="13"/>
  <c r="J38" i="13"/>
  <c r="J41" i="13" s="1"/>
  <c r="H15" i="13"/>
  <c r="H16" i="13" s="1"/>
  <c r="G15" i="13"/>
  <c r="H18" i="10"/>
  <c r="E20" i="10" s="1"/>
  <c r="E9" i="10"/>
  <c r="E10" i="10" s="1"/>
  <c r="J13" i="12"/>
  <c r="G15" i="12" s="1"/>
  <c r="G16" i="12" s="1"/>
  <c r="L41" i="12"/>
  <c r="J38" i="12"/>
  <c r="J41" i="12" s="1"/>
  <c r="G51" i="12" s="1"/>
  <c r="I41" i="12"/>
  <c r="AA44" i="12"/>
  <c r="J79" i="9"/>
  <c r="J78" i="9"/>
  <c r="J77" i="9"/>
  <c r="I52" i="43" l="1"/>
  <c r="I56" i="43" s="1"/>
  <c r="I60" i="43" s="1"/>
  <c r="I43" i="43"/>
  <c r="G16" i="43"/>
  <c r="I15" i="43"/>
  <c r="I16" i="43" s="1"/>
  <c r="H43" i="43"/>
  <c r="H52" i="43"/>
  <c r="H56" i="43" s="1"/>
  <c r="H60" i="43" s="1"/>
  <c r="G350" i="10"/>
  <c r="G351" i="10" s="1"/>
  <c r="E351" i="10"/>
  <c r="G51" i="43"/>
  <c r="I52" i="42"/>
  <c r="I56" i="42" s="1"/>
  <c r="I60" i="42" s="1"/>
  <c r="I43" i="42"/>
  <c r="G339" i="10"/>
  <c r="G340" i="10" s="1"/>
  <c r="E340" i="10"/>
  <c r="F339" i="10"/>
  <c r="F340" i="10" s="1"/>
  <c r="H51" i="42"/>
  <c r="G51" i="42"/>
  <c r="I15" i="42"/>
  <c r="I16" i="42" s="1"/>
  <c r="G16" i="42"/>
  <c r="I51" i="41"/>
  <c r="I43" i="41" s="1"/>
  <c r="G51" i="41"/>
  <c r="H43" i="41"/>
  <c r="H52" i="41"/>
  <c r="H56" i="41" s="1"/>
  <c r="H60" i="41" s="1"/>
  <c r="G328" i="10"/>
  <c r="G329" i="10" s="1"/>
  <c r="E329" i="10"/>
  <c r="F328" i="10"/>
  <c r="F329" i="10" s="1"/>
  <c r="J51" i="40"/>
  <c r="J52" i="40" s="1"/>
  <c r="J56" i="40" s="1"/>
  <c r="J60" i="40" s="1"/>
  <c r="J67" i="40" s="1"/>
  <c r="O72" i="40" s="1"/>
  <c r="G52" i="40"/>
  <c r="G56" i="40" s="1"/>
  <c r="G60" i="40" s="1"/>
  <c r="G44" i="40" s="1"/>
  <c r="J44" i="40" s="1"/>
  <c r="J15" i="41"/>
  <c r="J16" i="41" s="1"/>
  <c r="H67" i="40"/>
  <c r="H75" i="40" s="1"/>
  <c r="H80" i="40" s="1"/>
  <c r="I43" i="40"/>
  <c r="G51" i="14"/>
  <c r="G43" i="14" s="1"/>
  <c r="I51" i="14"/>
  <c r="I43" i="14" s="1"/>
  <c r="I67" i="40"/>
  <c r="I45" i="40" s="1"/>
  <c r="I44" i="40"/>
  <c r="H43" i="38"/>
  <c r="H52" i="38"/>
  <c r="H56" i="38" s="1"/>
  <c r="H60" i="38" s="1"/>
  <c r="I52" i="38"/>
  <c r="I56" i="38" s="1"/>
  <c r="I60" i="38" s="1"/>
  <c r="I43" i="38"/>
  <c r="J51" i="38"/>
  <c r="J52" i="38" s="1"/>
  <c r="J56" i="38" s="1"/>
  <c r="J60" i="38" s="1"/>
  <c r="J67" i="38" s="1"/>
  <c r="G43" i="38"/>
  <c r="J43" i="38" s="1"/>
  <c r="G52" i="38"/>
  <c r="G56" i="38" s="1"/>
  <c r="G60" i="38" s="1"/>
  <c r="H45" i="37"/>
  <c r="H75" i="37"/>
  <c r="H80" i="37" s="1"/>
  <c r="G75" i="37"/>
  <c r="G80" i="37" s="1"/>
  <c r="G45" i="37"/>
  <c r="J45" i="37" s="1"/>
  <c r="K46" i="37" s="1"/>
  <c r="I51" i="35"/>
  <c r="I52" i="35" s="1"/>
  <c r="I56" i="35" s="1"/>
  <c r="I60" i="35" s="1"/>
  <c r="F273" i="10"/>
  <c r="F274" i="10" s="1"/>
  <c r="I45" i="37"/>
  <c r="I75" i="37"/>
  <c r="I80" i="37" s="1"/>
  <c r="I51" i="36"/>
  <c r="G273" i="10"/>
  <c r="G274" i="10" s="1"/>
  <c r="E274" i="10"/>
  <c r="G43" i="36"/>
  <c r="G52" i="36"/>
  <c r="G56" i="36" s="1"/>
  <c r="G60" i="36" s="1"/>
  <c r="H43" i="14"/>
  <c r="H51" i="36"/>
  <c r="G16" i="36"/>
  <c r="I15" i="36"/>
  <c r="I16" i="36" s="1"/>
  <c r="H51" i="35"/>
  <c r="I43" i="34"/>
  <c r="G43" i="35"/>
  <c r="K43" i="34"/>
  <c r="I15" i="35"/>
  <c r="I16" i="35" s="1"/>
  <c r="G16" i="35"/>
  <c r="H262" i="10"/>
  <c r="H263" i="10" s="1"/>
  <c r="G67" i="35"/>
  <c r="G44" i="35"/>
  <c r="L41" i="35"/>
  <c r="I44" i="34"/>
  <c r="I67" i="34"/>
  <c r="H43" i="34"/>
  <c r="H52" i="34"/>
  <c r="H56" i="34" s="1"/>
  <c r="H60" i="34" s="1"/>
  <c r="G44" i="34"/>
  <c r="J44" i="34" s="1"/>
  <c r="K44" i="34" s="1"/>
  <c r="G67" i="34"/>
  <c r="G73" i="34"/>
  <c r="O72" i="34"/>
  <c r="K45" i="34"/>
  <c r="H68" i="34"/>
  <c r="J68" i="34" s="1"/>
  <c r="M72" i="34"/>
  <c r="G72" i="34"/>
  <c r="I69" i="34"/>
  <c r="J69" i="34" s="1"/>
  <c r="E241" i="10"/>
  <c r="G240" i="10"/>
  <c r="G241" i="10" s="1"/>
  <c r="H240" i="10"/>
  <c r="H241" i="10" s="1"/>
  <c r="F240" i="10"/>
  <c r="F241" i="10" s="1"/>
  <c r="H51" i="33"/>
  <c r="G51" i="33"/>
  <c r="I51" i="33"/>
  <c r="I15" i="33"/>
  <c r="I16" i="33" s="1"/>
  <c r="G16" i="33"/>
  <c r="J15" i="33"/>
  <c r="J16" i="33" s="1"/>
  <c r="E219" i="10"/>
  <c r="J72" i="32"/>
  <c r="J75" i="32" s="1"/>
  <c r="J80" i="32" s="1"/>
  <c r="I72" i="32"/>
  <c r="I75" i="32" s="1"/>
  <c r="I80" i="32" s="1"/>
  <c r="H45" i="32"/>
  <c r="H75" i="32"/>
  <c r="H80" i="32" s="1"/>
  <c r="G45" i="32"/>
  <c r="J45" i="32" s="1"/>
  <c r="K46" i="32" s="1"/>
  <c r="G75" i="32"/>
  <c r="G80" i="32" s="1"/>
  <c r="J44" i="32"/>
  <c r="K44" i="32" s="1"/>
  <c r="I51" i="31"/>
  <c r="H218" i="10"/>
  <c r="H219" i="10" s="1"/>
  <c r="G16" i="31"/>
  <c r="I15" i="31"/>
  <c r="I16" i="31" s="1"/>
  <c r="G43" i="31"/>
  <c r="G52" i="31"/>
  <c r="G56" i="31" s="1"/>
  <c r="G60" i="31" s="1"/>
  <c r="H51" i="31"/>
  <c r="F207" i="10"/>
  <c r="F208" i="10" s="1"/>
  <c r="I52" i="30"/>
  <c r="I56" i="30" s="1"/>
  <c r="I60" i="30" s="1"/>
  <c r="I43" i="30"/>
  <c r="G16" i="30"/>
  <c r="I15" i="30"/>
  <c r="I16" i="30" s="1"/>
  <c r="G207" i="10"/>
  <c r="G208" i="10" s="1"/>
  <c r="E208" i="10"/>
  <c r="G51" i="30"/>
  <c r="H51" i="30"/>
  <c r="J51" i="19"/>
  <c r="J52" i="19" s="1"/>
  <c r="J56" i="19" s="1"/>
  <c r="J60" i="19" s="1"/>
  <c r="J67" i="19" s="1"/>
  <c r="G73" i="19" s="1"/>
  <c r="I43" i="19"/>
  <c r="H15" i="25"/>
  <c r="H16" i="25" s="1"/>
  <c r="G52" i="19"/>
  <c r="G56" i="19" s="1"/>
  <c r="G60" i="19" s="1"/>
  <c r="G67" i="19" s="1"/>
  <c r="G43" i="19"/>
  <c r="H15" i="29"/>
  <c r="H16" i="29" s="1"/>
  <c r="H51" i="28"/>
  <c r="H52" i="28" s="1"/>
  <c r="H56" i="28" s="1"/>
  <c r="H60" i="28" s="1"/>
  <c r="G43" i="29"/>
  <c r="G52" i="29"/>
  <c r="G56" i="29" s="1"/>
  <c r="G60" i="29" s="1"/>
  <c r="I51" i="29"/>
  <c r="L41" i="29"/>
  <c r="H51" i="29"/>
  <c r="H196" i="10"/>
  <c r="H197" i="10" s="1"/>
  <c r="F185" i="10"/>
  <c r="F186" i="10" s="1"/>
  <c r="G16" i="29"/>
  <c r="I15" i="29"/>
  <c r="I16" i="29" s="1"/>
  <c r="I15" i="25"/>
  <c r="I16" i="25" s="1"/>
  <c r="H51" i="27"/>
  <c r="H52" i="27" s="1"/>
  <c r="H56" i="27" s="1"/>
  <c r="H60" i="27" s="1"/>
  <c r="I51" i="28"/>
  <c r="G43" i="28"/>
  <c r="G52" i="28"/>
  <c r="G56" i="28" s="1"/>
  <c r="G60" i="28" s="1"/>
  <c r="G16" i="28"/>
  <c r="I15" i="28"/>
  <c r="I16" i="28" s="1"/>
  <c r="G185" i="10"/>
  <c r="G186" i="10" s="1"/>
  <c r="E186" i="10"/>
  <c r="F174" i="10"/>
  <c r="F175" i="10" s="1"/>
  <c r="I51" i="27"/>
  <c r="H15" i="27"/>
  <c r="H16" i="27" s="1"/>
  <c r="L41" i="27"/>
  <c r="G16" i="27"/>
  <c r="I15" i="27"/>
  <c r="I16" i="27" s="1"/>
  <c r="G174" i="10"/>
  <c r="G175" i="10" s="1"/>
  <c r="E175" i="10"/>
  <c r="G52" i="27"/>
  <c r="G56" i="27" s="1"/>
  <c r="G60" i="27" s="1"/>
  <c r="G43" i="27"/>
  <c r="H45" i="26"/>
  <c r="H75" i="26"/>
  <c r="H80" i="26" s="1"/>
  <c r="I45" i="26"/>
  <c r="I75" i="26"/>
  <c r="I80" i="26" s="1"/>
  <c r="I51" i="25"/>
  <c r="I43" i="25" s="1"/>
  <c r="I51" i="21"/>
  <c r="I43" i="21" s="1"/>
  <c r="G152" i="10"/>
  <c r="G153" i="10" s="1"/>
  <c r="E153" i="10"/>
  <c r="F152" i="10"/>
  <c r="F153" i="10" s="1"/>
  <c r="H51" i="25"/>
  <c r="G51" i="25"/>
  <c r="G108" i="10"/>
  <c r="G109" i="10" s="1"/>
  <c r="F141" i="10"/>
  <c r="F142" i="10" s="1"/>
  <c r="H51" i="24"/>
  <c r="I51" i="24"/>
  <c r="G51" i="24"/>
  <c r="G141" i="10"/>
  <c r="G142" i="10" s="1"/>
  <c r="E142" i="10"/>
  <c r="G16" i="24"/>
  <c r="I15" i="24"/>
  <c r="I16" i="24" s="1"/>
  <c r="H15" i="23"/>
  <c r="H16" i="23" s="1"/>
  <c r="G15" i="23"/>
  <c r="H128" i="10"/>
  <c r="E130" i="10" s="1"/>
  <c r="H41" i="23"/>
  <c r="J38" i="23"/>
  <c r="J41" i="23" s="1"/>
  <c r="G51" i="23" s="1"/>
  <c r="H51" i="22"/>
  <c r="H43" i="22" s="1"/>
  <c r="G51" i="21"/>
  <c r="G43" i="21" s="1"/>
  <c r="J43" i="21" s="1"/>
  <c r="G51" i="22"/>
  <c r="I52" i="22"/>
  <c r="I56" i="22" s="1"/>
  <c r="I60" i="22" s="1"/>
  <c r="I43" i="22"/>
  <c r="H119" i="10"/>
  <c r="H120" i="10" s="1"/>
  <c r="L41" i="22"/>
  <c r="G16" i="22"/>
  <c r="I15" i="22"/>
  <c r="I16" i="22" s="1"/>
  <c r="H108" i="10"/>
  <c r="H109" i="10" s="1"/>
  <c r="H43" i="21"/>
  <c r="H52" i="21"/>
  <c r="H56" i="21" s="1"/>
  <c r="H60" i="21" s="1"/>
  <c r="G16" i="21"/>
  <c r="J15" i="21"/>
  <c r="J16" i="21" s="1"/>
  <c r="I15" i="21"/>
  <c r="I16" i="21" s="1"/>
  <c r="J87" i="10"/>
  <c r="H51" i="20"/>
  <c r="H43" i="20" s="1"/>
  <c r="G51" i="20"/>
  <c r="G52" i="20" s="1"/>
  <c r="G56" i="20" s="1"/>
  <c r="G60" i="20" s="1"/>
  <c r="H31" i="10"/>
  <c r="H32" i="10" s="1"/>
  <c r="I51" i="20"/>
  <c r="I43" i="20" s="1"/>
  <c r="G97" i="10"/>
  <c r="G98" i="10" s="1"/>
  <c r="E98" i="10"/>
  <c r="F97" i="10"/>
  <c r="F98" i="10" s="1"/>
  <c r="H15" i="20"/>
  <c r="H16" i="20" s="1"/>
  <c r="G15" i="20"/>
  <c r="I44" i="19"/>
  <c r="I67" i="19"/>
  <c r="H44" i="19"/>
  <c r="H67" i="19"/>
  <c r="J15" i="18"/>
  <c r="J16" i="18" s="1"/>
  <c r="L16" i="18" s="1"/>
  <c r="I51" i="16"/>
  <c r="I52" i="16" s="1"/>
  <c r="I56" i="16" s="1"/>
  <c r="I60" i="16" s="1"/>
  <c r="H15" i="16"/>
  <c r="H16" i="16" s="1"/>
  <c r="F64" i="10"/>
  <c r="F65" i="10" s="1"/>
  <c r="F75" i="10"/>
  <c r="F76" i="10" s="1"/>
  <c r="H51" i="18"/>
  <c r="G51" i="18"/>
  <c r="I51" i="17"/>
  <c r="I52" i="17" s="1"/>
  <c r="I56" i="17" s="1"/>
  <c r="I60" i="17" s="1"/>
  <c r="I51" i="18"/>
  <c r="G75" i="10"/>
  <c r="G76" i="10" s="1"/>
  <c r="E76" i="10"/>
  <c r="H15" i="15"/>
  <c r="H16" i="15" s="1"/>
  <c r="F53" i="10"/>
  <c r="F54" i="10" s="1"/>
  <c r="H51" i="17"/>
  <c r="G51" i="17"/>
  <c r="H15" i="17"/>
  <c r="H16" i="17" s="1"/>
  <c r="G16" i="17"/>
  <c r="I15" i="17"/>
  <c r="I16" i="17" s="1"/>
  <c r="E65" i="10"/>
  <c r="G64" i="10"/>
  <c r="G65" i="10" s="1"/>
  <c r="G52" i="16"/>
  <c r="G56" i="16" s="1"/>
  <c r="G60" i="16" s="1"/>
  <c r="G43" i="16"/>
  <c r="H51" i="16"/>
  <c r="G53" i="10"/>
  <c r="G54" i="10" s="1"/>
  <c r="E54" i="10"/>
  <c r="G16" i="16"/>
  <c r="I15" i="16"/>
  <c r="I16" i="16" s="1"/>
  <c r="F42" i="10"/>
  <c r="F43" i="10" s="1"/>
  <c r="H51" i="15"/>
  <c r="G51" i="15"/>
  <c r="G42" i="10"/>
  <c r="G43" i="10" s="1"/>
  <c r="E43" i="10"/>
  <c r="I51" i="15"/>
  <c r="L41" i="15"/>
  <c r="G16" i="15"/>
  <c r="I15" i="15"/>
  <c r="I16" i="15" s="1"/>
  <c r="H51" i="13"/>
  <c r="H52" i="13" s="1"/>
  <c r="H56" i="13" s="1"/>
  <c r="H60" i="13" s="1"/>
  <c r="H44" i="14"/>
  <c r="H67" i="14"/>
  <c r="J15" i="14"/>
  <c r="J16" i="14" s="1"/>
  <c r="F20" i="10"/>
  <c r="F21" i="10" s="1"/>
  <c r="J51" i="14"/>
  <c r="J52" i="14" s="1"/>
  <c r="J56" i="14" s="1"/>
  <c r="J60" i="14" s="1"/>
  <c r="J67" i="14" s="1"/>
  <c r="I52" i="14"/>
  <c r="I56" i="14" s="1"/>
  <c r="I60" i="14" s="1"/>
  <c r="G20" i="10"/>
  <c r="G21" i="10" s="1"/>
  <c r="E21" i="10"/>
  <c r="G16" i="13"/>
  <c r="I15" i="13"/>
  <c r="I16" i="13" s="1"/>
  <c r="I51" i="13"/>
  <c r="G51" i="13"/>
  <c r="H15" i="12"/>
  <c r="H16" i="12" s="1"/>
  <c r="G9" i="10"/>
  <c r="G10" i="10" s="1"/>
  <c r="I51" i="12"/>
  <c r="I52" i="12" s="1"/>
  <c r="I56" i="12" s="1"/>
  <c r="I60" i="12" s="1"/>
  <c r="H51" i="12"/>
  <c r="H52" i="12" s="1"/>
  <c r="H56" i="12" s="1"/>
  <c r="H60" i="12" s="1"/>
  <c r="I15" i="12"/>
  <c r="I16" i="12" s="1"/>
  <c r="G43" i="12"/>
  <c r="G52" i="12"/>
  <c r="G56" i="12" s="1"/>
  <c r="G60" i="12" s="1"/>
  <c r="H63" i="9"/>
  <c r="G52" i="14" l="1"/>
  <c r="G56" i="14" s="1"/>
  <c r="G60" i="14" s="1"/>
  <c r="J15" i="42"/>
  <c r="J16" i="42" s="1"/>
  <c r="H44" i="43"/>
  <c r="H67" i="43"/>
  <c r="G67" i="40"/>
  <c r="J15" i="43"/>
  <c r="J16" i="43" s="1"/>
  <c r="G43" i="43"/>
  <c r="J43" i="43" s="1"/>
  <c r="G52" i="43"/>
  <c r="G56" i="43" s="1"/>
  <c r="G60" i="43" s="1"/>
  <c r="J51" i="43"/>
  <c r="J52" i="43" s="1"/>
  <c r="J56" i="43" s="1"/>
  <c r="J60" i="43" s="1"/>
  <c r="J67" i="43" s="1"/>
  <c r="H350" i="10"/>
  <c r="H351" i="10" s="1"/>
  <c r="I67" i="43"/>
  <c r="I44" i="43"/>
  <c r="G43" i="42"/>
  <c r="J51" i="42"/>
  <c r="J52" i="42" s="1"/>
  <c r="J56" i="42" s="1"/>
  <c r="J60" i="42" s="1"/>
  <c r="J67" i="42" s="1"/>
  <c r="G52" i="42"/>
  <c r="G56" i="42" s="1"/>
  <c r="G60" i="42" s="1"/>
  <c r="H43" i="42"/>
  <c r="H52" i="42"/>
  <c r="H56" i="42" s="1"/>
  <c r="H60" i="42" s="1"/>
  <c r="I52" i="41"/>
  <c r="I56" i="41" s="1"/>
  <c r="I60" i="41" s="1"/>
  <c r="J51" i="41"/>
  <c r="J52" i="41" s="1"/>
  <c r="J56" i="41" s="1"/>
  <c r="J60" i="41" s="1"/>
  <c r="J67" i="41" s="1"/>
  <c r="M72" i="41" s="1"/>
  <c r="H339" i="10"/>
  <c r="H340" i="10" s="1"/>
  <c r="L16" i="42"/>
  <c r="J340" i="10"/>
  <c r="I44" i="42"/>
  <c r="I67" i="42"/>
  <c r="G52" i="41"/>
  <c r="G56" i="41" s="1"/>
  <c r="G60" i="41" s="1"/>
  <c r="G44" i="41" s="1"/>
  <c r="G43" i="41"/>
  <c r="J43" i="41" s="1"/>
  <c r="K43" i="41" s="1"/>
  <c r="G72" i="40"/>
  <c r="I72" i="40" s="1"/>
  <c r="I75" i="40" s="1"/>
  <c r="I80" i="40" s="1"/>
  <c r="K45" i="40"/>
  <c r="G73" i="40"/>
  <c r="I73" i="40" s="1"/>
  <c r="J73" i="40" s="1"/>
  <c r="H45" i="40"/>
  <c r="H68" i="40"/>
  <c r="J68" i="40" s="1"/>
  <c r="M72" i="40"/>
  <c r="K44" i="40"/>
  <c r="K43" i="40"/>
  <c r="I69" i="40"/>
  <c r="J69" i="40" s="1"/>
  <c r="H68" i="41"/>
  <c r="J68" i="41" s="1"/>
  <c r="G73" i="41"/>
  <c r="O72" i="41"/>
  <c r="L16" i="41"/>
  <c r="J329" i="10"/>
  <c r="G67" i="41"/>
  <c r="I44" i="41"/>
  <c r="I67" i="41"/>
  <c r="I45" i="41" s="1"/>
  <c r="H328" i="10"/>
  <c r="H329" i="10" s="1"/>
  <c r="H67" i="41"/>
  <c r="H44" i="41"/>
  <c r="J51" i="36"/>
  <c r="J52" i="36" s="1"/>
  <c r="J56" i="36" s="1"/>
  <c r="J60" i="36" s="1"/>
  <c r="J67" i="36" s="1"/>
  <c r="O72" i="36" s="1"/>
  <c r="J51" i="35"/>
  <c r="J52" i="35" s="1"/>
  <c r="J56" i="35" s="1"/>
  <c r="J60" i="35" s="1"/>
  <c r="J67" i="35" s="1"/>
  <c r="G72" i="35" s="1"/>
  <c r="I43" i="35"/>
  <c r="G75" i="40"/>
  <c r="G80" i="40" s="1"/>
  <c r="G45" i="40"/>
  <c r="J45" i="40" s="1"/>
  <c r="K46" i="40" s="1"/>
  <c r="K43" i="38"/>
  <c r="G67" i="38"/>
  <c r="G44" i="38"/>
  <c r="J44" i="38" s="1"/>
  <c r="K44" i="38" s="1"/>
  <c r="K45" i="38"/>
  <c r="I69" i="38"/>
  <c r="J69" i="38" s="1"/>
  <c r="G72" i="38"/>
  <c r="H68" i="38"/>
  <c r="J68" i="38" s="1"/>
  <c r="G73" i="38"/>
  <c r="I73" i="38" s="1"/>
  <c r="J73" i="38" s="1"/>
  <c r="O72" i="38"/>
  <c r="M72" i="38"/>
  <c r="I44" i="38"/>
  <c r="I67" i="38"/>
  <c r="H44" i="38"/>
  <c r="H67" i="38"/>
  <c r="G67" i="36"/>
  <c r="G44" i="36"/>
  <c r="H43" i="35"/>
  <c r="J15" i="36"/>
  <c r="J16" i="36" s="1"/>
  <c r="H273" i="10"/>
  <c r="H274" i="10" s="1"/>
  <c r="H43" i="36"/>
  <c r="H52" i="36"/>
  <c r="H56" i="36" s="1"/>
  <c r="H60" i="36" s="1"/>
  <c r="I52" i="36"/>
  <c r="I56" i="36" s="1"/>
  <c r="I60" i="36" s="1"/>
  <c r="I43" i="36"/>
  <c r="H52" i="35"/>
  <c r="H56" i="35" s="1"/>
  <c r="H60" i="35" s="1"/>
  <c r="H44" i="35" s="1"/>
  <c r="J15" i="35"/>
  <c r="J16" i="35" s="1"/>
  <c r="J263" i="10" s="1"/>
  <c r="G45" i="35"/>
  <c r="I44" i="35"/>
  <c r="I67" i="35"/>
  <c r="G45" i="34"/>
  <c r="J45" i="34" s="1"/>
  <c r="K46" i="34" s="1"/>
  <c r="G75" i="34"/>
  <c r="G80" i="34" s="1"/>
  <c r="J73" i="34"/>
  <c r="I73" i="34"/>
  <c r="I72" i="34"/>
  <c r="J72" i="34"/>
  <c r="J75" i="34" s="1"/>
  <c r="J80" i="34" s="1"/>
  <c r="H44" i="34"/>
  <c r="H67" i="34"/>
  <c r="I45" i="34"/>
  <c r="I75" i="34"/>
  <c r="I80" i="34" s="1"/>
  <c r="I43" i="33"/>
  <c r="I52" i="33"/>
  <c r="I56" i="33" s="1"/>
  <c r="I60" i="33" s="1"/>
  <c r="G43" i="33"/>
  <c r="J43" i="33" s="1"/>
  <c r="G52" i="33"/>
  <c r="G56" i="33" s="1"/>
  <c r="G60" i="33" s="1"/>
  <c r="J51" i="33"/>
  <c r="J52" i="33" s="1"/>
  <c r="J56" i="33" s="1"/>
  <c r="J60" i="33" s="1"/>
  <c r="J67" i="33" s="1"/>
  <c r="H52" i="33"/>
  <c r="H56" i="33" s="1"/>
  <c r="H60" i="33" s="1"/>
  <c r="H43" i="33"/>
  <c r="L16" i="33"/>
  <c r="J241" i="10"/>
  <c r="J51" i="31"/>
  <c r="J52" i="31" s="1"/>
  <c r="J56" i="31" s="1"/>
  <c r="J60" i="31" s="1"/>
  <c r="J67" i="31" s="1"/>
  <c r="H68" i="31" s="1"/>
  <c r="J68" i="31" s="1"/>
  <c r="G44" i="19"/>
  <c r="J44" i="19" s="1"/>
  <c r="K44" i="19" s="1"/>
  <c r="G67" i="31"/>
  <c r="G44" i="31"/>
  <c r="J15" i="31"/>
  <c r="J16" i="31" s="1"/>
  <c r="H43" i="31"/>
  <c r="H52" i="31"/>
  <c r="H56" i="31" s="1"/>
  <c r="H60" i="31" s="1"/>
  <c r="I52" i="31"/>
  <c r="I56" i="31" s="1"/>
  <c r="I60" i="31" s="1"/>
  <c r="I43" i="31"/>
  <c r="M72" i="19"/>
  <c r="H68" i="19"/>
  <c r="J68" i="19" s="1"/>
  <c r="G72" i="19"/>
  <c r="I72" i="19" s="1"/>
  <c r="J72" i="19" s="1"/>
  <c r="H207" i="10"/>
  <c r="H208" i="10" s="1"/>
  <c r="J15" i="30"/>
  <c r="J16" i="30" s="1"/>
  <c r="H43" i="30"/>
  <c r="H52" i="30"/>
  <c r="H56" i="30" s="1"/>
  <c r="H60" i="30" s="1"/>
  <c r="G52" i="30"/>
  <c r="G56" i="30" s="1"/>
  <c r="G60" i="30" s="1"/>
  <c r="G43" i="30"/>
  <c r="J51" i="30"/>
  <c r="J52" i="30" s="1"/>
  <c r="J56" i="30" s="1"/>
  <c r="J60" i="30" s="1"/>
  <c r="J67" i="30" s="1"/>
  <c r="I44" i="30"/>
  <c r="I67" i="30"/>
  <c r="I45" i="30" s="1"/>
  <c r="J43" i="19"/>
  <c r="K43" i="19" s="1"/>
  <c r="O72" i="19"/>
  <c r="J51" i="28"/>
  <c r="J52" i="28" s="1"/>
  <c r="J56" i="28" s="1"/>
  <c r="J60" i="28" s="1"/>
  <c r="J67" i="28" s="1"/>
  <c r="G72" i="28" s="1"/>
  <c r="I72" i="28" s="1"/>
  <c r="J72" i="28" s="1"/>
  <c r="J15" i="25"/>
  <c r="J16" i="25" s="1"/>
  <c r="L16" i="25" s="1"/>
  <c r="H43" i="28"/>
  <c r="H43" i="29"/>
  <c r="H52" i="29"/>
  <c r="H56" i="29" s="1"/>
  <c r="H60" i="29" s="1"/>
  <c r="J15" i="29"/>
  <c r="J16" i="29" s="1"/>
  <c r="I52" i="29"/>
  <c r="I56" i="29" s="1"/>
  <c r="I60" i="29" s="1"/>
  <c r="I43" i="29"/>
  <c r="J51" i="29"/>
  <c r="J52" i="29" s="1"/>
  <c r="J56" i="29" s="1"/>
  <c r="J60" i="29" s="1"/>
  <c r="J67" i="29" s="1"/>
  <c r="G44" i="29"/>
  <c r="G67" i="29"/>
  <c r="H43" i="27"/>
  <c r="G44" i="28"/>
  <c r="G67" i="28"/>
  <c r="H185" i="10"/>
  <c r="H186" i="10" s="1"/>
  <c r="H67" i="28"/>
  <c r="H44" i="28"/>
  <c r="H174" i="10"/>
  <c r="H175" i="10" s="1"/>
  <c r="J15" i="28"/>
  <c r="J16" i="28" s="1"/>
  <c r="I52" i="28"/>
  <c r="I56" i="28" s="1"/>
  <c r="I60" i="28" s="1"/>
  <c r="I43" i="28"/>
  <c r="I52" i="21"/>
  <c r="I56" i="21" s="1"/>
  <c r="I60" i="21" s="1"/>
  <c r="I44" i="21" s="1"/>
  <c r="I52" i="25"/>
  <c r="I56" i="25" s="1"/>
  <c r="I60" i="25" s="1"/>
  <c r="I67" i="25" s="1"/>
  <c r="I45" i="25" s="1"/>
  <c r="J15" i="27"/>
  <c r="J16" i="27" s="1"/>
  <c r="G44" i="27"/>
  <c r="G67" i="27"/>
  <c r="H44" i="27"/>
  <c r="H67" i="27"/>
  <c r="I52" i="27"/>
  <c r="I56" i="27" s="1"/>
  <c r="I60" i="27" s="1"/>
  <c r="I43" i="27"/>
  <c r="J51" i="27"/>
  <c r="J52" i="27" s="1"/>
  <c r="J56" i="27" s="1"/>
  <c r="J60" i="27" s="1"/>
  <c r="J67" i="27" s="1"/>
  <c r="I51" i="23"/>
  <c r="I43" i="23" s="1"/>
  <c r="H43" i="25"/>
  <c r="H52" i="25"/>
  <c r="H56" i="25" s="1"/>
  <c r="H60" i="25" s="1"/>
  <c r="H152" i="10"/>
  <c r="H153" i="10" s="1"/>
  <c r="J15" i="24"/>
  <c r="J16" i="24" s="1"/>
  <c r="L16" i="24" s="1"/>
  <c r="H141" i="10"/>
  <c r="H142" i="10" s="1"/>
  <c r="G43" i="25"/>
  <c r="J51" i="25"/>
  <c r="J52" i="25" s="1"/>
  <c r="J56" i="25" s="1"/>
  <c r="J60" i="25" s="1"/>
  <c r="J67" i="25" s="1"/>
  <c r="G52" i="25"/>
  <c r="G56" i="25" s="1"/>
  <c r="G60" i="25" s="1"/>
  <c r="H51" i="23"/>
  <c r="H52" i="23" s="1"/>
  <c r="H56" i="23" s="1"/>
  <c r="H60" i="23" s="1"/>
  <c r="F130" i="10"/>
  <c r="F131" i="10" s="1"/>
  <c r="G43" i="24"/>
  <c r="G52" i="24"/>
  <c r="G56" i="24" s="1"/>
  <c r="G60" i="24" s="1"/>
  <c r="J51" i="24"/>
  <c r="J52" i="24" s="1"/>
  <c r="J56" i="24" s="1"/>
  <c r="J60" i="24" s="1"/>
  <c r="J67" i="24" s="1"/>
  <c r="I52" i="24"/>
  <c r="I56" i="24" s="1"/>
  <c r="I60" i="24" s="1"/>
  <c r="I43" i="24"/>
  <c r="H43" i="24"/>
  <c r="H52" i="24"/>
  <c r="H56" i="24" s="1"/>
  <c r="H60" i="24" s="1"/>
  <c r="G43" i="23"/>
  <c r="G52" i="23"/>
  <c r="G56" i="23" s="1"/>
  <c r="G60" i="23" s="1"/>
  <c r="G130" i="10"/>
  <c r="G131" i="10" s="1"/>
  <c r="E131" i="10"/>
  <c r="G16" i="23"/>
  <c r="I15" i="23"/>
  <c r="I16" i="23" s="1"/>
  <c r="J51" i="21"/>
  <c r="J52" i="21" s="1"/>
  <c r="J56" i="21" s="1"/>
  <c r="J60" i="21" s="1"/>
  <c r="J67" i="21" s="1"/>
  <c r="G72" i="21" s="1"/>
  <c r="I72" i="21" s="1"/>
  <c r="J72" i="21" s="1"/>
  <c r="J75" i="21" s="1"/>
  <c r="J80" i="21" s="1"/>
  <c r="G52" i="21"/>
  <c r="G56" i="21" s="1"/>
  <c r="G60" i="21" s="1"/>
  <c r="G44" i="21" s="1"/>
  <c r="J44" i="21" s="1"/>
  <c r="H52" i="22"/>
  <c r="H56" i="22" s="1"/>
  <c r="H60" i="22" s="1"/>
  <c r="H44" i="22" s="1"/>
  <c r="I44" i="22"/>
  <c r="I67" i="22"/>
  <c r="J15" i="22"/>
  <c r="J16" i="22" s="1"/>
  <c r="G43" i="22"/>
  <c r="J43" i="22" s="1"/>
  <c r="J51" i="22"/>
  <c r="J52" i="22" s="1"/>
  <c r="J56" i="22" s="1"/>
  <c r="J60" i="22" s="1"/>
  <c r="J67" i="22" s="1"/>
  <c r="G52" i="22"/>
  <c r="G56" i="22" s="1"/>
  <c r="G60" i="22" s="1"/>
  <c r="H44" i="21"/>
  <c r="H67" i="21"/>
  <c r="L16" i="21"/>
  <c r="J109" i="10"/>
  <c r="H52" i="20"/>
  <c r="H56" i="20" s="1"/>
  <c r="H60" i="20" s="1"/>
  <c r="H44" i="20" s="1"/>
  <c r="J51" i="20"/>
  <c r="J52" i="20" s="1"/>
  <c r="J56" i="20" s="1"/>
  <c r="J60" i="20" s="1"/>
  <c r="J67" i="20" s="1"/>
  <c r="G72" i="20" s="1"/>
  <c r="G43" i="20"/>
  <c r="J43" i="20" s="1"/>
  <c r="I52" i="20"/>
  <c r="I56" i="20" s="1"/>
  <c r="I60" i="20" s="1"/>
  <c r="I67" i="20" s="1"/>
  <c r="I45" i="20" s="1"/>
  <c r="H97" i="10"/>
  <c r="H98" i="10" s="1"/>
  <c r="I15" i="20"/>
  <c r="I16" i="20" s="1"/>
  <c r="G16" i="20"/>
  <c r="G44" i="20"/>
  <c r="G67" i="20"/>
  <c r="I45" i="19"/>
  <c r="I73" i="19"/>
  <c r="J73" i="19" s="1"/>
  <c r="J51" i="16"/>
  <c r="J52" i="16" s="1"/>
  <c r="J56" i="16" s="1"/>
  <c r="J60" i="16" s="1"/>
  <c r="J67" i="16" s="1"/>
  <c r="H68" i="16" s="1"/>
  <c r="J68" i="16" s="1"/>
  <c r="J76" i="10"/>
  <c r="G45" i="19"/>
  <c r="H45" i="19"/>
  <c r="H75" i="19"/>
  <c r="H80" i="19" s="1"/>
  <c r="H64" i="10"/>
  <c r="H65" i="10" s="1"/>
  <c r="I43" i="16"/>
  <c r="H75" i="10"/>
  <c r="H76" i="10" s="1"/>
  <c r="I43" i="17"/>
  <c r="H43" i="18"/>
  <c r="H52" i="18"/>
  <c r="H56" i="18" s="1"/>
  <c r="H60" i="18" s="1"/>
  <c r="I52" i="18"/>
  <c r="I56" i="18" s="1"/>
  <c r="I60" i="18" s="1"/>
  <c r="I43" i="18"/>
  <c r="G43" i="18"/>
  <c r="J51" i="18"/>
  <c r="J52" i="18" s="1"/>
  <c r="J56" i="18" s="1"/>
  <c r="J60" i="18" s="1"/>
  <c r="J67" i="18" s="1"/>
  <c r="G52" i="18"/>
  <c r="G56" i="18" s="1"/>
  <c r="G60" i="18" s="1"/>
  <c r="I44" i="17"/>
  <c r="I67" i="17"/>
  <c r="J15" i="17"/>
  <c r="J16" i="17" s="1"/>
  <c r="G52" i="17"/>
  <c r="G56" i="17" s="1"/>
  <c r="G60" i="17" s="1"/>
  <c r="G43" i="17"/>
  <c r="J51" i="17"/>
  <c r="J52" i="17" s="1"/>
  <c r="J56" i="17" s="1"/>
  <c r="J60" i="17" s="1"/>
  <c r="J67" i="17" s="1"/>
  <c r="H43" i="13"/>
  <c r="H53" i="10"/>
  <c r="H54" i="10" s="1"/>
  <c r="H43" i="17"/>
  <c r="H52" i="17"/>
  <c r="H56" i="17" s="1"/>
  <c r="H60" i="17" s="1"/>
  <c r="G67" i="16"/>
  <c r="G44" i="16"/>
  <c r="J15" i="15"/>
  <c r="J16" i="15" s="1"/>
  <c r="L16" i="15" s="1"/>
  <c r="I44" i="16"/>
  <c r="I67" i="16"/>
  <c r="J15" i="16"/>
  <c r="J16" i="16" s="1"/>
  <c r="H43" i="16"/>
  <c r="H52" i="16"/>
  <c r="H56" i="16" s="1"/>
  <c r="H60" i="16" s="1"/>
  <c r="I52" i="15"/>
  <c r="I56" i="15" s="1"/>
  <c r="I60" i="15" s="1"/>
  <c r="I43" i="15"/>
  <c r="H42" i="10"/>
  <c r="H43" i="10" s="1"/>
  <c r="G52" i="15"/>
  <c r="G56" i="15" s="1"/>
  <c r="G60" i="15" s="1"/>
  <c r="G43" i="15"/>
  <c r="J51" i="15"/>
  <c r="J52" i="15" s="1"/>
  <c r="J56" i="15" s="1"/>
  <c r="J60" i="15" s="1"/>
  <c r="J67" i="15" s="1"/>
  <c r="H43" i="15"/>
  <c r="H52" i="15"/>
  <c r="H56" i="15" s="1"/>
  <c r="H60" i="15" s="1"/>
  <c r="I44" i="14"/>
  <c r="I67" i="14"/>
  <c r="O72" i="14"/>
  <c r="G73" i="14"/>
  <c r="I73" i="14" s="1"/>
  <c r="J73" i="14" s="1"/>
  <c r="H68" i="14"/>
  <c r="J68" i="14" s="1"/>
  <c r="G72" i="14"/>
  <c r="M72" i="14"/>
  <c r="G67" i="14"/>
  <c r="G44" i="14"/>
  <c r="L16" i="14"/>
  <c r="J32" i="10"/>
  <c r="H20" i="10"/>
  <c r="H21" i="10" s="1"/>
  <c r="H45" i="14"/>
  <c r="J15" i="13"/>
  <c r="J16" i="13" s="1"/>
  <c r="L16" i="13" s="1"/>
  <c r="J43" i="14"/>
  <c r="K43" i="14" s="1"/>
  <c r="J51" i="13"/>
  <c r="J52" i="13" s="1"/>
  <c r="J56" i="13" s="1"/>
  <c r="J60" i="13" s="1"/>
  <c r="J67" i="13" s="1"/>
  <c r="G52" i="13"/>
  <c r="G56" i="13" s="1"/>
  <c r="G60" i="13" s="1"/>
  <c r="G43" i="13"/>
  <c r="H43" i="12"/>
  <c r="I43" i="13"/>
  <c r="I52" i="13"/>
  <c r="I56" i="13" s="1"/>
  <c r="I60" i="13" s="1"/>
  <c r="H44" i="13"/>
  <c r="H67" i="13"/>
  <c r="H9" i="10"/>
  <c r="H10" i="10" s="1"/>
  <c r="J15" i="12"/>
  <c r="J16" i="12" s="1"/>
  <c r="L16" i="12" s="1"/>
  <c r="J51" i="12"/>
  <c r="J52" i="12" s="1"/>
  <c r="J56" i="12" s="1"/>
  <c r="J60" i="12" s="1"/>
  <c r="J67" i="12" s="1"/>
  <c r="M72" i="12" s="1"/>
  <c r="I43" i="12"/>
  <c r="G44" i="12"/>
  <c r="G67" i="12"/>
  <c r="I67" i="12"/>
  <c r="I44" i="12"/>
  <c r="H44" i="12"/>
  <c r="H67" i="12"/>
  <c r="K8" i="9"/>
  <c r="K43" i="43" l="1"/>
  <c r="H68" i="43"/>
  <c r="J68" i="43" s="1"/>
  <c r="O72" i="43"/>
  <c r="M72" i="43"/>
  <c r="G73" i="43"/>
  <c r="I73" i="43" s="1"/>
  <c r="J73" i="43" s="1"/>
  <c r="G72" i="43"/>
  <c r="I72" i="43" s="1"/>
  <c r="J72" i="43" s="1"/>
  <c r="G44" i="43"/>
  <c r="J44" i="43" s="1"/>
  <c r="K44" i="43" s="1"/>
  <c r="G67" i="43"/>
  <c r="J43" i="42"/>
  <c r="L16" i="43"/>
  <c r="J351" i="10"/>
  <c r="I45" i="43"/>
  <c r="H45" i="43"/>
  <c r="H75" i="43"/>
  <c r="H80" i="43" s="1"/>
  <c r="G72" i="41"/>
  <c r="I72" i="41" s="1"/>
  <c r="J72" i="41" s="1"/>
  <c r="H44" i="42"/>
  <c r="H67" i="42"/>
  <c r="I45" i="42"/>
  <c r="G67" i="42"/>
  <c r="G44" i="42"/>
  <c r="G72" i="42"/>
  <c r="G73" i="42"/>
  <c r="I73" i="42" s="1"/>
  <c r="J73" i="42" s="1"/>
  <c r="H68" i="42"/>
  <c r="J68" i="42" s="1"/>
  <c r="M72" i="42"/>
  <c r="O72" i="42"/>
  <c r="K43" i="42"/>
  <c r="G73" i="35"/>
  <c r="I73" i="35" s="1"/>
  <c r="J73" i="35" s="1"/>
  <c r="J43" i="35"/>
  <c r="K43" i="35" s="1"/>
  <c r="G73" i="36"/>
  <c r="I73" i="36" s="1"/>
  <c r="J73" i="36" s="1"/>
  <c r="J72" i="40"/>
  <c r="J75" i="40" s="1"/>
  <c r="J80" i="40" s="1"/>
  <c r="G72" i="36"/>
  <c r="I72" i="36" s="1"/>
  <c r="J72" i="36" s="1"/>
  <c r="H75" i="41"/>
  <c r="H80" i="41" s="1"/>
  <c r="H45" i="41"/>
  <c r="I73" i="41"/>
  <c r="J73" i="41" s="1"/>
  <c r="J44" i="41"/>
  <c r="K44" i="41" s="1"/>
  <c r="G45" i="41"/>
  <c r="H68" i="36"/>
  <c r="J68" i="36" s="1"/>
  <c r="M72" i="36"/>
  <c r="H68" i="35"/>
  <c r="J68" i="35" s="1"/>
  <c r="M72" i="35"/>
  <c r="O72" i="35"/>
  <c r="H45" i="38"/>
  <c r="H75" i="38"/>
  <c r="H80" i="38" s="1"/>
  <c r="I72" i="38"/>
  <c r="J72" i="38"/>
  <c r="J75" i="38" s="1"/>
  <c r="J80" i="38" s="1"/>
  <c r="I45" i="38"/>
  <c r="I75" i="38"/>
  <c r="I80" i="38" s="1"/>
  <c r="G45" i="38"/>
  <c r="J45" i="38" s="1"/>
  <c r="K46" i="38" s="1"/>
  <c r="G75" i="38"/>
  <c r="G80" i="38" s="1"/>
  <c r="J43" i="36"/>
  <c r="K43" i="36" s="1"/>
  <c r="I67" i="36"/>
  <c r="I44" i="36"/>
  <c r="G45" i="36"/>
  <c r="H44" i="36"/>
  <c r="H67" i="36"/>
  <c r="L16" i="36"/>
  <c r="J274" i="10"/>
  <c r="H67" i="35"/>
  <c r="H45" i="35" s="1"/>
  <c r="G75" i="35"/>
  <c r="G80" i="35" s="1"/>
  <c r="L16" i="35"/>
  <c r="I45" i="35"/>
  <c r="J44" i="35"/>
  <c r="K44" i="35" s="1"/>
  <c r="I72" i="35"/>
  <c r="J72" i="35" s="1"/>
  <c r="H45" i="34"/>
  <c r="H75" i="34"/>
  <c r="H80" i="34" s="1"/>
  <c r="K43" i="33"/>
  <c r="H44" i="33"/>
  <c r="H67" i="33"/>
  <c r="I69" i="33"/>
  <c r="J69" i="33" s="1"/>
  <c r="G72" i="33"/>
  <c r="H68" i="33"/>
  <c r="J68" i="33" s="1"/>
  <c r="G73" i="33"/>
  <c r="I73" i="33" s="1"/>
  <c r="J73" i="33" s="1"/>
  <c r="O72" i="33"/>
  <c r="M72" i="33"/>
  <c r="K45" i="33"/>
  <c r="J75" i="33"/>
  <c r="J80" i="33" s="1"/>
  <c r="G75" i="19"/>
  <c r="G80" i="19" s="1"/>
  <c r="G44" i="33"/>
  <c r="J44" i="33" s="1"/>
  <c r="K44" i="33" s="1"/>
  <c r="G67" i="33"/>
  <c r="I44" i="33"/>
  <c r="I67" i="33"/>
  <c r="M72" i="31"/>
  <c r="G73" i="31"/>
  <c r="I73" i="31" s="1"/>
  <c r="J73" i="31" s="1"/>
  <c r="O72" i="31"/>
  <c r="G72" i="31"/>
  <c r="I72" i="31" s="1"/>
  <c r="J72" i="31" s="1"/>
  <c r="J43" i="30"/>
  <c r="K43" i="30" s="1"/>
  <c r="J43" i="31"/>
  <c r="K43" i="31" s="1"/>
  <c r="I67" i="31"/>
  <c r="I45" i="31" s="1"/>
  <c r="I44" i="31"/>
  <c r="H44" i="31"/>
  <c r="H67" i="31"/>
  <c r="L16" i="31"/>
  <c r="J219" i="10"/>
  <c r="G45" i="31"/>
  <c r="O72" i="28"/>
  <c r="G73" i="28"/>
  <c r="I73" i="28" s="1"/>
  <c r="J73" i="28" s="1"/>
  <c r="G72" i="30"/>
  <c r="H68" i="30"/>
  <c r="J68" i="30" s="1"/>
  <c r="O72" i="30"/>
  <c r="G73" i="30"/>
  <c r="I73" i="30" s="1"/>
  <c r="J73" i="30" s="1"/>
  <c r="M72" i="30"/>
  <c r="G44" i="30"/>
  <c r="G67" i="30"/>
  <c r="H67" i="30"/>
  <c r="H44" i="30"/>
  <c r="L16" i="30"/>
  <c r="J208" i="10"/>
  <c r="H68" i="28"/>
  <c r="J68" i="28" s="1"/>
  <c r="M72" i="28"/>
  <c r="J153" i="10"/>
  <c r="J43" i="28"/>
  <c r="K43" i="28" s="1"/>
  <c r="J43" i="29"/>
  <c r="K43" i="29" s="1"/>
  <c r="I44" i="25"/>
  <c r="J43" i="27"/>
  <c r="K43" i="27" s="1"/>
  <c r="J43" i="25"/>
  <c r="K43" i="25" s="1"/>
  <c r="G73" i="29"/>
  <c r="I73" i="29" s="1"/>
  <c r="J73" i="29" s="1"/>
  <c r="O72" i="29"/>
  <c r="M72" i="29"/>
  <c r="G72" i="29"/>
  <c r="H68" i="29"/>
  <c r="J68" i="29" s="1"/>
  <c r="I44" i="29"/>
  <c r="I67" i="29"/>
  <c r="L16" i="29"/>
  <c r="J197" i="10"/>
  <c r="G45" i="29"/>
  <c r="H44" i="29"/>
  <c r="H67" i="29"/>
  <c r="I52" i="23"/>
  <c r="I56" i="23" s="1"/>
  <c r="I60" i="23" s="1"/>
  <c r="I67" i="23" s="1"/>
  <c r="H45" i="28"/>
  <c r="J44" i="14"/>
  <c r="K44" i="14" s="1"/>
  <c r="I67" i="21"/>
  <c r="I45" i="21" s="1"/>
  <c r="G45" i="28"/>
  <c r="I44" i="28"/>
  <c r="J44" i="28" s="1"/>
  <c r="K44" i="28" s="1"/>
  <c r="I67" i="28"/>
  <c r="L16" i="28"/>
  <c r="J186" i="10"/>
  <c r="J142" i="10"/>
  <c r="G45" i="27"/>
  <c r="O72" i="27"/>
  <c r="G73" i="27"/>
  <c r="M72" i="27"/>
  <c r="H68" i="27"/>
  <c r="J68" i="27" s="1"/>
  <c r="G72" i="27"/>
  <c r="L16" i="27"/>
  <c r="J175" i="10"/>
  <c r="I67" i="27"/>
  <c r="I44" i="27"/>
  <c r="J44" i="27" s="1"/>
  <c r="K44" i="27" s="1"/>
  <c r="H45" i="27"/>
  <c r="H67" i="22"/>
  <c r="H45" i="22" s="1"/>
  <c r="H43" i="23"/>
  <c r="G67" i="25"/>
  <c r="G44" i="25"/>
  <c r="G72" i="25"/>
  <c r="G73" i="25"/>
  <c r="M72" i="25"/>
  <c r="O72" i="25"/>
  <c r="H68" i="25"/>
  <c r="J68" i="25" s="1"/>
  <c r="H44" i="25"/>
  <c r="H67" i="25"/>
  <c r="J51" i="23"/>
  <c r="J52" i="23" s="1"/>
  <c r="J56" i="23" s="1"/>
  <c r="J60" i="23" s="1"/>
  <c r="J67" i="23" s="1"/>
  <c r="H68" i="23" s="1"/>
  <c r="J68" i="23" s="1"/>
  <c r="J15" i="23"/>
  <c r="J16" i="23" s="1"/>
  <c r="L16" i="23" s="1"/>
  <c r="I44" i="24"/>
  <c r="I67" i="24"/>
  <c r="H68" i="24"/>
  <c r="J68" i="24" s="1"/>
  <c r="O72" i="24"/>
  <c r="G73" i="24"/>
  <c r="I73" i="24" s="1"/>
  <c r="J73" i="24" s="1"/>
  <c r="M72" i="24"/>
  <c r="G72" i="24"/>
  <c r="G67" i="21"/>
  <c r="G45" i="21" s="1"/>
  <c r="J45" i="21" s="1"/>
  <c r="K46" i="21" s="1"/>
  <c r="G44" i="24"/>
  <c r="G67" i="24"/>
  <c r="H130" i="10"/>
  <c r="H131" i="10" s="1"/>
  <c r="J43" i="24"/>
  <c r="K43" i="24" s="1"/>
  <c r="J43" i="23"/>
  <c r="H67" i="24"/>
  <c r="H44" i="24"/>
  <c r="H67" i="20"/>
  <c r="H45" i="20" s="1"/>
  <c r="H44" i="23"/>
  <c r="H67" i="23"/>
  <c r="M72" i="21"/>
  <c r="K43" i="22"/>
  <c r="H68" i="21"/>
  <c r="J68" i="21" s="1"/>
  <c r="K45" i="21"/>
  <c r="G44" i="23"/>
  <c r="G67" i="23"/>
  <c r="G73" i="21"/>
  <c r="I73" i="21" s="1"/>
  <c r="J73" i="21" s="1"/>
  <c r="K44" i="21"/>
  <c r="I69" i="21"/>
  <c r="J69" i="21" s="1"/>
  <c r="O72" i="21"/>
  <c r="K43" i="21"/>
  <c r="G44" i="22"/>
  <c r="J44" i="22" s="1"/>
  <c r="K44" i="22" s="1"/>
  <c r="G67" i="22"/>
  <c r="M72" i="22"/>
  <c r="G72" i="22"/>
  <c r="H68" i="22"/>
  <c r="J68" i="22" s="1"/>
  <c r="G73" i="22"/>
  <c r="I73" i="22" s="1"/>
  <c r="J73" i="22" s="1"/>
  <c r="O72" i="22"/>
  <c r="L16" i="22"/>
  <c r="J120" i="10"/>
  <c r="I45" i="22"/>
  <c r="K43" i="20"/>
  <c r="H45" i="21"/>
  <c r="H75" i="21"/>
  <c r="H80" i="21" s="1"/>
  <c r="M72" i="20"/>
  <c r="M72" i="16"/>
  <c r="G73" i="16"/>
  <c r="I73" i="16" s="1"/>
  <c r="J73" i="16" s="1"/>
  <c r="I44" i="20"/>
  <c r="J44" i="20" s="1"/>
  <c r="K44" i="20" s="1"/>
  <c r="J45" i="19"/>
  <c r="K45" i="19" s="1"/>
  <c r="O72" i="16"/>
  <c r="O72" i="20"/>
  <c r="G73" i="20"/>
  <c r="G75" i="20" s="1"/>
  <c r="G80" i="20" s="1"/>
  <c r="H68" i="20"/>
  <c r="J68" i="20" s="1"/>
  <c r="G72" i="16"/>
  <c r="I72" i="16" s="1"/>
  <c r="J72" i="16" s="1"/>
  <c r="J15" i="20"/>
  <c r="J16" i="20" s="1"/>
  <c r="L16" i="20" s="1"/>
  <c r="J43" i="18"/>
  <c r="K43" i="18" s="1"/>
  <c r="G45" i="20"/>
  <c r="I72" i="20"/>
  <c r="J72" i="20" s="1"/>
  <c r="J43" i="16"/>
  <c r="K43" i="16" s="1"/>
  <c r="J43" i="17"/>
  <c r="K43" i="17" s="1"/>
  <c r="G44" i="18"/>
  <c r="G67" i="18"/>
  <c r="J21" i="10"/>
  <c r="G72" i="18"/>
  <c r="I72" i="18" s="1"/>
  <c r="J72" i="18" s="1"/>
  <c r="H68" i="18"/>
  <c r="J68" i="18" s="1"/>
  <c r="G73" i="18"/>
  <c r="I73" i="18" s="1"/>
  <c r="J73" i="18" s="1"/>
  <c r="O72" i="18"/>
  <c r="M72" i="18"/>
  <c r="I44" i="18"/>
  <c r="I67" i="18"/>
  <c r="H44" i="18"/>
  <c r="H67" i="18"/>
  <c r="H68" i="17"/>
  <c r="J68" i="17" s="1"/>
  <c r="O72" i="17"/>
  <c r="G72" i="17"/>
  <c r="I72" i="17" s="1"/>
  <c r="J72" i="17" s="1"/>
  <c r="M72" i="17"/>
  <c r="G73" i="17"/>
  <c r="J43" i="10"/>
  <c r="G44" i="17"/>
  <c r="G67" i="17"/>
  <c r="L16" i="17"/>
  <c r="J65" i="10"/>
  <c r="H44" i="17"/>
  <c r="H67" i="17"/>
  <c r="I45" i="17"/>
  <c r="H67" i="16"/>
  <c r="H44" i="16"/>
  <c r="J44" i="16" s="1"/>
  <c r="K44" i="16" s="1"/>
  <c r="L16" i="16"/>
  <c r="J54" i="10"/>
  <c r="I45" i="16"/>
  <c r="G45" i="16"/>
  <c r="J43" i="15"/>
  <c r="K43" i="15" s="1"/>
  <c r="G44" i="15"/>
  <c r="G67" i="15"/>
  <c r="J43" i="13"/>
  <c r="K43" i="13" s="1"/>
  <c r="H44" i="15"/>
  <c r="H67" i="15"/>
  <c r="G73" i="15"/>
  <c r="I73" i="15" s="1"/>
  <c r="J73" i="15" s="1"/>
  <c r="H68" i="15"/>
  <c r="J68" i="15" s="1"/>
  <c r="O72" i="15"/>
  <c r="G72" i="15"/>
  <c r="I72" i="15" s="1"/>
  <c r="J72" i="15" s="1"/>
  <c r="M72" i="15"/>
  <c r="I67" i="15"/>
  <c r="I44" i="15"/>
  <c r="G72" i="12"/>
  <c r="I72" i="12" s="1"/>
  <c r="J72" i="12" s="1"/>
  <c r="H68" i="12"/>
  <c r="J68" i="12" s="1"/>
  <c r="O72" i="12"/>
  <c r="I72" i="14"/>
  <c r="J72" i="14" s="1"/>
  <c r="G45" i="14"/>
  <c r="G75" i="14"/>
  <c r="G80" i="14" s="1"/>
  <c r="J10" i="10"/>
  <c r="I45" i="14"/>
  <c r="J43" i="12"/>
  <c r="K43" i="12" s="1"/>
  <c r="H75" i="14"/>
  <c r="H80" i="14" s="1"/>
  <c r="G44" i="13"/>
  <c r="G67" i="13"/>
  <c r="H45" i="13"/>
  <c r="O72" i="13"/>
  <c r="G73" i="13"/>
  <c r="I73" i="13" s="1"/>
  <c r="J73" i="13" s="1"/>
  <c r="M72" i="13"/>
  <c r="H68" i="13"/>
  <c r="J68" i="13" s="1"/>
  <c r="G72" i="13"/>
  <c r="I44" i="13"/>
  <c r="I67" i="13"/>
  <c r="G73" i="12"/>
  <c r="I73" i="12" s="1"/>
  <c r="J73" i="12" s="1"/>
  <c r="I45" i="12"/>
  <c r="G45" i="12"/>
  <c r="H45" i="12"/>
  <c r="J44" i="12"/>
  <c r="K44" i="12" s="1"/>
  <c r="I35" i="9"/>
  <c r="G63" i="9"/>
  <c r="I63" i="9" s="1"/>
  <c r="G75" i="41" l="1"/>
  <c r="G80" i="41" s="1"/>
  <c r="J44" i="42"/>
  <c r="K44" i="42" s="1"/>
  <c r="G45" i="43"/>
  <c r="J45" i="43" s="1"/>
  <c r="G75" i="43"/>
  <c r="G80" i="43" s="1"/>
  <c r="I72" i="42"/>
  <c r="J72" i="42" s="1"/>
  <c r="G45" i="42"/>
  <c r="G75" i="42"/>
  <c r="G80" i="42" s="1"/>
  <c r="H45" i="42"/>
  <c r="H75" i="42"/>
  <c r="H80" i="42" s="1"/>
  <c r="G75" i="36"/>
  <c r="G80" i="36" s="1"/>
  <c r="J45" i="41"/>
  <c r="K46" i="41" s="1"/>
  <c r="J44" i="36"/>
  <c r="K44" i="36" s="1"/>
  <c r="I44" i="23"/>
  <c r="J44" i="23" s="1"/>
  <c r="K44" i="23" s="1"/>
  <c r="H75" i="35"/>
  <c r="H80" i="35" s="1"/>
  <c r="H45" i="36"/>
  <c r="H75" i="36"/>
  <c r="H80" i="36" s="1"/>
  <c r="I45" i="36"/>
  <c r="J45" i="35"/>
  <c r="K46" i="35" s="1"/>
  <c r="I45" i="33"/>
  <c r="I75" i="33"/>
  <c r="I80" i="33" s="1"/>
  <c r="G45" i="33"/>
  <c r="J45" i="33" s="1"/>
  <c r="K46" i="33" s="1"/>
  <c r="G75" i="33"/>
  <c r="G80" i="33" s="1"/>
  <c r="I72" i="33"/>
  <c r="J72" i="33"/>
  <c r="H45" i="33"/>
  <c r="H75" i="33"/>
  <c r="H80" i="33" s="1"/>
  <c r="G75" i="31"/>
  <c r="G80" i="31" s="1"/>
  <c r="J44" i="31"/>
  <c r="K44" i="31" s="1"/>
  <c r="H75" i="28"/>
  <c r="H80" i="28" s="1"/>
  <c r="G75" i="28"/>
  <c r="G80" i="28" s="1"/>
  <c r="H45" i="31"/>
  <c r="J45" i="31" s="1"/>
  <c r="H75" i="31"/>
  <c r="H80" i="31" s="1"/>
  <c r="J44" i="30"/>
  <c r="K44" i="30" s="1"/>
  <c r="H45" i="30"/>
  <c r="H75" i="30"/>
  <c r="H80" i="30" s="1"/>
  <c r="G45" i="30"/>
  <c r="G75" i="30"/>
  <c r="G80" i="30" s="1"/>
  <c r="I72" i="30"/>
  <c r="J72" i="30" s="1"/>
  <c r="G75" i="27"/>
  <c r="G80" i="27" s="1"/>
  <c r="G75" i="21"/>
  <c r="G80" i="21" s="1"/>
  <c r="I75" i="21"/>
  <c r="I80" i="21" s="1"/>
  <c r="G75" i="29"/>
  <c r="G80" i="29" s="1"/>
  <c r="J44" i="29"/>
  <c r="K44" i="29" s="1"/>
  <c r="H45" i="29"/>
  <c r="H75" i="29"/>
  <c r="H80" i="29" s="1"/>
  <c r="M72" i="23"/>
  <c r="I72" i="29"/>
  <c r="J72" i="29" s="1"/>
  <c r="I45" i="29"/>
  <c r="I45" i="28"/>
  <c r="J45" i="28" s="1"/>
  <c r="K46" i="19"/>
  <c r="H75" i="27"/>
  <c r="H80" i="27" s="1"/>
  <c r="I45" i="27"/>
  <c r="J45" i="27" s="1"/>
  <c r="I73" i="27"/>
  <c r="J73" i="27" s="1"/>
  <c r="I72" i="27"/>
  <c r="J72" i="27" s="1"/>
  <c r="J131" i="10"/>
  <c r="G72" i="23"/>
  <c r="I72" i="23" s="1"/>
  <c r="J72" i="23" s="1"/>
  <c r="O72" i="23"/>
  <c r="G73" i="23"/>
  <c r="I73" i="23" s="1"/>
  <c r="J73" i="23" s="1"/>
  <c r="K43" i="23"/>
  <c r="J44" i="24"/>
  <c r="K44" i="24" s="1"/>
  <c r="I73" i="25"/>
  <c r="J73" i="25" s="1"/>
  <c r="H45" i="25"/>
  <c r="H75" i="25"/>
  <c r="H80" i="25" s="1"/>
  <c r="I72" i="25"/>
  <c r="J72" i="25" s="1"/>
  <c r="J44" i="25"/>
  <c r="K44" i="25" s="1"/>
  <c r="G45" i="25"/>
  <c r="G75" i="25"/>
  <c r="G80" i="25" s="1"/>
  <c r="G75" i="24"/>
  <c r="G80" i="24" s="1"/>
  <c r="G45" i="24"/>
  <c r="I45" i="24"/>
  <c r="H45" i="24"/>
  <c r="H75" i="24"/>
  <c r="H80" i="24" s="1"/>
  <c r="I72" i="24"/>
  <c r="J72" i="24" s="1"/>
  <c r="H75" i="23"/>
  <c r="H80" i="23" s="1"/>
  <c r="H45" i="23"/>
  <c r="G75" i="16"/>
  <c r="G80" i="16" s="1"/>
  <c r="G45" i="23"/>
  <c r="I45" i="23"/>
  <c r="I72" i="22"/>
  <c r="J72" i="22" s="1"/>
  <c r="G45" i="22"/>
  <c r="J45" i="22" s="1"/>
  <c r="G75" i="22"/>
  <c r="G80" i="22" s="1"/>
  <c r="H75" i="22"/>
  <c r="H80" i="22" s="1"/>
  <c r="J98" i="10"/>
  <c r="I73" i="20"/>
  <c r="J73" i="20" s="1"/>
  <c r="H75" i="20"/>
  <c r="H80" i="20" s="1"/>
  <c r="J45" i="20"/>
  <c r="J44" i="15"/>
  <c r="K44" i="15" s="1"/>
  <c r="J44" i="18"/>
  <c r="K44" i="18" s="1"/>
  <c r="H45" i="18"/>
  <c r="H75" i="18"/>
  <c r="H80" i="18" s="1"/>
  <c r="J44" i="17"/>
  <c r="K44" i="17" s="1"/>
  <c r="I45" i="18"/>
  <c r="G45" i="18"/>
  <c r="G75" i="18"/>
  <c r="G80" i="18" s="1"/>
  <c r="H45" i="17"/>
  <c r="H75" i="17"/>
  <c r="H80" i="17" s="1"/>
  <c r="I73" i="17"/>
  <c r="J73" i="17" s="1"/>
  <c r="G45" i="17"/>
  <c r="G75" i="17"/>
  <c r="G80" i="17" s="1"/>
  <c r="H75" i="12"/>
  <c r="H80" i="12" s="1"/>
  <c r="H45" i="16"/>
  <c r="J45" i="16" s="1"/>
  <c r="H75" i="16"/>
  <c r="H80" i="16" s="1"/>
  <c r="I45" i="15"/>
  <c r="H45" i="15"/>
  <c r="H75" i="15"/>
  <c r="H80" i="15" s="1"/>
  <c r="G45" i="15"/>
  <c r="G75" i="15"/>
  <c r="G80" i="15" s="1"/>
  <c r="J45" i="14"/>
  <c r="J44" i="13"/>
  <c r="K44" i="13" s="1"/>
  <c r="G75" i="13"/>
  <c r="G80" i="13" s="1"/>
  <c r="G45" i="13"/>
  <c r="I45" i="13"/>
  <c r="H75" i="13"/>
  <c r="H80" i="13" s="1"/>
  <c r="I72" i="13"/>
  <c r="J72" i="13" s="1"/>
  <c r="G75" i="12"/>
  <c r="G80" i="12" s="1"/>
  <c r="J45" i="12"/>
  <c r="K46" i="12" s="1"/>
  <c r="K50" i="9"/>
  <c r="K46" i="43" l="1"/>
  <c r="K45" i="43"/>
  <c r="J45" i="42"/>
  <c r="K45" i="41"/>
  <c r="J45" i="36"/>
  <c r="K46" i="36" s="1"/>
  <c r="K45" i="35"/>
  <c r="K46" i="31"/>
  <c r="K45" i="31"/>
  <c r="J45" i="30"/>
  <c r="K46" i="30" s="1"/>
  <c r="J45" i="29"/>
  <c r="K45" i="28"/>
  <c r="K46" i="28"/>
  <c r="J45" i="25"/>
  <c r="K46" i="25" s="1"/>
  <c r="K46" i="27"/>
  <c r="K45" i="27"/>
  <c r="G75" i="23"/>
  <c r="G80" i="23" s="1"/>
  <c r="J45" i="23"/>
  <c r="K46" i="23" s="1"/>
  <c r="J45" i="24"/>
  <c r="K46" i="22"/>
  <c r="K45" i="22"/>
  <c r="K46" i="20"/>
  <c r="K45" i="20"/>
  <c r="J45" i="18"/>
  <c r="K46" i="18" s="1"/>
  <c r="K45" i="12"/>
  <c r="J45" i="17"/>
  <c r="K46" i="16"/>
  <c r="K45" i="16"/>
  <c r="J45" i="15"/>
  <c r="K45" i="15" s="1"/>
  <c r="K46" i="14"/>
  <c r="K45" i="14"/>
  <c r="J45" i="13"/>
  <c r="G8" i="9"/>
  <c r="H8" i="9"/>
  <c r="M20" i="9"/>
  <c r="K46" i="42" l="1"/>
  <c r="K45" i="42"/>
  <c r="K45" i="36"/>
  <c r="K45" i="30"/>
  <c r="K46" i="29"/>
  <c r="K45" i="29"/>
  <c r="K45" i="25"/>
  <c r="K45" i="23"/>
  <c r="K46" i="24"/>
  <c r="K45" i="24"/>
  <c r="K45" i="18"/>
  <c r="K46" i="15"/>
  <c r="K46" i="17"/>
  <c r="K45" i="17"/>
  <c r="K46" i="13"/>
  <c r="K45" i="13"/>
  <c r="I71" i="9"/>
  <c r="F38" i="9" l="1"/>
  <c r="N64" i="9" l="1"/>
  <c r="I40" i="9" l="1"/>
  <c r="G38" i="9"/>
  <c r="AA38" i="9" s="1"/>
  <c r="M40" i="9"/>
  <c r="L40" i="9"/>
  <c r="H40" i="9"/>
  <c r="G40" i="9"/>
  <c r="G39" i="9"/>
  <c r="AA39" i="9" l="1"/>
  <c r="AA45" i="9" s="1"/>
  <c r="AA44" i="9"/>
  <c r="N63" i="9"/>
  <c r="N62" i="9"/>
  <c r="N55" i="9"/>
  <c r="N59" i="9"/>
  <c r="M8" i="9" l="1"/>
  <c r="L8" i="9"/>
  <c r="D12" i="7" l="1"/>
  <c r="M21" i="9" l="1"/>
  <c r="M22" i="9"/>
  <c r="M23" i="9"/>
  <c r="M24" i="9"/>
  <c r="M25" i="9"/>
  <c r="M26" i="9"/>
  <c r="M27" i="9"/>
  <c r="M28" i="9"/>
  <c r="M29" i="9"/>
  <c r="M30" i="9"/>
  <c r="M32" i="9"/>
  <c r="M33" i="9"/>
  <c r="M34" i="9"/>
  <c r="I21" i="9"/>
  <c r="I22" i="9"/>
  <c r="I23" i="9"/>
  <c r="I24" i="9"/>
  <c r="I25" i="9"/>
  <c r="I26" i="9"/>
  <c r="I27" i="9"/>
  <c r="I28" i="9"/>
  <c r="I29" i="9"/>
  <c r="I30" i="9"/>
  <c r="I32" i="9"/>
  <c r="I33" i="9"/>
  <c r="I34" i="9"/>
  <c r="I20" i="9"/>
  <c r="I39" i="9" l="1"/>
  <c r="AB39" i="9" s="1"/>
  <c r="AC39" i="9" s="1"/>
  <c r="I38" i="9"/>
  <c r="J21" i="9"/>
  <c r="J23" i="9"/>
  <c r="J24" i="9"/>
  <c r="J25" i="9"/>
  <c r="J26" i="9"/>
  <c r="J27" i="9"/>
  <c r="J28" i="9"/>
  <c r="J29" i="9"/>
  <c r="J30" i="9"/>
  <c r="C15" i="9" l="1"/>
  <c r="J8" i="9" l="1"/>
  <c r="I8" i="9"/>
  <c r="D13" i="7" l="1"/>
  <c r="AB11" i="9" s="1"/>
  <c r="AB45" i="9" s="1"/>
  <c r="AC45" i="9" s="1"/>
  <c r="I74" i="9"/>
  <c r="H21" i="9"/>
  <c r="H22" i="9"/>
  <c r="H23" i="9"/>
  <c r="H24" i="9"/>
  <c r="H25" i="9"/>
  <c r="H26" i="9"/>
  <c r="H27" i="9"/>
  <c r="H28" i="9"/>
  <c r="H29" i="9"/>
  <c r="H30" i="9"/>
  <c r="H32" i="9"/>
  <c r="H33" i="9"/>
  <c r="J33" i="9" s="1"/>
  <c r="H34" i="9"/>
  <c r="J34" i="9" s="1"/>
  <c r="H35" i="9"/>
  <c r="J35" i="9" s="1"/>
  <c r="L21" i="9"/>
  <c r="L22" i="9"/>
  <c r="L23" i="9"/>
  <c r="L24" i="9"/>
  <c r="L25" i="9"/>
  <c r="L26" i="9"/>
  <c r="L27" i="9"/>
  <c r="L28" i="9"/>
  <c r="L29" i="9"/>
  <c r="L30" i="9"/>
  <c r="L32" i="9"/>
  <c r="L33" i="9"/>
  <c r="L34" i="9"/>
  <c r="L35" i="9"/>
  <c r="L20" i="9"/>
  <c r="H20" i="9"/>
  <c r="L39" i="9" l="1"/>
  <c r="H39" i="9"/>
  <c r="J22" i="9"/>
  <c r="J20" i="9"/>
  <c r="H38" i="9"/>
  <c r="L38" i="9"/>
  <c r="J32" i="9"/>
  <c r="E12" i="7"/>
  <c r="M35" i="9" s="1"/>
  <c r="M13" i="9"/>
  <c r="L13" i="9"/>
  <c r="I13" i="9"/>
  <c r="H13" i="9"/>
  <c r="G13" i="9"/>
  <c r="F13" i="9"/>
  <c r="N12" i="9"/>
  <c r="J12" i="9"/>
  <c r="J11" i="9"/>
  <c r="N10" i="9"/>
  <c r="J10" i="9"/>
  <c r="L41" i="9" l="1"/>
  <c r="M38" i="9"/>
  <c r="AB38" i="9" s="1"/>
  <c r="M39" i="9"/>
  <c r="J38" i="9"/>
  <c r="H41" i="9"/>
  <c r="N13" i="9"/>
  <c r="J13" i="9"/>
  <c r="H15" i="9" s="1"/>
  <c r="E26" i="7"/>
  <c r="E25" i="7"/>
  <c r="E24" i="7"/>
  <c r="E22" i="7"/>
  <c r="E21" i="7"/>
  <c r="E20" i="7"/>
  <c r="G15" i="9" l="1"/>
  <c r="I15" i="9" s="1"/>
  <c r="M41" i="9"/>
  <c r="AB44" i="9"/>
  <c r="AC44" i="9" s="1"/>
  <c r="AC38" i="9"/>
  <c r="E16" i="7"/>
  <c r="J15" i="9" l="1"/>
  <c r="F39" i="9" l="1"/>
  <c r="D4" i="7" l="1"/>
  <c r="D19" i="7" l="1"/>
  <c r="G4" i="7"/>
  <c r="F16" i="9"/>
  <c r="N23" i="9"/>
  <c r="N24" i="9"/>
  <c r="N25" i="9"/>
  <c r="N26" i="9"/>
  <c r="N27" i="9"/>
  <c r="N28" i="9"/>
  <c r="N30" i="9"/>
  <c r="N32" i="9"/>
  <c r="N33" i="9"/>
  <c r="N35" i="9"/>
  <c r="C38" i="9"/>
  <c r="C39" i="9"/>
  <c r="C40" i="9"/>
  <c r="F40" i="9"/>
  <c r="G50" i="9"/>
  <c r="H50" i="9"/>
  <c r="I50" i="9"/>
  <c r="J50" i="9"/>
  <c r="L50" i="9"/>
  <c r="M50" i="9"/>
  <c r="C51" i="9"/>
  <c r="F51" i="9"/>
  <c r="J54" i="9"/>
  <c r="J55" i="9"/>
  <c r="C56" i="9"/>
  <c r="J58" i="9"/>
  <c r="N58" i="9"/>
  <c r="J59" i="9"/>
  <c r="C60" i="9"/>
  <c r="J62" i="9"/>
  <c r="J64" i="9"/>
  <c r="G66" i="9"/>
  <c r="H66" i="9"/>
  <c r="I66" i="9"/>
  <c r="J66" i="9"/>
  <c r="C67" i="9"/>
  <c r="J70" i="9"/>
  <c r="J71" i="9"/>
  <c r="C75" i="9"/>
  <c r="C80" i="9"/>
  <c r="G16" i="9" l="1"/>
  <c r="H16" i="9"/>
  <c r="F52" i="9"/>
  <c r="F56" i="9" s="1"/>
  <c r="F60" i="9" s="1"/>
  <c r="F41" i="9"/>
  <c r="N39" i="9"/>
  <c r="I16" i="9"/>
  <c r="J40" i="9"/>
  <c r="J39" i="9"/>
  <c r="N29" i="9"/>
  <c r="N34" i="9"/>
  <c r="N40" i="9"/>
  <c r="I41" i="9"/>
  <c r="G41" i="9"/>
  <c r="E14" i="7"/>
  <c r="E15" i="7"/>
  <c r="E11" i="7"/>
  <c r="E10" i="7"/>
  <c r="E9" i="7"/>
  <c r="E8" i="7"/>
  <c r="E7" i="7"/>
  <c r="E6" i="7"/>
  <c r="E5" i="7"/>
  <c r="C4" i="7"/>
  <c r="CH8" i="5" l="1"/>
  <c r="CH16" i="5"/>
  <c r="CH24" i="5"/>
  <c r="CJ24" i="5" s="1"/>
  <c r="CH32" i="5"/>
  <c r="CH48" i="5"/>
  <c r="CH64" i="5"/>
  <c r="CH112" i="5"/>
  <c r="CH128" i="5"/>
  <c r="CH168" i="5"/>
  <c r="CH184" i="5"/>
  <c r="CH192" i="5"/>
  <c r="CH224" i="5"/>
  <c r="CH232" i="5"/>
  <c r="CJ232" i="5" s="1"/>
  <c r="CH240" i="5"/>
  <c r="CH248" i="5"/>
  <c r="CH296" i="5"/>
  <c r="CH312" i="5"/>
  <c r="CH376" i="5"/>
  <c r="CH384" i="5"/>
  <c r="CH400" i="5"/>
  <c r="CH408" i="5"/>
  <c r="CH416" i="5"/>
  <c r="CH440" i="5"/>
  <c r="CH584" i="5"/>
  <c r="CH592" i="5"/>
  <c r="CH624" i="5"/>
  <c r="CH632" i="5"/>
  <c r="CH664" i="5"/>
  <c r="CH672" i="5"/>
  <c r="CH680" i="5"/>
  <c r="CH696" i="5"/>
  <c r="CH17" i="5"/>
  <c r="CH25" i="5"/>
  <c r="CH33" i="5"/>
  <c r="CH65" i="5"/>
  <c r="CH73" i="5"/>
  <c r="CH81" i="5"/>
  <c r="CH105" i="5"/>
  <c r="CH113" i="5"/>
  <c r="CH121" i="5"/>
  <c r="CH129" i="5"/>
  <c r="CH145" i="5"/>
  <c r="CH153" i="5"/>
  <c r="CH169" i="5"/>
  <c r="CH177" i="5"/>
  <c r="CH185" i="5"/>
  <c r="CH193" i="5"/>
  <c r="CH233" i="5"/>
  <c r="CH281" i="5"/>
  <c r="CH289" i="5"/>
  <c r="CH305" i="5"/>
  <c r="CH385" i="5"/>
  <c r="CH393" i="5"/>
  <c r="CH401" i="5"/>
  <c r="CH409" i="5"/>
  <c r="CJ409" i="5" s="1"/>
  <c r="CH417" i="5"/>
  <c r="CH425" i="5"/>
  <c r="CH433" i="5"/>
  <c r="CH441" i="5"/>
  <c r="CH569" i="5"/>
  <c r="CH601" i="5"/>
  <c r="CH609" i="5"/>
  <c r="CH625" i="5"/>
  <c r="CH10" i="5"/>
  <c r="CH26" i="5"/>
  <c r="CH34" i="5"/>
  <c r="CH50" i="5"/>
  <c r="CH58" i="5"/>
  <c r="CH66" i="5"/>
  <c r="CH74" i="5"/>
  <c r="CH90" i="5"/>
  <c r="CH114" i="5"/>
  <c r="CH122" i="5"/>
  <c r="CH130" i="5"/>
  <c r="CH138" i="5"/>
  <c r="CH170" i="5"/>
  <c r="CH178" i="5"/>
  <c r="CH186" i="5"/>
  <c r="CH194" i="5"/>
  <c r="CH226" i="5"/>
  <c r="CH274" i="5"/>
  <c r="CH314" i="5"/>
  <c r="CH386" i="5"/>
  <c r="CH402" i="5"/>
  <c r="CH410" i="5"/>
  <c r="CH426" i="5"/>
  <c r="CH434" i="5"/>
  <c r="CH618" i="5"/>
  <c r="CH756" i="5" s="1"/>
  <c r="CH757" i="5" s="1"/>
  <c r="CH690" i="5"/>
  <c r="CH3" i="5"/>
  <c r="CJ3" i="5" s="1"/>
  <c r="CH11" i="5"/>
  <c r="CH19" i="5"/>
  <c r="CH27" i="5"/>
  <c r="CH35" i="5"/>
  <c r="CJ35" i="5" s="1"/>
  <c r="CH43" i="5"/>
  <c r="CH83" i="5"/>
  <c r="CH99" i="5"/>
  <c r="CJ99" i="5" s="1"/>
  <c r="CH107" i="5"/>
  <c r="CH115" i="5"/>
  <c r="CH123" i="5"/>
  <c r="CH131" i="5"/>
  <c r="CH139" i="5"/>
  <c r="CH147" i="5"/>
  <c r="CH163" i="5"/>
  <c r="CH713" i="5" s="1"/>
  <c r="CH714" i="5" s="1"/>
  <c r="CH179" i="5"/>
  <c r="CH187" i="5"/>
  <c r="CH195" i="5"/>
  <c r="CH235" i="5"/>
  <c r="CH243" i="5"/>
  <c r="CH251" i="5"/>
  <c r="CH267" i="5"/>
  <c r="CH291" i="5"/>
  <c r="CH307" i="5"/>
  <c r="CH371" i="5"/>
  <c r="CH379" i="5"/>
  <c r="CH387" i="5"/>
  <c r="CH395" i="5"/>
  <c r="CH403" i="5"/>
  <c r="CH411" i="5"/>
  <c r="CH435" i="5"/>
  <c r="CH443" i="5"/>
  <c r="CH451" i="5"/>
  <c r="CH744" i="5" s="1"/>
  <c r="CH745" i="5" s="1"/>
  <c r="CH587" i="5"/>
  <c r="CH611" i="5"/>
  <c r="CH627" i="5"/>
  <c r="CH691" i="5"/>
  <c r="CH2" i="5"/>
  <c r="CH4" i="5"/>
  <c r="CJ4" i="5" s="1"/>
  <c r="CH12" i="5"/>
  <c r="CH20" i="5"/>
  <c r="CH28" i="5"/>
  <c r="CH44" i="5"/>
  <c r="CH52" i="5"/>
  <c r="CH60" i="5"/>
  <c r="CH68" i="5"/>
  <c r="CH84" i="5"/>
  <c r="CH92" i="5"/>
  <c r="CH100" i="5"/>
  <c r="CH108" i="5"/>
  <c r="CH116" i="5"/>
  <c r="CH124" i="5"/>
  <c r="CH132" i="5"/>
  <c r="CH140" i="5"/>
  <c r="CH148" i="5"/>
  <c r="CH156" i="5"/>
  <c r="CH172" i="5"/>
  <c r="CH188" i="5"/>
  <c r="CH196" i="5"/>
  <c r="CH220" i="5"/>
  <c r="CH244" i="5"/>
  <c r="CH260" i="5"/>
  <c r="CH372" i="5"/>
  <c r="CH388" i="5"/>
  <c r="CH396" i="5"/>
  <c r="CH404" i="5"/>
  <c r="CH412" i="5"/>
  <c r="CH444" i="5"/>
  <c r="CH580" i="5"/>
  <c r="CH692" i="5"/>
  <c r="CH13" i="5"/>
  <c r="CH21" i="5"/>
  <c r="CH53" i="5"/>
  <c r="CH61" i="5"/>
  <c r="CJ61" i="5" s="1"/>
  <c r="CH77" i="5"/>
  <c r="CH109" i="5"/>
  <c r="CH117" i="5"/>
  <c r="CH141" i="5"/>
  <c r="CH149" i="5"/>
  <c r="CH165" i="5"/>
  <c r="CH173" i="5"/>
  <c r="CH181" i="5"/>
  <c r="CH189" i="5"/>
  <c r="CH229" i="5"/>
  <c r="CH237" i="5"/>
  <c r="CH245" i="5"/>
  <c r="CH253" i="5"/>
  <c r="CH269" i="5"/>
  <c r="CH277" i="5"/>
  <c r="CH285" i="5"/>
  <c r="CH309" i="5"/>
  <c r="CH317" i="5"/>
  <c r="CH357" i="5"/>
  <c r="CH727" i="5" s="1"/>
  <c r="CH373" i="5"/>
  <c r="CH381" i="5"/>
  <c r="CH389" i="5"/>
  <c r="CH397" i="5"/>
  <c r="CH405" i="5"/>
  <c r="CH413" i="5"/>
  <c r="CH421" i="5"/>
  <c r="CH445" i="5"/>
  <c r="CH485" i="5"/>
  <c r="CH565" i="5"/>
  <c r="CH597" i="5"/>
  <c r="CH605" i="5"/>
  <c r="CH621" i="5"/>
  <c r="CH629" i="5"/>
  <c r="CH645" i="5"/>
  <c r="CH771" i="5" s="1"/>
  <c r="CH772" i="5" s="1"/>
  <c r="CH661" i="5"/>
  <c r="CH773" i="5" s="1"/>
  <c r="CH774" i="5" s="1"/>
  <c r="CH6" i="5"/>
  <c r="CH54" i="5"/>
  <c r="CH70" i="5"/>
  <c r="CH86" i="5"/>
  <c r="CH102" i="5"/>
  <c r="CH118" i="5"/>
  <c r="CH134" i="5"/>
  <c r="CH150" i="5"/>
  <c r="CH174" i="5"/>
  <c r="CH182" i="5"/>
  <c r="CH190" i="5"/>
  <c r="CH222" i="5"/>
  <c r="CH230" i="5"/>
  <c r="CH238" i="5"/>
  <c r="CH262" i="5"/>
  <c r="CH286" i="5"/>
  <c r="CH294" i="5"/>
  <c r="CH310" i="5"/>
  <c r="CH390" i="5"/>
  <c r="CH398" i="5"/>
  <c r="CH414" i="5"/>
  <c r="CH422" i="5"/>
  <c r="CH430" i="5"/>
  <c r="CH446" i="5"/>
  <c r="CH614" i="5"/>
  <c r="CH622" i="5"/>
  <c r="CH630" i="5"/>
  <c r="CH694" i="5"/>
  <c r="CH7" i="5"/>
  <c r="CH15" i="5"/>
  <c r="CJ15" i="5" s="1"/>
  <c r="CH23" i="5"/>
  <c r="CH31" i="5"/>
  <c r="CH47" i="5"/>
  <c r="CH55" i="5"/>
  <c r="CH63" i="5"/>
  <c r="CH71" i="5"/>
  <c r="CH87" i="5"/>
  <c r="CH103" i="5"/>
  <c r="CH111" i="5"/>
  <c r="CH119" i="5"/>
  <c r="CH127" i="5"/>
  <c r="CH143" i="5"/>
  <c r="CH151" i="5"/>
  <c r="CH175" i="5"/>
  <c r="CH183" i="5"/>
  <c r="CH191" i="5"/>
  <c r="CH223" i="5"/>
  <c r="CH279" i="5"/>
  <c r="CH287" i="5"/>
  <c r="CH303" i="5"/>
  <c r="CH335" i="5"/>
  <c r="CH725" i="5" s="1"/>
  <c r="CH375" i="5"/>
  <c r="CH391" i="5"/>
  <c r="CH399" i="5"/>
  <c r="CH407" i="5"/>
  <c r="CH415" i="5"/>
  <c r="CH423" i="5"/>
  <c r="CH431" i="5"/>
  <c r="CH439" i="5"/>
  <c r="CH575" i="5"/>
  <c r="CH623" i="5"/>
  <c r="CH631" i="5"/>
  <c r="CG12" i="5"/>
  <c r="CG20" i="5"/>
  <c r="CG28" i="5"/>
  <c r="CG44" i="5"/>
  <c r="CG52" i="5"/>
  <c r="CJ52" i="5" s="1"/>
  <c r="CG60" i="5"/>
  <c r="CG68" i="5"/>
  <c r="CG84" i="5"/>
  <c r="CG92" i="5"/>
  <c r="CG100" i="5"/>
  <c r="CG108" i="5"/>
  <c r="CG116" i="5"/>
  <c r="CG124" i="5"/>
  <c r="CJ124" i="5" s="1"/>
  <c r="CG132" i="5"/>
  <c r="CG140" i="5"/>
  <c r="CG148" i="5"/>
  <c r="CG156" i="5"/>
  <c r="CG172" i="5"/>
  <c r="CG188" i="5"/>
  <c r="CG196" i="5"/>
  <c r="CG220" i="5"/>
  <c r="CG244" i="5"/>
  <c r="CG260" i="5"/>
  <c r="CG372" i="5"/>
  <c r="CG388" i="5"/>
  <c r="CG396" i="5"/>
  <c r="CG404" i="5"/>
  <c r="CG412" i="5"/>
  <c r="CG444" i="5"/>
  <c r="CG580" i="5"/>
  <c r="CG692" i="5"/>
  <c r="CG13" i="5"/>
  <c r="CG21" i="5"/>
  <c r="CG53" i="5"/>
  <c r="CG77" i="5"/>
  <c r="CG109" i="5"/>
  <c r="CG117" i="5"/>
  <c r="CG141" i="5"/>
  <c r="CG149" i="5"/>
  <c r="CG173" i="5"/>
  <c r="CG181" i="5"/>
  <c r="CG189" i="5"/>
  <c r="CG229" i="5"/>
  <c r="CG237" i="5"/>
  <c r="CG245" i="5"/>
  <c r="CG253" i="5"/>
  <c r="CG269" i="5"/>
  <c r="CG277" i="5"/>
  <c r="CG285" i="5"/>
  <c r="CG309" i="5"/>
  <c r="CG317" i="5"/>
  <c r="CG357" i="5"/>
  <c r="CG727" i="5" s="1"/>
  <c r="CG373" i="5"/>
  <c r="CG381" i="5"/>
  <c r="CG389" i="5"/>
  <c r="CG397" i="5"/>
  <c r="CG405" i="5"/>
  <c r="CG413" i="5"/>
  <c r="CG421" i="5"/>
  <c r="CG445" i="5"/>
  <c r="CG485" i="5"/>
  <c r="CG754" i="5" s="1"/>
  <c r="CG755" i="5" s="1"/>
  <c r="CG565" i="5"/>
  <c r="CG597" i="5"/>
  <c r="CG605" i="5"/>
  <c r="CG621" i="5"/>
  <c r="CG629" i="5"/>
  <c r="CG645" i="5"/>
  <c r="CG771" i="5" s="1"/>
  <c r="CG772" i="5" s="1"/>
  <c r="CG661" i="5"/>
  <c r="CG6" i="5"/>
  <c r="CG54" i="5"/>
  <c r="CG70" i="5"/>
  <c r="CG86" i="5"/>
  <c r="CG102" i="5"/>
  <c r="CG118" i="5"/>
  <c r="CG134" i="5"/>
  <c r="CG150" i="5"/>
  <c r="CG174" i="5"/>
  <c r="CG182" i="5"/>
  <c r="CG190" i="5"/>
  <c r="CG222" i="5"/>
  <c r="CG230" i="5"/>
  <c r="CG238" i="5"/>
  <c r="CG262" i="5"/>
  <c r="CG286" i="5"/>
  <c r="CG294" i="5"/>
  <c r="CG310" i="5"/>
  <c r="CG390" i="5"/>
  <c r="CG398" i="5"/>
  <c r="CG414" i="5"/>
  <c r="CG422" i="5"/>
  <c r="CG430" i="5"/>
  <c r="CG446" i="5"/>
  <c r="CG614" i="5"/>
  <c r="CG622" i="5"/>
  <c r="CG630" i="5"/>
  <c r="CG694" i="5"/>
  <c r="CG7" i="5"/>
  <c r="CG23" i="5"/>
  <c r="CG31" i="5"/>
  <c r="CG47" i="5"/>
  <c r="CG55" i="5"/>
  <c r="CG63" i="5"/>
  <c r="CG71" i="5"/>
  <c r="CG87" i="5"/>
  <c r="CG103" i="5"/>
  <c r="CG111" i="5"/>
  <c r="CG119" i="5"/>
  <c r="CG127" i="5"/>
  <c r="CG143" i="5"/>
  <c r="CG151" i="5"/>
  <c r="CG175" i="5"/>
  <c r="CG183" i="5"/>
  <c r="CG191" i="5"/>
  <c r="CG223" i="5"/>
  <c r="CG279" i="5"/>
  <c r="CG287" i="5"/>
  <c r="CG303" i="5"/>
  <c r="CG335" i="5"/>
  <c r="CG725" i="5" s="1"/>
  <c r="CG375" i="5"/>
  <c r="CG391" i="5"/>
  <c r="CG399" i="5"/>
  <c r="CG407" i="5"/>
  <c r="CG415" i="5"/>
  <c r="CG423" i="5"/>
  <c r="CG431" i="5"/>
  <c r="CG439" i="5"/>
  <c r="CG575" i="5"/>
  <c r="CG623" i="5"/>
  <c r="CG631" i="5"/>
  <c r="CG8" i="5"/>
  <c r="CJ8" i="5" s="1"/>
  <c r="CG16" i="5"/>
  <c r="CG32" i="5"/>
  <c r="CJ32" i="5" s="1"/>
  <c r="CG48" i="5"/>
  <c r="CJ48" i="5" s="1"/>
  <c r="CG64" i="5"/>
  <c r="CJ64" i="5" s="1"/>
  <c r="CG112" i="5"/>
  <c r="CG128" i="5"/>
  <c r="CG168" i="5"/>
  <c r="CG184" i="5"/>
  <c r="CJ184" i="5" s="1"/>
  <c r="CG192" i="5"/>
  <c r="CJ192" i="5" s="1"/>
  <c r="CG224" i="5"/>
  <c r="CJ224" i="5" s="1"/>
  <c r="CG240" i="5"/>
  <c r="CJ240" i="5" s="1"/>
  <c r="CG248" i="5"/>
  <c r="CJ248" i="5" s="1"/>
  <c r="CG296" i="5"/>
  <c r="CG312" i="5"/>
  <c r="CG376" i="5"/>
  <c r="CJ376" i="5" s="1"/>
  <c r="CG384" i="5"/>
  <c r="CJ384" i="5" s="1"/>
  <c r="CG400" i="5"/>
  <c r="CJ400" i="5" s="1"/>
  <c r="CG408" i="5"/>
  <c r="CG416" i="5"/>
  <c r="CJ416" i="5" s="1"/>
  <c r="CG440" i="5"/>
  <c r="CJ440" i="5" s="1"/>
  <c r="CG584" i="5"/>
  <c r="CG592" i="5"/>
  <c r="CG624" i="5"/>
  <c r="CJ624" i="5" s="1"/>
  <c r="CG632" i="5"/>
  <c r="CJ632" i="5" s="1"/>
  <c r="CG664" i="5"/>
  <c r="CJ664" i="5" s="1"/>
  <c r="CG672" i="5"/>
  <c r="CG680" i="5"/>
  <c r="CJ680" i="5" s="1"/>
  <c r="CG696" i="5"/>
  <c r="CJ696" i="5" s="1"/>
  <c r="CG17" i="5"/>
  <c r="CG25" i="5"/>
  <c r="CG33" i="5"/>
  <c r="CJ33" i="5" s="1"/>
  <c r="CG65" i="5"/>
  <c r="CJ65" i="5" s="1"/>
  <c r="CG73" i="5"/>
  <c r="CJ73" i="5" s="1"/>
  <c r="CG81" i="5"/>
  <c r="CG105" i="5"/>
  <c r="CJ105" i="5" s="1"/>
  <c r="CG113" i="5"/>
  <c r="CJ113" i="5" s="1"/>
  <c r="CG121" i="5"/>
  <c r="CG129" i="5"/>
  <c r="CG145" i="5"/>
  <c r="CJ145" i="5" s="1"/>
  <c r="CG153" i="5"/>
  <c r="CJ153" i="5" s="1"/>
  <c r="CG169" i="5"/>
  <c r="CJ169" i="5" s="1"/>
  <c r="CG177" i="5"/>
  <c r="CG185" i="5"/>
  <c r="CJ185" i="5" s="1"/>
  <c r="CG193" i="5"/>
  <c r="CJ193" i="5" s="1"/>
  <c r="CG233" i="5"/>
  <c r="CG281" i="5"/>
  <c r="CG289" i="5"/>
  <c r="CJ289" i="5" s="1"/>
  <c r="CG305" i="5"/>
  <c r="CJ305" i="5" s="1"/>
  <c r="CG385" i="5"/>
  <c r="CJ385" i="5" s="1"/>
  <c r="CG393" i="5"/>
  <c r="CG401" i="5"/>
  <c r="CJ401" i="5" s="1"/>
  <c r="CG417" i="5"/>
  <c r="CJ417" i="5" s="1"/>
  <c r="CG425" i="5"/>
  <c r="CJ425" i="5" s="1"/>
  <c r="CG433" i="5"/>
  <c r="CG441" i="5"/>
  <c r="CG569" i="5"/>
  <c r="CJ569" i="5" s="1"/>
  <c r="CG601" i="5"/>
  <c r="CJ601" i="5" s="1"/>
  <c r="CG609" i="5"/>
  <c r="CG625" i="5"/>
  <c r="CJ625" i="5" s="1"/>
  <c r="CG10" i="5"/>
  <c r="CJ10" i="5" s="1"/>
  <c r="CG26" i="5"/>
  <c r="CJ26" i="5" s="1"/>
  <c r="CG34" i="5"/>
  <c r="CG50" i="5"/>
  <c r="CG58" i="5"/>
  <c r="CJ58" i="5" s="1"/>
  <c r="CG66" i="5"/>
  <c r="CJ66" i="5" s="1"/>
  <c r="CG74" i="5"/>
  <c r="CG90" i="5"/>
  <c r="CG114" i="5"/>
  <c r="CJ114" i="5" s="1"/>
  <c r="CG122" i="5"/>
  <c r="CG130" i="5"/>
  <c r="CG138" i="5"/>
  <c r="CG170" i="5"/>
  <c r="CJ170" i="5" s="1"/>
  <c r="CG178" i="5"/>
  <c r="CJ178" i="5" s="1"/>
  <c r="CG186" i="5"/>
  <c r="CG194" i="5"/>
  <c r="CG226" i="5"/>
  <c r="CJ226" i="5" s="1"/>
  <c r="CG274" i="5"/>
  <c r="CG11" i="5"/>
  <c r="CG19" i="5"/>
  <c r="CG27" i="5"/>
  <c r="CJ27" i="5" s="1"/>
  <c r="CG43" i="5"/>
  <c r="CG83" i="5"/>
  <c r="CJ83" i="5" s="1"/>
  <c r="CG107" i="5"/>
  <c r="CG115" i="5"/>
  <c r="CJ115" i="5" s="1"/>
  <c r="CG123" i="5"/>
  <c r="CG131" i="5"/>
  <c r="CG139" i="5"/>
  <c r="CG147" i="5"/>
  <c r="CG163" i="5"/>
  <c r="CG179" i="5"/>
  <c r="CG187" i="5"/>
  <c r="CG195" i="5"/>
  <c r="CJ195" i="5" s="1"/>
  <c r="CG235" i="5"/>
  <c r="CG243" i="5"/>
  <c r="CG251" i="5"/>
  <c r="CG267" i="5"/>
  <c r="CG291" i="5"/>
  <c r="CG307" i="5"/>
  <c r="CG371" i="5"/>
  <c r="CG729" i="5" s="1"/>
  <c r="CG730" i="5" s="1"/>
  <c r="CG379" i="5"/>
  <c r="CG387" i="5"/>
  <c r="CG395" i="5"/>
  <c r="CG403" i="5"/>
  <c r="CG411" i="5"/>
  <c r="CG435" i="5"/>
  <c r="CG443" i="5"/>
  <c r="CG741" i="5" s="1"/>
  <c r="CG742" i="5" s="1"/>
  <c r="CG451" i="5"/>
  <c r="CG744" i="5" s="1"/>
  <c r="CG745" i="5" s="1"/>
  <c r="CG587" i="5"/>
  <c r="CJ587" i="5" s="1"/>
  <c r="CG611" i="5"/>
  <c r="CG627" i="5"/>
  <c r="CG691" i="5"/>
  <c r="CG314" i="5"/>
  <c r="CJ314" i="5" s="1"/>
  <c r="CG410" i="5"/>
  <c r="CJ410" i="5" s="1"/>
  <c r="CG386" i="5"/>
  <c r="CG434" i="5"/>
  <c r="CG618" i="5"/>
  <c r="CG690" i="5"/>
  <c r="CG402" i="5"/>
  <c r="CJ402" i="5" s="1"/>
  <c r="CG426" i="5"/>
  <c r="CJ426" i="5" s="1"/>
  <c r="F43" i="9"/>
  <c r="F44" i="9"/>
  <c r="C19" i="7"/>
  <c r="F4" i="7"/>
  <c r="J74" i="9"/>
  <c r="J41" i="9"/>
  <c r="E13" i="7"/>
  <c r="J16" i="9"/>
  <c r="L16" i="9" s="1"/>
  <c r="F67" i="9"/>
  <c r="F75" i="9" s="1"/>
  <c r="E4" i="7"/>
  <c r="E19" i="7" s="1"/>
  <c r="CG775" i="5" l="1"/>
  <c r="CG776" i="5" s="1"/>
  <c r="CH775" i="5"/>
  <c r="CH776" i="5" s="1"/>
  <c r="CG773" i="5"/>
  <c r="CG774" i="5" s="1"/>
  <c r="CH762" i="5"/>
  <c r="CH763" i="5" s="1"/>
  <c r="CG760" i="5"/>
  <c r="CG761" i="5" s="1"/>
  <c r="CG762" i="5"/>
  <c r="CG763" i="5" s="1"/>
  <c r="CH760" i="5"/>
  <c r="CH761" i="5" s="1"/>
  <c r="CJ233" i="5"/>
  <c r="CJ121" i="5"/>
  <c r="CJ17" i="5"/>
  <c r="CJ584" i="5"/>
  <c r="CJ296" i="5"/>
  <c r="CJ138" i="5"/>
  <c r="CJ50" i="5"/>
  <c r="CJ441" i="5"/>
  <c r="CJ618" i="5"/>
  <c r="CJ756" i="5" s="1"/>
  <c r="CJ757" i="5" s="1"/>
  <c r="CG756" i="5"/>
  <c r="CG757" i="5" s="1"/>
  <c r="CH754" i="5"/>
  <c r="CH755" i="5" s="1"/>
  <c r="CJ580" i="5"/>
  <c r="CJ244" i="5"/>
  <c r="CJ132" i="5"/>
  <c r="CJ60" i="5"/>
  <c r="CJ112" i="5"/>
  <c r="CH741" i="5"/>
  <c r="CH742" i="5" s="1"/>
  <c r="CH737" i="5"/>
  <c r="CH738" i="5" s="1"/>
  <c r="CG739" i="5"/>
  <c r="CG740" i="5" s="1"/>
  <c r="CH739" i="5"/>
  <c r="CH740" i="5" s="1"/>
  <c r="CG737" i="5"/>
  <c r="CG738" i="5" s="1"/>
  <c r="CH729" i="5"/>
  <c r="CH730" i="5" s="1"/>
  <c r="CH735" i="5"/>
  <c r="CH736" i="5" s="1"/>
  <c r="CG735" i="5"/>
  <c r="CG736" i="5" s="1"/>
  <c r="CJ404" i="5"/>
  <c r="CJ188" i="5"/>
  <c r="CJ108" i="5"/>
  <c r="CJ28" i="5"/>
  <c r="CJ379" i="5"/>
  <c r="CG731" i="5"/>
  <c r="CG732" i="5" s="1"/>
  <c r="CJ128" i="5"/>
  <c r="CH731" i="5"/>
  <c r="CH732" i="5" s="1"/>
  <c r="CJ396" i="5"/>
  <c r="CJ100" i="5"/>
  <c r="CJ53" i="5"/>
  <c r="CJ172" i="5"/>
  <c r="CJ20" i="5"/>
  <c r="CH724" i="5"/>
  <c r="CH728" i="5" s="1"/>
  <c r="CG724" i="5"/>
  <c r="CG728" i="5" s="1"/>
  <c r="CJ407" i="5"/>
  <c r="CJ223" i="5"/>
  <c r="CJ111" i="5"/>
  <c r="CJ23" i="5"/>
  <c r="CH721" i="5"/>
  <c r="CH722" i="5" s="1"/>
  <c r="CJ444" i="5"/>
  <c r="CJ220" i="5"/>
  <c r="CG721" i="5"/>
  <c r="CG722" i="5" s="1"/>
  <c r="CJ431" i="5"/>
  <c r="CJ303" i="5"/>
  <c r="CJ143" i="5"/>
  <c r="CJ55" i="5"/>
  <c r="CH711" i="5"/>
  <c r="CH712" i="5" s="1"/>
  <c r="CJ168" i="5"/>
  <c r="CG717" i="5"/>
  <c r="CG718" i="5" s="1"/>
  <c r="CH717" i="5"/>
  <c r="CH718" i="5" s="1"/>
  <c r="CJ165" i="5"/>
  <c r="CJ715" i="5" s="1"/>
  <c r="CJ716" i="5" s="1"/>
  <c r="CH715" i="5"/>
  <c r="CH716" i="5" s="1"/>
  <c r="CJ435" i="5"/>
  <c r="CJ291" i="5"/>
  <c r="CJ163" i="5"/>
  <c r="CJ713" i="5" s="1"/>
  <c r="CJ714" i="5" s="1"/>
  <c r="CG713" i="5"/>
  <c r="CG714" i="5" s="1"/>
  <c r="CJ13" i="5"/>
  <c r="CJ372" i="5"/>
  <c r="CJ148" i="5"/>
  <c r="CJ84" i="5"/>
  <c r="CJ149" i="5"/>
  <c r="CJ622" i="5"/>
  <c r="CJ310" i="5"/>
  <c r="CJ182" i="5"/>
  <c r="CJ54" i="5"/>
  <c r="CJ565" i="5"/>
  <c r="CJ381" i="5"/>
  <c r="CJ253" i="5"/>
  <c r="CH707" i="5"/>
  <c r="CH708" i="5" s="1"/>
  <c r="CJ21" i="5"/>
  <c r="CJ388" i="5"/>
  <c r="CJ156" i="5"/>
  <c r="CJ92" i="5"/>
  <c r="CJ12" i="5"/>
  <c r="CH703" i="5"/>
  <c r="CH704" i="5" s="1"/>
  <c r="CJ690" i="5"/>
  <c r="CJ274" i="5"/>
  <c r="CJ122" i="5"/>
  <c r="CG711" i="5"/>
  <c r="CG712" i="5" s="1"/>
  <c r="CJ439" i="5"/>
  <c r="CJ335" i="5"/>
  <c r="CJ725" i="5" s="1"/>
  <c r="CJ151" i="5"/>
  <c r="CJ63" i="5"/>
  <c r="CH709" i="5"/>
  <c r="CH710" i="5" s="1"/>
  <c r="CJ434" i="5"/>
  <c r="CJ194" i="5"/>
  <c r="CJ90" i="5"/>
  <c r="CG709" i="5"/>
  <c r="CG710" i="5" s="1"/>
  <c r="CJ611" i="5"/>
  <c r="CG707" i="5"/>
  <c r="CG708" i="5" s="1"/>
  <c r="CH705" i="5"/>
  <c r="CH706" i="5" s="1"/>
  <c r="CJ387" i="5"/>
  <c r="CJ267" i="5"/>
  <c r="CJ147" i="5"/>
  <c r="CJ43" i="5"/>
  <c r="CJ705" i="5" s="1"/>
  <c r="CJ706" i="5" s="1"/>
  <c r="CG705" i="5"/>
  <c r="CG706" i="5" s="1"/>
  <c r="CJ411" i="5"/>
  <c r="CJ235" i="5"/>
  <c r="CJ123" i="5"/>
  <c r="CJ692" i="5"/>
  <c r="CJ260" i="5"/>
  <c r="CJ140" i="5"/>
  <c r="CJ68" i="5"/>
  <c r="CJ141" i="5"/>
  <c r="CG701" i="5"/>
  <c r="CG702" i="5" s="1"/>
  <c r="CJ412" i="5"/>
  <c r="CJ196" i="5"/>
  <c r="CJ116" i="5"/>
  <c r="CJ44" i="5"/>
  <c r="CJ77" i="5"/>
  <c r="CJ422" i="5"/>
  <c r="CJ238" i="5"/>
  <c r="CJ118" i="5"/>
  <c r="CJ629" i="5"/>
  <c r="CJ413" i="5"/>
  <c r="CJ309" i="5"/>
  <c r="CJ189" i="5"/>
  <c r="CJ19" i="5"/>
  <c r="CG703" i="5"/>
  <c r="CG704" i="5" s="1"/>
  <c r="CJ631" i="5"/>
  <c r="CJ399" i="5"/>
  <c r="CJ191" i="5"/>
  <c r="CJ103" i="5"/>
  <c r="CJ2" i="5"/>
  <c r="CH701" i="5"/>
  <c r="CH702" i="5" s="1"/>
  <c r="CJ187" i="5"/>
  <c r="CJ451" i="5"/>
  <c r="CJ744" i="5" s="1"/>
  <c r="CJ745" i="5" s="1"/>
  <c r="CJ107" i="5"/>
  <c r="CJ16" i="5"/>
  <c r="CJ415" i="5"/>
  <c r="CJ279" i="5"/>
  <c r="CJ119" i="5"/>
  <c r="CJ31" i="5"/>
  <c r="CJ430" i="5"/>
  <c r="CJ262" i="5"/>
  <c r="CJ134" i="5"/>
  <c r="CJ645" i="5"/>
  <c r="CJ771" i="5" s="1"/>
  <c r="CJ772" i="5" s="1"/>
  <c r="CJ421" i="5"/>
  <c r="CJ737" i="5" s="1"/>
  <c r="CJ738" i="5" s="1"/>
  <c r="CJ317" i="5"/>
  <c r="CJ229" i="5"/>
  <c r="CJ403" i="5"/>
  <c r="CJ251" i="5"/>
  <c r="CJ691" i="5"/>
  <c r="CJ139" i="5"/>
  <c r="CJ575" i="5"/>
  <c r="CJ375" i="5"/>
  <c r="CJ175" i="5"/>
  <c r="CJ71" i="5"/>
  <c r="CJ630" i="5"/>
  <c r="CJ390" i="5"/>
  <c r="CJ190" i="5"/>
  <c r="CJ70" i="5"/>
  <c r="CJ597" i="5"/>
  <c r="CJ389" i="5"/>
  <c r="CJ269" i="5"/>
  <c r="CJ371" i="5"/>
  <c r="CJ614" i="5"/>
  <c r="CJ294" i="5"/>
  <c r="CJ174" i="5"/>
  <c r="CJ6" i="5"/>
  <c r="CJ485" i="5"/>
  <c r="CJ754" i="5" s="1"/>
  <c r="CJ755" i="5" s="1"/>
  <c r="CJ373" i="5"/>
  <c r="CJ245" i="5"/>
  <c r="CJ117" i="5"/>
  <c r="CJ386" i="5"/>
  <c r="CJ443" i="5"/>
  <c r="CJ307" i="5"/>
  <c r="CJ179" i="5"/>
  <c r="CJ186" i="5"/>
  <c r="CJ74" i="5"/>
  <c r="CJ609" i="5"/>
  <c r="CJ393" i="5"/>
  <c r="CJ177" i="5"/>
  <c r="CJ81" i="5"/>
  <c r="CJ672" i="5"/>
  <c r="CJ408" i="5"/>
  <c r="CJ423" i="5"/>
  <c r="CJ287" i="5"/>
  <c r="CJ127" i="5"/>
  <c r="CJ47" i="5"/>
  <c r="CJ446" i="5"/>
  <c r="CJ286" i="5"/>
  <c r="CJ150" i="5"/>
  <c r="CJ661" i="5"/>
  <c r="CJ773" i="5" s="1"/>
  <c r="CJ774" i="5" s="1"/>
  <c r="CJ445" i="5"/>
  <c r="CJ357" i="5"/>
  <c r="CJ727" i="5" s="1"/>
  <c r="CJ237" i="5"/>
  <c r="CJ109" i="5"/>
  <c r="CJ7" i="5"/>
  <c r="CJ414" i="5"/>
  <c r="CJ230" i="5"/>
  <c r="CJ102" i="5"/>
  <c r="CJ621" i="5"/>
  <c r="CJ405" i="5"/>
  <c r="CJ285" i="5"/>
  <c r="CJ181" i="5"/>
  <c r="CJ627" i="5"/>
  <c r="CJ395" i="5"/>
  <c r="CJ243" i="5"/>
  <c r="CJ131" i="5"/>
  <c r="CJ11" i="5"/>
  <c r="CJ130" i="5"/>
  <c r="CJ34" i="5"/>
  <c r="CJ433" i="5"/>
  <c r="CJ281" i="5"/>
  <c r="CJ129" i="5"/>
  <c r="CJ25" i="5"/>
  <c r="CJ592" i="5"/>
  <c r="CJ312" i="5"/>
  <c r="CJ623" i="5"/>
  <c r="CJ391" i="5"/>
  <c r="CJ183" i="5"/>
  <c r="CJ87" i="5"/>
  <c r="CJ694" i="5"/>
  <c r="CJ398" i="5"/>
  <c r="CJ222" i="5"/>
  <c r="CJ86" i="5"/>
  <c r="CJ605" i="5"/>
  <c r="CJ397" i="5"/>
  <c r="CJ277" i="5"/>
  <c r="CJ173" i="5"/>
  <c r="F80" i="9"/>
  <c r="F45" i="9"/>
  <c r="N22" i="9"/>
  <c r="N21" i="9"/>
  <c r="H51" i="9"/>
  <c r="I51" i="9"/>
  <c r="G51" i="9"/>
  <c r="G43" i="9" s="1"/>
  <c r="CJ775" i="5" l="1"/>
  <c r="CJ776" i="5" s="1"/>
  <c r="K334" i="10"/>
  <c r="M10" i="42"/>
  <c r="M10" i="41"/>
  <c r="K323" i="10"/>
  <c r="CJ760" i="5"/>
  <c r="CJ761" i="5" s="1"/>
  <c r="CJ762" i="5"/>
  <c r="CJ763" i="5" s="1"/>
  <c r="K268" i="10"/>
  <c r="M10" i="36"/>
  <c r="M10" i="35"/>
  <c r="K257" i="10"/>
  <c r="M10" i="31"/>
  <c r="K213" i="10"/>
  <c r="CJ741" i="5"/>
  <c r="CJ742" i="5" s="1"/>
  <c r="M10" i="28"/>
  <c r="K180" i="10"/>
  <c r="CJ739" i="5"/>
  <c r="CJ740" i="5" s="1"/>
  <c r="CJ735" i="5"/>
  <c r="CJ736" i="5" s="1"/>
  <c r="CJ731" i="5"/>
  <c r="CJ732" i="5" s="1"/>
  <c r="CJ729" i="5"/>
  <c r="CJ730" i="5" s="1"/>
  <c r="CJ724" i="5"/>
  <c r="CJ728" i="5" s="1"/>
  <c r="CJ721" i="5"/>
  <c r="CJ722" i="5" s="1"/>
  <c r="M10" i="19"/>
  <c r="K81" i="10"/>
  <c r="CJ717" i="5"/>
  <c r="CJ718" i="5" s="1"/>
  <c r="M10" i="18"/>
  <c r="K70" i="10"/>
  <c r="CJ711" i="5"/>
  <c r="CJ712" i="5" s="1"/>
  <c r="CJ709" i="5"/>
  <c r="CJ710" i="5" s="1"/>
  <c r="M10" i="14"/>
  <c r="K26" i="10"/>
  <c r="CJ703" i="5"/>
  <c r="CJ704" i="5" s="1"/>
  <c r="M10" i="13" s="1"/>
  <c r="CJ707" i="5"/>
  <c r="CJ708" i="5" s="1"/>
  <c r="CJ701" i="5"/>
  <c r="CJ702" i="5" s="1"/>
  <c r="M10" i="12" s="1"/>
  <c r="H52" i="9"/>
  <c r="H56" i="9" s="1"/>
  <c r="H60" i="9" s="1"/>
  <c r="H43" i="9"/>
  <c r="N20" i="9"/>
  <c r="G52" i="9"/>
  <c r="G56" i="9" s="1"/>
  <c r="G60" i="9" s="1"/>
  <c r="G44" i="9" s="1"/>
  <c r="J51" i="9"/>
  <c r="J52" i="9" s="1"/>
  <c r="J56" i="9" s="1"/>
  <c r="J60" i="9" s="1"/>
  <c r="I43" i="9"/>
  <c r="I52" i="9"/>
  <c r="I56" i="9" s="1"/>
  <c r="I60" i="9" s="1"/>
  <c r="M10" i="43" l="1"/>
  <c r="K345" i="10"/>
  <c r="M38" i="42"/>
  <c r="M13" i="42"/>
  <c r="AB10" i="42"/>
  <c r="AC10" i="42" s="1"/>
  <c r="N10" i="42"/>
  <c r="N13" i="42" s="1"/>
  <c r="K337" i="10"/>
  <c r="L334" i="10"/>
  <c r="L337" i="10" s="1"/>
  <c r="K326" i="10"/>
  <c r="L323" i="10"/>
  <c r="L326" i="10" s="1"/>
  <c r="AB10" i="41"/>
  <c r="AC10" i="41" s="1"/>
  <c r="M13" i="41"/>
  <c r="M38" i="41"/>
  <c r="N10" i="41"/>
  <c r="N13" i="41" s="1"/>
  <c r="M13" i="36"/>
  <c r="M38" i="36"/>
  <c r="AB10" i="36"/>
  <c r="AC10" i="36" s="1"/>
  <c r="N10" i="36"/>
  <c r="N13" i="36" s="1"/>
  <c r="K271" i="10"/>
  <c r="L268" i="10"/>
  <c r="L271" i="10" s="1"/>
  <c r="K260" i="10"/>
  <c r="L257" i="10"/>
  <c r="L260" i="10" s="1"/>
  <c r="N10" i="35"/>
  <c r="N13" i="35" s="1"/>
  <c r="M13" i="35"/>
  <c r="M38" i="35"/>
  <c r="AB10" i="35"/>
  <c r="AC10" i="35" s="1"/>
  <c r="K216" i="10"/>
  <c r="L213" i="10"/>
  <c r="L216" i="10" s="1"/>
  <c r="M13" i="31"/>
  <c r="M38" i="31"/>
  <c r="N10" i="31"/>
  <c r="N13" i="31" s="1"/>
  <c r="AB10" i="31"/>
  <c r="AC10" i="31" s="1"/>
  <c r="M10" i="30"/>
  <c r="K202" i="10"/>
  <c r="M10" i="29"/>
  <c r="K191" i="10"/>
  <c r="K183" i="10"/>
  <c r="L180" i="10"/>
  <c r="L183" i="10" s="1"/>
  <c r="N10" i="28"/>
  <c r="N13" i="28" s="1"/>
  <c r="M38" i="28"/>
  <c r="M13" i="28"/>
  <c r="AB10" i="28"/>
  <c r="AC10" i="28" s="1"/>
  <c r="M10" i="27"/>
  <c r="K169" i="10"/>
  <c r="M10" i="25"/>
  <c r="K147" i="10"/>
  <c r="K136" i="10"/>
  <c r="M10" i="24"/>
  <c r="M10" i="23"/>
  <c r="K125" i="10"/>
  <c r="M10" i="22"/>
  <c r="K114" i="10"/>
  <c r="M10" i="20"/>
  <c r="K92" i="10"/>
  <c r="K84" i="10"/>
  <c r="L81" i="10"/>
  <c r="L84" i="10" s="1"/>
  <c r="M13" i="19"/>
  <c r="M38" i="19"/>
  <c r="N10" i="19"/>
  <c r="N13" i="19" s="1"/>
  <c r="AB10" i="19"/>
  <c r="AC10" i="19" s="1"/>
  <c r="K73" i="10"/>
  <c r="L70" i="10"/>
  <c r="L73" i="10" s="1"/>
  <c r="M38" i="18"/>
  <c r="M13" i="18"/>
  <c r="AB10" i="18"/>
  <c r="AC10" i="18" s="1"/>
  <c r="N10" i="18"/>
  <c r="N13" i="18" s="1"/>
  <c r="K59" i="10"/>
  <c r="M10" i="17"/>
  <c r="K48" i="10"/>
  <c r="M10" i="16"/>
  <c r="M10" i="15"/>
  <c r="K37" i="10"/>
  <c r="K15" i="10"/>
  <c r="L15" i="10" s="1"/>
  <c r="L18" i="10" s="1"/>
  <c r="K29" i="10"/>
  <c r="L26" i="10"/>
  <c r="L29" i="10" s="1"/>
  <c r="M38" i="14"/>
  <c r="M13" i="14"/>
  <c r="N10" i="14"/>
  <c r="N13" i="14" s="1"/>
  <c r="AB10" i="14"/>
  <c r="AC10" i="14" s="1"/>
  <c r="K4" i="10"/>
  <c r="K7" i="10" s="1"/>
  <c r="M13" i="13"/>
  <c r="M38" i="13"/>
  <c r="AB10" i="13"/>
  <c r="AC10" i="13" s="1"/>
  <c r="N10" i="13"/>
  <c r="N13" i="13" s="1"/>
  <c r="M38" i="12"/>
  <c r="M13" i="12"/>
  <c r="AB10" i="12"/>
  <c r="AC10" i="12" s="1"/>
  <c r="N10" i="12"/>
  <c r="N13" i="12" s="1"/>
  <c r="H44" i="9"/>
  <c r="N41" i="9"/>
  <c r="N38" i="9"/>
  <c r="J43" i="9"/>
  <c r="K43" i="9" s="1"/>
  <c r="I44" i="9"/>
  <c r="I67" i="9"/>
  <c r="K348" i="10" l="1"/>
  <c r="L345" i="10"/>
  <c r="L348" i="10" s="1"/>
  <c r="N10" i="43"/>
  <c r="N13" i="43" s="1"/>
  <c r="M38" i="43"/>
  <c r="M13" i="43"/>
  <c r="AB10" i="43"/>
  <c r="AC10" i="43" s="1"/>
  <c r="M41" i="42"/>
  <c r="AB38" i="42"/>
  <c r="N38" i="42"/>
  <c r="M41" i="41"/>
  <c r="AB38" i="41"/>
  <c r="N38" i="41"/>
  <c r="M41" i="36"/>
  <c r="AB38" i="36"/>
  <c r="N38" i="36"/>
  <c r="M41" i="35"/>
  <c r="AB38" i="35"/>
  <c r="N38" i="35"/>
  <c r="M41" i="31"/>
  <c r="AB38" i="31"/>
  <c r="N38" i="31"/>
  <c r="K205" i="10"/>
  <c r="L202" i="10"/>
  <c r="L205" i="10" s="1"/>
  <c r="M13" i="30"/>
  <c r="M38" i="30"/>
  <c r="AB10" i="30"/>
  <c r="AC10" i="30" s="1"/>
  <c r="N10" i="30"/>
  <c r="N13" i="30" s="1"/>
  <c r="K194" i="10"/>
  <c r="L191" i="10"/>
  <c r="L194" i="10" s="1"/>
  <c r="M38" i="29"/>
  <c r="M13" i="29"/>
  <c r="AB10" i="29"/>
  <c r="AC10" i="29" s="1"/>
  <c r="N10" i="29"/>
  <c r="N13" i="29" s="1"/>
  <c r="M41" i="28"/>
  <c r="AB38" i="28"/>
  <c r="N38" i="28"/>
  <c r="AB10" i="27"/>
  <c r="AC10" i="27" s="1"/>
  <c r="M38" i="27"/>
  <c r="M13" i="27"/>
  <c r="N10" i="27"/>
  <c r="N13" i="27" s="1"/>
  <c r="K172" i="10"/>
  <c r="L169" i="10"/>
  <c r="L172" i="10" s="1"/>
  <c r="K150" i="10"/>
  <c r="L147" i="10"/>
  <c r="L150" i="10" s="1"/>
  <c r="M13" i="25"/>
  <c r="M38" i="25"/>
  <c r="AB10" i="25"/>
  <c r="AC10" i="25" s="1"/>
  <c r="N10" i="25"/>
  <c r="N13" i="25" s="1"/>
  <c r="M13" i="24"/>
  <c r="M38" i="24"/>
  <c r="AB10" i="24"/>
  <c r="AC10" i="24" s="1"/>
  <c r="N10" i="24"/>
  <c r="N13" i="24" s="1"/>
  <c r="K139" i="10"/>
  <c r="L136" i="10"/>
  <c r="L139" i="10" s="1"/>
  <c r="K128" i="10"/>
  <c r="L125" i="10"/>
  <c r="L128" i="10" s="1"/>
  <c r="M13" i="23"/>
  <c r="M38" i="23"/>
  <c r="N10" i="23"/>
  <c r="N13" i="23" s="1"/>
  <c r="AB10" i="23"/>
  <c r="AC10" i="23" s="1"/>
  <c r="K117" i="10"/>
  <c r="L114" i="10"/>
  <c r="L117" i="10" s="1"/>
  <c r="M13" i="22"/>
  <c r="M38" i="22"/>
  <c r="AB10" i="22"/>
  <c r="AC10" i="22" s="1"/>
  <c r="N10" i="22"/>
  <c r="N13" i="22" s="1"/>
  <c r="K18" i="10"/>
  <c r="K95" i="10"/>
  <c r="L92" i="10"/>
  <c r="L95" i="10" s="1"/>
  <c r="M13" i="20"/>
  <c r="M38" i="20"/>
  <c r="N10" i="20"/>
  <c r="N13" i="20" s="1"/>
  <c r="AB10" i="20"/>
  <c r="AC10" i="20" s="1"/>
  <c r="M41" i="19"/>
  <c r="N38" i="19"/>
  <c r="AB38" i="19"/>
  <c r="M41" i="18"/>
  <c r="N38" i="18"/>
  <c r="AB38" i="18"/>
  <c r="M38" i="17"/>
  <c r="M13" i="17"/>
  <c r="N10" i="17"/>
  <c r="N13" i="17" s="1"/>
  <c r="AB10" i="17"/>
  <c r="AC10" i="17" s="1"/>
  <c r="K62" i="10"/>
  <c r="L59" i="10"/>
  <c r="L62" i="10" s="1"/>
  <c r="M13" i="16"/>
  <c r="M38" i="16"/>
  <c r="N10" i="16"/>
  <c r="N13" i="16" s="1"/>
  <c r="AB10" i="16"/>
  <c r="AC10" i="16" s="1"/>
  <c r="K51" i="10"/>
  <c r="L48" i="10"/>
  <c r="L51" i="10" s="1"/>
  <c r="K40" i="10"/>
  <c r="L37" i="10"/>
  <c r="L40" i="10" s="1"/>
  <c r="AB10" i="15"/>
  <c r="AC10" i="15" s="1"/>
  <c r="M38" i="15"/>
  <c r="M13" i="15"/>
  <c r="N10" i="15"/>
  <c r="N13" i="15" s="1"/>
  <c r="L4" i="10"/>
  <c r="L7" i="10" s="1"/>
  <c r="M41" i="14"/>
  <c r="N38" i="14"/>
  <c r="AB38" i="14"/>
  <c r="M41" i="13"/>
  <c r="AB38" i="13"/>
  <c r="N38" i="13"/>
  <c r="M41" i="12"/>
  <c r="N38" i="12"/>
  <c r="AB38" i="12"/>
  <c r="I45" i="9"/>
  <c r="J44" i="9"/>
  <c r="K44" i="9" s="1"/>
  <c r="M41" i="43" l="1"/>
  <c r="N38" i="43"/>
  <c r="AB38" i="43"/>
  <c r="AB44" i="42"/>
  <c r="AC44" i="42" s="1"/>
  <c r="AC38" i="42"/>
  <c r="N41" i="42"/>
  <c r="I69" i="42"/>
  <c r="AB44" i="41"/>
  <c r="AC44" i="41" s="1"/>
  <c r="AC38" i="41"/>
  <c r="N41" i="41"/>
  <c r="I69" i="41"/>
  <c r="AB44" i="36"/>
  <c r="AC44" i="36" s="1"/>
  <c r="AC38" i="36"/>
  <c r="N41" i="36"/>
  <c r="I69" i="36"/>
  <c r="AB44" i="35"/>
  <c r="AC44" i="35" s="1"/>
  <c r="AC38" i="35"/>
  <c r="N41" i="35"/>
  <c r="I69" i="35"/>
  <c r="AB44" i="31"/>
  <c r="AC44" i="31" s="1"/>
  <c r="AC38" i="31"/>
  <c r="N41" i="31"/>
  <c r="I69" i="31"/>
  <c r="M41" i="30"/>
  <c r="AB38" i="30"/>
  <c r="N38" i="30"/>
  <c r="M41" i="29"/>
  <c r="AB38" i="29"/>
  <c r="N38" i="29"/>
  <c r="AC38" i="28"/>
  <c r="AB44" i="28"/>
  <c r="AC44" i="28" s="1"/>
  <c r="N41" i="28"/>
  <c r="I69" i="28"/>
  <c r="M41" i="27"/>
  <c r="AB38" i="27"/>
  <c r="N38" i="27"/>
  <c r="N38" i="25"/>
  <c r="M41" i="25"/>
  <c r="AB38" i="25"/>
  <c r="M41" i="24"/>
  <c r="AB38" i="24"/>
  <c r="N38" i="24"/>
  <c r="M41" i="23"/>
  <c r="AB38" i="23"/>
  <c r="N38" i="23"/>
  <c r="M41" i="22"/>
  <c r="AB38" i="22"/>
  <c r="N38" i="22"/>
  <c r="M41" i="20"/>
  <c r="AB38" i="20"/>
  <c r="N38" i="20"/>
  <c r="AB44" i="19"/>
  <c r="AC44" i="19" s="1"/>
  <c r="AC38" i="19"/>
  <c r="N41" i="19"/>
  <c r="I69" i="19"/>
  <c r="AB44" i="18"/>
  <c r="AC44" i="18" s="1"/>
  <c r="AC38" i="18"/>
  <c r="N41" i="18"/>
  <c r="I69" i="18"/>
  <c r="M41" i="17"/>
  <c r="N38" i="17"/>
  <c r="AB38" i="17"/>
  <c r="N38" i="16"/>
  <c r="M41" i="16"/>
  <c r="AB38" i="16"/>
  <c r="M41" i="15"/>
  <c r="AB38" i="15"/>
  <c r="N38" i="15"/>
  <c r="AB44" i="14"/>
  <c r="AC44" i="14" s="1"/>
  <c r="AC38" i="14"/>
  <c r="N41" i="14"/>
  <c r="I69" i="14"/>
  <c r="AB44" i="13"/>
  <c r="AC44" i="13" s="1"/>
  <c r="AC38" i="13"/>
  <c r="N41" i="13"/>
  <c r="I69" i="13"/>
  <c r="AB44" i="12"/>
  <c r="AC44" i="12" s="1"/>
  <c r="AC38" i="12"/>
  <c r="N41" i="12"/>
  <c r="I69" i="12"/>
  <c r="J67" i="9"/>
  <c r="AB44" i="43" l="1"/>
  <c r="AC44" i="43" s="1"/>
  <c r="AC38" i="43"/>
  <c r="N41" i="43"/>
  <c r="I69" i="43"/>
  <c r="J69" i="42"/>
  <c r="J75" i="42" s="1"/>
  <c r="J80" i="42" s="1"/>
  <c r="I75" i="42"/>
  <c r="I80" i="42" s="1"/>
  <c r="J69" i="41"/>
  <c r="J75" i="41" s="1"/>
  <c r="J80" i="41" s="1"/>
  <c r="I75" i="41"/>
  <c r="I80" i="41" s="1"/>
  <c r="J69" i="36"/>
  <c r="J75" i="36" s="1"/>
  <c r="J80" i="36" s="1"/>
  <c r="I75" i="36"/>
  <c r="I80" i="36" s="1"/>
  <c r="J69" i="35"/>
  <c r="J75" i="35" s="1"/>
  <c r="J80" i="35" s="1"/>
  <c r="I75" i="35"/>
  <c r="I80" i="35" s="1"/>
  <c r="J69" i="31"/>
  <c r="J75" i="31" s="1"/>
  <c r="J80" i="31" s="1"/>
  <c r="I75" i="31"/>
  <c r="I80" i="31" s="1"/>
  <c r="AB44" i="30"/>
  <c r="AC44" i="30" s="1"/>
  <c r="AC38" i="30"/>
  <c r="N41" i="30"/>
  <c r="I69" i="30"/>
  <c r="AB44" i="29"/>
  <c r="AC44" i="29" s="1"/>
  <c r="AC38" i="29"/>
  <c r="N41" i="29"/>
  <c r="I69" i="29"/>
  <c r="J69" i="28"/>
  <c r="J75" i="28" s="1"/>
  <c r="J80" i="28" s="1"/>
  <c r="I75" i="28"/>
  <c r="I80" i="28" s="1"/>
  <c r="AB44" i="27"/>
  <c r="AC44" i="27" s="1"/>
  <c r="AC38" i="27"/>
  <c r="N41" i="27"/>
  <c r="I69" i="27"/>
  <c r="AB44" i="25"/>
  <c r="AC44" i="25" s="1"/>
  <c r="AC38" i="25"/>
  <c r="N41" i="25"/>
  <c r="I69" i="25"/>
  <c r="AB44" i="24"/>
  <c r="AC44" i="24" s="1"/>
  <c r="AC38" i="24"/>
  <c r="N41" i="24"/>
  <c r="I69" i="24"/>
  <c r="AB44" i="23"/>
  <c r="AC44" i="23" s="1"/>
  <c r="AC38" i="23"/>
  <c r="N41" i="23"/>
  <c r="I69" i="23"/>
  <c r="AB44" i="22"/>
  <c r="AC44" i="22" s="1"/>
  <c r="AC38" i="22"/>
  <c r="N41" i="22"/>
  <c r="I69" i="22"/>
  <c r="AB44" i="20"/>
  <c r="AC44" i="20" s="1"/>
  <c r="AC38" i="20"/>
  <c r="N41" i="20"/>
  <c r="I69" i="20"/>
  <c r="J69" i="19"/>
  <c r="J75" i="19" s="1"/>
  <c r="J80" i="19" s="1"/>
  <c r="I75" i="19"/>
  <c r="I80" i="19" s="1"/>
  <c r="J69" i="18"/>
  <c r="J75" i="18" s="1"/>
  <c r="J80" i="18" s="1"/>
  <c r="I75" i="18"/>
  <c r="I80" i="18" s="1"/>
  <c r="AB44" i="17"/>
  <c r="AC44" i="17" s="1"/>
  <c r="AC38" i="17"/>
  <c r="N41" i="17"/>
  <c r="I69" i="17"/>
  <c r="AB44" i="16"/>
  <c r="AC44" i="16" s="1"/>
  <c r="AC38" i="16"/>
  <c r="N41" i="16"/>
  <c r="I69" i="16"/>
  <c r="AB44" i="15"/>
  <c r="AC44" i="15" s="1"/>
  <c r="AC38" i="15"/>
  <c r="N41" i="15"/>
  <c r="I69" i="15"/>
  <c r="J69" i="14"/>
  <c r="J75" i="14" s="1"/>
  <c r="J80" i="14" s="1"/>
  <c r="I75" i="14"/>
  <c r="I80" i="14" s="1"/>
  <c r="J69" i="13"/>
  <c r="J75" i="13" s="1"/>
  <c r="J80" i="13" s="1"/>
  <c r="I75" i="13"/>
  <c r="I80" i="13" s="1"/>
  <c r="J69" i="12"/>
  <c r="J75" i="12" s="1"/>
  <c r="J80" i="12" s="1"/>
  <c r="I75" i="12"/>
  <c r="I80" i="12" s="1"/>
  <c r="G73" i="9"/>
  <c r="G72" i="9"/>
  <c r="H68" i="9"/>
  <c r="J68" i="9" s="1"/>
  <c r="I69" i="9"/>
  <c r="H67" i="9"/>
  <c r="G67" i="9"/>
  <c r="J69" i="43" l="1"/>
  <c r="J75" i="43" s="1"/>
  <c r="J80" i="43" s="1"/>
  <c r="I75" i="43"/>
  <c r="I80" i="43" s="1"/>
  <c r="J69" i="30"/>
  <c r="J75" i="30" s="1"/>
  <c r="J80" i="30" s="1"/>
  <c r="I75" i="30"/>
  <c r="I80" i="30" s="1"/>
  <c r="J69" i="29"/>
  <c r="J75" i="29" s="1"/>
  <c r="J80" i="29" s="1"/>
  <c r="I75" i="29"/>
  <c r="I80" i="29" s="1"/>
  <c r="J69" i="27"/>
  <c r="J75" i="27" s="1"/>
  <c r="J80" i="27" s="1"/>
  <c r="I75" i="27"/>
  <c r="I80" i="27" s="1"/>
  <c r="J69" i="25"/>
  <c r="J75" i="25" s="1"/>
  <c r="J80" i="25" s="1"/>
  <c r="I75" i="25"/>
  <c r="I80" i="25" s="1"/>
  <c r="J69" i="24"/>
  <c r="J75" i="24" s="1"/>
  <c r="J80" i="24" s="1"/>
  <c r="I75" i="24"/>
  <c r="I80" i="24" s="1"/>
  <c r="J69" i="23"/>
  <c r="J75" i="23" s="1"/>
  <c r="J80" i="23" s="1"/>
  <c r="I75" i="23"/>
  <c r="I80" i="23" s="1"/>
  <c r="J69" i="22"/>
  <c r="J75" i="22" s="1"/>
  <c r="J80" i="22" s="1"/>
  <c r="I75" i="22"/>
  <c r="I80" i="22" s="1"/>
  <c r="J69" i="20"/>
  <c r="J75" i="20" s="1"/>
  <c r="J80" i="20" s="1"/>
  <c r="I75" i="20"/>
  <c r="I80" i="20" s="1"/>
  <c r="J69" i="17"/>
  <c r="J75" i="17" s="1"/>
  <c r="J80" i="17" s="1"/>
  <c r="I75" i="17"/>
  <c r="I80" i="17" s="1"/>
  <c r="J69" i="16"/>
  <c r="J75" i="16" s="1"/>
  <c r="J80" i="16" s="1"/>
  <c r="I75" i="16"/>
  <c r="I80" i="16" s="1"/>
  <c r="J69" i="15"/>
  <c r="J75" i="15" s="1"/>
  <c r="J80" i="15" s="1"/>
  <c r="I75" i="15"/>
  <c r="I80" i="15" s="1"/>
  <c r="H75" i="9"/>
  <c r="H80" i="9" s="1"/>
  <c r="G75" i="9"/>
  <c r="H45" i="9"/>
  <c r="G45" i="9"/>
  <c r="J69" i="9"/>
  <c r="J45" i="9" l="1"/>
  <c r="K45" i="9" s="1"/>
  <c r="I73" i="9"/>
  <c r="J73" i="9" s="1"/>
  <c r="O72" i="9"/>
  <c r="I72" i="9"/>
  <c r="M72" i="9"/>
  <c r="I75" i="9" l="1"/>
  <c r="I80" i="9" s="1"/>
  <c r="K46" i="9"/>
  <c r="G80" i="9"/>
  <c r="J72" i="9"/>
  <c r="J75" i="9" l="1"/>
  <c r="J80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4AC35073-6AB1-4336-B71D-4127B50CAB69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951E2B17-EEAB-4042-B7AE-F5886E63AAD5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A08562B5-963F-41DE-A446-FF53EA71C80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0FDB2AF6-3EAE-4D64-A639-9C3BEAA090A2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0CA502A7-3314-4085-ADC7-2D2579C54B07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676E4A78-9AA1-4BB8-B5C2-5B8DDBC60773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25BD8E73-28B0-40B2-8B84-721AC6192038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AC035772-5233-4B82-91CE-66CA8777F48F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078B0DA2-2E18-4FC1-8D9E-66D7CC6DFF88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1A9271FA-F656-4998-8B07-B40D04697EAA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E6042F08-6B1E-4CE2-85CF-7D7CE3168B7F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24085E7B-60CD-48A0-96E3-FF9C3E75B46B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711F29FE-0B28-4530-A038-727AB7ACA4C7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8A60A992-9E60-4D6D-BB4B-F98537AC5C02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5F28781F-4A20-4803-81D7-A9D50BE5FF1F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87E1C7D4-4123-444D-900E-BAE7B0316C48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985CEA0B-1B68-4F18-B7CE-F5328A2FDA4A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F616BAF0-AB3A-43EC-AFAA-9FEBB1082619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F5432B64-6D41-4C05-899D-E245FA53AC1D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07BBA31D-BD58-4B34-A7F0-E94720251D85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8DB84189-F97B-41A6-B21B-14946A31E5D6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1D8EC6A2-8012-4D7A-A159-0E18AE59F518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75507438-A419-4503-98B9-33DCBEE08E7A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5E83DECD-1E93-4793-8131-1F45D11C7EEF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3D689E1C-F5B7-4875-B2CD-9CCB99E5B043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B34EB6DE-17F8-4177-A79B-3B2410DD1F26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03BA1EA6-07DF-47A4-9A5C-27D6F61AF7F6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E2C77642-2F4C-4C24-83D7-472D6CF0B28B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7E7A0B32-32A5-4419-9E00-BD01C6CAA3F5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B85058F3-A341-4583-8E1C-E8117AC27BDA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0273C51D-DBB1-4805-B550-E58D7BE45B34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B4BF076F-3C1A-44D3-90B5-54BD136F161C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3C8D933F-8696-48EA-A4E6-4B60235F1795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A29B14E3-72A8-4B78-B2F6-8D67D4384A88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229215C6-3515-4B1F-96C6-9CC33AE1058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CAB3009E-4C23-4F2D-A17E-FFCE91BD7CDA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EF2DB63E-ABCF-4D7E-8708-D1F4D01F6114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FE282BC1-82EB-4427-9D39-48242555A922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D53ED074-8E0E-4195-AFA0-54EE364CF538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1D5BC9AB-3D2A-4391-8CF5-1E2F1E7B5847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1D4F6876-8244-4450-86E6-5FBCDA8BDA2E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7CC763C6-D032-4E04-9C9D-8A90AC4BC4D9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0BA0B0BD-88CB-437E-A6F1-1A83832323F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C2D3F951-6AC6-48A7-97FA-D82B2023491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91D6E265-AD0F-4DCF-ACB1-530687D25CF3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6753EBCD-774E-4744-A6B5-8BEA3266B7DE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13085542-4BC9-4E6A-8D80-5FC92C43AB17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A040DBE3-CCF1-4EEB-9396-C0AC39D489EA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AC998205-D5EC-4CE6-9AFE-82A016127AF8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2BFD2D99-66BB-41D0-98A5-2EF8DBA46B02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0E0D45B8-3AAB-4FA5-9483-AD449F938E24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63589132-A340-4625-AEF9-9297154FE63B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507B3B56-DED5-4916-B9D4-26FF347B857C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D3B17F73-5B71-45B5-99A7-39737369DEA6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68593529-2E73-44E6-B430-33A37D78E85F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9DA24C43-0410-434E-97E9-D720F6FB7E38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F3ADAE45-B1BB-488A-ADDD-7EF3AB28DD22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030DA0EE-9667-4874-A0B5-FA0DEC2C4717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6445B549-29A0-4719-B78F-72E107CF2E43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0B242EE8-E7F4-4CCE-8954-8785AB0191B6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7AF86DB5-78F8-4A86-9435-359B8E21EA0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E84C88C9-6170-4999-83EA-4EF05E34CD82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F46F5DD7-639F-47DA-9B65-B9FD77C0B692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6AC62D7C-9E44-4C0D-B716-E5C9186B46D1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34791754-89E0-4280-B832-DE5D0B29467E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09FAD1B5-C1F8-420F-B956-C9F292C7FBD5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D270111F-E1F9-48C5-81DA-42774D7D1A4A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ECC86FCC-E38D-47C7-9527-BE110AA8DA25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D5ED7D0E-1717-47F3-A9E4-8AEE3CE17031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48DAF7F5-C9E1-47BF-B235-266F606766E5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EF2DB80D-AB5D-47E7-A017-B50339AACB33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69D461E7-C9F6-4F44-9014-36CF5089F993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C5E1527A-0A53-4C94-8191-D401769AE6D3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539C4849-AEDA-4723-B172-02E524ED24BF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5969725C-C9F7-4EBD-9B6C-B9728F561C72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BAD9CB21-68E9-4334-BD94-5B88ED8CFE3B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54A6995C-4E1A-452C-8E3D-05581DBEA956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A2963435-2240-4188-985D-BEB027B15785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0DD73E95-E9E9-4F2F-8A7C-18B3F038E5A8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CE3FF946-5455-4916-B5D3-73C34F9917C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F2A5CBC6-9EAD-4678-871B-147CE9B97F95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3E5982F3-B38E-4620-910B-73A9D3C9B008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48DF70EF-1C87-4C29-9B49-26E7DD63C709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2D78C1E9-2A9C-41C1-8025-A1AFF2BFC59D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01751658-08FE-4A57-8DB9-759CD7DAF29F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6D05CC36-753D-4E69-9E6D-A2B2613FCB9C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BAD745A5-6659-48BE-AC30-8C4A9BDDC7C9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4BA1F180-525F-4695-967D-EBC9C6DE57B6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DF0586B6-0D5E-410A-A954-081C34C09CD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E548A9AB-0887-4308-AD7F-E782230EFBE2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7E6B6777-7CD6-41AC-96CA-7909C4348074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A8A72DDA-1FE9-43F4-B91B-CE4C804E1102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08082B3D-69AC-4AC1-AE84-758D2C18375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B095F901-6043-4E8F-A130-D460DC6C7F63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23FC0819-D278-48D1-AE00-4CD703012F00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B906F054-BF3F-4711-AE74-F38C1038D0C6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4E11207D-3A8A-4DA0-A9E0-06F2BD1B2A42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F05AC694-078C-49DF-87ED-9407D7593AF7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C94206D3-C6D8-4361-BF54-2BF4E4169552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AA976413-DC49-4C51-9A3B-DDD5862FF418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23D88BFB-6EF6-4D0D-BD52-F2DF54929356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E16C0C92-35BF-418B-9125-8E52A77B8E28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98DCB15F-7B91-4B4C-9D38-BAFB6B3DE261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3DE0AB30-54AF-43FD-8815-26E1BEEAA77F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8849148B-D266-433D-99F2-CF16F8729CF7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2ACDE3FA-A95D-4CEC-A5E9-BC3A9E3D1077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C1444494-97BA-4F80-8A08-882A30C0228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3A630B44-358B-4BB9-BE0E-7D2E7A54C27E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394830E7-9ADD-413B-8768-DA21FD855317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60EB295B-458D-4EA3-B018-86BCDCDD8058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3A0D8B97-D193-4B77-98CB-E160FDD9FB2A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17400ED9-BD76-42CB-883C-951BEFBF88C6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81E04287-63E0-48C5-8D17-1F30BC85B354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746D3FAD-7D1C-4677-9D31-FB022043EAB2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DD27FE44-F003-4FE9-9103-2B2C13B8925F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6477FE36-2A06-49F0-8269-60640221A8E9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381355A3-B963-43A2-979F-5DC9B7E1D779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049C96DD-16DB-4A9C-9354-76BC338BA71C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8AD668E2-B7CD-46C7-BE21-AEC93F98E636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B3C197B3-0EFF-4170-869B-18C18653FA0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E2D779BF-363B-4F7B-A225-B622E780C264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966711FD-39D2-4A87-A669-BF2ED265C65A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D380E2B8-2B01-4A0C-A0ED-6295EFD34717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0D5A0852-6C3E-46C2-90DB-E7B1CC5F707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C7AE5BBF-0E46-400D-8FD7-D238341FE619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3296B04A-6FFD-4B94-910D-01717E053713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03EA6522-B8E0-4ABC-9A5B-E1C0E6377E67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C909A2C8-F232-459B-99E2-CAE0EBBC8A6A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7AE4BE42-C764-45EE-B5AA-8A46187B072E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D1FC76D8-96D1-4B26-8F4E-A3A878B0ACAC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E2CC2DE5-8282-403B-AE51-0E77B62D77C2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C450BE94-69A3-466C-A3DF-03A5F60E6FF7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A24B7766-C6C9-43B8-9039-1B15386CEC96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9CE0DDE6-506A-430B-89E7-249D7F7BD0E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6E3910B9-C7C4-4603-9025-4AA077A3CA90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943AD3EE-4A4A-4CD6-BD11-504851E495E1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1F1AB781-46E7-4F6E-80A3-1D3321A65098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E9567138-C28E-4EA0-BCE7-060D6235041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C1F19CDC-3BC1-4CC7-9B96-5045257DF021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601521BC-2927-410D-BB6D-0B9ACB6FD24D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8F2270D3-1CBB-4759-8ECE-99C0F6C3BB03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A837DFC0-4FD0-4FA5-A2A4-F77EBC4699DF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11DB1E1F-B258-443A-8CEA-340CD92AA7E5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AFE0ABFB-D879-4E3B-A2D9-FB59E14429B8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5CF71BCC-13E1-48F2-838B-7E1A4ADDAD50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3D4DED66-E833-4F88-A90A-F5FDDAB85BE6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16AAAE34-E27B-4013-9631-8070D2FC6E5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3516844C-1A7C-4B0E-A5ED-7FD34943C5ED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94626A96-C4B1-4E5D-B0A3-D1BFFE018F23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56593C51-1BBE-47D4-803B-C7F47138EB1B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D3D63B42-3225-4D65-B129-AEFC44C7F2A2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7E07CB75-5711-4CA6-B403-D586544FCF3B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A2D1E7FF-52BA-4C4D-8F29-BB04BD0AC1E5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204F556E-177B-4DB0-9BB2-BAF1EBF5DE91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BD94BA11-719B-4F98-95EF-2D7B2F3CBF3D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64E2BD18-21EA-4A7D-9CD2-D193876BAA18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C71EC8F6-7A51-4C40-8FD6-1F77A007175C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11FD8E7C-DE5F-45D2-BBD3-14FE2FAC89D6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59417765-43A1-4CC0-BA61-BF0C84A5A54E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EE13FA29-4261-4456-B836-D5079D79DE03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BE630815-B383-4EDA-AB48-9FAD60994D9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4F56D9E1-1C3B-41AF-8F8F-3297314B0AA8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ED56D23B-9947-435C-BE7C-E4AFAD7CC2BC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E910979B-AB9C-4932-8BF2-F32084A9D525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7A49972A-1EA8-40BA-B658-912C6D7AE216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E1FB71DA-22D6-44B9-8374-820CB1251DB4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4A6092B9-8059-40BF-AD53-76388FC1E636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5C6F7B1E-7B56-4CCD-8388-127A8A94C5CA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BBAF4668-92F0-4CC3-93DD-50C9880150FB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EBF35410-605F-4C6B-B03A-67E31394A879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9F4BB57A-EF1C-43BC-AA1A-74F7C2725AF6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BF5952DD-260A-4C04-939F-2E3D9CC68E87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A5939229-3DB9-461F-830E-BBA9920C45D3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1A2B16B3-7FBD-4DE8-8385-96B0E0C0DE9A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A75220C7-C994-4266-988F-FD36783BA68E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48A38A13-66D7-47EC-88DC-1D46D615E1CC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95B74015-6A28-4885-96D7-84461595D933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7CAB0F25-EB1E-4AEA-BD2F-7E112AAC1DE6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29D25DCC-C682-4A83-A6D5-EADF25917145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FDA20A71-A092-4611-9AB2-1FB2E252F5D7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254357F2-E59C-4B43-A591-3BC839EF4D30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F33412CF-00C9-4488-88BF-7D0A6DC41116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5979CD21-3B9C-4B42-90BF-A70EFDBEB668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59C40015-7839-4683-A6F9-B96D9DD2B507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1CBF8F26-C58E-47D5-9207-AA712FFD78AF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E9DF3ED1-A947-4C9A-A689-F5922A94DC91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92964C20-843B-4E05-BCDD-D28B27F70C53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C38CB884-5301-4145-B0E3-A18851744C02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9151970A-F837-4EE5-A649-1CAF070E6F78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B428716A-3947-42FE-91E7-2C2A1C43535D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355982FB-A2C6-4E89-AC96-DAF5B6F1A547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966B6CE5-2275-4FBE-BD76-9441FA18825E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EE8AB114-EB08-4446-A6B9-09C3B0B26446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D880C2D8-34A2-48C4-8C35-377A6BEA3FE1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12A4E8CA-8748-4275-A893-E517EE823F42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8997720F-1883-426A-9F4A-92C6239C5DE3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C3A335BB-0202-454D-9B94-ECF68E7A5B13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3E449F73-722E-454D-84E9-F13C02F57566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C17D841C-E723-4E13-B6DE-AC0A8467F848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0AE30EB6-054B-4B54-8ADA-9F893BC2ACC6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3424092F-91B0-4AA3-8AB3-BA514118E657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7F73D68F-8A2D-40E8-AAB8-E06C32011A2C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339BE2FF-5603-4E51-8657-830356CF21C1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A78F0300-C6C2-490B-B99F-98E32228B11E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1C7C7D96-46DB-41F1-ACB2-BCF03B886102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A3E62BD7-951E-4482-AE5F-524A20D5E4B9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91168AD5-C3D2-42D9-ABB2-2D4A71C54453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A240F646-14BB-49D8-9651-3E8AA48B545F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83E25BF7-6B04-4584-B977-703C819F3FA1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3211A8EB-F5DB-49E5-8649-9C4273CF4E2A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5D239EE8-915F-4B92-B4EF-E5B6F19DF2F6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50136B7E-C819-4BAE-AFC4-3EA66742F4BD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6CE99F5A-E2D5-4D95-A9A7-675FC7C7EBB9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ACD5804D-8FA5-4FFC-816C-4B85133889AA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3840BF4F-CDC0-4986-8C9F-B1D713C305C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6493612E-E986-45C5-857A-2E154BA3ADEC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0D1AC560-2556-4F40-9068-BA2B68FD7353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337FB297-CC1A-4AEF-A443-6CFD9E71D8E7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DA32E439-A581-4EC3-8E9E-393FB25007F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B857EFE9-CF8F-4899-B7B6-1CACD98B2AF1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7BCF4261-4FF9-42A5-A1BD-BAE77B912C5F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C56A3D3B-DF62-4237-99F8-8A545511D63A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F8D2ADC2-26DB-4F4E-96C0-125273A824C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481E9034-29D3-4703-9310-DAB52EFDB355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B0944280-3716-4B1C-90E5-B1106AE5E28F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D30FB3A8-E7C7-4A98-ACC8-3D0ED72520E8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AA3105C4-837E-483A-8F39-AD325EC352DD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6FC8C919-2EBD-4A59-BB59-F31E4872908E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4E87DD8D-705F-41B6-A743-5C452A3DE805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F09FB8C3-3942-4F52-8573-055A56D53944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C2157CF1-E05B-4577-87BA-AFC89FF9EEDE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495575FD-9C46-4C42-82AA-AF54A73886C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64D9CBD6-6609-422F-B1D3-1A00FF40697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B9A9F9A1-8CE0-4804-9EF5-766F45FE6A5C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00000000-0006-0000-0200-000001000000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00000000-0006-0000-0200-000002000000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00000000-0006-0000-0200-00000300000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00000000-0006-0000-0200-000004000000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00000000-0006-0000-0200-000005000000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00000000-0006-0000-0200-000006000000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00000000-0006-0000-0200-00000700000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00000000-0006-0000-0200-00000800000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A0A843D4-16DB-40DB-A22A-E9933DF2D2C0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mfreeman</author>
  </authors>
  <commentList>
    <comment ref="C2" authorId="0" shapeId="0" xr:uid="{6D3FB70E-AAD0-485D-9F2B-789CC8A5175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3" authorId="0" shapeId="0" xr:uid="{82301F17-C747-4AAA-BC7C-D79C1105A3A5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4" authorId="0" shapeId="0" xr:uid="{964DAB24-D9E4-41FD-890D-73B2CE5DA2E6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35" authorId="0" shapeId="0" xr:uid="{84E06A33-564B-4BC7-A0F4-1FA8E765D39D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46" authorId="0" shapeId="0" xr:uid="{3E43C2CC-019A-4A31-BF1A-875FA0C499AF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57" authorId="0" shapeId="0" xr:uid="{ED41BE3A-31D8-4B0C-AB6E-98DE3108EC26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68" authorId="0" shapeId="0" xr:uid="{28BA63E9-85AC-4F45-9D81-265A2E9E95B7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79" authorId="0" shapeId="0" xr:uid="{C99E220D-AAF6-4EB9-8745-406F30EFEFE2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90" authorId="0" shapeId="0" xr:uid="{4DA102FF-D04D-4186-8809-7C8813E09CD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01" authorId="0" shapeId="0" xr:uid="{C81F40A0-68B4-45C5-B20E-1648F6A05665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12" authorId="0" shapeId="0" xr:uid="{0F85325E-F0AE-40A0-8B52-66355B0AE41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23" authorId="0" shapeId="0" xr:uid="{9DF89542-EC48-4EE0-8D4A-8770FC5DD38E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34" authorId="0" shapeId="0" xr:uid="{B0BD0C40-03D0-4F86-89A2-6DDA9CCCC30C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45" authorId="0" shapeId="0" xr:uid="{EFED0D23-1AD3-4F76-8D7D-0BE9788ED68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56" authorId="0" shapeId="0" xr:uid="{2007F053-FAB3-480F-B456-3E850BAB9D4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67" authorId="0" shapeId="0" xr:uid="{670D7154-1FC7-4A46-8913-31670C24779C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78" authorId="0" shapeId="0" xr:uid="{6042C3EA-B378-4AEB-8859-BF5D5B5A167A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89" authorId="0" shapeId="0" xr:uid="{3D28D7DC-4100-4B21-BDD2-E04B237F54E9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00" authorId="0" shapeId="0" xr:uid="{8FD8D6E6-A3A5-4719-BA31-2C76A5593F79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11" authorId="0" shapeId="0" xr:uid="{12D286DF-BE45-41FF-9FFE-5E6B51F310B3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22" authorId="0" shapeId="0" xr:uid="{7DB5FA0A-7DAC-49C6-A5EC-8BE3B07A0795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33" authorId="0" shapeId="0" xr:uid="{5C8817DC-23D0-4479-BB1D-2D4BD21BE475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44" authorId="0" shapeId="0" xr:uid="{A9AD34CB-0164-41E5-812A-4D97B4AF98AB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55" authorId="0" shapeId="0" xr:uid="{2B1CA8F9-2A5D-4D45-B0B8-FA78B4345C96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66" authorId="0" shapeId="0" xr:uid="{42E0B059-804D-4214-8DCB-9284EA9FAAC8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77" authorId="0" shapeId="0" xr:uid="{683058DE-7730-47B0-9DE3-417C55C69FE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88" authorId="0" shapeId="0" xr:uid="{9506C9EC-591B-40FC-9321-9D51E30E7C06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99" authorId="0" shapeId="0" xr:uid="{8C8C2140-09B7-4732-83C0-DA77C4F42F5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310" authorId="0" shapeId="0" xr:uid="{66FED21F-1ACA-4C4E-985A-A852EC6306F9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321" authorId="0" shapeId="0" xr:uid="{0B333B81-0455-4D48-97EA-90A16314D1B7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332" authorId="0" shapeId="0" xr:uid="{09183F8B-9E4E-40E6-89ED-5E09DB480AF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343" authorId="0" shapeId="0" xr:uid="{CADEC7B3-D87B-45F9-AB5E-097DCC98BDB7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D74C4082-15E1-4A49-B96A-0185F31888D2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E75A5F73-746C-42AB-8823-F8BAFADFD571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CE62BD6D-4B0F-4CE0-863F-A2DC943C0EC6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CA04DE39-60F5-460B-827F-7A290FC3C21E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5EFACBAA-C4A9-4A53-B545-F9ED6C8B1383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0A9B77CE-3A39-406B-A0BF-C7CB5CBF729D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03E96264-CECB-43D4-979B-F553BDE71597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E78B9573-76F7-466F-AE56-974A2F0D6E2C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555D9180-5655-4F16-BF1C-7BC3567A21D6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33F45FAB-6559-4DCF-96B2-FC5D799BBAD7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C30569A6-EB33-4B40-8534-493E03D8EE4C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7136E151-95F0-48B3-83DE-A1E953671AB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FD0A0DFA-AA65-4FFD-9FAC-E00147C077F3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98FB112C-C937-4A5C-8224-26E047AB2527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3F0F1E9F-F1AB-4959-A681-DBD2BDBD79EC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0F570D2F-81DE-43A9-9A32-78F2C6D84D0C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0DA22D37-3841-4F2F-83FD-5871060010A5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E8988EE5-19B1-46C5-85EA-4BDF7EB1B1DC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489F9F60-F9D1-48B9-8982-3691F3011397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495592C7-9147-4C5B-B6BE-1BF3C9080CB1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7010D889-D582-4C57-84B8-526CBD414C0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17DC14B5-4189-4E0A-A7DE-21BB486835D2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B53A172E-6B76-4121-97A8-EECF335C6AEE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82D41744-5178-45BC-A8FC-FEA5E9F80E57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D788420F-6903-4A9F-897C-0AA1C90BCA95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BF07C1B6-1E73-4380-B2C3-EADB218E4253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4109DABC-49AA-4C57-900D-8D4C8ABBB0B0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3BA584DF-9F1A-49A4-851F-8C30146EA4C3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12987961-80E9-4D71-98FA-1DE0D007910D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17819912-D528-4575-87FC-44D8BC76C098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F355F02C-D87E-4427-8557-A364AEE3E4B1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FDF27E77-E5EA-49ED-A5FF-4BAD1C7F133A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B8811D26-2FEE-4E30-9F27-0D8355ADAC3F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8CC1E686-F641-4ED1-9173-4C4471429A0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7CE6C3CD-F5EA-4858-9F25-2E4C304B6F6C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C79E04DA-E383-4E89-ACA1-97FB50653E77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8CCFA0EE-2F5E-4A67-9B85-ADF2279C161F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DA8C493E-6DC7-48B5-866D-9F2184474F1E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F9B4211B-4D55-41AC-AF51-5BB49A36F665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AAE0C7B4-F242-4056-B812-C879C064D4E2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2D67CF28-B89C-476D-923D-13F0DEB9DF52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FBAC3401-9E73-4D32-890D-D49736171964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C367C9DA-7547-43D8-A678-AA16E18F8732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205AE5E1-6C4F-410C-A34D-B1837C4EBE8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3E719818-21B4-4DCE-9605-11B16AF68DAD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96F80FE0-6D75-48AF-A105-0F888967C50F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75F241F2-F4D3-47E0-B057-E8B5571BE813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0C7846C2-CA14-48D3-847E-2FB004031CBB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CF4E9ED5-7B96-47ED-8725-20DEE8908CE4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4DFAF660-9F41-4471-B7E5-993A5C2AD017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036790E2-76D1-494B-BF90-3EE71FCD925F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FA612599-C290-4A4E-8349-B012AD0F0EC5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3495D634-83F3-4EEB-8228-994128A3D40C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A1D72C50-C2C9-43B2-B0E8-FE49D79A69B8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sharedStrings.xml><?xml version="1.0" encoding="utf-8"?>
<sst xmlns="http://schemas.openxmlformats.org/spreadsheetml/2006/main" count="18532" uniqueCount="1634">
  <si>
    <t>Current Year</t>
  </si>
  <si>
    <t>Budgeted Year</t>
  </si>
  <si>
    <t>FICA SSDI Rate</t>
  </si>
  <si>
    <t>FICA SSHI Rate</t>
  </si>
  <si>
    <t>Unemployment Rate</t>
  </si>
  <si>
    <t>Workers Comp Rate</t>
  </si>
  <si>
    <t>Life Insurance Rate</t>
  </si>
  <si>
    <t>Unused sick leave rate</t>
  </si>
  <si>
    <t>DHR rate</t>
  </si>
  <si>
    <t>Total Group</t>
  </si>
  <si>
    <t>Agency Benefit Information</t>
  </si>
  <si>
    <t>Total Permanent</t>
  </si>
  <si>
    <t>Full Time Health Costs</t>
  </si>
  <si>
    <t>Agency/Department:</t>
  </si>
  <si>
    <t>Agency Number:</t>
  </si>
  <si>
    <t>Fiscal Year:</t>
  </si>
  <si>
    <t>Original Request Date:</t>
  </si>
  <si>
    <t>Fund Name:</t>
  </si>
  <si>
    <t>Revision Date:</t>
  </si>
  <si>
    <t>Revision #:</t>
  </si>
  <si>
    <t>PCN</t>
  </si>
  <si>
    <t>CLASS CODE</t>
  </si>
  <si>
    <t>DESCRIPTION</t>
  </si>
  <si>
    <t>Indicator Code</t>
  </si>
  <si>
    <t>FTP</t>
  </si>
  <si>
    <t>TOTAL BENEFIT CHANGES</t>
  </si>
  <si>
    <t>Totals from Wage and Salary Report (WSR):</t>
  </si>
  <si>
    <t>Permanent Positions</t>
  </si>
  <si>
    <t>Board &amp; Group Positions</t>
  </si>
  <si>
    <t>Elected Officials &amp; Full Time Commissioners</t>
  </si>
  <si>
    <t>TOTAL FROM WSR</t>
  </si>
  <si>
    <t>ORIGINAL APPROPRIATION</t>
  </si>
  <si>
    <t>Unadjusted Over or (Under) Funded:</t>
  </si>
  <si>
    <t>Est Difference</t>
  </si>
  <si>
    <t>Adjustments to Wage &amp; Salary:</t>
  </si>
  <si>
    <t>Add Funded / Subtract Unfunded - Vacant or Authorized - Positions:</t>
  </si>
  <si>
    <t>Other Adjustments:</t>
  </si>
  <si>
    <t>Estimated Salary Needs:</t>
  </si>
  <si>
    <t>Estimated Salary and Benefits</t>
  </si>
  <si>
    <t>Adjusted Over or (Under) Funding:</t>
  </si>
  <si>
    <t>Orig. Approp</t>
  </si>
  <si>
    <t>Est. Expend</t>
  </si>
  <si>
    <t>DU</t>
  </si>
  <si>
    <t>Original Appropriation</t>
  </si>
  <si>
    <t>Total Benefit Change</t>
  </si>
  <si>
    <t xml:space="preserve"> </t>
  </si>
  <si>
    <t>Rounded Appropriation</t>
  </si>
  <si>
    <t>Appropriation Adjustments:</t>
  </si>
  <si>
    <t>Reappropriation</t>
  </si>
  <si>
    <t>Supplemental</t>
  </si>
  <si>
    <t>TOTAL APPROPRIATION</t>
  </si>
  <si>
    <t>Expenditure Adjustments:</t>
  </si>
  <si>
    <t>FTP or Fund Adjustment</t>
  </si>
  <si>
    <t>ESTIMATED EXPENDITURES</t>
  </si>
  <si>
    <t>Base Adjustments:</t>
  </si>
  <si>
    <t>Removal of One-Time Expenditures</t>
  </si>
  <si>
    <t>Base Reduction</t>
  </si>
  <si>
    <t>BASE</t>
  </si>
  <si>
    <t>Change in Health Benefit Costs</t>
  </si>
  <si>
    <t>Change in Variable Benefits Costs</t>
  </si>
  <si>
    <t>Annualization</t>
  </si>
  <si>
    <t>CEC for Group Positions</t>
  </si>
  <si>
    <t>CEC for Elected Officials &amp; Commissioners</t>
  </si>
  <si>
    <t>PROGRAM MAINTENANCE</t>
  </si>
  <si>
    <t>Line Items:</t>
  </si>
  <si>
    <t>TOTAL REQUEST</t>
  </si>
  <si>
    <t>Transfer Between Programs</t>
  </si>
  <si>
    <t xml:space="preserve">Transfer Between Programs </t>
  </si>
  <si>
    <t>R1</t>
  </si>
  <si>
    <t>R6</t>
  </si>
  <si>
    <t>R2</t>
  </si>
  <si>
    <t>R4</t>
  </si>
  <si>
    <t>R5</t>
  </si>
  <si>
    <t>R8</t>
  </si>
  <si>
    <t>R7</t>
  </si>
  <si>
    <t>Regular Retirement</t>
  </si>
  <si>
    <t>Police/Fire Retirement</t>
  </si>
  <si>
    <t>Former Public Safety (1985)</t>
  </si>
  <si>
    <t xml:space="preserve">Dept of Labor </t>
  </si>
  <si>
    <t>Judges Retirement</t>
  </si>
  <si>
    <t>Optional Retirement</t>
  </si>
  <si>
    <t>RETIREMENT RATES</t>
  </si>
  <si>
    <t>Part Time Health Costs</t>
  </si>
  <si>
    <t>FTI</t>
  </si>
  <si>
    <t>Budget Submission Page #</t>
  </si>
  <si>
    <t>of</t>
  </si>
  <si>
    <t>Retire Cd</t>
  </si>
  <si>
    <t>Adjustment Description / Position Title</t>
  </si>
  <si>
    <t>** MESSAGE CODES:</t>
  </si>
  <si>
    <t>1 = POSITION WITH MULTIPLE DISTRIBUTIONS</t>
  </si>
  <si>
    <t>2 = DELETED POSITION WITH ACTUAL DOLLARS</t>
  </si>
  <si>
    <t>3 = INCUMBENT IS AN UNDERFILL</t>
  </si>
  <si>
    <t>5 = SHIFT DIFFERENTIAL</t>
  </si>
  <si>
    <t>6 = MULTIPLE FILL CALCULATION</t>
  </si>
  <si>
    <t>Salary</t>
  </si>
  <si>
    <t>Variable Benefits</t>
  </si>
  <si>
    <t>Total Benefits</t>
  </si>
  <si>
    <t>Totals by Fund</t>
  </si>
  <si>
    <t>Health Benefits</t>
  </si>
  <si>
    <t>Base</t>
  </si>
  <si>
    <t xml:space="preserve">Personnel Cost Reconciliation - Relation to Zero Variance  ---&gt; </t>
  </si>
  <si>
    <t>CEC for Permanent Positions</t>
  </si>
  <si>
    <t>Elected Officials</t>
  </si>
  <si>
    <t>Permanent Position CEC Rate</t>
  </si>
  <si>
    <t>Group Position CEC Rate</t>
  </si>
  <si>
    <t>Filled</t>
  </si>
  <si>
    <t>Total</t>
  </si>
  <si>
    <t>Filled and Adjustments</t>
  </si>
  <si>
    <t>Adjustments Only</t>
  </si>
  <si>
    <t>Percent of Filled Positions</t>
  </si>
  <si>
    <t>FTP = POSITION FTE = (PAY PERIOD HOURS/80) * FTE PCT OF YEAR * POSITION DISTRIBUTION %</t>
  </si>
  <si>
    <t>FTI  = EMPLOYEE FTE = (PAY PERIOD HOURS/80)  * FTE PCT OF YEAR * POSITION DISTRIBUTION %</t>
  </si>
  <si>
    <t>orig CEC</t>
  </si>
  <si>
    <t>Luma Fund Number</t>
  </si>
  <si>
    <t>Appropriation (Budget) Unit</t>
  </si>
  <si>
    <t>Historical Fund #:</t>
  </si>
  <si>
    <t>Budgeted Division:</t>
  </si>
  <si>
    <t>Budgeted Program</t>
  </si>
  <si>
    <t>FISCAL YEAR</t>
  </si>
  <si>
    <t>AGENCY CODE</t>
  </si>
  <si>
    <t>PCN TITLE</t>
  </si>
  <si>
    <t>FUND CODE</t>
  </si>
  <si>
    <t>FUND DETAIL CODE</t>
  </si>
  <si>
    <t>BUDGET UNIT</t>
  </si>
  <si>
    <t>PCA</t>
  </si>
  <si>
    <t>INDEX CODE</t>
  </si>
  <si>
    <t>PCN DIST COUNT</t>
  </si>
  <si>
    <t>PCN CLASS CODE</t>
  </si>
  <si>
    <t>PCN PAY GRADE</t>
  </si>
  <si>
    <t>PCN STATUS CODE</t>
  </si>
  <si>
    <t>PCN TYPE CODE</t>
  </si>
  <si>
    <t>INCUMBENT COUNT</t>
  </si>
  <si>
    <t>PCN DIST PCT</t>
  </si>
  <si>
    <t>PCN FTE PCT</t>
  </si>
  <si>
    <t>PCN PP HOURS</t>
  </si>
  <si>
    <t>PCN FTP</t>
  </si>
  <si>
    <t>PCN ACTUAL REGULAR</t>
  </si>
  <si>
    <t>PCN ACTUAL OT</t>
  </si>
  <si>
    <t>PCN ACTUAL BENEFITS</t>
  </si>
  <si>
    <t>PCN ESTIMATED SALARY</t>
  </si>
  <si>
    <t>PCN ESTIMATED BENEFITS</t>
  </si>
  <si>
    <t>PCN PROJECTED SALARY</t>
  </si>
  <si>
    <t>PCN PROJECTED BENEFITS</t>
  </si>
  <si>
    <t>EMPLOYEE NAME</t>
  </si>
  <si>
    <t>LAST NAME</t>
  </si>
  <si>
    <t>FIRST NAME</t>
  </si>
  <si>
    <t>MIDDLE NAME</t>
  </si>
  <si>
    <t>INCUMBENT CLASS</t>
  </si>
  <si>
    <t>INCUMBENT PAY SCHEDULE</t>
  </si>
  <si>
    <t>PAY RATE IND</t>
  </si>
  <si>
    <t>PAY RATE</t>
  </si>
  <si>
    <t>CSS HOURS</t>
  </si>
  <si>
    <t>WORK TYPE CODE</t>
  </si>
  <si>
    <t>HEALTH ELIG IND</t>
  </si>
  <si>
    <t>SICK LEAVE ELIG IND</t>
  </si>
  <si>
    <t>UI ELIG IND</t>
  </si>
  <si>
    <t>RET OPT CODE</t>
  </si>
  <si>
    <t>INCUMBENT PP HOURS</t>
  </si>
  <si>
    <t>INCUMBENT FTE</t>
  </si>
  <si>
    <t>INCUMBENT FTI</t>
  </si>
  <si>
    <t>MSGS</t>
  </si>
  <si>
    <t>2022</t>
  </si>
  <si>
    <t>210</t>
  </si>
  <si>
    <t>0004</t>
  </si>
  <si>
    <t>DEPUTY DIRECTOR - AG</t>
  </si>
  <si>
    <t>0001</t>
  </si>
  <si>
    <t>00</t>
  </si>
  <si>
    <t>AGAA</t>
  </si>
  <si>
    <t>001</t>
  </si>
  <si>
    <t>20801</t>
  </si>
  <si>
    <t>F</t>
  </si>
  <si>
    <t>NR</t>
  </si>
  <si>
    <t>YOUNG, CHANEL M.</t>
  </si>
  <si>
    <t>YOUNG</t>
  </si>
  <si>
    <t>CHANEL</t>
  </si>
  <si>
    <t>MARIE</t>
  </si>
  <si>
    <t>00000</t>
  </si>
  <si>
    <t>H</t>
  </si>
  <si>
    <t>FS</t>
  </si>
  <si>
    <t>E</t>
  </si>
  <si>
    <t>N</t>
  </si>
  <si>
    <t>Y</t>
  </si>
  <si>
    <t xml:space="preserve">    </t>
  </si>
  <si>
    <t>0003</t>
  </si>
  <si>
    <t>ISDA ADMIN DIV ADMIN</t>
  </si>
  <si>
    <t>002</t>
  </si>
  <si>
    <t>20811</t>
  </si>
  <si>
    <t>NIELSEN, KELLY A.</t>
  </si>
  <si>
    <t>NIELSEN</t>
  </si>
  <si>
    <t>KELLY</t>
  </si>
  <si>
    <t>A</t>
  </si>
  <si>
    <t>DIRECTOR- DEPT OF AG</t>
  </si>
  <si>
    <t>20800</t>
  </si>
  <si>
    <t>GOULD, CECELIA R.</t>
  </si>
  <si>
    <t>GOULD</t>
  </si>
  <si>
    <t>CECELIA</t>
  </si>
  <si>
    <t>RUTH</t>
  </si>
  <si>
    <t>0011</t>
  </si>
  <si>
    <t xml:space="preserve">HUMAN RESOURCE SPEC </t>
  </si>
  <si>
    <t>05141</t>
  </si>
  <si>
    <t>K</t>
  </si>
  <si>
    <t>V</t>
  </si>
  <si>
    <t>CR</t>
  </si>
  <si>
    <t>1225</t>
  </si>
  <si>
    <t xml:space="preserve">PROGRAM SPECIALIST  </t>
  </si>
  <si>
    <t>05274</t>
  </si>
  <si>
    <t>BAKER, HAILEY S.</t>
  </si>
  <si>
    <t>BAKER</t>
  </si>
  <si>
    <t>HAILEY</t>
  </si>
  <si>
    <t>SUE</t>
  </si>
  <si>
    <t xml:space="preserve">HK   </t>
  </si>
  <si>
    <t>0582</t>
  </si>
  <si>
    <t xml:space="preserve">MCMURRY, DALLAS </t>
  </si>
  <si>
    <t>MCMURRY</t>
  </si>
  <si>
    <t>DALLAS</t>
  </si>
  <si>
    <t xml:space="preserve">              </t>
  </si>
  <si>
    <t>0438</t>
  </si>
  <si>
    <t>MORRIS, LAURA J.</t>
  </si>
  <si>
    <t>MORRIS</t>
  </si>
  <si>
    <t>LAURA</t>
  </si>
  <si>
    <t>J</t>
  </si>
  <si>
    <t>0318</t>
  </si>
  <si>
    <t>IT INFO SYS AND INFR</t>
  </si>
  <si>
    <t>01730</t>
  </si>
  <si>
    <t>L</t>
  </si>
  <si>
    <t>D</t>
  </si>
  <si>
    <t>0304</t>
  </si>
  <si>
    <t>FINANCIAL SPECIALIST</t>
  </si>
  <si>
    <t>04245</t>
  </si>
  <si>
    <t>HOGG, DANIEL E.</t>
  </si>
  <si>
    <t>HOGG</t>
  </si>
  <si>
    <t>DANIEL</t>
  </si>
  <si>
    <t xml:space="preserve">HL   </t>
  </si>
  <si>
    <t>0216</t>
  </si>
  <si>
    <t xml:space="preserve">PURCHASING AGENT    </t>
  </si>
  <si>
    <t>01532</t>
  </si>
  <si>
    <t>HEISS, MAUREEN A.</t>
  </si>
  <si>
    <t>HEISS</t>
  </si>
  <si>
    <t>MAUREEN</t>
  </si>
  <si>
    <t>ANNE</t>
  </si>
  <si>
    <t>0212</t>
  </si>
  <si>
    <t xml:space="preserve">FINANCIAL OFFICER   </t>
  </si>
  <si>
    <t>04241</t>
  </si>
  <si>
    <t>O</t>
  </si>
  <si>
    <t>MARCH, TONYA M.</t>
  </si>
  <si>
    <t>MARCH</t>
  </si>
  <si>
    <t>TONYA</t>
  </si>
  <si>
    <t>M</t>
  </si>
  <si>
    <t xml:space="preserve">HO   </t>
  </si>
  <si>
    <t>0037</t>
  </si>
  <si>
    <t xml:space="preserve">AGRICULTURE PROGRAM </t>
  </si>
  <si>
    <t>00180</t>
  </si>
  <si>
    <t>PRATT LICKLEY, ANNA K.</t>
  </si>
  <si>
    <t>PRATT LICKLEY</t>
  </si>
  <si>
    <t>ANNA</t>
  </si>
  <si>
    <t>KAY</t>
  </si>
  <si>
    <t xml:space="preserve">HN   </t>
  </si>
  <si>
    <t>0030</t>
  </si>
  <si>
    <t xml:space="preserve">BUILDING FAC FRMN   </t>
  </si>
  <si>
    <t>06646</t>
  </si>
  <si>
    <t>PERRY, GREGORY R.</t>
  </si>
  <si>
    <t>PERRY</t>
  </si>
  <si>
    <t>GREGORY</t>
  </si>
  <si>
    <t>ROBERT</t>
  </si>
  <si>
    <t xml:space="preserve">HJ   </t>
  </si>
  <si>
    <t>0028</t>
  </si>
  <si>
    <t xml:space="preserve">CHIEF OF STAFF/COMM </t>
  </si>
  <si>
    <t>20807</t>
  </si>
  <si>
    <t>JUKER, PAMELA L.</t>
  </si>
  <si>
    <t>JUKER</t>
  </si>
  <si>
    <t>PAMELA</t>
  </si>
  <si>
    <t>0019</t>
  </si>
  <si>
    <t xml:space="preserve">ADMIN ASST 2        </t>
  </si>
  <si>
    <t>01231</t>
  </si>
  <si>
    <t>I</t>
  </si>
  <si>
    <t>GULLICK, DICSIE R.</t>
  </si>
  <si>
    <t>GULLICK</t>
  </si>
  <si>
    <t>DICSIE</t>
  </si>
  <si>
    <t>R</t>
  </si>
  <si>
    <t xml:space="preserve">HI   </t>
  </si>
  <si>
    <t>0006</t>
  </si>
  <si>
    <t>HUMAN RESOURCE OFFIC</t>
  </si>
  <si>
    <t>05131</t>
  </si>
  <si>
    <t>HALL, HANNA M.</t>
  </si>
  <si>
    <t>HALL</t>
  </si>
  <si>
    <t>HANNA</t>
  </si>
  <si>
    <t>9101</t>
  </si>
  <si>
    <t xml:space="preserve">GROUP POSITION      </t>
  </si>
  <si>
    <t>0125</t>
  </si>
  <si>
    <t>01</t>
  </si>
  <si>
    <t>90000</t>
  </si>
  <si>
    <t>NG</t>
  </si>
  <si>
    <t>0029</t>
  </si>
  <si>
    <t>0406</t>
  </si>
  <si>
    <t xml:space="preserve">GRANTS/CNTRCTS MGMT </t>
  </si>
  <si>
    <t>08843</t>
  </si>
  <si>
    <t>SNYDER, KATHY L.</t>
  </si>
  <si>
    <t>SNYDER</t>
  </si>
  <si>
    <t>KATHY</t>
  </si>
  <si>
    <t xml:space="preserve">HM   </t>
  </si>
  <si>
    <t>0308</t>
  </si>
  <si>
    <t>CHIEF OPERATIONS OFF</t>
  </si>
  <si>
    <t>27430</t>
  </si>
  <si>
    <t>HARRIS, STEVIE H.</t>
  </si>
  <si>
    <t>HARRIS</t>
  </si>
  <si>
    <t>STEVIE</t>
  </si>
  <si>
    <t>0201</t>
  </si>
  <si>
    <t xml:space="preserve">OFFICE SPECIALIST 1 </t>
  </si>
  <si>
    <t>01114</t>
  </si>
  <si>
    <t>KNIGHT, JULIE L.</t>
  </si>
  <si>
    <t>KNIGHT</t>
  </si>
  <si>
    <t>JULIE</t>
  </si>
  <si>
    <t xml:space="preserve">HE   </t>
  </si>
  <si>
    <t>PT</t>
  </si>
  <si>
    <t>0106</t>
  </si>
  <si>
    <t>MANAGEMENT ASSISTANT</t>
  </si>
  <si>
    <t>05272</t>
  </si>
  <si>
    <t>CRUMRINE, JENNIFER L.</t>
  </si>
  <si>
    <t>CRUMRINE</t>
  </si>
  <si>
    <t>JENNIFER</t>
  </si>
  <si>
    <t>0036</t>
  </si>
  <si>
    <t>04244</t>
  </si>
  <si>
    <t>ZIEGLER, MELONIE S.</t>
  </si>
  <si>
    <t>ZIEGLER</t>
  </si>
  <si>
    <t>MELONIE</t>
  </si>
  <si>
    <t>S</t>
  </si>
  <si>
    <t>0035</t>
  </si>
  <si>
    <t>HUMAN RESOURCE SPEC,</t>
  </si>
  <si>
    <t>05134</t>
  </si>
  <si>
    <t xml:space="preserve">MABEY, SARAH </t>
  </si>
  <si>
    <t>MABEY</t>
  </si>
  <si>
    <t>SARAH</t>
  </si>
  <si>
    <t>0009</t>
  </si>
  <si>
    <t>RICHARDSON, SAMUEL K.</t>
  </si>
  <si>
    <t>RICHARDSON</t>
  </si>
  <si>
    <t>SAMUEL</t>
  </si>
  <si>
    <t>KEITH</t>
  </si>
  <si>
    <t>9280</t>
  </si>
  <si>
    <t>0309</t>
  </si>
  <si>
    <t>IT SOFTWARE ENGINEER</t>
  </si>
  <si>
    <t>01716</t>
  </si>
  <si>
    <t>9222</t>
  </si>
  <si>
    <t>9105</t>
  </si>
  <si>
    <t>9104</t>
  </si>
  <si>
    <t>02</t>
  </si>
  <si>
    <t>9040</t>
  </si>
  <si>
    <t>0014</t>
  </si>
  <si>
    <t xml:space="preserve">MAINT CRAFTSMAN     </t>
  </si>
  <si>
    <t>06634</t>
  </si>
  <si>
    <t>G</t>
  </si>
  <si>
    <t>ROSE, JAMES G.</t>
  </si>
  <si>
    <t>ROSE</t>
  </si>
  <si>
    <t>JAMES</t>
  </si>
  <si>
    <t xml:space="preserve">HG   </t>
  </si>
  <si>
    <t>0032</t>
  </si>
  <si>
    <t xml:space="preserve">MICROBIOLOGIST      </t>
  </si>
  <si>
    <t>AGAB</t>
  </si>
  <si>
    <t>07411</t>
  </si>
  <si>
    <t>LERAISTRE, LARAMIE J.</t>
  </si>
  <si>
    <t>LERAISTRE</t>
  </si>
  <si>
    <t>LARAMIE</t>
  </si>
  <si>
    <t>0256</t>
  </si>
  <si>
    <t>AGRICULTURE INVSTGTR</t>
  </si>
  <si>
    <t>00375</t>
  </si>
  <si>
    <t>0020</t>
  </si>
  <si>
    <t xml:space="preserve">TECH RECORDS SPEC 2 </t>
  </si>
  <si>
    <t>01103</t>
  </si>
  <si>
    <t>DOWNUM, DANA C.</t>
  </si>
  <si>
    <t>DOWNUM</t>
  </si>
  <si>
    <t>DANA</t>
  </si>
  <si>
    <t>C</t>
  </si>
  <si>
    <t>1418</t>
  </si>
  <si>
    <t xml:space="preserve">AG BUREAU CHIEF     </t>
  </si>
  <si>
    <t>00186</t>
  </si>
  <si>
    <t>P</t>
  </si>
  <si>
    <t>VERMEER, MITCHELL D.</t>
  </si>
  <si>
    <t>VERMEER</t>
  </si>
  <si>
    <t>MITCHELL</t>
  </si>
  <si>
    <t xml:space="preserve">HP   </t>
  </si>
  <si>
    <t>0130</t>
  </si>
  <si>
    <t xml:space="preserve">RANGE MGT SPEC      </t>
  </si>
  <si>
    <t>01015</t>
  </si>
  <si>
    <t>0012</t>
  </si>
  <si>
    <t>STROM, THADDEUS L.</t>
  </si>
  <si>
    <t>STROM</t>
  </si>
  <si>
    <t>THADDEUS</t>
  </si>
  <si>
    <t>1412</t>
  </si>
  <si>
    <t>WECKWERTH, KRISTI D.</t>
  </si>
  <si>
    <t>WECKWERTH</t>
  </si>
  <si>
    <t>KRISTI</t>
  </si>
  <si>
    <t>0005</t>
  </si>
  <si>
    <t>WHEELER, LANCE A.</t>
  </si>
  <si>
    <t>WHEELER</t>
  </si>
  <si>
    <t>LANCE</t>
  </si>
  <si>
    <t>ALLAN</t>
  </si>
  <si>
    <t>1198</t>
  </si>
  <si>
    <t xml:space="preserve">CHANEY, DANIEL </t>
  </si>
  <si>
    <t>CHANEY</t>
  </si>
  <si>
    <t>1195</t>
  </si>
  <si>
    <t>MARPLE, JENNIFER K.</t>
  </si>
  <si>
    <t>MARPLE</t>
  </si>
  <si>
    <t>KATHLEEN</t>
  </si>
  <si>
    <t>1190</t>
  </si>
  <si>
    <t>SANFORD, KERRY A.</t>
  </si>
  <si>
    <t>SANFORD</t>
  </si>
  <si>
    <t>KERRY</t>
  </si>
  <si>
    <t>1182</t>
  </si>
  <si>
    <t>00412</t>
  </si>
  <si>
    <t>MEIERS, JACOB W.</t>
  </si>
  <si>
    <t>MEIERS</t>
  </si>
  <si>
    <t>JACOB</t>
  </si>
  <si>
    <t>W</t>
  </si>
  <si>
    <t>9428</t>
  </si>
  <si>
    <t>1118</t>
  </si>
  <si>
    <t>MORTENSEN, KELLY G.</t>
  </si>
  <si>
    <t>MORTENSEN</t>
  </si>
  <si>
    <t>GENE</t>
  </si>
  <si>
    <t>9657</t>
  </si>
  <si>
    <t xml:space="preserve">LABORATORY TECH     </t>
  </si>
  <si>
    <t>07426</t>
  </si>
  <si>
    <t>1117</t>
  </si>
  <si>
    <t>VET, MEDICAL OFCR, S</t>
  </si>
  <si>
    <t>00262</t>
  </si>
  <si>
    <t>LAWRENCE, DEBRA M.</t>
  </si>
  <si>
    <t>LAWRENCE</t>
  </si>
  <si>
    <t>DEBRA</t>
  </si>
  <si>
    <t>1115</t>
  </si>
  <si>
    <t>ANIMAL INDUSTRIES AD</t>
  </si>
  <si>
    <t>20804</t>
  </si>
  <si>
    <t>LEIBSLE, SCOTT R.</t>
  </si>
  <si>
    <t>LEIBSLE</t>
  </si>
  <si>
    <t>SCOTT</t>
  </si>
  <si>
    <t>1114</t>
  </si>
  <si>
    <t>GOSLIN, ANGELA E.</t>
  </si>
  <si>
    <t>GOSLIN</t>
  </si>
  <si>
    <t>ANGELA</t>
  </si>
  <si>
    <t xml:space="preserve">HH   </t>
  </si>
  <si>
    <t>1111</t>
  </si>
  <si>
    <t>LEAVITT, KATHARINE L.</t>
  </si>
  <si>
    <t>LEAVITT</t>
  </si>
  <si>
    <t>KATHARINE</t>
  </si>
  <si>
    <t>1110</t>
  </si>
  <si>
    <t>BOYER, TALLEN K.</t>
  </si>
  <si>
    <t>BOYER</t>
  </si>
  <si>
    <t>TALLEN</t>
  </si>
  <si>
    <t>KENNETH</t>
  </si>
  <si>
    <t>1109</t>
  </si>
  <si>
    <t>SABATINO, GAYLENE J.</t>
  </si>
  <si>
    <t>SABATINO</t>
  </si>
  <si>
    <t>GAYLENE</t>
  </si>
  <si>
    <t>1108</t>
  </si>
  <si>
    <t>WALTERS, DENISE C.</t>
  </si>
  <si>
    <t>WALTERS</t>
  </si>
  <si>
    <t>DENISE</t>
  </si>
  <si>
    <t>9655</t>
  </si>
  <si>
    <t>008</t>
  </si>
  <si>
    <t>1107</t>
  </si>
  <si>
    <t xml:space="preserve">TECH RECORDS SPEC 1 </t>
  </si>
  <si>
    <t>01104</t>
  </si>
  <si>
    <t>BALLINGER, KAITLYN J.</t>
  </si>
  <si>
    <t>BALLINGER</t>
  </si>
  <si>
    <t>KAITLYN</t>
  </si>
  <si>
    <t>JEANETTE</t>
  </si>
  <si>
    <t>1105</t>
  </si>
  <si>
    <t>JUKER, MIRANDA L.</t>
  </si>
  <si>
    <t>MIRANDA</t>
  </si>
  <si>
    <t>1103</t>
  </si>
  <si>
    <t xml:space="preserve">MICROBIOLOGIST PRIN </t>
  </si>
  <si>
    <t>07409</t>
  </si>
  <si>
    <t xml:space="preserve">JAKAITIS, MICHELLE </t>
  </si>
  <si>
    <t>JAKAITIS</t>
  </si>
  <si>
    <t>MICHELLE</t>
  </si>
  <si>
    <t>0408</t>
  </si>
  <si>
    <t>WOODS, ADDISON J.</t>
  </si>
  <si>
    <t>WOODS</t>
  </si>
  <si>
    <t>ADDISON</t>
  </si>
  <si>
    <t>JOLENE</t>
  </si>
  <si>
    <t>1186</t>
  </si>
  <si>
    <t>0314</t>
  </si>
  <si>
    <t>VETERINARIAN, MEDICL</t>
  </si>
  <si>
    <t>00260</t>
  </si>
  <si>
    <t>BARNES, SCOTT B.</t>
  </si>
  <si>
    <t>BARNES</t>
  </si>
  <si>
    <t>0310</t>
  </si>
  <si>
    <t>DAVIS, DANIEL P.</t>
  </si>
  <si>
    <t>DAVIS</t>
  </si>
  <si>
    <t>PAUL</t>
  </si>
  <si>
    <t>1106</t>
  </si>
  <si>
    <t>VETERINARIAN MED OFF</t>
  </si>
  <si>
    <t>00264</t>
  </si>
  <si>
    <t>0307</t>
  </si>
  <si>
    <t>SPITS, SARA K.</t>
  </si>
  <si>
    <t>SPITS</t>
  </si>
  <si>
    <t>SARA</t>
  </si>
  <si>
    <t>0301</t>
  </si>
  <si>
    <t>BANNER, KERI L.</t>
  </si>
  <si>
    <t>BANNER</t>
  </si>
  <si>
    <t>KERI</t>
  </si>
  <si>
    <t>0250</t>
  </si>
  <si>
    <t>RILL, BAILEY R.</t>
  </si>
  <si>
    <t>RILL</t>
  </si>
  <si>
    <t>BAILEY</t>
  </si>
  <si>
    <t>0214</t>
  </si>
  <si>
    <t xml:space="preserve">MORRIS, STERLING </t>
  </si>
  <si>
    <t>STERLING</t>
  </si>
  <si>
    <t>9223</t>
  </si>
  <si>
    <t>0205</t>
  </si>
  <si>
    <t>JOHNSON, JEREMIAH L.</t>
  </si>
  <si>
    <t>JOHNSON</t>
  </si>
  <si>
    <t>JEREMIAH</t>
  </si>
  <si>
    <t>9437</t>
  </si>
  <si>
    <t>0128</t>
  </si>
  <si>
    <t>JOHNSTON, JESSICA K.</t>
  </si>
  <si>
    <t>JOHNSTON</t>
  </si>
  <si>
    <t>JESSICA</t>
  </si>
  <si>
    <t>0123</t>
  </si>
  <si>
    <t>MICROBIOLOGY/SER LAB</t>
  </si>
  <si>
    <t>07408</t>
  </si>
  <si>
    <t>WRIGHT, GEMMA L.</t>
  </si>
  <si>
    <t>WRIGHT</t>
  </si>
  <si>
    <t>GEMMA</t>
  </si>
  <si>
    <t>9220</t>
  </si>
  <si>
    <t>0107</t>
  </si>
  <si>
    <t>COOPER, TAWNY M.</t>
  </si>
  <si>
    <t>COOPER</t>
  </si>
  <si>
    <t>TAWNY</t>
  </si>
  <si>
    <t>0100</t>
  </si>
  <si>
    <t xml:space="preserve">TRENT, AMBER </t>
  </si>
  <si>
    <t>TRENT</t>
  </si>
  <si>
    <t>AMBER</t>
  </si>
  <si>
    <t>0039</t>
  </si>
  <si>
    <t>WEST, MONICA S.</t>
  </si>
  <si>
    <t>WEST</t>
  </si>
  <si>
    <t>MONICA</t>
  </si>
  <si>
    <t>SUSAN</t>
  </si>
  <si>
    <t>0332</t>
  </si>
  <si>
    <t>06</t>
  </si>
  <si>
    <t>9660</t>
  </si>
  <si>
    <t xml:space="preserve">MICROBIOLOGIST SR   </t>
  </si>
  <si>
    <t>07410</t>
  </si>
  <si>
    <t>9007</t>
  </si>
  <si>
    <t>9443</t>
  </si>
  <si>
    <t>0305</t>
  </si>
  <si>
    <t>SALMI, DANIEL B.</t>
  </si>
  <si>
    <t>SALMI</t>
  </si>
  <si>
    <t>B</t>
  </si>
  <si>
    <t>0038</t>
  </si>
  <si>
    <t>003</t>
  </si>
  <si>
    <t>01731</t>
  </si>
  <si>
    <t>HUIT, CALVIN K.</t>
  </si>
  <si>
    <t>HUIT</t>
  </si>
  <si>
    <t>CALVIN</t>
  </si>
  <si>
    <t>0033</t>
  </si>
  <si>
    <t>LABORATORY IMPRVMT M</t>
  </si>
  <si>
    <t>07451</t>
  </si>
  <si>
    <t>LOUMEAU, WENDY D.</t>
  </si>
  <si>
    <t>LOUMEAU</t>
  </si>
  <si>
    <t>WENDY</t>
  </si>
  <si>
    <t>DIANE</t>
  </si>
  <si>
    <t>0017</t>
  </si>
  <si>
    <t>OWENS, KEIR L.</t>
  </si>
  <si>
    <t>OWENS</t>
  </si>
  <si>
    <t>KEIR</t>
  </si>
  <si>
    <t>LEE</t>
  </si>
  <si>
    <t>0198</t>
  </si>
  <si>
    <t>07</t>
  </si>
  <si>
    <t>MELLE, CAROLINE J.</t>
  </si>
  <si>
    <t>MELLE</t>
  </si>
  <si>
    <t>CAROLINE</t>
  </si>
  <si>
    <t>0131</t>
  </si>
  <si>
    <t>HICKS, BRYAN S.</t>
  </si>
  <si>
    <t>HICKS</t>
  </si>
  <si>
    <t>BRYAN</t>
  </si>
  <si>
    <t>5313</t>
  </si>
  <si>
    <t>PARKER-DUGAN, HEIDI L.</t>
  </si>
  <si>
    <t>PARKER-DUGAN</t>
  </si>
  <si>
    <t>HEIDI</t>
  </si>
  <si>
    <t>1421</t>
  </si>
  <si>
    <t xml:space="preserve">KHACHATRIAN, RUBEN </t>
  </si>
  <si>
    <t>KHACHATRIAN</t>
  </si>
  <si>
    <t>RUBEN</t>
  </si>
  <si>
    <t>1221</t>
  </si>
  <si>
    <t xml:space="preserve">WALBEY, MARTHA </t>
  </si>
  <si>
    <t>WALBEY</t>
  </si>
  <si>
    <t>MARTHA</t>
  </si>
  <si>
    <t>1207</t>
  </si>
  <si>
    <t>THOREN, HEIDI N.</t>
  </si>
  <si>
    <t>THOREN</t>
  </si>
  <si>
    <t>1202</t>
  </si>
  <si>
    <t>KLINGBACK, JENNIFER A.</t>
  </si>
  <si>
    <t>KLINGBACK</t>
  </si>
  <si>
    <t>ANN</t>
  </si>
  <si>
    <t>1197</t>
  </si>
  <si>
    <t>WILLIAMS, TRACEY A.</t>
  </si>
  <si>
    <t>WILLIAMS</t>
  </si>
  <si>
    <t>TRACEY</t>
  </si>
  <si>
    <t>1187</t>
  </si>
  <si>
    <t xml:space="preserve">REGLI, PATRICK </t>
  </si>
  <si>
    <t>REGLI</t>
  </si>
  <si>
    <t>PATRICK</t>
  </si>
  <si>
    <t>1185</t>
  </si>
  <si>
    <t xml:space="preserve">VARGAS, GABRIEL </t>
  </si>
  <si>
    <t>VARGAS</t>
  </si>
  <si>
    <t>GABRIEL</t>
  </si>
  <si>
    <t>1184</t>
  </si>
  <si>
    <t>STEIN, NATHAN E.</t>
  </si>
  <si>
    <t>STEIN</t>
  </si>
  <si>
    <t>NATHAN</t>
  </si>
  <si>
    <t>1183</t>
  </si>
  <si>
    <t>WIGHT, KIM W.</t>
  </si>
  <si>
    <t>WIGHT</t>
  </si>
  <si>
    <t>KIM</t>
  </si>
  <si>
    <t>1181</t>
  </si>
  <si>
    <t xml:space="preserve">SCIENTIST 3         </t>
  </si>
  <si>
    <t>07034</t>
  </si>
  <si>
    <t xml:space="preserve">ADHIKARI, PRADIP </t>
  </si>
  <si>
    <t>ADHIKARI</t>
  </si>
  <si>
    <t>PRADIP</t>
  </si>
  <si>
    <t>9324</t>
  </si>
  <si>
    <t>1113</t>
  </si>
  <si>
    <t>LUCERO, CANDACE L.</t>
  </si>
  <si>
    <t>LUCERO</t>
  </si>
  <si>
    <t>CANDACE</t>
  </si>
  <si>
    <t>1101</t>
  </si>
  <si>
    <t>PEDRAZA, SERGIO J.</t>
  </si>
  <si>
    <t>PEDRAZA</t>
  </si>
  <si>
    <t>SERGIO</t>
  </si>
  <si>
    <t>JR</t>
  </si>
  <si>
    <t>0693</t>
  </si>
  <si>
    <t>ANDERSON, JOHN F.</t>
  </si>
  <si>
    <t>ANDERSON</t>
  </si>
  <si>
    <t>JOHN</t>
  </si>
  <si>
    <t>0405</t>
  </si>
  <si>
    <t>GODFREY, LYNN R.</t>
  </si>
  <si>
    <t>GODFREY</t>
  </si>
  <si>
    <t>LYNN</t>
  </si>
  <si>
    <t>0317</t>
  </si>
  <si>
    <t>MEYERS, MATHEW R.</t>
  </si>
  <si>
    <t>MEYERS</t>
  </si>
  <si>
    <t>MATHEW</t>
  </si>
  <si>
    <t>9433</t>
  </si>
  <si>
    <t>0300</t>
  </si>
  <si>
    <t>MILBOURNE, JONATHAN R.</t>
  </si>
  <si>
    <t>MILBOURNE</t>
  </si>
  <si>
    <t>JONATHAN</t>
  </si>
  <si>
    <t>09</t>
  </si>
  <si>
    <t>9526</t>
  </si>
  <si>
    <t xml:space="preserve">INSPECTOR 1         </t>
  </si>
  <si>
    <t>20845</t>
  </si>
  <si>
    <t>9518</t>
  </si>
  <si>
    <t xml:space="preserve">INSPECTOR 2         </t>
  </si>
  <si>
    <t>AGAC</t>
  </si>
  <si>
    <t>20846</t>
  </si>
  <si>
    <t>1173</t>
  </si>
  <si>
    <t>AGRI RESOURCES DIV A</t>
  </si>
  <si>
    <t>20809</t>
  </si>
  <si>
    <t>MASON II, VICTOR J.</t>
  </si>
  <si>
    <t>MASON II</t>
  </si>
  <si>
    <t>VICTOR</t>
  </si>
  <si>
    <t>05</t>
  </si>
  <si>
    <t>9431</t>
  </si>
  <si>
    <t>5315</t>
  </si>
  <si>
    <t>TAKATORI, SHERMAN K.</t>
  </si>
  <si>
    <t>TAKATORI</t>
  </si>
  <si>
    <t>SHERMAN</t>
  </si>
  <si>
    <t>KEI</t>
  </si>
  <si>
    <t>1193</t>
  </si>
  <si>
    <t xml:space="preserve">SCIENTIST 4         </t>
  </si>
  <si>
    <t>07036</t>
  </si>
  <si>
    <t>COOPER, CURTIS A.</t>
  </si>
  <si>
    <t>CURTIS</t>
  </si>
  <si>
    <t>ALLEN</t>
  </si>
  <si>
    <t>1192</t>
  </si>
  <si>
    <t>BROOKSHIER, SPENCER G.</t>
  </si>
  <si>
    <t>BROOKSHIER</t>
  </si>
  <si>
    <t>SPENCER</t>
  </si>
  <si>
    <t>GLENN</t>
  </si>
  <si>
    <t>0112</t>
  </si>
  <si>
    <t>1178</t>
  </si>
  <si>
    <t>PALMATEER, MARGARET E.</t>
  </si>
  <si>
    <t>PALMATEER</t>
  </si>
  <si>
    <t>MARGARET</t>
  </si>
  <si>
    <t>ELIZABETH</t>
  </si>
  <si>
    <t>1176</t>
  </si>
  <si>
    <t>CHAN, DOUGLAS L.</t>
  </si>
  <si>
    <t>CHAN</t>
  </si>
  <si>
    <t>DOUGLAS</t>
  </si>
  <si>
    <t>1174</t>
  </si>
  <si>
    <t>WATSON, MICHAEL P.</t>
  </si>
  <si>
    <t>WATSON</t>
  </si>
  <si>
    <t>MICHAEL</t>
  </si>
  <si>
    <t>PRESTON</t>
  </si>
  <si>
    <t>1170</t>
  </si>
  <si>
    <t xml:space="preserve">GOODMAN, GINGER </t>
  </si>
  <si>
    <t>GOODMAN</t>
  </si>
  <si>
    <t>GINGER</t>
  </si>
  <si>
    <t>1167</t>
  </si>
  <si>
    <t>WARD, RYAN C.</t>
  </si>
  <si>
    <t>WARD</t>
  </si>
  <si>
    <t>RYAN</t>
  </si>
  <si>
    <t>1166</t>
  </si>
  <si>
    <t xml:space="preserve">SMITH, BRANDON </t>
  </si>
  <si>
    <t>SMITH</t>
  </si>
  <si>
    <t>BRANDON</t>
  </si>
  <si>
    <t>1165</t>
  </si>
  <si>
    <t xml:space="preserve">SANDOVAL, DANIEL </t>
  </si>
  <si>
    <t>SANDOVAL</t>
  </si>
  <si>
    <t>1164</t>
  </si>
  <si>
    <t xml:space="preserve">SLABAUGH, BRIAN </t>
  </si>
  <si>
    <t>SLABAUGH</t>
  </si>
  <si>
    <t>BRIAN</t>
  </si>
  <si>
    <t>1112</t>
  </si>
  <si>
    <t>MONTROSE, KAHLA R.</t>
  </si>
  <si>
    <t>MONTROSE</t>
  </si>
  <si>
    <t>KAHLA</t>
  </si>
  <si>
    <t>0129</t>
  </si>
  <si>
    <t xml:space="preserve">OFFICE SPECIALIST 2 </t>
  </si>
  <si>
    <t>01239</t>
  </si>
  <si>
    <t>HILLIARD, BRITTNEY I.</t>
  </si>
  <si>
    <t>HILLIARD</t>
  </si>
  <si>
    <t>BRITTNEY</t>
  </si>
  <si>
    <t>0127</t>
  </si>
  <si>
    <t>GRAY, HILLARIE M.</t>
  </si>
  <si>
    <t>GRAY</t>
  </si>
  <si>
    <t>HILLARIE</t>
  </si>
  <si>
    <t>0124</t>
  </si>
  <si>
    <t>HILLIARD, IAN M.</t>
  </si>
  <si>
    <t>IAN</t>
  </si>
  <si>
    <t>0115</t>
  </si>
  <si>
    <t xml:space="preserve">WATKINS, JEANNE </t>
  </si>
  <si>
    <t>WATKINS</t>
  </si>
  <si>
    <t>JEANNE</t>
  </si>
  <si>
    <t>0113</t>
  </si>
  <si>
    <t>PICKUP, GEORGE W.</t>
  </si>
  <si>
    <t>PICKUP</t>
  </si>
  <si>
    <t>GEORGE</t>
  </si>
  <si>
    <t>WESTON</t>
  </si>
  <si>
    <t>0111</t>
  </si>
  <si>
    <t>RIEDY, STEVEN E.</t>
  </si>
  <si>
    <t>RIEDY</t>
  </si>
  <si>
    <t>STEVEN</t>
  </si>
  <si>
    <t>EDWARD</t>
  </si>
  <si>
    <t>0109</t>
  </si>
  <si>
    <t xml:space="preserve">DELANEY, DEVIN </t>
  </si>
  <si>
    <t>DELANEY</t>
  </si>
  <si>
    <t>DEVIN</t>
  </si>
  <si>
    <t>0108</t>
  </si>
  <si>
    <t>HAWLEY, CHARLES J.</t>
  </si>
  <si>
    <t>HAWLEY</t>
  </si>
  <si>
    <t>CHARLES</t>
  </si>
  <si>
    <t>JOSEPH</t>
  </si>
  <si>
    <t>0105</t>
  </si>
  <si>
    <t>WALKER, DUSTYN A.</t>
  </si>
  <si>
    <t>WALKER</t>
  </si>
  <si>
    <t>DUSTYN</t>
  </si>
  <si>
    <t>0007</t>
  </si>
  <si>
    <t>KAMPF, NICK A.</t>
  </si>
  <si>
    <t>KAMPF</t>
  </si>
  <si>
    <t>NICK</t>
  </si>
  <si>
    <t>0348</t>
  </si>
  <si>
    <t>9601</t>
  </si>
  <si>
    <t>PEST SURVEY/DETECTIO</t>
  </si>
  <si>
    <t>AGAD</t>
  </si>
  <si>
    <t>90003</t>
  </si>
  <si>
    <t>9661</t>
  </si>
  <si>
    <t xml:space="preserve">SUPERVISOR (PLANTS) </t>
  </si>
  <si>
    <t>90002</t>
  </si>
  <si>
    <t>0119</t>
  </si>
  <si>
    <t>004</t>
  </si>
  <si>
    <t>CONNER, ALLISON R.</t>
  </si>
  <si>
    <t>CONNER</t>
  </si>
  <si>
    <t>ALLISON</t>
  </si>
  <si>
    <t>0116</t>
  </si>
  <si>
    <t>WISEMAN, MICHAEL D.</t>
  </si>
  <si>
    <t>WISEMAN</t>
  </si>
  <si>
    <t>0114</t>
  </si>
  <si>
    <t xml:space="preserve">GIS ANALYST III     </t>
  </si>
  <si>
    <t>01721</t>
  </si>
  <si>
    <t xml:space="preserve">TESKA, SAUL </t>
  </si>
  <si>
    <t>TESKA</t>
  </si>
  <si>
    <t>SAUL</t>
  </si>
  <si>
    <t>0110</t>
  </si>
  <si>
    <t>006</t>
  </si>
  <si>
    <t xml:space="preserve">CELLAN, MICHAEL </t>
  </si>
  <si>
    <t>CELLAN</t>
  </si>
  <si>
    <t>0104</t>
  </si>
  <si>
    <t>EIMAN, TINA S.</t>
  </si>
  <si>
    <t>EIMAN</t>
  </si>
  <si>
    <t>TINA</t>
  </si>
  <si>
    <t>0121</t>
  </si>
  <si>
    <t>0103</t>
  </si>
  <si>
    <t xml:space="preserve">SEED ANALYST, PR    </t>
  </si>
  <si>
    <t>00515</t>
  </si>
  <si>
    <t xml:space="preserve">BECKER, ZACHARY </t>
  </si>
  <si>
    <t>BECKER</t>
  </si>
  <si>
    <t>ZACHARY</t>
  </si>
  <si>
    <t>00513</t>
  </si>
  <si>
    <t>0102</t>
  </si>
  <si>
    <t>GADDIS, BETHANY L.</t>
  </si>
  <si>
    <t>GADDIS</t>
  </si>
  <si>
    <t>BETHANY</t>
  </si>
  <si>
    <t>1415</t>
  </si>
  <si>
    <t xml:space="preserve">AG SECTION MGR      </t>
  </si>
  <si>
    <t>00184</t>
  </si>
  <si>
    <t xml:space="preserve">THOMPSON, ANDREA </t>
  </si>
  <si>
    <t>THOMPSON</t>
  </si>
  <si>
    <t>ANDREA</t>
  </si>
  <si>
    <t>0042</t>
  </si>
  <si>
    <t>0101</t>
  </si>
  <si>
    <t>PLANT INDUSTRIES ADM</t>
  </si>
  <si>
    <t>20803</t>
  </si>
  <si>
    <t>KNIGHT, LLOYD B.</t>
  </si>
  <si>
    <t>LLOYD</t>
  </si>
  <si>
    <t>1413</t>
  </si>
  <si>
    <t xml:space="preserve">SEED ANALYST        </t>
  </si>
  <si>
    <t xml:space="preserve">SIMPSON, DANIEL </t>
  </si>
  <si>
    <t>SIMPSON</t>
  </si>
  <si>
    <t>1409</t>
  </si>
  <si>
    <t xml:space="preserve">BECKER, CECILE </t>
  </si>
  <si>
    <t>CECILE</t>
  </si>
  <si>
    <t>9427</t>
  </si>
  <si>
    <t>0041</t>
  </si>
  <si>
    <t xml:space="preserve">SEED ANALYST, SR    </t>
  </si>
  <si>
    <t>00514</t>
  </si>
  <si>
    <t>HAMANN, ANN I.</t>
  </si>
  <si>
    <t>HAMANN</t>
  </si>
  <si>
    <t>1408</t>
  </si>
  <si>
    <t>LAMASTRA, STACY P.</t>
  </si>
  <si>
    <t>LAMASTRA</t>
  </si>
  <si>
    <t>STACY</t>
  </si>
  <si>
    <t>0031</t>
  </si>
  <si>
    <t>MUFFLEY-AHLIN, BETHANY A.</t>
  </si>
  <si>
    <t>MUFFLEY-AHLIN</t>
  </si>
  <si>
    <t>1403</t>
  </si>
  <si>
    <t xml:space="preserve">DACIC, SNJEZANA </t>
  </si>
  <si>
    <t>DACIC</t>
  </si>
  <si>
    <t>SNJEZANA</t>
  </si>
  <si>
    <t>9425</t>
  </si>
  <si>
    <t>0021</t>
  </si>
  <si>
    <t>HAVER, KATHLEEN M.</t>
  </si>
  <si>
    <t>HAVER</t>
  </si>
  <si>
    <t>1191</t>
  </si>
  <si>
    <t>FERREE, SHARI R.</t>
  </si>
  <si>
    <t>FERREE</t>
  </si>
  <si>
    <t>SHARI</t>
  </si>
  <si>
    <t>0018</t>
  </si>
  <si>
    <t>ZURFLUH, NICHOLAS J.</t>
  </si>
  <si>
    <t>ZURFLUH</t>
  </si>
  <si>
    <t>NICHOLAS</t>
  </si>
  <si>
    <t>1188</t>
  </si>
  <si>
    <t>JACKSON, AMBER R.</t>
  </si>
  <si>
    <t>JACKSON</t>
  </si>
  <si>
    <t>9423</t>
  </si>
  <si>
    <t>1153</t>
  </si>
  <si>
    <t>VAVRICKA, ELIZABETH K.</t>
  </si>
  <si>
    <t>VAVRICKA</t>
  </si>
  <si>
    <t>KNOTT</t>
  </si>
  <si>
    <t>9532</t>
  </si>
  <si>
    <t xml:space="preserve">INSPECTOR 3         </t>
  </si>
  <si>
    <t>20847</t>
  </si>
  <si>
    <t>0015</t>
  </si>
  <si>
    <t xml:space="preserve">TECHNICIAN 3        </t>
  </si>
  <si>
    <t>07024</t>
  </si>
  <si>
    <t>0002</t>
  </si>
  <si>
    <t xml:space="preserve">GEE, SUCHEN </t>
  </si>
  <si>
    <t>GEE</t>
  </si>
  <si>
    <t>SUCHEN</t>
  </si>
  <si>
    <t>9445</t>
  </si>
  <si>
    <t>1119</t>
  </si>
  <si>
    <t>VARLEY, JEREMEY L.</t>
  </si>
  <si>
    <t>VARLEY</t>
  </si>
  <si>
    <t>JEREMEY</t>
  </si>
  <si>
    <t>1407</t>
  </si>
  <si>
    <t>9654</t>
  </si>
  <si>
    <t>9422</t>
  </si>
  <si>
    <t>9653</t>
  </si>
  <si>
    <t>0594</t>
  </si>
  <si>
    <t>005</t>
  </si>
  <si>
    <t>SAITO, BRADLEY G.</t>
  </si>
  <si>
    <t>SAITO</t>
  </si>
  <si>
    <t>BRADLEY</t>
  </si>
  <si>
    <t>GUIMARAES</t>
  </si>
  <si>
    <t>9529</t>
  </si>
  <si>
    <t>0575</t>
  </si>
  <si>
    <t>RUHTER, COLETTE D.</t>
  </si>
  <si>
    <t>RUHTER</t>
  </si>
  <si>
    <t>COLETTE</t>
  </si>
  <si>
    <t>9651</t>
  </si>
  <si>
    <t>9420</t>
  </si>
  <si>
    <t>0521</t>
  </si>
  <si>
    <t>KITTRIDGE, JASON E.</t>
  </si>
  <si>
    <t>KITTRIDGE</t>
  </si>
  <si>
    <t>JASON</t>
  </si>
  <si>
    <t>9528</t>
  </si>
  <si>
    <t>0424</t>
  </si>
  <si>
    <t xml:space="preserve">ANALYST 2           </t>
  </si>
  <si>
    <t>07042</t>
  </si>
  <si>
    <t>HECKATHORNE, DARCY A.</t>
  </si>
  <si>
    <t>HECKATHORNE</t>
  </si>
  <si>
    <t>DARCY</t>
  </si>
  <si>
    <t>9613</t>
  </si>
  <si>
    <t>0407</t>
  </si>
  <si>
    <t>ROMAN, JENNIFER L.</t>
  </si>
  <si>
    <t>ROMAN</t>
  </si>
  <si>
    <t>0213</t>
  </si>
  <si>
    <t xml:space="preserve">PATTERSON, MADILYN </t>
  </si>
  <si>
    <t>PATTERSON</t>
  </si>
  <si>
    <t>MADILYN</t>
  </si>
  <si>
    <t>9606</t>
  </si>
  <si>
    <t>9436</t>
  </si>
  <si>
    <t>0211</t>
  </si>
  <si>
    <t xml:space="preserve">HOLZER, KIMBERLY </t>
  </si>
  <si>
    <t>HOLZER</t>
  </si>
  <si>
    <t>KIMBERLY</t>
  </si>
  <si>
    <t>9605</t>
  </si>
  <si>
    <t>0210</t>
  </si>
  <si>
    <t>URSENBACH, AARON J.</t>
  </si>
  <si>
    <t>URSENBACH</t>
  </si>
  <si>
    <t>AARON</t>
  </si>
  <si>
    <t>9604</t>
  </si>
  <si>
    <t>0207</t>
  </si>
  <si>
    <t>RHOADES, PAUL R.</t>
  </si>
  <si>
    <t>RHOADES</t>
  </si>
  <si>
    <t>0204</t>
  </si>
  <si>
    <t>HANSEN, ADAM H.</t>
  </si>
  <si>
    <t>HANSEN</t>
  </si>
  <si>
    <t>ADAM</t>
  </si>
  <si>
    <t>9662</t>
  </si>
  <si>
    <t>0120</t>
  </si>
  <si>
    <t>MEIERS, BENJAMIN H.</t>
  </si>
  <si>
    <t>BENJAMIN</t>
  </si>
  <si>
    <t>0330</t>
  </si>
  <si>
    <t>9600</t>
  </si>
  <si>
    <t>9659</t>
  </si>
  <si>
    <t xml:space="preserve">FIELD INSPECTOR     </t>
  </si>
  <si>
    <t>90001</t>
  </si>
  <si>
    <t>9658</t>
  </si>
  <si>
    <t>LAB TECH/INSPECTOR T</t>
  </si>
  <si>
    <t>90004</t>
  </si>
  <si>
    <t>9424</t>
  </si>
  <si>
    <t>9444</t>
  </si>
  <si>
    <t>9652</t>
  </si>
  <si>
    <t>9421</t>
  </si>
  <si>
    <t xml:space="preserve">TEAM LEAD (PLANTS)  </t>
  </si>
  <si>
    <t>90005</t>
  </si>
  <si>
    <t>1406</t>
  </si>
  <si>
    <t>MORRIS, KRISTINA A.</t>
  </si>
  <si>
    <t>KRISTINA</t>
  </si>
  <si>
    <t>9438</t>
  </si>
  <si>
    <t>9611</t>
  </si>
  <si>
    <t>9609</t>
  </si>
  <si>
    <t>9608</t>
  </si>
  <si>
    <t>0439</t>
  </si>
  <si>
    <t xml:space="preserve">HAMILTON, KRISTEN </t>
  </si>
  <si>
    <t>HAMILTON</t>
  </si>
  <si>
    <t>KRISTEN</t>
  </si>
  <si>
    <t>9603</t>
  </si>
  <si>
    <t>9432</t>
  </si>
  <si>
    <t>9519</t>
  </si>
  <si>
    <t>9430</t>
  </si>
  <si>
    <t>9322</t>
  </si>
  <si>
    <t>9321</t>
  </si>
  <si>
    <t>08</t>
  </si>
  <si>
    <t>9103</t>
  </si>
  <si>
    <t>13</t>
  </si>
  <si>
    <t>9426</t>
  </si>
  <si>
    <t>0427</t>
  </si>
  <si>
    <t>MORRISON, COLE D.</t>
  </si>
  <si>
    <t>MORRISON</t>
  </si>
  <si>
    <t>COLE</t>
  </si>
  <si>
    <t>DAVID</t>
  </si>
  <si>
    <t>9664</t>
  </si>
  <si>
    <t>9663</t>
  </si>
  <si>
    <t>04</t>
  </si>
  <si>
    <t>9429</t>
  </si>
  <si>
    <t>0118</t>
  </si>
  <si>
    <t>KOOPMAN, AMANDA R.</t>
  </si>
  <si>
    <t>KOOPMAN</t>
  </si>
  <si>
    <t>AMANDA</t>
  </si>
  <si>
    <t>0117</t>
  </si>
  <si>
    <t xml:space="preserve">PRICE, NATHAN </t>
  </si>
  <si>
    <t>PRICE</t>
  </si>
  <si>
    <t>0023</t>
  </si>
  <si>
    <t>BADTEN, JOHN D.</t>
  </si>
  <si>
    <t>BADTEN</t>
  </si>
  <si>
    <t>0008</t>
  </si>
  <si>
    <t>LACOVARA, MEGAN R.</t>
  </si>
  <si>
    <t>LACOVARA</t>
  </si>
  <si>
    <t>MEGAN</t>
  </si>
  <si>
    <t>RENAE</t>
  </si>
  <si>
    <t>1405</t>
  </si>
  <si>
    <t xml:space="preserve">CHEMIST             </t>
  </si>
  <si>
    <t>07406</t>
  </si>
  <si>
    <t xml:space="preserve">KIRKPATRICK, DANIELLE </t>
  </si>
  <si>
    <t>KIRKPATRICK</t>
  </si>
  <si>
    <t>DANIELLE</t>
  </si>
  <si>
    <t>1177</t>
  </si>
  <si>
    <t xml:space="preserve">MACIEL-OCARANZA, EDUARDO </t>
  </si>
  <si>
    <t>MACIEL-OCARANZA</t>
  </si>
  <si>
    <t>EDUARDO</t>
  </si>
  <si>
    <t>07404</t>
  </si>
  <si>
    <t>1175</t>
  </si>
  <si>
    <t>THOMASSON, BRENDA D.</t>
  </si>
  <si>
    <t>THOMASSON</t>
  </si>
  <si>
    <t>BRENDA</t>
  </si>
  <si>
    <t>1155</t>
  </si>
  <si>
    <t>KILLEBREW  JR, JAMES R.</t>
  </si>
  <si>
    <t>KILLEBREW  JR</t>
  </si>
  <si>
    <t>RICHARD</t>
  </si>
  <si>
    <t>0619</t>
  </si>
  <si>
    <t>AGAE</t>
  </si>
  <si>
    <t>CRISP, ASALI J.</t>
  </si>
  <si>
    <t>CRISP</t>
  </si>
  <si>
    <t>ASALI</t>
  </si>
  <si>
    <t>0510</t>
  </si>
  <si>
    <t>AGRI INSPECTNS DIV A</t>
  </si>
  <si>
    <t>20808</t>
  </si>
  <si>
    <t xml:space="preserve">STUART, JARED </t>
  </si>
  <si>
    <t>STUART</t>
  </si>
  <si>
    <t>JARED</t>
  </si>
  <si>
    <t>0260</t>
  </si>
  <si>
    <t>WOOD, NORMAN L.</t>
  </si>
  <si>
    <t>WOOD</t>
  </si>
  <si>
    <t>NORMAN</t>
  </si>
  <si>
    <t>0259</t>
  </si>
  <si>
    <t>MELGAARD, JUDD L.</t>
  </si>
  <si>
    <t>MELGAARD</t>
  </si>
  <si>
    <t>JUDD</t>
  </si>
  <si>
    <t>0257</t>
  </si>
  <si>
    <t>BALL, DAYNA M.</t>
  </si>
  <si>
    <t>BALL</t>
  </si>
  <si>
    <t>DAYNA</t>
  </si>
  <si>
    <t>0255</t>
  </si>
  <si>
    <t>RICHARDSON, GABE L.</t>
  </si>
  <si>
    <t>GABE</t>
  </si>
  <si>
    <t>0254</t>
  </si>
  <si>
    <t>MINGO, JAMES A.</t>
  </si>
  <si>
    <t>MINGO</t>
  </si>
  <si>
    <t>ARTHUR</t>
  </si>
  <si>
    <t>0252</t>
  </si>
  <si>
    <t>KINNEY, RONALD L.</t>
  </si>
  <si>
    <t>KINNEY</t>
  </si>
  <si>
    <t>RONALD</t>
  </si>
  <si>
    <t>0251</t>
  </si>
  <si>
    <t>BENNETT, DAVID R.</t>
  </si>
  <si>
    <t>BENNETT</t>
  </si>
  <si>
    <t>ROSS</t>
  </si>
  <si>
    <t>0202</t>
  </si>
  <si>
    <t xml:space="preserve">YBARRA, STACIE </t>
  </si>
  <si>
    <t>YBARRA</t>
  </si>
  <si>
    <t>STACIE</t>
  </si>
  <si>
    <t>0013</t>
  </si>
  <si>
    <t>COSTELLO, MICHELE G.</t>
  </si>
  <si>
    <t>COSTELLO</t>
  </si>
  <si>
    <t>MICHELE</t>
  </si>
  <si>
    <t>0261</t>
  </si>
  <si>
    <t>1208</t>
  </si>
  <si>
    <t>12</t>
  </si>
  <si>
    <t>MERRITT, KEVIN M.</t>
  </si>
  <si>
    <t>MERRITT</t>
  </si>
  <si>
    <t>KEVIN</t>
  </si>
  <si>
    <t>0262</t>
  </si>
  <si>
    <t>STEINMETZ, TERRY J.</t>
  </si>
  <si>
    <t>STEINMETZ</t>
  </si>
  <si>
    <t>TERRY</t>
  </si>
  <si>
    <t>0040</t>
  </si>
  <si>
    <t>0253</t>
  </si>
  <si>
    <t>YOUNG, KEVIN D.</t>
  </si>
  <si>
    <t>9520</t>
  </si>
  <si>
    <t>0208</t>
  </si>
  <si>
    <t>10</t>
  </si>
  <si>
    <t>FREY, REBECCA C.</t>
  </si>
  <si>
    <t>FREY</t>
  </si>
  <si>
    <t>REBECCA</t>
  </si>
  <si>
    <t>0206</t>
  </si>
  <si>
    <t xml:space="preserve">BARRITT, LEE </t>
  </si>
  <si>
    <t>BARRITT</t>
  </si>
  <si>
    <t>0126</t>
  </si>
  <si>
    <t>HARE, HEIDI N.</t>
  </si>
  <si>
    <t>HARE</t>
  </si>
  <si>
    <t>BUHLER, ASHLEY M.</t>
  </si>
  <si>
    <t>BUHLER</t>
  </si>
  <si>
    <t>ASHLEY</t>
  </si>
  <si>
    <t>9580</t>
  </si>
  <si>
    <t>9808</t>
  </si>
  <si>
    <t>AGRICULTURE INVESTIG</t>
  </si>
  <si>
    <t>20843</t>
  </si>
  <si>
    <t>9610</t>
  </si>
  <si>
    <t>0570</t>
  </si>
  <si>
    <t>AZBILL, TASHA M.</t>
  </si>
  <si>
    <t>AZBILL</t>
  </si>
  <si>
    <t>TASHA</t>
  </si>
  <si>
    <t>0542</t>
  </si>
  <si>
    <t xml:space="preserve">LEHRMAN, NATHAN </t>
  </si>
  <si>
    <t>LEHRMAN</t>
  </si>
  <si>
    <t>0215</t>
  </si>
  <si>
    <t>AYRES, ANDREA G.</t>
  </si>
  <si>
    <t>AYRES</t>
  </si>
  <si>
    <t>GWEN</t>
  </si>
  <si>
    <t>1206</t>
  </si>
  <si>
    <t>COMMERCE DEVPMT ANAL</t>
  </si>
  <si>
    <t>AGAF</t>
  </si>
  <si>
    <t>05254</t>
  </si>
  <si>
    <t>CL</t>
  </si>
  <si>
    <t>WHITE, ERICA A.</t>
  </si>
  <si>
    <t>WHITE</t>
  </si>
  <si>
    <t>ERICA</t>
  </si>
  <si>
    <t>1203</t>
  </si>
  <si>
    <t>AGRICULTURE TRADE SP</t>
  </si>
  <si>
    <t>00150</t>
  </si>
  <si>
    <t xml:space="preserve">STRUTHERS, ANNE </t>
  </si>
  <si>
    <t>STRUTHERS</t>
  </si>
  <si>
    <t>1104</t>
  </si>
  <si>
    <t xml:space="preserve">ADMIN ASST 1        </t>
  </si>
  <si>
    <t>01235</t>
  </si>
  <si>
    <t>CORNELL, STEVERSON B.</t>
  </si>
  <si>
    <t>CORNELL</t>
  </si>
  <si>
    <t>STEVERSON</t>
  </si>
  <si>
    <t>BROCK</t>
  </si>
  <si>
    <t>0027</t>
  </si>
  <si>
    <t>CONLON, CHELSEA A.</t>
  </si>
  <si>
    <t>CONLON</t>
  </si>
  <si>
    <t>CHELSEA</t>
  </si>
  <si>
    <t>ARISA</t>
  </si>
  <si>
    <t>0026</t>
  </si>
  <si>
    <t>JOHNSON, LAURA M.</t>
  </si>
  <si>
    <t>0302</t>
  </si>
  <si>
    <t>9110</t>
  </si>
  <si>
    <t>9041</t>
  </si>
  <si>
    <t>5314</t>
  </si>
  <si>
    <t>EXEC SEC, SHEEP COMM</t>
  </si>
  <si>
    <t>AGAH</t>
  </si>
  <si>
    <t>20810</t>
  </si>
  <si>
    <t>03</t>
  </si>
  <si>
    <t>9323</t>
  </si>
  <si>
    <t>0331</t>
  </si>
  <si>
    <t>AGAK</t>
  </si>
  <si>
    <t>9650</t>
  </si>
  <si>
    <t>9439</t>
  </si>
  <si>
    <t>9602</t>
  </si>
  <si>
    <t>0486</t>
  </si>
  <si>
    <t>AGAL</t>
  </si>
  <si>
    <t>0010</t>
  </si>
  <si>
    <t xml:space="preserve">HORROCKS, SHERRI </t>
  </si>
  <si>
    <t>HORROCKS</t>
  </si>
  <si>
    <t>SHERRI</t>
  </si>
  <si>
    <t>9549</t>
  </si>
  <si>
    <t>SHIP POINT INSPECT I</t>
  </si>
  <si>
    <t>20836</t>
  </si>
  <si>
    <t>9840</t>
  </si>
  <si>
    <t xml:space="preserve">GRADER              </t>
  </si>
  <si>
    <t>20829</t>
  </si>
  <si>
    <t>9548</t>
  </si>
  <si>
    <t>SHIPPING POINT INSPE</t>
  </si>
  <si>
    <t>20832</t>
  </si>
  <si>
    <t>9839</t>
  </si>
  <si>
    <t xml:space="preserve">SHIP POINT INSPECT  </t>
  </si>
  <si>
    <t>20831</t>
  </si>
  <si>
    <t>9547</t>
  </si>
  <si>
    <t xml:space="preserve">CUST ASST INSP PROG </t>
  </si>
  <si>
    <t>20835</t>
  </si>
  <si>
    <t>9838</t>
  </si>
  <si>
    <t>9546</t>
  </si>
  <si>
    <t xml:space="preserve">FORKLIFT OPERATOR   </t>
  </si>
  <si>
    <t>20827</t>
  </si>
  <si>
    <t>9594</t>
  </si>
  <si>
    <t>9837</t>
  </si>
  <si>
    <t>9545</t>
  </si>
  <si>
    <t>9591</t>
  </si>
  <si>
    <t>SEED INSPECTOR SR (F</t>
  </si>
  <si>
    <t>20833</t>
  </si>
  <si>
    <t>9836</t>
  </si>
  <si>
    <t>9895</t>
  </si>
  <si>
    <t>9544</t>
  </si>
  <si>
    <t>9590</t>
  </si>
  <si>
    <t>SEED INSPECTOR (FF&amp;V</t>
  </si>
  <si>
    <t>20840</t>
  </si>
  <si>
    <t>9835</t>
  </si>
  <si>
    <t>9894</t>
  </si>
  <si>
    <t>9543</t>
  </si>
  <si>
    <t>9589</t>
  </si>
  <si>
    <t xml:space="preserve">SUPERVISOR          </t>
  </si>
  <si>
    <t>20834</t>
  </si>
  <si>
    <t>9834</t>
  </si>
  <si>
    <t>9517</t>
  </si>
  <si>
    <t>CUST ASSIST INSP PRO</t>
  </si>
  <si>
    <t>20841</t>
  </si>
  <si>
    <t>9893</t>
  </si>
  <si>
    <t>9542</t>
  </si>
  <si>
    <t xml:space="preserve">SAMPLER             </t>
  </si>
  <si>
    <t>20826</t>
  </si>
  <si>
    <t>9585</t>
  </si>
  <si>
    <t>9831</t>
  </si>
  <si>
    <t>9516</t>
  </si>
  <si>
    <t>9892</t>
  </si>
  <si>
    <t>9541</t>
  </si>
  <si>
    <t xml:space="preserve">CONTRACT INSPECTOR  </t>
  </si>
  <si>
    <t>20830</t>
  </si>
  <si>
    <t>9584</t>
  </si>
  <si>
    <t>9830</t>
  </si>
  <si>
    <t>9515</t>
  </si>
  <si>
    <t>9891</t>
  </si>
  <si>
    <t>9540</t>
  </si>
  <si>
    <t>9583</t>
  </si>
  <si>
    <t>9824</t>
  </si>
  <si>
    <t>9514</t>
  </si>
  <si>
    <t>9890</t>
  </si>
  <si>
    <t>9539</t>
  </si>
  <si>
    <t>9582</t>
  </si>
  <si>
    <t>9821</t>
  </si>
  <si>
    <t>9513</t>
  </si>
  <si>
    <t>9870</t>
  </si>
  <si>
    <t>9535</t>
  </si>
  <si>
    <t>9581</t>
  </si>
  <si>
    <t>9820</t>
  </si>
  <si>
    <t>9512</t>
  </si>
  <si>
    <t>9868</t>
  </si>
  <si>
    <t>9533</t>
  </si>
  <si>
    <t xml:space="preserve">RAW LAB TECHNICIAN  </t>
  </si>
  <si>
    <t>20825</t>
  </si>
  <si>
    <t>9819</t>
  </si>
  <si>
    <t>9511</t>
  </si>
  <si>
    <t>9867</t>
  </si>
  <si>
    <t>9579</t>
  </si>
  <si>
    <t>9818</t>
  </si>
  <si>
    <t>9510</t>
  </si>
  <si>
    <t>9866</t>
  </si>
  <si>
    <t>9578</t>
  </si>
  <si>
    <t>9817</t>
  </si>
  <si>
    <t>9864</t>
  </si>
  <si>
    <t>9531</t>
  </si>
  <si>
    <t>9577</t>
  </si>
  <si>
    <t>9816</t>
  </si>
  <si>
    <t>9863</t>
  </si>
  <si>
    <t>PROGRAM &amp; TRAINING A</t>
  </si>
  <si>
    <t>20828</t>
  </si>
  <si>
    <t>9530</t>
  </si>
  <si>
    <t>9574</t>
  </si>
  <si>
    <t>9815</t>
  </si>
  <si>
    <t>9862</t>
  </si>
  <si>
    <t>9570</t>
  </si>
  <si>
    <t>9814</t>
  </si>
  <si>
    <t>9861</t>
  </si>
  <si>
    <t>9563</t>
  </si>
  <si>
    <t>20842</t>
  </si>
  <si>
    <t>1204</t>
  </si>
  <si>
    <t>9813</t>
  </si>
  <si>
    <t>9855</t>
  </si>
  <si>
    <t>0858</t>
  </si>
  <si>
    <t>THOMAS, LAURA L.</t>
  </si>
  <si>
    <t>THOMAS</t>
  </si>
  <si>
    <t>9562</t>
  </si>
  <si>
    <t>9812</t>
  </si>
  <si>
    <t>9853</t>
  </si>
  <si>
    <t>9561</t>
  </si>
  <si>
    <t>1172</t>
  </si>
  <si>
    <t>9811</t>
  </si>
  <si>
    <t>9852</t>
  </si>
  <si>
    <t>9527</t>
  </si>
  <si>
    <t>0591</t>
  </si>
  <si>
    <t>ANDERSON, ZACKERY B.</t>
  </si>
  <si>
    <t>ZACKERY</t>
  </si>
  <si>
    <t>BRIT</t>
  </si>
  <si>
    <t>9560</t>
  </si>
  <si>
    <t>9810</t>
  </si>
  <si>
    <t>9851</t>
  </si>
  <si>
    <t>0574</t>
  </si>
  <si>
    <t>YOUNG, JULIE M.</t>
  </si>
  <si>
    <t>9559</t>
  </si>
  <si>
    <t>9809</t>
  </si>
  <si>
    <t>9850</t>
  </si>
  <si>
    <t>0566</t>
  </si>
  <si>
    <t xml:space="preserve">SENSENBACH, LEIGHANN </t>
  </si>
  <si>
    <t>SENSENBACH</t>
  </si>
  <si>
    <t>LEIGHANN</t>
  </si>
  <si>
    <t>9558</t>
  </si>
  <si>
    <t>9849</t>
  </si>
  <si>
    <t>0565</t>
  </si>
  <si>
    <t>HUDSON, JULIE L.</t>
  </si>
  <si>
    <t>HUDSON</t>
  </si>
  <si>
    <t>9557</t>
  </si>
  <si>
    <t>9807</t>
  </si>
  <si>
    <t>9848</t>
  </si>
  <si>
    <t>9525</t>
  </si>
  <si>
    <t>0560</t>
  </si>
  <si>
    <t>MORGAN, JUSTIN P.</t>
  </si>
  <si>
    <t>MORGAN</t>
  </si>
  <si>
    <t>JUSTIN</t>
  </si>
  <si>
    <t>9556</t>
  </si>
  <si>
    <t>9806</t>
  </si>
  <si>
    <t>9847</t>
  </si>
  <si>
    <t>9524</t>
  </si>
  <si>
    <t>0555</t>
  </si>
  <si>
    <t>GRACE, HEATHER C.</t>
  </si>
  <si>
    <t>GRACE</t>
  </si>
  <si>
    <t>HEATHER</t>
  </si>
  <si>
    <t>9555</t>
  </si>
  <si>
    <t>9805</t>
  </si>
  <si>
    <t>9845</t>
  </si>
  <si>
    <t>0554</t>
  </si>
  <si>
    <t xml:space="preserve">CASEY, JENNIFER </t>
  </si>
  <si>
    <t>CASEY</t>
  </si>
  <si>
    <t>9554</t>
  </si>
  <si>
    <t>9844</t>
  </si>
  <si>
    <t>9522</t>
  </si>
  <si>
    <t>0550</t>
  </si>
  <si>
    <t>DELA ROSA, SAM Y.</t>
  </si>
  <si>
    <t>DELA ROSA</t>
  </si>
  <si>
    <t>SAM</t>
  </si>
  <si>
    <t>YORBA</t>
  </si>
  <si>
    <t>9553</t>
  </si>
  <si>
    <t>9843</t>
  </si>
  <si>
    <t>9521</t>
  </si>
  <si>
    <t>0534</t>
  </si>
  <si>
    <t xml:space="preserve">TKACHYK, RICKI </t>
  </si>
  <si>
    <t>TKACHYK</t>
  </si>
  <si>
    <t>RICKI</t>
  </si>
  <si>
    <t>9552</t>
  </si>
  <si>
    <t>0533</t>
  </si>
  <si>
    <t>ALDER, JEFFREY G.</t>
  </si>
  <si>
    <t>ALDER</t>
  </si>
  <si>
    <t>JEFFREY</t>
  </si>
  <si>
    <t>9551</t>
  </si>
  <si>
    <t>9842</t>
  </si>
  <si>
    <t>0530</t>
  </si>
  <si>
    <t>JOHNSON, MICHAEL T.</t>
  </si>
  <si>
    <t>T</t>
  </si>
  <si>
    <t>9550</t>
  </si>
  <si>
    <t>9841</t>
  </si>
  <si>
    <t>0024</t>
  </si>
  <si>
    <t xml:space="preserve">GRANTS/CONTRACTS OP </t>
  </si>
  <si>
    <t>AGAM</t>
  </si>
  <si>
    <t>03688</t>
  </si>
  <si>
    <t>9002</t>
  </si>
  <si>
    <t>0491</t>
  </si>
  <si>
    <t>AGAN</t>
  </si>
  <si>
    <t>0203</t>
  </si>
  <si>
    <t>ALLEN, JORDAN S.</t>
  </si>
  <si>
    <t>JORDAN</t>
  </si>
  <si>
    <t>SCOT</t>
  </si>
  <si>
    <t>0200</t>
  </si>
  <si>
    <t>JONES, WESLEY S.</t>
  </si>
  <si>
    <t>JONES</t>
  </si>
  <si>
    <t>WESLEY</t>
  </si>
  <si>
    <t>0199</t>
  </si>
  <si>
    <t>THOMPSON, CASEY G.</t>
  </si>
  <si>
    <t>0016</t>
  </si>
  <si>
    <t>WILMOT, KYLE E.</t>
  </si>
  <si>
    <t>WILMOT</t>
  </si>
  <si>
    <t>KYLE</t>
  </si>
  <si>
    <t>9003</t>
  </si>
  <si>
    <t>AGAO</t>
  </si>
  <si>
    <t>AGAP</t>
  </si>
  <si>
    <t>0209</t>
  </si>
  <si>
    <t>CASTROVILLO, PAUL J.</t>
  </si>
  <si>
    <t>CASTROVILLO</t>
  </si>
  <si>
    <t>0122</t>
  </si>
  <si>
    <t>MONN, CASEY P.</t>
  </si>
  <si>
    <t>MONN</t>
  </si>
  <si>
    <t>0034</t>
  </si>
  <si>
    <t xml:space="preserve">BLAHATO, GREGORY </t>
  </si>
  <si>
    <t>BLAHATO</t>
  </si>
  <si>
    <t>9442</t>
  </si>
  <si>
    <t>9612</t>
  </si>
  <si>
    <t>9221</t>
  </si>
  <si>
    <t>1196</t>
  </si>
  <si>
    <t>PHELPS, LACY J.</t>
  </si>
  <si>
    <t>PHELPS</t>
  </si>
  <si>
    <t>LACY</t>
  </si>
  <si>
    <t>0402</t>
  </si>
  <si>
    <t>9441</t>
  </si>
  <si>
    <t>9440</t>
  </si>
  <si>
    <t>0429</t>
  </si>
  <si>
    <t>0428</t>
  </si>
  <si>
    <t xml:space="preserve">CHEMIST, PRINCIPAL  </t>
  </si>
  <si>
    <t>HOLTZEN, JENNIFER A.</t>
  </si>
  <si>
    <t>HOLTZEN</t>
  </si>
  <si>
    <t>0426</t>
  </si>
  <si>
    <t>REY, COLLEEN K.</t>
  </si>
  <si>
    <t>REY</t>
  </si>
  <si>
    <t>COLLEEN</t>
  </si>
  <si>
    <t>0425</t>
  </si>
  <si>
    <t>BOS, MATTHEW J.</t>
  </si>
  <si>
    <t>BOS</t>
  </si>
  <si>
    <t>MATTHEW</t>
  </si>
  <si>
    <t>9523</t>
  </si>
  <si>
    <t>9435</t>
  </si>
  <si>
    <t>ÿÿÿÿ</t>
  </si>
  <si>
    <t>ÿÿ</t>
  </si>
  <si>
    <t>9434</t>
  </si>
  <si>
    <t>INC_FTI</t>
  </si>
  <si>
    <t>INDICATOR</t>
  </si>
  <si>
    <t>TOTAL_PERM_PCN_FTI</t>
  </si>
  <si>
    <t>TOTAL_ELECT_PCN_FTI</t>
  </si>
  <si>
    <t>ROWS_PER_PCN</t>
  </si>
  <si>
    <t>FTI_SALARY_SSDI</t>
  </si>
  <si>
    <t>FTI_SALARY_PERM</t>
  </si>
  <si>
    <t>FTI_SALARY_ELECT</t>
  </si>
  <si>
    <t>SALARY_CHG</t>
  </si>
  <si>
    <t>HEALTH_PERM</t>
  </si>
  <si>
    <t>HEALTH_ELECT</t>
  </si>
  <si>
    <t>SSDI</t>
  </si>
  <si>
    <t>SSHI</t>
  </si>
  <si>
    <t>RETIREMENT</t>
  </si>
  <si>
    <t>LIFE_INS</t>
  </si>
  <si>
    <t>UNEMP_INS</t>
  </si>
  <si>
    <t>DHR</t>
  </si>
  <si>
    <t>WORKERS_COMP</t>
  </si>
  <si>
    <t>SICK</t>
  </si>
  <si>
    <t>TOT_VB_PERM</t>
  </si>
  <si>
    <t>TOT_VB_ELECT</t>
  </si>
  <si>
    <t>HEALTH_PERM_BY</t>
  </si>
  <si>
    <t>HEALTH_ELECT_BY</t>
  </si>
  <si>
    <t>SSDI_BY</t>
  </si>
  <si>
    <t>SSHI_BY</t>
  </si>
  <si>
    <t>RETIREMENT_BY</t>
  </si>
  <si>
    <t>LIFE_INS_BY</t>
  </si>
  <si>
    <t>UNEMP_INS_BY</t>
  </si>
  <si>
    <t>DHR_BY</t>
  </si>
  <si>
    <t>WORKERS_COMP_BY</t>
  </si>
  <si>
    <t>SICK_BY</t>
  </si>
  <si>
    <t>TOT_VB_PERM_BY</t>
  </si>
  <si>
    <t>TOT_VB_ELECT_BY</t>
  </si>
  <si>
    <t>HEALTH_PERM_CHG</t>
  </si>
  <si>
    <t>HEALTH_ELECT_CHG</t>
  </si>
  <si>
    <t>SSDI_CHG</t>
  </si>
  <si>
    <t>SSHI_CHG</t>
  </si>
  <si>
    <t>RETIREMENT_CHG</t>
  </si>
  <si>
    <t>LIFE_INS_CHG</t>
  </si>
  <si>
    <t>UNEMP_INS_CHG</t>
  </si>
  <si>
    <t>DHR_CHG</t>
  </si>
  <si>
    <t>WORKERS_COMP_CHG</t>
  </si>
  <si>
    <t>SICK_CHG</t>
  </si>
  <si>
    <t>TOT_VB_PERM_CHG</t>
  </si>
  <si>
    <t>TOT_VB_ELECT_CHG</t>
  </si>
  <si>
    <t>Group_Salary</t>
  </si>
  <si>
    <t>Group_Ben</t>
  </si>
  <si>
    <t>col_Fund</t>
  </si>
  <si>
    <t>AGAA 0001-00</t>
  </si>
  <si>
    <t>AGAA 0001</t>
  </si>
  <si>
    <t>Department of Agriculture</t>
  </si>
  <si>
    <t>Administration</t>
  </si>
  <si>
    <t>General</t>
  </si>
  <si>
    <t>0001-00</t>
  </si>
  <si>
    <t>10000</t>
  </si>
  <si>
    <t>Administration, General   AGAA-0001-00</t>
  </si>
  <si>
    <t>AGAA 0125-01</t>
  </si>
  <si>
    <t>AGAA 0125</t>
  </si>
  <si>
    <t>Administration and Accounting Services</t>
  </si>
  <si>
    <t>0125-01</t>
  </si>
  <si>
    <t>12501</t>
  </si>
  <si>
    <t>Administration, Administration and Accounting Services   AGAA-0125-01</t>
  </si>
  <si>
    <t>AGAA 0125-02</t>
  </si>
  <si>
    <t>Facilities Maintenance</t>
  </si>
  <si>
    <t>0125-02</t>
  </si>
  <si>
    <t>12502</t>
  </si>
  <si>
    <t>Administration, Facilities Maintenance   AGAA-0125-02</t>
  </si>
  <si>
    <t>AGAB 0001-00</t>
  </si>
  <si>
    <t>AGAB 0001</t>
  </si>
  <si>
    <t>Animal Industries</t>
  </si>
  <si>
    <t>Animal Industries, General   AGAB-0001-00</t>
  </si>
  <si>
    <t>AGAB 0332-06</t>
  </si>
  <si>
    <t>AGAB 0332</t>
  </si>
  <si>
    <t>Agricultural Fees - Livestock Disease Control</t>
  </si>
  <si>
    <t>0332-06</t>
  </si>
  <si>
    <t>33206</t>
  </si>
  <si>
    <t>Animal Industries, Agricultural Fees - Livestock Disease Control   AGAB-0332-06</t>
  </si>
  <si>
    <t>AGAB 0332-07</t>
  </si>
  <si>
    <t>Agricultural Fees - Dairy Inspection</t>
  </si>
  <si>
    <t>0332-07</t>
  </si>
  <si>
    <t>33207</t>
  </si>
  <si>
    <t>Animal Industries, Agricultural Fees - Dairy Inspection   AGAB-0332-07</t>
  </si>
  <si>
    <t>AGAB 0332-09</t>
  </si>
  <si>
    <t>Agricultural Fees - Egg Inspection</t>
  </si>
  <si>
    <t>0332-09</t>
  </si>
  <si>
    <t>33209</t>
  </si>
  <si>
    <t>Animal Industries, Agricultural Fees - Egg Inspection   AGAB-0332-09</t>
  </si>
  <si>
    <t>AGAC 0001-00</t>
  </si>
  <si>
    <t>AGAC 0001</t>
  </si>
  <si>
    <t>Agricultural Resources</t>
  </si>
  <si>
    <t>Agricultural Resources, General   AGAC-0001-00</t>
  </si>
  <si>
    <t>AGAC 0332-05</t>
  </si>
  <si>
    <t>AGAC 0332</t>
  </si>
  <si>
    <t>Agricultural Fees - Pesticides</t>
  </si>
  <si>
    <t>0332-05</t>
  </si>
  <si>
    <t>33205</t>
  </si>
  <si>
    <t>Agricultural Resources, Agricultural Fees - Pesticides   AGAC-0332-05</t>
  </si>
  <si>
    <t>AGAC 0348-00</t>
  </si>
  <si>
    <t>AGAC 0348</t>
  </si>
  <si>
    <t>Federal Grant</t>
  </si>
  <si>
    <t>0348-00</t>
  </si>
  <si>
    <t>34800</t>
  </si>
  <si>
    <t>Agricultural Resources, Federal Grant   AGAC-0348-00</t>
  </si>
  <si>
    <t>AGAD 0001-00</t>
  </si>
  <si>
    <t>AGAD 0001</t>
  </si>
  <si>
    <t>Plant Industries</t>
  </si>
  <si>
    <t>Plant Industries, General   AGAD-0001-00</t>
  </si>
  <si>
    <t>AGAD 0330-00</t>
  </si>
  <si>
    <t>AGAD 0330-01</t>
  </si>
  <si>
    <t>AGAD 0330-02</t>
  </si>
  <si>
    <t>AGAD 0330-05</t>
  </si>
  <si>
    <t>AGAD 0330-08</t>
  </si>
  <si>
    <t>AGAD 0330</t>
  </si>
  <si>
    <t>Agricultural Inspection</t>
  </si>
  <si>
    <t>0330-00</t>
  </si>
  <si>
    <t>33000</t>
  </si>
  <si>
    <t>Plant Industries, Agricultural Inspection   AGAD-0330-00</t>
  </si>
  <si>
    <t>AGAD 0330-13</t>
  </si>
  <si>
    <t>Invasive Species</t>
  </si>
  <si>
    <t>0330-13</t>
  </si>
  <si>
    <t>33013</t>
  </si>
  <si>
    <t>Plant Industries, Invasive Species   AGAD-0330-13</t>
  </si>
  <si>
    <t>AGAD 0332-04</t>
  </si>
  <si>
    <t>AGAD 0332</t>
  </si>
  <si>
    <t>Agricultural Fees - Commercial Feed and Fertilizer</t>
  </si>
  <si>
    <t>0332-04</t>
  </si>
  <si>
    <t>33204</t>
  </si>
  <si>
    <t>Plant Industries, Agricultural Fees - Commercial Feed and Fertilizer   AGAD-0332-04</t>
  </si>
  <si>
    <t>AGAD 0332-08</t>
  </si>
  <si>
    <t>Agricultural Fees - Honey Advertising</t>
  </si>
  <si>
    <t>0332-08</t>
  </si>
  <si>
    <t>33208</t>
  </si>
  <si>
    <t>Plant Industries, Agricultural Fees - Honey Advertising   AGAD-0332-08</t>
  </si>
  <si>
    <t>AGAE 0001-00</t>
  </si>
  <si>
    <t>AGAE 0001</t>
  </si>
  <si>
    <t>Agricultural Inspections</t>
  </si>
  <si>
    <t>Agricultural Inspections, General   AGAE-0001-00</t>
  </si>
  <si>
    <t>AGAE 0330-12</t>
  </si>
  <si>
    <t>AGAE 0330</t>
  </si>
  <si>
    <t>Weights and Measures Inspection</t>
  </si>
  <si>
    <t>0330-12</t>
  </si>
  <si>
    <t>33012</t>
  </si>
  <si>
    <t>Agricultural Inspections, Weights and Measures Inspection   AGAE-0330-12</t>
  </si>
  <si>
    <t>AGAE 0332-10</t>
  </si>
  <si>
    <t>AGAE 0332</t>
  </si>
  <si>
    <t>Agricultural Fees - Organic Food Products</t>
  </si>
  <si>
    <t>0332-10</t>
  </si>
  <si>
    <t>33210</t>
  </si>
  <si>
    <t>Agricultural Inspections, Agricultural Fees - Organic Food Products   AGAE-0332-10</t>
  </si>
  <si>
    <t>AGAF 0001-00</t>
  </si>
  <si>
    <t>AGAF 0001</t>
  </si>
  <si>
    <t>Market Development</t>
  </si>
  <si>
    <t>Market Development, General   AGAF-0001-00</t>
  </si>
  <si>
    <t>AGAF 0330-00</t>
  </si>
  <si>
    <t>AGAF 0330-07</t>
  </si>
  <si>
    <t>AGAF 0330</t>
  </si>
  <si>
    <t>Market Development, Agricultural Inspection   AGAF-0330-00</t>
  </si>
  <si>
    <t>AGAF 0490-00</t>
  </si>
  <si>
    <t>AGAF 0490</t>
  </si>
  <si>
    <t>Revolving Loans</t>
  </si>
  <si>
    <t>0490-00</t>
  </si>
  <si>
    <t>49000</t>
  </si>
  <si>
    <t>Market Development, Revolving Loans   AGAF-0490-00</t>
  </si>
  <si>
    <t>AGAH 0001-00</t>
  </si>
  <si>
    <t>AGAH 0001</t>
  </si>
  <si>
    <t>Sheep and Goat Health Board</t>
  </si>
  <si>
    <t>Sheep and Goat Health Board, General   AGAH-0001-00</t>
  </si>
  <si>
    <t>AGAH 0332-03</t>
  </si>
  <si>
    <t>AGAH 0332</t>
  </si>
  <si>
    <t>Agricultural Fees - Sheep and Goat Health</t>
  </si>
  <si>
    <t>0332-03</t>
  </si>
  <si>
    <t>33203</t>
  </si>
  <si>
    <t>Sheep and Goat Health Board, Agricultural Fees - Sheep and Goat Health   AGAH-0332-03</t>
  </si>
  <si>
    <t>AGAK 0331-00</t>
  </si>
  <si>
    <t>AGAK 0331</t>
  </si>
  <si>
    <t>AGAL 0486-00</t>
  </si>
  <si>
    <t>AGAL 0486</t>
  </si>
  <si>
    <t>Agricultural Fees - Fresh Fruit and Vegetable Inspection</t>
  </si>
  <si>
    <t>0486-00</t>
  </si>
  <si>
    <t>48600</t>
  </si>
  <si>
    <t>Agricultural Inspections, Agricultural Fees - Fresh Fruit and Vegetable Inspection   AGAL-0486-00</t>
  </si>
  <si>
    <t>AGAM 0348-00</t>
  </si>
  <si>
    <t>AGAM 0348</t>
  </si>
  <si>
    <t>Market Development, Federal Grant   AGAM-0348-00</t>
  </si>
  <si>
    <t>AGAM 0403-03</t>
  </si>
  <si>
    <t>AGAM 0403</t>
  </si>
  <si>
    <t>Rural Economic Development Integrated Freight Transportation</t>
  </si>
  <si>
    <t>0403-03</t>
  </si>
  <si>
    <t>40303</t>
  </si>
  <si>
    <t>Market Development, Rural Economic Development Integrated Freight Transportation   AGAM-0403-03</t>
  </si>
  <si>
    <t>AGAN 0491-01</t>
  </si>
  <si>
    <t>AGAN 0491</t>
  </si>
  <si>
    <t>AGAN 0491-02</t>
  </si>
  <si>
    <t>AGAO 0330-00</t>
  </si>
  <si>
    <t>AGAO 0330-09</t>
  </si>
  <si>
    <t>AGAO 0330</t>
  </si>
  <si>
    <t>Animal Industries, Agricultural Inspection   AGAO-0330-00</t>
  </si>
  <si>
    <t>AGAO 0332-11</t>
  </si>
  <si>
    <t>AGAO 0332</t>
  </si>
  <si>
    <t>Agricultural Fees - Commercial Fisheries</t>
  </si>
  <si>
    <t>0332-11</t>
  </si>
  <si>
    <t>33211</t>
  </si>
  <si>
    <t>Animal Industries, Agricultural Fees - Commercial Fisheries   AGAO-0332-11</t>
  </si>
  <si>
    <t>AGAO 0332-12</t>
  </si>
  <si>
    <t>Agricultural Fees - Poultry Inspection</t>
  </si>
  <si>
    <t>0332-12</t>
  </si>
  <si>
    <t>33212</t>
  </si>
  <si>
    <t>Animal Industries, Agricultural Fees - Poultry Inspection   AGAO-0332-12</t>
  </si>
  <si>
    <t>AGAO 0348-00</t>
  </si>
  <si>
    <t>AGAO 0348</t>
  </si>
  <si>
    <t>Animal Industries, Federal Grant   AGAO-0348-00</t>
  </si>
  <si>
    <t>AGAP 0348-00</t>
  </si>
  <si>
    <t>AGAP 0348</t>
  </si>
  <si>
    <t>Plant Industries, Federal Grant   AGAP-0348-00</t>
  </si>
  <si>
    <t>AGAP 0402-00</t>
  </si>
  <si>
    <t>AGAP 0402</t>
  </si>
  <si>
    <t>Quality Assurance Laboratory Services</t>
  </si>
  <si>
    <t>0402-00</t>
  </si>
  <si>
    <t>40200</t>
  </si>
  <si>
    <t>Plant Industries, Quality Assurance Laboratory Services   AGAP-0402-00</t>
  </si>
  <si>
    <t>Totals by Budget Unit and Fund</t>
  </si>
  <si>
    <t>Est. FY22_x000D_
Salary</t>
  </si>
  <si>
    <t>Proj. FY23_x000D_
Salary</t>
  </si>
  <si>
    <t>Actual FY 2021</t>
  </si>
  <si>
    <t>Estimate FY 2022</t>
  </si>
  <si>
    <t>Projection FY 2023</t>
  </si>
  <si>
    <t>Filled Permanent/Elected</t>
  </si>
  <si>
    <t>Fund-0001</t>
  </si>
  <si>
    <t>Fund-0125</t>
  </si>
  <si>
    <t>0330-01</t>
  </si>
  <si>
    <t>0330-02</t>
  </si>
  <si>
    <t>0330-05</t>
  </si>
  <si>
    <t>0330-07</t>
  </si>
  <si>
    <t>0330-08</t>
  </si>
  <si>
    <t>0330-09</t>
  </si>
  <si>
    <t>Fund-0330</t>
  </si>
  <si>
    <t>Fund-0332</t>
  </si>
  <si>
    <t>Fund-0348</t>
  </si>
  <si>
    <t>Fund-0402</t>
  </si>
  <si>
    <t>Fund-0486</t>
  </si>
  <si>
    <t>Permanent Total</t>
  </si>
  <si>
    <t>Group</t>
  </si>
  <si>
    <t>Group Total</t>
  </si>
  <si>
    <t>Agency Fund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</si>
</sst>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0.00000"/>
    <numFmt numFmtId="165" formatCode="&quot;$&quot;#,##0"/>
    <numFmt numFmtId="166" formatCode="0_)"/>
    <numFmt numFmtId="167" formatCode="0.0000"/>
    <numFmt numFmtId="168" formatCode="0000;;"/>
    <numFmt numFmtId="169" formatCode="00;;"/>
    <numFmt numFmtId="170" formatCode="00000;;00000"/>
    <numFmt numFmtId="171" formatCode="0000\-00;;"/>
    <numFmt numFmtId="172" formatCode="0.00\ ;\(0.00\);0.0\ "/>
    <numFmt numFmtId="173" formatCode="#,##0.000_);[Red]\(#,##0.000\)"/>
    <numFmt numFmtId="174" formatCode="0\ ;\(0\);0\ "/>
    <numFmt numFmtId="175" formatCode="#,##0_);[Red]\(#,##0\);0\ "/>
    <numFmt numFmtId="176" formatCode="0.0%"/>
    <numFmt numFmtId="177" formatCode="#,##0.00000000_);[Red]\(#,##0.00000000\)"/>
    <numFmt numFmtId="178" formatCode="#,##0.000000000_);[Red]\(#,##0.000000000\)"/>
    <numFmt numFmtId="179" formatCode="0.00000_);[Red]\(0.00000\)"/>
    <numFmt numFmtId="180" formatCode="0.000"/>
    <numFmt numFmtId="181" formatCode="0.000000"/>
    <numFmt numFmtId="182" formatCode="0.0000_);[Red]\(0.0000\)"/>
    <numFmt numFmtId="183" formatCode="#0"/>
    <numFmt numFmtId="185" formatCode="#0.########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Helv"/>
    </font>
    <font>
      <sz val="10"/>
      <name val="Arial"/>
      <family val="2"/>
    </font>
    <font>
      <b/>
      <sz val="15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b/>
      <sz val="15"/>
      <color theme="1"/>
      <name val="Times New Roman"/>
      <family val="1"/>
    </font>
    <font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color rgb="FF002060"/>
      <name val="Arial"/>
      <family val="2"/>
    </font>
    <font>
      <sz val="9"/>
      <color indexed="10"/>
      <name val="Arial"/>
      <family val="2"/>
    </font>
    <font>
      <sz val="10"/>
      <color indexed="10"/>
      <name val="Arial"/>
      <family val="2"/>
    </font>
    <font>
      <b/>
      <sz val="10"/>
      <color rgb="FF002060"/>
      <name val="Arial"/>
      <family val="2"/>
    </font>
    <font>
      <b/>
      <sz val="8"/>
      <name val="Arial"/>
      <family val="2"/>
    </font>
    <font>
      <sz val="8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Arial"/>
      <family val="2"/>
    </font>
    <font>
      <sz val="10"/>
      <color indexed="81"/>
      <name val="Tahoma"/>
      <family val="2"/>
    </font>
    <font>
      <sz val="12"/>
      <color theme="1"/>
      <name val="Times New Roman"/>
      <family val="1"/>
    </font>
    <font>
      <sz val="9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0"/>
      <color theme="1"/>
      <name val="Times New Roman"/>
      <family val="1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2"/>
      <color theme="0"/>
      <name val="Helv"/>
    </font>
    <font>
      <sz val="12"/>
      <color theme="0"/>
      <name val="Times New Roman"/>
      <family val="1"/>
    </font>
    <font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8"/>
      <color rgb="FF333333"/>
      <name val="Arial"/>
      <family val="2"/>
    </font>
    <font>
      <sz val="8"/>
      <color rgb="FF454545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gray125">
        <bgColor theme="1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7E5E5"/>
      </patternFill>
    </fill>
    <fill>
      <patternFill patternType="solid">
        <fgColor rgb="FFB8CCE4"/>
        <bgColor indexed="64"/>
      </patternFill>
    </fill>
    <fill>
      <patternFill patternType="solid">
        <fgColor rgb="FFE6B8B8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E8AE27"/>
        <bgColor indexed="64"/>
      </patternFill>
    </fill>
    <fill>
      <patternFill patternType="solid">
        <fgColor rgb="FFC4BD97"/>
        <bgColor indexed="64"/>
      </patternFill>
    </fill>
    <fill>
      <patternFill patternType="solid">
        <fgColor rgb="FFC88700"/>
        <bgColor indexed="64"/>
      </patternFill>
    </fill>
    <fill>
      <patternFill patternType="solid">
        <fgColor rgb="FFEDDE11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92CDDC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/>
      <top style="medium">
        <color indexed="64"/>
      </top>
      <bottom/>
      <diagonal/>
    </border>
  </borders>
  <cellStyleXfs count="8">
    <xf numFmtId="0" fontId="0" fillId="0" borderId="0"/>
    <xf numFmtId="166" fontId="2" fillId="0" borderId="0"/>
    <xf numFmtId="43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480">
    <xf numFmtId="0" fontId="0" fillId="0" borderId="0" xfId="0"/>
    <xf numFmtId="0" fontId="5" fillId="0" borderId="0" xfId="0" applyFont="1"/>
    <xf numFmtId="0" fontId="4" fillId="2" borderId="0" xfId="0" applyNumberFormat="1" applyFont="1" applyFill="1" applyAlignment="1">
      <alignment horizontal="left" vertical="top"/>
    </xf>
    <xf numFmtId="0" fontId="6" fillId="0" borderId="0" xfId="0" applyNumberFormat="1" applyFont="1"/>
    <xf numFmtId="0" fontId="6" fillId="0" borderId="0" xfId="0" applyNumberFormat="1" applyFont="1" applyAlignment="1">
      <alignment horizontal="center"/>
    </xf>
    <xf numFmtId="0" fontId="4" fillId="0" borderId="1" xfId="0" applyNumberFormat="1" applyFont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4" fillId="0" borderId="2" xfId="0" applyNumberFormat="1" applyFont="1" applyBorder="1" applyAlignment="1">
      <alignment horizontal="center" wrapText="1"/>
    </xf>
    <xf numFmtId="164" fontId="5" fillId="0" borderId="0" xfId="0" applyNumberFormat="1" applyFont="1"/>
    <xf numFmtId="167" fontId="5" fillId="0" borderId="0" xfId="0" applyNumberFormat="1" applyFont="1"/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center" wrapText="1"/>
    </xf>
    <xf numFmtId="166" fontId="8" fillId="4" borderId="6" xfId="1" applyFont="1" applyFill="1" applyBorder="1" applyAlignment="1">
      <alignment horizontal="left" vertical="center"/>
    </xf>
    <xf numFmtId="166" fontId="8" fillId="4" borderId="7" xfId="1" applyFont="1" applyFill="1" applyBorder="1" applyAlignment="1">
      <alignment horizontal="left" vertical="center"/>
    </xf>
    <xf numFmtId="168" fontId="9" fillId="4" borderId="5" xfId="7" applyNumberFormat="1" applyFont="1" applyFill="1" applyBorder="1" applyAlignment="1" applyProtection="1">
      <alignment horizontal="left" vertical="center"/>
    </xf>
    <xf numFmtId="168" fontId="10" fillId="4" borderId="7" xfId="7" applyNumberFormat="1" applyFont="1" applyFill="1" applyBorder="1" applyAlignment="1" applyProtection="1">
      <alignment horizontal="center" vertical="center"/>
    </xf>
    <xf numFmtId="166" fontId="8" fillId="4" borderId="7" xfId="1" applyFont="1" applyFill="1" applyBorder="1" applyAlignment="1">
      <alignment horizontal="right" vertical="center"/>
    </xf>
    <xf numFmtId="166" fontId="2" fillId="0" borderId="0" xfId="1" applyFont="1" applyBorder="1"/>
    <xf numFmtId="166" fontId="2" fillId="0" borderId="0" xfId="1" applyFont="1"/>
    <xf numFmtId="166" fontId="8" fillId="4" borderId="9" xfId="1" applyFont="1" applyFill="1" applyBorder="1" applyAlignment="1">
      <alignment vertical="center"/>
    </xf>
    <xf numFmtId="166" fontId="8" fillId="4" borderId="0" xfId="1" applyFont="1" applyFill="1" applyBorder="1" applyAlignment="1">
      <alignment vertical="center"/>
    </xf>
    <xf numFmtId="168" fontId="10" fillId="4" borderId="0" xfId="7" applyNumberFormat="1" applyFont="1" applyFill="1" applyBorder="1" applyAlignment="1" applyProtection="1">
      <alignment horizontal="center" vertical="center"/>
    </xf>
    <xf numFmtId="166" fontId="8" fillId="4" borderId="0" xfId="1" applyFont="1" applyFill="1" applyBorder="1" applyAlignment="1">
      <alignment horizontal="right" vertical="center"/>
    </xf>
    <xf numFmtId="0" fontId="9" fillId="4" borderId="5" xfId="7" applyFont="1" applyFill="1" applyBorder="1" applyAlignment="1" applyProtection="1">
      <alignment horizontal="left" vertical="center"/>
    </xf>
    <xf numFmtId="0" fontId="12" fillId="4" borderId="0" xfId="7" applyFont="1" applyFill="1" applyBorder="1" applyAlignment="1" applyProtection="1">
      <alignment horizontal="center" vertical="center"/>
    </xf>
    <xf numFmtId="0" fontId="12" fillId="4" borderId="0" xfId="7" applyFont="1" applyFill="1" applyBorder="1" applyAlignment="1" applyProtection="1">
      <alignment horizontal="right" vertical="center"/>
    </xf>
    <xf numFmtId="0" fontId="12" fillId="4" borderId="0" xfId="7" applyFont="1" applyFill="1" applyBorder="1" applyAlignment="1" applyProtection="1">
      <alignment vertical="center"/>
    </xf>
    <xf numFmtId="0" fontId="8" fillId="4" borderId="0" xfId="7" applyFont="1" applyFill="1" applyBorder="1" applyAlignment="1" applyProtection="1">
      <alignment vertical="center"/>
    </xf>
    <xf numFmtId="2" fontId="12" fillId="4" borderId="0" xfId="7" applyNumberFormat="1" applyFont="1" applyFill="1" applyBorder="1" applyAlignment="1" applyProtection="1">
      <alignment vertical="center"/>
    </xf>
    <xf numFmtId="14" fontId="11" fillId="4" borderId="1" xfId="7" applyNumberFormat="1" applyFont="1" applyFill="1" applyBorder="1" applyAlignment="1" applyProtection="1">
      <alignment horizontal="left" vertical="center"/>
    </xf>
    <xf numFmtId="0" fontId="8" fillId="4" borderId="0" xfId="7" applyFont="1" applyFill="1" applyBorder="1" applyAlignment="1" applyProtection="1">
      <alignment horizontal="right" vertical="center"/>
    </xf>
    <xf numFmtId="2" fontId="8" fillId="4" borderId="0" xfId="7" applyNumberFormat="1" applyFont="1" applyFill="1" applyBorder="1" applyAlignment="1" applyProtection="1">
      <alignment horizontal="right" vertical="center"/>
    </xf>
    <xf numFmtId="49" fontId="13" fillId="5" borderId="2" xfId="1" applyNumberFormat="1" applyFont="1" applyFill="1" applyBorder="1" applyAlignment="1">
      <alignment horizontal="center" vertical="center" shrinkToFit="1"/>
    </xf>
    <xf numFmtId="166" fontId="2" fillId="0" borderId="0" xfId="1" applyFont="1" applyBorder="1" applyAlignment="1"/>
    <xf numFmtId="166" fontId="2" fillId="0" borderId="0" xfId="1" applyFont="1" applyAlignment="1"/>
    <xf numFmtId="0" fontId="8" fillId="4" borderId="0" xfId="7" applyFont="1" applyFill="1" applyBorder="1" applyAlignment="1" applyProtection="1">
      <alignment horizontal="left" vertical="center"/>
    </xf>
    <xf numFmtId="0" fontId="11" fillId="4" borderId="1" xfId="7" applyNumberFormat="1" applyFont="1" applyFill="1" applyBorder="1" applyAlignment="1" applyProtection="1">
      <alignment horizontal="left" vertical="center"/>
    </xf>
    <xf numFmtId="38" fontId="12" fillId="4" borderId="0" xfId="7" applyNumberFormat="1" applyFont="1" applyFill="1" applyBorder="1" applyAlignment="1" applyProtection="1">
      <alignment vertical="center"/>
    </xf>
    <xf numFmtId="169" fontId="14" fillId="0" borderId="9" xfId="7" applyNumberFormat="1" applyFont="1" applyBorder="1" applyProtection="1"/>
    <xf numFmtId="0" fontId="14" fillId="0" borderId="1" xfId="7" applyFont="1" applyBorder="1" applyAlignment="1" applyProtection="1">
      <alignment horizontal="center"/>
    </xf>
    <xf numFmtId="0" fontId="14" fillId="0" borderId="0" xfId="7" applyFont="1" applyBorder="1" applyAlignment="1" applyProtection="1">
      <alignment horizontal="center"/>
    </xf>
    <xf numFmtId="0" fontId="14" fillId="0" borderId="0" xfId="7" applyFont="1" applyBorder="1" applyProtection="1"/>
    <xf numFmtId="170" fontId="14" fillId="0" borderId="1" xfId="7" applyNumberFormat="1" applyFont="1" applyBorder="1" applyAlignment="1" applyProtection="1">
      <alignment horizontal="center"/>
    </xf>
    <xf numFmtId="0" fontId="14" fillId="0" borderId="1" xfId="7" applyFont="1" applyBorder="1" applyAlignment="1" applyProtection="1">
      <alignment horizontal="right"/>
    </xf>
    <xf numFmtId="0" fontId="14" fillId="0" borderId="0" xfId="7" applyFont="1" applyBorder="1" applyAlignment="1" applyProtection="1">
      <alignment horizontal="right"/>
    </xf>
    <xf numFmtId="171" fontId="14" fillId="0" borderId="0" xfId="7" applyNumberFormat="1" applyFont="1" applyBorder="1" applyProtection="1"/>
    <xf numFmtId="38" fontId="14" fillId="0" borderId="0" xfId="7" applyNumberFormat="1" applyFont="1" applyBorder="1" applyProtection="1"/>
    <xf numFmtId="172" fontId="14" fillId="0" borderId="10" xfId="7" applyNumberFormat="1" applyFont="1" applyBorder="1" applyProtection="1"/>
    <xf numFmtId="168" fontId="15" fillId="0" borderId="2" xfId="7" applyNumberFormat="1" applyFont="1" applyBorder="1" applyAlignment="1" applyProtection="1">
      <alignment horizontal="center" wrapText="1"/>
    </xf>
    <xf numFmtId="172" fontId="15" fillId="0" borderId="2" xfId="7" applyNumberFormat="1" applyFont="1" applyBorder="1" applyAlignment="1" applyProtection="1">
      <alignment horizontal="center" wrapText="1"/>
    </xf>
    <xf numFmtId="38" fontId="15" fillId="0" borderId="2" xfId="7" applyNumberFormat="1" applyFont="1" applyBorder="1" applyAlignment="1" applyProtection="1">
      <alignment horizontal="center" wrapText="1"/>
    </xf>
    <xf numFmtId="166" fontId="2" fillId="0" borderId="0" xfId="1" applyFont="1" applyBorder="1" applyAlignment="1">
      <alignment wrapText="1"/>
    </xf>
    <xf numFmtId="166" fontId="2" fillId="0" borderId="0" xfId="1" applyFont="1" applyAlignment="1">
      <alignment wrapText="1"/>
    </xf>
    <xf numFmtId="0" fontId="14" fillId="0" borderId="0" xfId="7" applyFont="1" applyProtection="1"/>
    <xf numFmtId="168" fontId="15" fillId="0" borderId="6" xfId="7" applyNumberFormat="1" applyFont="1" applyBorder="1" applyAlignment="1" applyProtection="1"/>
    <xf numFmtId="40" fontId="15" fillId="3" borderId="2" xfId="7" applyNumberFormat="1" applyFont="1" applyFill="1" applyBorder="1" applyAlignment="1" applyProtection="1">
      <alignment horizontal="center"/>
    </xf>
    <xf numFmtId="168" fontId="16" fillId="3" borderId="4" xfId="7" applyNumberFormat="1" applyFont="1" applyFill="1" applyBorder="1" applyAlignment="1" applyProtection="1">
      <alignment vertical="center"/>
      <protection locked="0"/>
    </xf>
    <xf numFmtId="49" fontId="3" fillId="6" borderId="2" xfId="7" applyNumberFormat="1" applyFont="1" applyFill="1" applyBorder="1" applyAlignment="1" applyProtection="1">
      <alignment horizontal="center"/>
    </xf>
    <xf numFmtId="40" fontId="3" fillId="6" borderId="2" xfId="7" applyNumberFormat="1" applyFont="1" applyFill="1" applyBorder="1" applyAlignment="1" applyProtection="1">
      <alignment horizontal="center"/>
    </xf>
    <xf numFmtId="40" fontId="3" fillId="0" borderId="3" xfId="7" applyNumberFormat="1" applyFont="1" applyFill="1" applyBorder="1" applyAlignment="1" applyProtection="1">
      <alignment horizontal="center"/>
    </xf>
    <xf numFmtId="38" fontId="3" fillId="0" borderId="10" xfId="7" applyNumberFormat="1" applyFont="1" applyFill="1" applyBorder="1" applyProtection="1"/>
    <xf numFmtId="38" fontId="3" fillId="0" borderId="3" xfId="7" applyNumberFormat="1" applyFont="1" applyFill="1" applyBorder="1" applyProtection="1"/>
    <xf numFmtId="38" fontId="3" fillId="0" borderId="0" xfId="7" applyNumberFormat="1" applyFont="1" applyFill="1" applyBorder="1" applyProtection="1"/>
    <xf numFmtId="49" fontId="3" fillId="7" borderId="11" xfId="7" applyNumberFormat="1" applyFont="1" applyFill="1" applyBorder="1" applyAlignment="1" applyProtection="1">
      <alignment horizontal="center"/>
    </xf>
    <xf numFmtId="49" fontId="3" fillId="7" borderId="0" xfId="7" applyNumberFormat="1" applyFont="1" applyFill="1" applyBorder="1" applyAlignment="1" applyProtection="1">
      <alignment horizontal="center"/>
    </xf>
    <xf numFmtId="49" fontId="3" fillId="7" borderId="1" xfId="7" applyNumberFormat="1" applyFont="1" applyFill="1" applyBorder="1" applyAlignment="1" applyProtection="1">
      <alignment horizontal="center"/>
    </xf>
    <xf numFmtId="49" fontId="3" fillId="7" borderId="14" xfId="7" applyNumberFormat="1" applyFont="1" applyFill="1" applyBorder="1" applyAlignment="1" applyProtection="1">
      <alignment horizontal="center"/>
    </xf>
    <xf numFmtId="49" fontId="3" fillId="7" borderId="10" xfId="7" applyNumberFormat="1" applyFont="1" applyFill="1" applyBorder="1" applyAlignment="1" applyProtection="1">
      <alignment horizontal="center"/>
    </xf>
    <xf numFmtId="40" fontId="3" fillId="7" borderId="10" xfId="7" applyNumberFormat="1" applyFont="1" applyFill="1" applyBorder="1" applyAlignment="1" applyProtection="1"/>
    <xf numFmtId="168" fontId="18" fillId="8" borderId="0" xfId="7" applyNumberFormat="1" applyFont="1" applyFill="1" applyBorder="1" applyAlignment="1" applyProtection="1">
      <alignment horizontal="left" vertical="top" wrapText="1"/>
      <protection locked="0"/>
    </xf>
    <xf numFmtId="168" fontId="18" fillId="8" borderId="10" xfId="7" applyNumberFormat="1" applyFont="1" applyFill="1" applyBorder="1" applyAlignment="1" applyProtection="1">
      <alignment horizontal="left" vertical="top" wrapText="1"/>
      <protection locked="0"/>
    </xf>
    <xf numFmtId="0" fontId="14" fillId="0" borderId="2" xfId="7" applyFont="1" applyBorder="1" applyProtection="1"/>
    <xf numFmtId="0" fontId="20" fillId="0" borderId="2" xfId="7" applyFont="1" applyBorder="1" applyAlignment="1" applyProtection="1">
      <alignment horizontal="center" wrapText="1"/>
    </xf>
    <xf numFmtId="40" fontId="20" fillId="0" borderId="2" xfId="7" applyNumberFormat="1" applyFont="1" applyBorder="1" applyAlignment="1" applyProtection="1">
      <alignment horizontal="center" wrapText="1"/>
    </xf>
    <xf numFmtId="3" fontId="20" fillId="0" borderId="2" xfId="7" applyNumberFormat="1" applyFont="1" applyBorder="1" applyAlignment="1" applyProtection="1">
      <alignment horizontal="center" wrapText="1"/>
    </xf>
    <xf numFmtId="2" fontId="15" fillId="0" borderId="13" xfId="7" applyNumberFormat="1" applyFont="1" applyBorder="1" applyProtection="1"/>
    <xf numFmtId="49" fontId="3" fillId="0" borderId="15" xfId="7" applyNumberFormat="1" applyFont="1" applyBorder="1" applyAlignment="1" applyProtection="1">
      <alignment horizontal="center"/>
    </xf>
    <xf numFmtId="168" fontId="15" fillId="0" borderId="15" xfId="7" applyNumberFormat="1" applyFont="1" applyBorder="1" applyAlignment="1" applyProtection="1"/>
    <xf numFmtId="175" fontId="15" fillId="3" borderId="14" xfId="7" applyNumberFormat="1" applyFont="1" applyFill="1" applyBorder="1" applyAlignment="1" applyProtection="1">
      <alignment horizontal="center"/>
    </xf>
    <xf numFmtId="38" fontId="15" fillId="3" borderId="8" xfId="7" applyNumberFormat="1" applyFont="1" applyFill="1" applyBorder="1" applyProtection="1"/>
    <xf numFmtId="38" fontId="15" fillId="3" borderId="2" xfId="7" applyNumberFormat="1" applyFont="1" applyFill="1" applyBorder="1" applyProtection="1"/>
    <xf numFmtId="38" fontId="3" fillId="0" borderId="3" xfId="7" applyNumberFormat="1" applyFont="1" applyBorder="1" applyProtection="1"/>
    <xf numFmtId="2" fontId="15" fillId="0" borderId="3" xfId="7" applyNumberFormat="1" applyFont="1" applyBorder="1" applyProtection="1"/>
    <xf numFmtId="49" fontId="3" fillId="0" borderId="10" xfId="7" applyNumberFormat="1" applyFont="1" applyBorder="1" applyAlignment="1" applyProtection="1">
      <alignment horizontal="center"/>
    </xf>
    <xf numFmtId="168" fontId="15" fillId="0" borderId="9" xfId="7" applyNumberFormat="1" applyFont="1" applyBorder="1" applyAlignment="1" applyProtection="1"/>
    <xf numFmtId="2" fontId="3" fillId="0" borderId="3" xfId="7" applyNumberFormat="1" applyFont="1" applyBorder="1" applyProtection="1"/>
    <xf numFmtId="38" fontId="14" fillId="0" borderId="3" xfId="7" applyNumberFormat="1" applyFont="1" applyBorder="1" applyProtection="1"/>
    <xf numFmtId="0" fontId="3" fillId="6" borderId="2" xfId="7" applyFont="1" applyFill="1" applyBorder="1" applyAlignment="1" applyProtection="1">
      <alignment horizontal="center"/>
    </xf>
    <xf numFmtId="38" fontId="3" fillId="6" borderId="2" xfId="7" applyNumberFormat="1" applyFont="1" applyFill="1" applyBorder="1" applyProtection="1"/>
    <xf numFmtId="38" fontId="3" fillId="3" borderId="2" xfId="7" applyNumberFormat="1" applyFont="1" applyFill="1" applyBorder="1" applyProtection="1"/>
    <xf numFmtId="38" fontId="15" fillId="3" borderId="13" xfId="7" applyNumberFormat="1" applyFont="1" applyFill="1" applyBorder="1" applyProtection="1"/>
    <xf numFmtId="38" fontId="3" fillId="6" borderId="13" xfId="7" applyNumberFormat="1" applyFont="1" applyFill="1" applyBorder="1" applyProtection="1"/>
    <xf numFmtId="38" fontId="3" fillId="6" borderId="3" xfId="7" applyNumberFormat="1" applyFont="1" applyFill="1" applyBorder="1" applyProtection="1"/>
    <xf numFmtId="0" fontId="3" fillId="0" borderId="16" xfId="7" applyFont="1" applyBorder="1" applyProtection="1"/>
    <xf numFmtId="0" fontId="3" fillId="8" borderId="3" xfId="7" applyFont="1" applyFill="1" applyBorder="1" applyProtection="1"/>
    <xf numFmtId="0" fontId="3" fillId="8" borderId="10" xfId="7" applyFont="1" applyFill="1" applyBorder="1" applyProtection="1"/>
    <xf numFmtId="0" fontId="3" fillId="8" borderId="3" xfId="7" applyFont="1" applyFill="1" applyBorder="1" applyAlignment="1" applyProtection="1">
      <alignment horizontal="center"/>
    </xf>
    <xf numFmtId="40" fontId="3" fillId="8" borderId="3" xfId="7" applyNumberFormat="1" applyFont="1" applyFill="1" applyBorder="1" applyAlignment="1" applyProtection="1">
      <alignment horizontal="center"/>
    </xf>
    <xf numFmtId="38" fontId="15" fillId="8" borderId="3" xfId="7" applyNumberFormat="1" applyFont="1" applyFill="1" applyBorder="1" applyProtection="1"/>
    <xf numFmtId="0" fontId="3" fillId="8" borderId="9" xfId="7" applyFont="1" applyFill="1" applyBorder="1" applyProtection="1"/>
    <xf numFmtId="0" fontId="3" fillId="0" borderId="3" xfId="7" applyFont="1" applyFill="1" applyBorder="1" applyProtection="1"/>
    <xf numFmtId="0" fontId="3" fillId="0" borderId="10" xfId="7" applyFont="1" applyFill="1" applyBorder="1" applyProtection="1"/>
    <xf numFmtId="0" fontId="3" fillId="0" borderId="3" xfId="7" applyFont="1" applyFill="1" applyBorder="1" applyAlignment="1" applyProtection="1">
      <alignment horizontal="center"/>
    </xf>
    <xf numFmtId="40" fontId="20" fillId="0" borderId="13" xfId="7" applyNumberFormat="1" applyFont="1" applyBorder="1" applyAlignment="1" applyProtection="1">
      <alignment horizontal="center"/>
    </xf>
    <xf numFmtId="0" fontId="20" fillId="0" borderId="0" xfId="7" applyFont="1" applyBorder="1" applyAlignment="1" applyProtection="1">
      <alignment horizontal="center"/>
    </xf>
    <xf numFmtId="0" fontId="3" fillId="0" borderId="0" xfId="7" applyFont="1" applyFill="1" applyBorder="1" applyProtection="1"/>
    <xf numFmtId="0" fontId="14" fillId="0" borderId="0" xfId="7" applyFont="1" applyFill="1" applyBorder="1" applyProtection="1"/>
    <xf numFmtId="0" fontId="14" fillId="0" borderId="0" xfId="7" applyFont="1" applyFill="1" applyProtection="1"/>
    <xf numFmtId="168" fontId="15" fillId="0" borderId="10" xfId="7" applyNumberFormat="1" applyFont="1" applyBorder="1" applyAlignment="1" applyProtection="1"/>
    <xf numFmtId="0" fontId="3" fillId="0" borderId="3" xfId="7" applyFont="1" applyBorder="1" applyAlignment="1" applyProtection="1">
      <alignment horizontal="center"/>
    </xf>
    <xf numFmtId="0" fontId="3" fillId="0" borderId="0" xfId="7" applyFont="1" applyBorder="1" applyProtection="1"/>
    <xf numFmtId="0" fontId="3" fillId="0" borderId="10" xfId="7" applyFont="1" applyBorder="1" applyProtection="1"/>
    <xf numFmtId="0" fontId="3" fillId="0" borderId="9" xfId="7" applyFont="1" applyBorder="1" applyAlignment="1" applyProtection="1">
      <alignment horizontal="center"/>
    </xf>
    <xf numFmtId="38" fontId="15" fillId="3" borderId="3" xfId="7" applyNumberFormat="1" applyFont="1" applyFill="1" applyBorder="1" applyProtection="1"/>
    <xf numFmtId="168" fontId="3" fillId="0" borderId="9" xfId="7" applyNumberFormat="1" applyFont="1" applyBorder="1" applyAlignment="1" applyProtection="1">
      <alignment horizontal="left" indent="2"/>
    </xf>
    <xf numFmtId="168" fontId="3" fillId="0" borderId="10" xfId="7" applyNumberFormat="1" applyFont="1" applyBorder="1" applyAlignment="1" applyProtection="1">
      <alignment horizontal="left" indent="2"/>
    </xf>
    <xf numFmtId="2" fontId="3" fillId="6" borderId="2" xfId="7" applyNumberFormat="1" applyFont="1" applyFill="1" applyBorder="1" applyProtection="1"/>
    <xf numFmtId="2" fontId="15" fillId="0" borderId="2" xfId="7" applyNumberFormat="1" applyFont="1" applyBorder="1" applyProtection="1"/>
    <xf numFmtId="49" fontId="3" fillId="0" borderId="8" xfId="7" applyNumberFormat="1" applyFont="1" applyBorder="1" applyAlignment="1" applyProtection="1">
      <alignment horizontal="center"/>
    </xf>
    <xf numFmtId="168" fontId="15" fillId="0" borderId="4" xfId="7" applyNumberFormat="1" applyFont="1" applyBorder="1" applyAlignment="1" applyProtection="1"/>
    <xf numFmtId="168" fontId="15" fillId="0" borderId="8" xfId="7" applyNumberFormat="1" applyFont="1" applyBorder="1" applyAlignment="1" applyProtection="1"/>
    <xf numFmtId="0" fontId="3" fillId="0" borderId="11" xfId="7" applyFont="1" applyBorder="1" applyAlignment="1" applyProtection="1">
      <alignment horizontal="center"/>
    </xf>
    <xf numFmtId="0" fontId="3" fillId="0" borderId="1" xfId="7" applyFont="1" applyBorder="1" applyProtection="1"/>
    <xf numFmtId="0" fontId="3" fillId="0" borderId="14" xfId="7" applyFont="1" applyBorder="1" applyProtection="1"/>
    <xf numFmtId="2" fontId="14" fillId="0" borderId="0" xfId="7" applyNumberFormat="1" applyFont="1" applyProtection="1"/>
    <xf numFmtId="168" fontId="14" fillId="0" borderId="0" xfId="7" applyNumberFormat="1" applyFont="1" applyAlignment="1" applyProtection="1">
      <alignment horizontal="center"/>
    </xf>
    <xf numFmtId="170" fontId="14" fillId="0" borderId="0" xfId="7" applyNumberFormat="1" applyFont="1" applyAlignment="1" applyProtection="1">
      <alignment horizontal="center"/>
    </xf>
    <xf numFmtId="0" fontId="14" fillId="0" borderId="0" xfId="7" applyFont="1" applyAlignment="1" applyProtection="1">
      <alignment horizontal="center"/>
    </xf>
    <xf numFmtId="172" fontId="14" fillId="0" borderId="0" xfId="7" applyNumberFormat="1" applyFont="1" applyProtection="1"/>
    <xf numFmtId="38" fontId="14" fillId="0" borderId="0" xfId="7" applyNumberFormat="1" applyFont="1" applyProtection="1"/>
    <xf numFmtId="0" fontId="6" fillId="0" borderId="0" xfId="0" applyNumberFormat="1" applyFont="1" applyFill="1" applyBorder="1"/>
    <xf numFmtId="168" fontId="15" fillId="0" borderId="7" xfId="7" applyNumberFormat="1" applyFont="1" applyBorder="1" applyAlignment="1" applyProtection="1"/>
    <xf numFmtId="168" fontId="15" fillId="0" borderId="0" xfId="7" applyNumberFormat="1" applyFont="1" applyBorder="1" applyAlignment="1" applyProtection="1">
      <alignment horizontal="right"/>
    </xf>
    <xf numFmtId="175" fontId="15" fillId="0" borderId="13" xfId="7" applyNumberFormat="1" applyFont="1" applyFill="1" applyBorder="1" applyProtection="1"/>
    <xf numFmtId="0" fontId="3" fillId="0" borderId="12" xfId="7" applyFont="1" applyFill="1" applyBorder="1" applyAlignment="1" applyProtection="1">
      <alignment horizontal="center"/>
    </xf>
    <xf numFmtId="0" fontId="3" fillId="0" borderId="13" xfId="7" applyFont="1" applyFill="1" applyBorder="1" applyAlignment="1" applyProtection="1">
      <alignment horizontal="center"/>
    </xf>
    <xf numFmtId="168" fontId="15" fillId="0" borderId="1" xfId="7" applyNumberFormat="1" applyFont="1" applyFill="1" applyBorder="1" applyAlignment="1" applyProtection="1">
      <alignment horizontal="center" vertical="center" wrapText="1"/>
    </xf>
    <xf numFmtId="38" fontId="19" fillId="0" borderId="0" xfId="7" applyNumberFormat="1" applyFont="1" applyFill="1" applyBorder="1" applyAlignment="1" applyProtection="1">
      <alignment horizontal="center" vertical="center"/>
      <protection locked="0"/>
    </xf>
    <xf numFmtId="38" fontId="19" fillId="0" borderId="0" xfId="7" applyNumberFormat="1" applyFont="1" applyFill="1" applyBorder="1" applyAlignment="1" applyProtection="1">
      <alignment horizontal="center" vertical="center"/>
    </xf>
    <xf numFmtId="49" fontId="3" fillId="1" borderId="9" xfId="7" applyNumberFormat="1" applyFont="1" applyFill="1" applyBorder="1" applyAlignment="1" applyProtection="1">
      <alignment horizontal="center" vertical="center"/>
    </xf>
    <xf numFmtId="49" fontId="3" fillId="1" borderId="6" xfId="7" applyNumberFormat="1" applyFont="1" applyFill="1" applyBorder="1" applyAlignment="1" applyProtection="1">
      <alignment horizontal="center" vertical="center"/>
    </xf>
    <xf numFmtId="1" fontId="3" fillId="0" borderId="13" xfId="7" applyNumberFormat="1" applyFont="1" applyBorder="1" applyAlignment="1" applyProtection="1">
      <alignment horizontal="center" vertical="center"/>
    </xf>
    <xf numFmtId="172" fontId="3" fillId="0" borderId="13" xfId="7" applyNumberFormat="1" applyFont="1" applyBorder="1" applyAlignment="1" applyProtection="1">
      <alignment horizontal="center" vertical="center"/>
    </xf>
    <xf numFmtId="173" fontId="3" fillId="0" borderId="13" xfId="7" applyNumberFormat="1" applyFont="1" applyBorder="1" applyAlignment="1" applyProtection="1">
      <alignment horizontal="right" vertical="center"/>
    </xf>
    <xf numFmtId="38" fontId="3" fillId="0" borderId="13" xfId="7" applyNumberFormat="1" applyFont="1" applyBorder="1" applyAlignment="1" applyProtection="1">
      <alignment horizontal="right" vertical="center"/>
    </xf>
    <xf numFmtId="172" fontId="3" fillId="0" borderId="13" xfId="7" applyNumberFormat="1" applyFont="1" applyBorder="1" applyAlignment="1" applyProtection="1">
      <alignment horizontal="right" vertical="center"/>
    </xf>
    <xf numFmtId="174" fontId="3" fillId="0" borderId="13" xfId="7" applyNumberFormat="1" applyFont="1" applyBorder="1" applyAlignment="1" applyProtection="1">
      <alignment horizontal="right" vertical="center"/>
    </xf>
    <xf numFmtId="0" fontId="14" fillId="0" borderId="0" xfId="7" applyFont="1" applyBorder="1" applyAlignment="1" applyProtection="1">
      <alignment vertical="center"/>
    </xf>
    <xf numFmtId="166" fontId="2" fillId="0" borderId="0" xfId="1" applyFont="1" applyBorder="1" applyAlignment="1">
      <alignment vertical="center"/>
    </xf>
    <xf numFmtId="166" fontId="2" fillId="0" borderId="0" xfId="1" applyFont="1" applyAlignment="1">
      <alignment vertical="center"/>
    </xf>
    <xf numFmtId="1" fontId="15" fillId="0" borderId="3" xfId="7" applyNumberFormat="1" applyFont="1" applyBorder="1" applyAlignment="1" applyProtection="1">
      <alignment horizontal="center" vertical="center"/>
    </xf>
    <xf numFmtId="40" fontId="3" fillId="3" borderId="3" xfId="7" applyNumberFormat="1" applyFont="1" applyFill="1" applyBorder="1" applyAlignment="1" applyProtection="1">
      <alignment horizontal="center" vertical="center"/>
    </xf>
    <xf numFmtId="38" fontId="3" fillId="3" borderId="3" xfId="7" applyNumberFormat="1" applyFont="1" applyFill="1" applyBorder="1" applyAlignment="1" applyProtection="1">
      <alignment horizontal="right" vertical="center"/>
    </xf>
    <xf numFmtId="0" fontId="14" fillId="0" borderId="0" xfId="7" applyFont="1" applyAlignment="1" applyProtection="1">
      <alignment vertical="center"/>
    </xf>
    <xf numFmtId="168" fontId="3" fillId="0" borderId="9" xfId="7" applyNumberFormat="1" applyFont="1" applyBorder="1" applyAlignment="1" applyProtection="1">
      <alignment horizontal="left" vertical="center"/>
    </xf>
    <xf numFmtId="168" fontId="3" fillId="0" borderId="0" xfId="7" applyNumberFormat="1" applyFont="1" applyBorder="1" applyAlignment="1" applyProtection="1">
      <alignment horizontal="left" vertical="center"/>
    </xf>
    <xf numFmtId="49" fontId="3" fillId="1" borderId="3" xfId="7" applyNumberFormat="1" applyFont="1" applyFill="1" applyBorder="1" applyAlignment="1" applyProtection="1">
      <alignment horizontal="center" vertical="center"/>
    </xf>
    <xf numFmtId="168" fontId="15" fillId="0" borderId="6" xfId="7" applyNumberFormat="1" applyFont="1" applyBorder="1" applyAlignment="1" applyProtection="1">
      <alignment vertical="center"/>
    </xf>
    <xf numFmtId="168" fontId="15" fillId="0" borderId="5" xfId="7" applyNumberFormat="1" applyFont="1" applyBorder="1" applyAlignment="1" applyProtection="1">
      <alignment vertical="center"/>
    </xf>
    <xf numFmtId="38" fontId="15" fillId="3" borderId="2" xfId="7" applyNumberFormat="1" applyFont="1" applyFill="1" applyBorder="1" applyAlignment="1" applyProtection="1">
      <alignment horizontal="right" vertical="center"/>
    </xf>
    <xf numFmtId="1" fontId="12" fillId="0" borderId="12" xfId="7" applyNumberFormat="1" applyFont="1" applyBorder="1" applyAlignment="1" applyProtection="1">
      <alignment horizontal="right" vertical="center"/>
    </xf>
    <xf numFmtId="40" fontId="15" fillId="3" borderId="12" xfId="7" applyNumberFormat="1" applyFont="1" applyFill="1" applyBorder="1" applyAlignment="1" applyProtection="1">
      <alignment horizontal="center" vertical="center"/>
    </xf>
    <xf numFmtId="38" fontId="15" fillId="3" borderId="12" xfId="7" applyNumberFormat="1" applyFont="1" applyFill="1" applyBorder="1" applyAlignment="1" applyProtection="1">
      <alignment horizontal="right" vertical="center"/>
    </xf>
    <xf numFmtId="168" fontId="17" fillId="3" borderId="5" xfId="7" applyNumberFormat="1" applyFont="1" applyFill="1" applyBorder="1" applyAlignment="1" applyProtection="1">
      <alignment vertical="center" wrapText="1"/>
      <protection locked="0"/>
    </xf>
    <xf numFmtId="168" fontId="17" fillId="3" borderId="8" xfId="7" applyNumberFormat="1" applyFont="1" applyFill="1" applyBorder="1" applyAlignment="1" applyProtection="1">
      <alignment vertical="center" wrapText="1"/>
      <protection locked="0"/>
    </xf>
    <xf numFmtId="40" fontId="3" fillId="0" borderId="3" xfId="7" applyNumberFormat="1" applyFont="1" applyBorder="1" applyAlignment="1" applyProtection="1">
      <alignment horizontal="center" vertical="center"/>
    </xf>
    <xf numFmtId="38" fontId="3" fillId="0" borderId="3" xfId="7" applyNumberFormat="1" applyFont="1" applyBorder="1" applyAlignment="1" applyProtection="1">
      <alignment horizontal="right" vertical="center"/>
    </xf>
    <xf numFmtId="176" fontId="3" fillId="0" borderId="3" xfId="6" applyNumberFormat="1" applyFont="1" applyBorder="1" applyAlignment="1" applyProtection="1">
      <alignment horizontal="right" vertical="center"/>
    </xf>
    <xf numFmtId="49" fontId="3" fillId="1" borderId="11" xfId="7" applyNumberFormat="1" applyFont="1" applyFill="1" applyBorder="1" applyAlignment="1" applyProtection="1">
      <alignment horizontal="center" vertical="center"/>
    </xf>
    <xf numFmtId="38" fontId="3" fillId="0" borderId="3" xfId="7" applyNumberFormat="1" applyFont="1" applyBorder="1" applyAlignment="1" applyProtection="1">
      <alignment horizontal="left" vertical="center"/>
    </xf>
    <xf numFmtId="177" fontId="3" fillId="0" borderId="3" xfId="7" applyNumberFormat="1" applyFont="1" applyBorder="1" applyAlignment="1" applyProtection="1">
      <alignment horizontal="left" vertical="center"/>
    </xf>
    <xf numFmtId="49" fontId="3" fillId="6" borderId="2" xfId="7" applyNumberFormat="1" applyFont="1" applyFill="1" applyBorder="1" applyAlignment="1" applyProtection="1">
      <alignment vertical="center"/>
    </xf>
    <xf numFmtId="49" fontId="3" fillId="6" borderId="2" xfId="7" applyNumberFormat="1" applyFont="1" applyFill="1" applyBorder="1" applyAlignment="1" applyProtection="1">
      <alignment horizontal="center" vertical="center"/>
    </xf>
    <xf numFmtId="1" fontId="15" fillId="6" borderId="2" xfId="7" applyNumberFormat="1" applyFont="1" applyFill="1" applyBorder="1" applyAlignment="1" applyProtection="1">
      <alignment horizontal="center" vertical="center"/>
    </xf>
    <xf numFmtId="40" fontId="3" fillId="6" borderId="2" xfId="7" applyNumberFormat="1" applyFont="1" applyFill="1" applyBorder="1" applyAlignment="1" applyProtection="1">
      <alignment horizontal="center" vertical="center"/>
    </xf>
    <xf numFmtId="38" fontId="3" fillId="6" borderId="2" xfId="7" applyNumberFormat="1" applyFont="1" applyFill="1" applyBorder="1" applyAlignment="1" applyProtection="1">
      <alignment horizontal="right" vertical="center"/>
    </xf>
    <xf numFmtId="38" fontId="3" fillId="3" borderId="2" xfId="7" applyNumberFormat="1" applyFont="1" applyFill="1" applyBorder="1" applyAlignment="1" applyProtection="1">
      <alignment horizontal="right" vertical="center"/>
    </xf>
    <xf numFmtId="0" fontId="14" fillId="0" borderId="1" xfId="7" applyFont="1" applyBorder="1" applyAlignment="1" applyProtection="1">
      <alignment vertical="center"/>
    </xf>
    <xf numFmtId="49" fontId="3" fillId="6" borderId="12" xfId="7" applyNumberFormat="1" applyFont="1" applyFill="1" applyBorder="1" applyAlignment="1" applyProtection="1">
      <alignment vertical="center"/>
    </xf>
    <xf numFmtId="49" fontId="3" fillId="6" borderId="12" xfId="7" applyNumberFormat="1" applyFont="1" applyFill="1" applyBorder="1" applyAlignment="1" applyProtection="1">
      <alignment horizontal="center" vertical="center"/>
    </xf>
    <xf numFmtId="1" fontId="15" fillId="6" borderId="12" xfId="7" applyNumberFormat="1" applyFont="1" applyFill="1" applyBorder="1" applyAlignment="1" applyProtection="1">
      <alignment horizontal="center" vertical="center"/>
    </xf>
    <xf numFmtId="40" fontId="3" fillId="6" borderId="12" xfId="7" applyNumberFormat="1" applyFont="1" applyFill="1" applyBorder="1" applyAlignment="1" applyProtection="1">
      <alignment horizontal="center" vertical="center"/>
    </xf>
    <xf numFmtId="38" fontId="3" fillId="6" borderId="12" xfId="7" applyNumberFormat="1" applyFont="1" applyFill="1" applyBorder="1" applyAlignment="1" applyProtection="1">
      <alignment horizontal="right" vertical="center"/>
    </xf>
    <xf numFmtId="38" fontId="3" fillId="3" borderId="12" xfId="7" applyNumberFormat="1" applyFont="1" applyFill="1" applyBorder="1" applyAlignment="1" applyProtection="1">
      <alignment horizontal="right" vertical="center"/>
    </xf>
    <xf numFmtId="49" fontId="3" fillId="6" borderId="1" xfId="7" applyNumberFormat="1" applyFont="1" applyFill="1" applyBorder="1" applyAlignment="1" applyProtection="1">
      <alignment horizontal="center" vertical="center"/>
    </xf>
    <xf numFmtId="49" fontId="3" fillId="6" borderId="2" xfId="7" applyNumberFormat="1" applyFont="1" applyFill="1" applyBorder="1" applyAlignment="1" applyProtection="1">
      <alignment horizontal="left" vertical="center"/>
    </xf>
    <xf numFmtId="49" fontId="3" fillId="6" borderId="12" xfId="7" applyNumberFormat="1" applyFont="1" applyFill="1" applyBorder="1" applyAlignment="1" applyProtection="1">
      <alignment horizontal="left" vertical="center"/>
    </xf>
    <xf numFmtId="49" fontId="3" fillId="6" borderId="14" xfId="7" applyNumberFormat="1" applyFont="1" applyFill="1" applyBorder="1" applyAlignment="1" applyProtection="1">
      <alignment horizontal="left" vertical="center"/>
    </xf>
    <xf numFmtId="49" fontId="3" fillId="1" borderId="10" xfId="7" applyNumberFormat="1" applyFont="1" applyFill="1" applyBorder="1" applyAlignment="1" applyProtection="1">
      <alignment horizontal="center" vertical="center"/>
    </xf>
    <xf numFmtId="1" fontId="15" fillId="0" borderId="9" xfId="7" applyNumberFormat="1" applyFont="1" applyBorder="1" applyAlignment="1" applyProtection="1">
      <alignment horizontal="center" vertical="center"/>
    </xf>
    <xf numFmtId="40" fontId="3" fillId="3" borderId="13" xfId="7" applyNumberFormat="1" applyFont="1" applyFill="1" applyBorder="1" applyAlignment="1" applyProtection="1">
      <alignment horizontal="center" vertical="center"/>
    </xf>
    <xf numFmtId="38" fontId="3" fillId="3" borderId="15" xfId="7" applyNumberFormat="1" applyFont="1" applyFill="1" applyBorder="1" applyAlignment="1" applyProtection="1">
      <alignment horizontal="right" vertical="center"/>
    </xf>
    <xf numFmtId="38" fontId="3" fillId="3" borderId="13" xfId="7" applyNumberFormat="1" applyFont="1" applyFill="1" applyBorder="1" applyAlignment="1" applyProtection="1">
      <alignment horizontal="right" vertical="center"/>
    </xf>
    <xf numFmtId="38" fontId="3" fillId="3" borderId="10" xfId="7" applyNumberFormat="1" applyFont="1" applyFill="1" applyBorder="1" applyAlignment="1" applyProtection="1">
      <alignment horizontal="right" vertical="center"/>
    </xf>
    <xf numFmtId="168" fontId="3" fillId="0" borderId="10" xfId="7" applyNumberFormat="1" applyFont="1" applyBorder="1" applyAlignment="1" applyProtection="1">
      <alignment horizontal="left" vertical="center"/>
    </xf>
    <xf numFmtId="38" fontId="15" fillId="3" borderId="14" xfId="7" applyNumberFormat="1" applyFont="1" applyFill="1" applyBorder="1" applyAlignment="1" applyProtection="1">
      <alignment horizontal="right" vertical="center"/>
    </xf>
    <xf numFmtId="1" fontId="3" fillId="0" borderId="9" xfId="7" applyNumberFormat="1" applyFont="1" applyBorder="1" applyAlignment="1" applyProtection="1">
      <alignment horizontal="center" vertical="center"/>
    </xf>
    <xf numFmtId="40" fontId="3" fillId="0" borderId="3" xfId="7" applyNumberFormat="1" applyFont="1" applyFill="1" applyBorder="1" applyAlignment="1" applyProtection="1">
      <alignment horizontal="center" vertical="center"/>
    </xf>
    <xf numFmtId="38" fontId="3" fillId="0" borderId="10" xfId="7" applyNumberFormat="1" applyFont="1" applyFill="1" applyBorder="1" applyAlignment="1" applyProtection="1">
      <alignment vertical="center"/>
    </xf>
    <xf numFmtId="38" fontId="3" fillId="0" borderId="3" xfId="7" applyNumberFormat="1" applyFont="1" applyFill="1" applyBorder="1" applyAlignment="1" applyProtection="1">
      <alignment vertical="center"/>
    </xf>
    <xf numFmtId="38" fontId="3" fillId="0" borderId="9" xfId="7" applyNumberFormat="1" applyFont="1" applyFill="1" applyBorder="1" applyAlignment="1" applyProtection="1">
      <alignment vertical="center"/>
    </xf>
    <xf numFmtId="38" fontId="3" fillId="0" borderId="10" xfId="7" applyNumberFormat="1" applyFont="1" applyBorder="1" applyAlignment="1" applyProtection="1">
      <alignment vertical="center"/>
    </xf>
    <xf numFmtId="49" fontId="3" fillId="1" borderId="0" xfId="7" applyNumberFormat="1" applyFont="1" applyFill="1" applyBorder="1" applyAlignment="1" applyProtection="1">
      <alignment horizontal="center" vertical="center"/>
    </xf>
    <xf numFmtId="1" fontId="12" fillId="0" borderId="4" xfId="7" applyNumberFormat="1" applyFont="1" applyFill="1" applyBorder="1" applyAlignment="1" applyProtection="1">
      <alignment horizontal="right" vertical="center"/>
    </xf>
    <xf numFmtId="1" fontId="12" fillId="0" borderId="11" xfId="7" applyNumberFormat="1" applyFont="1" applyFill="1" applyBorder="1" applyAlignment="1" applyProtection="1">
      <alignment horizontal="right" vertical="center"/>
    </xf>
    <xf numFmtId="40" fontId="3" fillId="3" borderId="2" xfId="7" applyNumberFormat="1" applyFont="1" applyFill="1" applyBorder="1" applyAlignment="1" applyProtection="1">
      <alignment horizontal="center" vertical="center"/>
    </xf>
    <xf numFmtId="38" fontId="15" fillId="3" borderId="8" xfId="7" applyNumberFormat="1" applyFont="1" applyFill="1" applyBorder="1" applyAlignment="1" applyProtection="1">
      <alignment horizontal="right" vertical="center"/>
    </xf>
    <xf numFmtId="49" fontId="3" fillId="0" borderId="9" xfId="7" applyNumberFormat="1" applyFont="1" applyFill="1" applyBorder="1" applyAlignment="1" applyProtection="1">
      <alignment horizontal="center" vertical="center"/>
    </xf>
    <xf numFmtId="49" fontId="3" fillId="0" borderId="0" xfId="7" applyNumberFormat="1" applyFont="1" applyFill="1" applyBorder="1" applyAlignment="1" applyProtection="1">
      <alignment horizontal="center" vertical="center"/>
    </xf>
    <xf numFmtId="1" fontId="12" fillId="0" borderId="0" xfId="7" applyNumberFormat="1" applyFont="1" applyFill="1" applyBorder="1" applyAlignment="1" applyProtection="1">
      <alignment horizontal="center" vertical="center"/>
    </xf>
    <xf numFmtId="1" fontId="12" fillId="0" borderId="10" xfId="7" applyNumberFormat="1" applyFont="1" applyFill="1" applyBorder="1" applyAlignment="1" applyProtection="1">
      <alignment horizontal="center" vertical="center"/>
    </xf>
    <xf numFmtId="38" fontId="15" fillId="0" borderId="0" xfId="7" applyNumberFormat="1" applyFont="1" applyFill="1" applyBorder="1" applyAlignment="1" applyProtection="1">
      <alignment horizontal="right" vertical="center"/>
    </xf>
    <xf numFmtId="38" fontId="19" fillId="0" borderId="10" xfId="7" applyNumberFormat="1" applyFont="1" applyFill="1" applyBorder="1" applyAlignment="1" applyProtection="1">
      <alignment vertical="center" wrapText="1"/>
      <protection locked="0"/>
    </xf>
    <xf numFmtId="0" fontId="14" fillId="0" borderId="0" xfId="7" applyFont="1" applyFill="1" applyBorder="1" applyAlignment="1" applyProtection="1">
      <alignment vertical="center"/>
    </xf>
    <xf numFmtId="0" fontId="14" fillId="0" borderId="0" xfId="7" applyFont="1" applyFill="1" applyAlignment="1" applyProtection="1">
      <alignment vertical="center"/>
    </xf>
    <xf numFmtId="168" fontId="15" fillId="0" borderId="0" xfId="7" applyNumberFormat="1" applyFont="1" applyBorder="1" applyAlignment="1" applyProtection="1">
      <alignment horizontal="center" vertical="center" wrapText="1"/>
    </xf>
    <xf numFmtId="0" fontId="5" fillId="0" borderId="0" xfId="0" applyFont="1" applyBorder="1" applyAlignment="1">
      <alignment horizontal="left"/>
    </xf>
    <xf numFmtId="1" fontId="15" fillId="0" borderId="3" xfId="7" applyNumberFormat="1" applyFont="1" applyBorder="1" applyAlignment="1" applyProtection="1">
      <alignment horizontal="center"/>
    </xf>
    <xf numFmtId="38" fontId="3" fillId="3" borderId="3" xfId="7" applyNumberFormat="1" applyFont="1" applyFill="1" applyBorder="1" applyAlignment="1" applyProtection="1">
      <alignment horizontal="right"/>
    </xf>
    <xf numFmtId="38" fontId="15" fillId="3" borderId="3" xfId="7" applyNumberFormat="1" applyFont="1" applyFill="1" applyBorder="1" applyAlignment="1" applyProtection="1">
      <alignment horizontal="right"/>
    </xf>
    <xf numFmtId="40" fontId="15" fillId="3" borderId="3" xfId="7" applyNumberFormat="1" applyFont="1" applyFill="1" applyBorder="1" applyAlignment="1" applyProtection="1">
      <alignment horizontal="center"/>
    </xf>
    <xf numFmtId="38" fontId="15" fillId="3" borderId="3" xfId="7" applyNumberFormat="1" applyFont="1" applyFill="1" applyBorder="1" applyAlignment="1" applyProtection="1"/>
    <xf numFmtId="38" fontId="15" fillId="3" borderId="10" xfId="7" applyNumberFormat="1" applyFont="1" applyFill="1" applyBorder="1" applyAlignment="1" applyProtection="1">
      <alignment horizontal="right"/>
    </xf>
    <xf numFmtId="38" fontId="15" fillId="3" borderId="2" xfId="7" applyNumberFormat="1" applyFont="1" applyFill="1" applyBorder="1" applyAlignment="1" applyProtection="1">
      <alignment horizontal="right"/>
    </xf>
    <xf numFmtId="3" fontId="3" fillId="3" borderId="3" xfId="7" applyNumberFormat="1" applyFont="1" applyFill="1" applyBorder="1" applyProtection="1"/>
    <xf numFmtId="0" fontId="6" fillId="0" borderId="1" xfId="0" applyNumberFormat="1" applyFont="1" applyBorder="1"/>
    <xf numFmtId="164" fontId="6" fillId="3" borderId="0" xfId="0" applyNumberFormat="1" applyFont="1" applyFill="1" applyBorder="1" applyAlignment="1">
      <alignment horizontal="right" indent="4"/>
    </xf>
    <xf numFmtId="0" fontId="7" fillId="0" borderId="1" xfId="0" applyFont="1" applyBorder="1" applyAlignment="1">
      <alignment horizontal="center"/>
    </xf>
    <xf numFmtId="165" fontId="6" fillId="3" borderId="0" xfId="0" applyNumberFormat="1" applyFont="1" applyFill="1" applyBorder="1" applyAlignment="1">
      <alignment horizontal="right" indent="4"/>
    </xf>
    <xf numFmtId="165" fontId="5" fillId="3" borderId="0" xfId="0" applyNumberFormat="1" applyFont="1" applyFill="1" applyBorder="1" applyAlignment="1">
      <alignment horizontal="right" indent="4"/>
    </xf>
    <xf numFmtId="0" fontId="6" fillId="0" borderId="0" xfId="0" applyFont="1" applyFill="1"/>
    <xf numFmtId="0" fontId="6" fillId="0" borderId="0" xfId="0" applyNumberFormat="1" applyFont="1" applyFill="1" applyBorder="1" applyAlignment="1">
      <alignment horizontal="left" indent="4"/>
    </xf>
    <xf numFmtId="0" fontId="6" fillId="0" borderId="0" xfId="0" applyFont="1" applyFill="1" applyBorder="1" applyAlignment="1">
      <alignment horizontal="left" indent="4"/>
    </xf>
    <xf numFmtId="0" fontId="6" fillId="0" borderId="5" xfId="0" applyNumberFormat="1" applyFont="1" applyFill="1" applyBorder="1" applyAlignment="1">
      <alignment horizontal="left" indent="4"/>
    </xf>
    <xf numFmtId="164" fontId="6" fillId="3" borderId="5" xfId="0" applyNumberFormat="1" applyFont="1" applyFill="1" applyBorder="1" applyAlignment="1">
      <alignment horizontal="right" indent="4"/>
    </xf>
    <xf numFmtId="164" fontId="6" fillId="3" borderId="4" xfId="0" applyNumberFormat="1" applyFont="1" applyFill="1" applyBorder="1" applyAlignment="1">
      <alignment horizontal="right" indent="4"/>
    </xf>
    <xf numFmtId="0" fontId="3" fillId="9" borderId="13" xfId="7" applyFont="1" applyFill="1" applyBorder="1" applyAlignment="1" applyProtection="1">
      <alignment horizontal="center"/>
    </xf>
    <xf numFmtId="0" fontId="3" fillId="6" borderId="12" xfId="7" applyFont="1" applyFill="1" applyBorder="1" applyAlignment="1" applyProtection="1">
      <alignment horizontal="center"/>
    </xf>
    <xf numFmtId="49" fontId="3" fillId="1" borderId="12" xfId="7" applyNumberFormat="1" applyFont="1" applyFill="1" applyBorder="1" applyAlignment="1" applyProtection="1">
      <alignment horizontal="center" vertical="center"/>
    </xf>
    <xf numFmtId="168" fontId="15" fillId="11" borderId="2" xfId="7" applyNumberFormat="1" applyFont="1" applyFill="1" applyBorder="1" applyAlignment="1" applyProtection="1">
      <alignment horizontal="left" vertical="center" wrapText="1"/>
    </xf>
    <xf numFmtId="168" fontId="15" fillId="0" borderId="2" xfId="7" applyNumberFormat="1" applyFont="1" applyFill="1" applyBorder="1" applyAlignment="1" applyProtection="1">
      <alignment horizontal="left" vertical="center" wrapText="1" indent="1"/>
    </xf>
    <xf numFmtId="1" fontId="15" fillId="0" borderId="10" xfId="7" applyNumberFormat="1" applyFont="1" applyBorder="1" applyAlignment="1" applyProtection="1">
      <alignment horizontal="center" vertical="center"/>
    </xf>
    <xf numFmtId="168" fontId="3" fillId="6" borderId="8" xfId="7" applyNumberFormat="1" applyFont="1" applyFill="1" applyBorder="1" applyAlignment="1" applyProtection="1">
      <alignment vertical="center"/>
    </xf>
    <xf numFmtId="49" fontId="3" fillId="6" borderId="8" xfId="7" applyNumberFormat="1" applyFont="1" applyFill="1" applyBorder="1" applyAlignment="1" applyProtection="1">
      <alignment vertical="center"/>
    </xf>
    <xf numFmtId="168" fontId="3" fillId="6" borderId="2" xfId="7" applyNumberFormat="1" applyFont="1" applyFill="1" applyBorder="1" applyAlignment="1" applyProtection="1">
      <alignment vertical="center"/>
    </xf>
    <xf numFmtId="168" fontId="3" fillId="0" borderId="5" xfId="7" applyNumberFormat="1" applyFont="1" applyFill="1" applyBorder="1" applyAlignment="1" applyProtection="1">
      <alignment vertical="center"/>
    </xf>
    <xf numFmtId="168" fontId="15" fillId="0" borderId="5" xfId="7" applyNumberFormat="1" applyFont="1" applyFill="1" applyBorder="1" applyAlignment="1" applyProtection="1">
      <alignment horizontal="left" vertical="center" indent="1"/>
    </xf>
    <xf numFmtId="0" fontId="25" fillId="0" borderId="0" xfId="0" applyFont="1"/>
    <xf numFmtId="165" fontId="5" fillId="0" borderId="0" xfId="0" applyNumberFormat="1" applyFont="1"/>
    <xf numFmtId="0" fontId="0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 applyAlignment="1">
      <alignment horizontal="center"/>
    </xf>
    <xf numFmtId="40" fontId="29" fillId="0" borderId="0" xfId="0" applyNumberFormat="1" applyFont="1" applyFill="1" applyAlignment="1">
      <alignment horizontal="center"/>
    </xf>
    <xf numFmtId="0" fontId="29" fillId="0" borderId="0" xfId="0" applyFont="1" applyAlignment="1">
      <alignment horizontal="center"/>
    </xf>
    <xf numFmtId="0" fontId="15" fillId="0" borderId="4" xfId="7" applyFont="1" applyBorder="1" applyAlignment="1" applyProtection="1">
      <alignment horizontal="center" wrapText="1"/>
    </xf>
    <xf numFmtId="2" fontId="3" fillId="0" borderId="2" xfId="7" applyNumberFormat="1" applyFont="1" applyBorder="1" applyAlignment="1" applyProtection="1">
      <alignment horizontal="center" wrapText="1"/>
    </xf>
    <xf numFmtId="0" fontId="14" fillId="0" borderId="13" xfId="7" applyFont="1" applyBorder="1" applyAlignment="1" applyProtection="1">
      <alignment vertical="center"/>
    </xf>
    <xf numFmtId="38" fontId="3" fillId="0" borderId="3" xfId="7" applyNumberFormat="1" applyFont="1" applyFill="1" applyBorder="1" applyAlignment="1" applyProtection="1">
      <alignment horizontal="right" vertical="center"/>
    </xf>
    <xf numFmtId="38" fontId="15" fillId="3" borderId="4" xfId="7" applyNumberFormat="1" applyFont="1" applyFill="1" applyBorder="1" applyProtection="1"/>
    <xf numFmtId="38" fontId="3" fillId="6" borderId="8" xfId="7" applyNumberFormat="1" applyFont="1" applyFill="1" applyBorder="1" applyProtection="1"/>
    <xf numFmtId="38" fontId="3" fillId="6" borderId="15" xfId="7" applyNumberFormat="1" applyFont="1" applyFill="1" applyBorder="1" applyProtection="1"/>
    <xf numFmtId="38" fontId="15" fillId="0" borderId="0" xfId="7" applyNumberFormat="1" applyFont="1" applyFill="1" applyBorder="1" applyProtection="1"/>
    <xf numFmtId="38" fontId="3" fillId="6" borderId="9" xfId="7" applyNumberFormat="1" applyFont="1" applyFill="1" applyBorder="1" applyProtection="1"/>
    <xf numFmtId="38" fontId="3" fillId="6" borderId="4" xfId="7" applyNumberFormat="1" applyFont="1" applyFill="1" applyBorder="1" applyProtection="1"/>
    <xf numFmtId="38" fontId="15" fillId="3" borderId="5" xfId="7" applyNumberFormat="1" applyFont="1" applyFill="1" applyBorder="1" applyProtection="1"/>
    <xf numFmtId="38" fontId="3" fillId="3" borderId="13" xfId="7" applyNumberFormat="1" applyFont="1" applyFill="1" applyBorder="1" applyProtection="1"/>
    <xf numFmtId="38" fontId="15" fillId="0" borderId="3" xfId="7" applyNumberFormat="1" applyFont="1" applyFill="1" applyBorder="1" applyAlignment="1" applyProtection="1">
      <alignment horizontal="right"/>
    </xf>
    <xf numFmtId="38" fontId="15" fillId="0" borderId="11" xfId="7" applyNumberFormat="1" applyFont="1" applyFill="1" applyBorder="1" applyAlignment="1" applyProtection="1">
      <alignment horizontal="right" vertical="center"/>
    </xf>
    <xf numFmtId="38" fontId="15" fillId="0" borderId="1" xfId="7" applyNumberFormat="1" applyFont="1" applyFill="1" applyBorder="1" applyProtection="1"/>
    <xf numFmtId="40" fontId="3" fillId="0" borderId="9" xfId="7" applyNumberFormat="1" applyFont="1" applyFill="1" applyBorder="1" applyAlignment="1" applyProtection="1">
      <alignment horizontal="center"/>
    </xf>
    <xf numFmtId="40" fontId="15" fillId="3" borderId="10" xfId="7" applyNumberFormat="1" applyFont="1" applyFill="1" applyBorder="1" applyAlignment="1" applyProtection="1">
      <alignment horizontal="center"/>
    </xf>
    <xf numFmtId="40" fontId="3" fillId="0" borderId="0" xfId="7" applyNumberFormat="1" applyFont="1" applyFill="1" applyBorder="1" applyAlignment="1" applyProtection="1">
      <alignment horizontal="center"/>
    </xf>
    <xf numFmtId="38" fontId="15" fillId="3" borderId="15" xfId="7" applyNumberFormat="1" applyFont="1" applyFill="1" applyBorder="1" applyProtection="1"/>
    <xf numFmtId="38" fontId="15" fillId="3" borderId="7" xfId="7" applyNumberFormat="1" applyFont="1" applyFill="1" applyBorder="1" applyProtection="1"/>
    <xf numFmtId="38" fontId="3" fillId="6" borderId="6" xfId="7" applyNumberFormat="1" applyFont="1" applyFill="1" applyBorder="1" applyProtection="1"/>
    <xf numFmtId="40" fontId="3" fillId="6" borderId="10" xfId="7" applyNumberFormat="1" applyFont="1" applyFill="1" applyBorder="1" applyAlignment="1" applyProtection="1">
      <alignment horizontal="center"/>
    </xf>
    <xf numFmtId="0" fontId="29" fillId="0" borderId="0" xfId="0" applyFont="1" applyAlignment="1">
      <alignment horizontal="center"/>
    </xf>
    <xf numFmtId="38" fontId="15" fillId="3" borderId="4" xfId="7" applyNumberFormat="1" applyFont="1" applyFill="1" applyBorder="1" applyAlignment="1" applyProtection="1">
      <alignment horizontal="right" vertical="center"/>
    </xf>
    <xf numFmtId="38" fontId="15" fillId="0" borderId="3" xfId="7" applyNumberFormat="1" applyFont="1" applyFill="1" applyBorder="1" applyAlignment="1" applyProtection="1">
      <alignment horizontal="right" vertical="center"/>
    </xf>
    <xf numFmtId="49" fontId="3" fillId="0" borderId="9" xfId="7" applyNumberFormat="1" applyFont="1" applyFill="1" applyBorder="1" applyAlignment="1" applyProtection="1">
      <alignment horizontal="left" vertical="center"/>
    </xf>
    <xf numFmtId="49" fontId="3" fillId="0" borderId="10" xfId="7" applyNumberFormat="1" applyFont="1" applyFill="1" applyBorder="1" applyAlignment="1" applyProtection="1">
      <alignment horizontal="left" vertical="center"/>
    </xf>
    <xf numFmtId="168" fontId="3" fillId="0" borderId="9" xfId="7" applyNumberFormat="1" applyFont="1" applyFill="1" applyBorder="1" applyAlignment="1" applyProtection="1">
      <alignment vertical="center"/>
    </xf>
    <xf numFmtId="168" fontId="3" fillId="0" borderId="10" xfId="7" applyNumberFormat="1" applyFont="1" applyFill="1" applyBorder="1" applyAlignment="1" applyProtection="1">
      <alignment vertical="center"/>
    </xf>
    <xf numFmtId="1" fontId="15" fillId="0" borderId="3" xfId="7" applyNumberFormat="1" applyFont="1" applyFill="1" applyBorder="1" applyAlignment="1" applyProtection="1">
      <alignment horizontal="center" vertical="center"/>
    </xf>
    <xf numFmtId="38" fontId="15" fillId="0" borderId="9" xfId="7" applyNumberFormat="1" applyFont="1" applyFill="1" applyBorder="1" applyAlignment="1" applyProtection="1">
      <alignment horizontal="right" vertical="center"/>
    </xf>
    <xf numFmtId="38" fontId="3" fillId="3" borderId="3" xfId="7" applyNumberFormat="1" applyFont="1" applyFill="1" applyBorder="1" applyProtection="1"/>
    <xf numFmtId="40" fontId="3" fillId="3" borderId="3" xfId="7" applyNumberFormat="1" applyFont="1" applyFill="1" applyBorder="1" applyAlignment="1" applyProtection="1">
      <alignment horizontal="center"/>
    </xf>
    <xf numFmtId="10" fontId="3" fillId="9" borderId="2" xfId="6" applyNumberFormat="1" applyFont="1" applyFill="1" applyBorder="1" applyAlignment="1" applyProtection="1">
      <alignment horizontal="center"/>
    </xf>
    <xf numFmtId="10" fontId="3" fillId="9" borderId="13" xfId="6" applyNumberFormat="1" applyFont="1" applyFill="1" applyBorder="1" applyAlignment="1" applyProtection="1">
      <alignment horizontal="center" vertical="center"/>
    </xf>
    <xf numFmtId="38" fontId="31" fillId="0" borderId="0" xfId="7" applyNumberFormat="1" applyFont="1" applyFill="1" applyBorder="1" applyProtection="1"/>
    <xf numFmtId="0" fontId="31" fillId="0" borderId="0" xfId="7" applyFont="1" applyBorder="1" applyProtection="1"/>
    <xf numFmtId="0" fontId="31" fillId="0" borderId="10" xfId="7" applyFont="1" applyBorder="1" applyProtection="1"/>
    <xf numFmtId="0" fontId="32" fillId="0" borderId="0" xfId="7" applyFont="1" applyBorder="1" applyProtection="1"/>
    <xf numFmtId="0" fontId="32" fillId="0" borderId="10" xfId="7" applyFont="1" applyBorder="1" applyProtection="1"/>
    <xf numFmtId="38" fontId="33" fillId="0" borderId="0" xfId="7" applyNumberFormat="1" applyFont="1" applyFill="1" applyBorder="1" applyProtection="1"/>
    <xf numFmtId="38" fontId="32" fillId="0" borderId="0" xfId="7" applyNumberFormat="1" applyFont="1" applyBorder="1" applyProtection="1"/>
    <xf numFmtId="38" fontId="32" fillId="0" borderId="0" xfId="7" applyNumberFormat="1" applyFont="1" applyFill="1" applyBorder="1" applyProtection="1"/>
    <xf numFmtId="0" fontId="32" fillId="0" borderId="0" xfId="7" applyFont="1" applyFill="1" applyBorder="1" applyProtection="1"/>
    <xf numFmtId="0" fontId="32" fillId="0" borderId="10" xfId="7" applyFont="1" applyFill="1" applyBorder="1" applyProtection="1"/>
    <xf numFmtId="38" fontId="33" fillId="0" borderId="0" xfId="7" applyNumberFormat="1" applyFont="1" applyFill="1" applyBorder="1" applyAlignment="1" applyProtection="1">
      <alignment vertical="center"/>
    </xf>
    <xf numFmtId="38" fontId="31" fillId="0" borderId="0" xfId="7" applyNumberFormat="1" applyFont="1" applyFill="1" applyBorder="1" applyAlignment="1" applyProtection="1">
      <alignment horizontal="right" indent="4"/>
    </xf>
    <xf numFmtId="38" fontId="31" fillId="0" borderId="0" xfId="7" applyNumberFormat="1" applyFont="1" applyFill="1" applyBorder="1" applyAlignment="1" applyProtection="1">
      <alignment horizontal="right" indent="3"/>
    </xf>
    <xf numFmtId="38" fontId="33" fillId="0" borderId="10" xfId="7" applyNumberFormat="1" applyFont="1" applyFill="1" applyBorder="1" applyAlignment="1" applyProtection="1">
      <alignment horizontal="right" indent="3"/>
    </xf>
    <xf numFmtId="175" fontId="31" fillId="0" borderId="0" xfId="7" applyNumberFormat="1" applyFont="1" applyBorder="1" applyProtection="1"/>
    <xf numFmtId="0" fontId="3" fillId="10" borderId="8" xfId="7" applyFont="1" applyFill="1" applyBorder="1" applyAlignment="1" applyProtection="1">
      <alignment horizontal="center" vertical="center"/>
    </xf>
    <xf numFmtId="0" fontId="34" fillId="0" borderId="2" xfId="7" applyFont="1" applyBorder="1" applyAlignment="1" applyProtection="1">
      <alignment horizontal="center" wrapText="1"/>
    </xf>
    <xf numFmtId="9" fontId="3" fillId="0" borderId="0" xfId="6" applyFont="1" applyFill="1" applyBorder="1" applyProtection="1"/>
    <xf numFmtId="9" fontId="15" fillId="0" borderId="12" xfId="6" applyFont="1" applyFill="1" applyBorder="1" applyAlignment="1" applyProtection="1">
      <alignment horizontal="right" vertical="center"/>
    </xf>
    <xf numFmtId="38" fontId="3" fillId="3" borderId="4" xfId="7" applyNumberFormat="1" applyFont="1" applyFill="1" applyBorder="1" applyProtection="1"/>
    <xf numFmtId="6" fontId="6" fillId="3" borderId="0" xfId="0" applyNumberFormat="1" applyFont="1" applyFill="1" applyBorder="1" applyAlignment="1">
      <alignment horizontal="right" indent="4"/>
    </xf>
    <xf numFmtId="6" fontId="5" fillId="3" borderId="0" xfId="0" applyNumberFormat="1" applyFont="1" applyFill="1" applyBorder="1" applyAlignment="1">
      <alignment horizontal="right" indent="4"/>
    </xf>
    <xf numFmtId="179" fontId="6" fillId="3" borderId="0" xfId="0" applyNumberFormat="1" applyFont="1" applyFill="1" applyBorder="1" applyAlignment="1">
      <alignment horizontal="right" indent="3"/>
    </xf>
    <xf numFmtId="179" fontId="6" fillId="3" borderId="8" xfId="0" applyNumberFormat="1" applyFont="1" applyFill="1" applyBorder="1" applyAlignment="1">
      <alignment horizontal="right" indent="3"/>
    </xf>
    <xf numFmtId="179" fontId="6" fillId="3" borderId="5" xfId="0" applyNumberFormat="1" applyFont="1" applyFill="1" applyBorder="1" applyAlignment="1">
      <alignment horizontal="right" indent="3"/>
    </xf>
    <xf numFmtId="0" fontId="35" fillId="0" borderId="0" xfId="0" applyFont="1"/>
    <xf numFmtId="0" fontId="25" fillId="0" borderId="6" xfId="0" applyFont="1" applyBorder="1"/>
    <xf numFmtId="9" fontId="25" fillId="5" borderId="15" xfId="0" applyNumberFormat="1" applyFont="1" applyFill="1" applyBorder="1" applyAlignment="1">
      <alignment horizontal="center"/>
    </xf>
    <xf numFmtId="180" fontId="5" fillId="0" borderId="0" xfId="0" applyNumberFormat="1" applyFont="1"/>
    <xf numFmtId="1" fontId="5" fillId="0" borderId="0" xfId="0" applyNumberFormat="1" applyFont="1"/>
    <xf numFmtId="38" fontId="3" fillId="0" borderId="13" xfId="7" applyNumberFormat="1" applyFont="1" applyFill="1" applyBorder="1" applyAlignment="1" applyProtection="1">
      <alignment horizontal="right" vertical="center"/>
    </xf>
    <xf numFmtId="38" fontId="3" fillId="0" borderId="9" xfId="7" applyNumberFormat="1" applyFont="1" applyBorder="1" applyAlignment="1" applyProtection="1">
      <alignment horizontal="right" vertical="center"/>
    </xf>
    <xf numFmtId="38" fontId="3" fillId="0" borderId="8" xfId="7" applyNumberFormat="1" applyFont="1" applyFill="1" applyBorder="1" applyAlignment="1" applyProtection="1">
      <alignment vertical="center"/>
    </xf>
    <xf numFmtId="38" fontId="3" fillId="0" borderId="2" xfId="7" applyNumberFormat="1" applyFont="1" applyFill="1" applyBorder="1" applyAlignment="1" applyProtection="1">
      <alignment vertical="center"/>
    </xf>
    <xf numFmtId="166" fontId="3" fillId="0" borderId="0" xfId="1" applyFont="1" applyBorder="1"/>
    <xf numFmtId="166" fontId="3" fillId="0" borderId="0" xfId="1" applyFont="1" applyBorder="1" applyAlignment="1"/>
    <xf numFmtId="166" fontId="3" fillId="0" borderId="0" xfId="1" applyFont="1" applyBorder="1" applyAlignment="1">
      <alignment wrapText="1"/>
    </xf>
    <xf numFmtId="166" fontId="3" fillId="0" borderId="0" xfId="1" applyFont="1" applyBorder="1" applyAlignment="1">
      <alignment vertical="center"/>
    </xf>
    <xf numFmtId="0" fontId="3" fillId="0" borderId="0" xfId="7" applyFont="1" applyBorder="1" applyAlignment="1" applyProtection="1">
      <alignment vertical="center"/>
    </xf>
    <xf numFmtId="0" fontId="3" fillId="0" borderId="0" xfId="7" applyFont="1" applyFill="1" applyBorder="1" applyAlignment="1" applyProtection="1">
      <alignment vertical="center"/>
    </xf>
    <xf numFmtId="0" fontId="3" fillId="0" borderId="9" xfId="7" applyFont="1" applyFill="1" applyBorder="1" applyAlignment="1" applyProtection="1">
      <alignment horizontal="center"/>
    </xf>
    <xf numFmtId="0" fontId="15" fillId="0" borderId="4" xfId="7" applyFont="1" applyBorder="1" applyAlignment="1" applyProtection="1">
      <alignment horizontal="center" wrapText="1"/>
    </xf>
    <xf numFmtId="166" fontId="36" fillId="0" borderId="0" xfId="1" applyFont="1" applyBorder="1" applyAlignment="1">
      <alignment horizontal="center" vertical="center"/>
    </xf>
    <xf numFmtId="38" fontId="36" fillId="0" borderId="0" xfId="7" applyNumberFormat="1" applyFont="1" applyBorder="1" applyAlignment="1" applyProtection="1">
      <alignment horizontal="center" vertical="center"/>
    </xf>
    <xf numFmtId="6" fontId="36" fillId="0" borderId="0" xfId="1" applyNumberFormat="1" applyFont="1" applyBorder="1" applyAlignment="1">
      <alignment horizontal="center" vertical="center"/>
    </xf>
    <xf numFmtId="166" fontId="38" fillId="0" borderId="0" xfId="1" applyFont="1" applyBorder="1" applyAlignment="1">
      <alignment horizontal="center" vertical="center"/>
    </xf>
    <xf numFmtId="0" fontId="36" fillId="0" borderId="0" xfId="7" applyFont="1" applyBorder="1" applyAlignment="1" applyProtection="1">
      <alignment horizontal="center" vertical="center"/>
    </xf>
    <xf numFmtId="6" fontId="36" fillId="0" borderId="0" xfId="7" applyNumberFormat="1" applyFont="1" applyBorder="1" applyAlignment="1" applyProtection="1">
      <alignment horizontal="center" vertical="center"/>
    </xf>
    <xf numFmtId="0" fontId="36" fillId="0" borderId="0" xfId="7" applyFont="1" applyFill="1" applyBorder="1" applyAlignment="1" applyProtection="1">
      <alignment horizontal="center" vertical="center"/>
    </xf>
    <xf numFmtId="9" fontId="25" fillId="13" borderId="10" xfId="0" applyNumberFormat="1" applyFont="1" applyFill="1" applyBorder="1" applyAlignment="1">
      <alignment horizontal="center"/>
    </xf>
    <xf numFmtId="0" fontId="25" fillId="0" borderId="9" xfId="0" applyFont="1" applyBorder="1"/>
    <xf numFmtId="0" fontId="39" fillId="0" borderId="7" xfId="0" applyFont="1" applyBorder="1"/>
    <xf numFmtId="9" fontId="39" fillId="0" borderId="7" xfId="0" applyNumberFormat="1" applyFont="1" applyFill="1" applyBorder="1" applyAlignment="1">
      <alignment horizontal="center"/>
    </xf>
    <xf numFmtId="0" fontId="0" fillId="0" borderId="0" xfId="0" applyBorder="1"/>
    <xf numFmtId="178" fontId="36" fillId="0" borderId="0" xfId="7" applyNumberFormat="1" applyFont="1" applyBorder="1" applyAlignment="1" applyProtection="1">
      <alignment horizontal="center" vertical="center"/>
    </xf>
    <xf numFmtId="43" fontId="36" fillId="0" borderId="0" xfId="5" applyFont="1" applyBorder="1" applyAlignment="1" applyProtection="1">
      <alignment horizontal="center" vertical="center"/>
    </xf>
    <xf numFmtId="43" fontId="36" fillId="0" borderId="0" xfId="7" applyNumberFormat="1" applyFont="1" applyBorder="1" applyAlignment="1" applyProtection="1">
      <alignment horizontal="center" vertical="center"/>
    </xf>
    <xf numFmtId="181" fontId="6" fillId="3" borderId="0" xfId="0" applyNumberFormat="1" applyFont="1" applyFill="1" applyBorder="1" applyAlignment="1">
      <alignment horizontal="right" indent="4"/>
    </xf>
    <xf numFmtId="0" fontId="42" fillId="0" borderId="0" xfId="7" applyFont="1" applyBorder="1" applyProtection="1"/>
    <xf numFmtId="0" fontId="42" fillId="0" borderId="0" xfId="7" applyFont="1" applyFill="1" applyBorder="1" applyProtection="1"/>
    <xf numFmtId="14" fontId="11" fillId="4" borderId="1" xfId="7" applyNumberFormat="1" applyFont="1" applyFill="1" applyBorder="1" applyAlignment="1" applyProtection="1">
      <alignment horizontal="center" vertical="center"/>
    </xf>
    <xf numFmtId="166" fontId="3" fillId="4" borderId="2" xfId="1" applyFont="1" applyFill="1" applyBorder="1" applyAlignment="1">
      <alignment horizontal="center" vertical="center"/>
    </xf>
    <xf numFmtId="0" fontId="3" fillId="10" borderId="4" xfId="7" applyFont="1" applyFill="1" applyBorder="1" applyAlignment="1" applyProtection="1">
      <alignment horizontal="center" vertical="center"/>
    </xf>
    <xf numFmtId="0" fontId="8" fillId="4" borderId="5" xfId="7" applyFont="1" applyFill="1" applyBorder="1" applyAlignment="1" applyProtection="1">
      <alignment horizontal="center" vertical="center"/>
    </xf>
    <xf numFmtId="175" fontId="15" fillId="3" borderId="2" xfId="7" applyNumberFormat="1" applyFont="1" applyFill="1" applyBorder="1" applyAlignment="1">
      <alignment horizontal="center" vertical="center"/>
    </xf>
    <xf numFmtId="38" fontId="3" fillId="3" borderId="3" xfId="7" quotePrefix="1" applyNumberFormat="1" applyFont="1" applyFill="1" applyBorder="1" applyProtection="1"/>
    <xf numFmtId="0" fontId="42" fillId="0" borderId="10" xfId="7" applyFont="1" applyBorder="1" applyProtection="1"/>
    <xf numFmtId="0" fontId="40" fillId="0" borderId="0" xfId="0" applyFont="1"/>
    <xf numFmtId="0" fontId="42" fillId="0" borderId="10" xfId="7" applyFont="1" applyFill="1" applyBorder="1" applyProtection="1"/>
    <xf numFmtId="38" fontId="36" fillId="0" borderId="0" xfId="7" applyNumberFormat="1" applyFont="1" applyFill="1" applyBorder="1" applyAlignment="1" applyProtection="1">
      <alignment horizontal="right" indent="3"/>
    </xf>
    <xf numFmtId="38" fontId="43" fillId="0" borderId="10" xfId="7" applyNumberFormat="1" applyFont="1" applyFill="1" applyBorder="1" applyAlignment="1" applyProtection="1">
      <alignment horizontal="right" indent="3"/>
    </xf>
    <xf numFmtId="182" fontId="5" fillId="0" borderId="0" xfId="0" applyNumberFormat="1" applyFont="1" applyAlignment="1">
      <alignment horizontal="right" indent="4"/>
    </xf>
    <xf numFmtId="182" fontId="5" fillId="0" borderId="0" xfId="0" applyNumberFormat="1" applyFont="1" applyAlignment="1">
      <alignment horizontal="right" indent="3"/>
    </xf>
    <xf numFmtId="0" fontId="36" fillId="0" borderId="0" xfId="7" applyFont="1" applyBorder="1" applyAlignment="1" applyProtection="1">
      <alignment horizontal="center" vertical="center"/>
    </xf>
    <xf numFmtId="168" fontId="3" fillId="0" borderId="9" xfId="7" applyNumberFormat="1" applyFont="1" applyBorder="1" applyAlignment="1" applyProtection="1">
      <alignment horizontal="left" vertical="center"/>
    </xf>
    <xf numFmtId="168" fontId="3" fillId="0" borderId="10" xfId="7" applyNumberFormat="1" applyFont="1" applyBorder="1" applyAlignment="1" applyProtection="1">
      <alignment horizontal="left" vertical="center"/>
    </xf>
    <xf numFmtId="168" fontId="3" fillId="0" borderId="9" xfId="7" applyNumberFormat="1" applyFont="1" applyBorder="1" applyAlignment="1" applyProtection="1">
      <alignment horizontal="left" indent="2"/>
    </xf>
    <xf numFmtId="0" fontId="3" fillId="0" borderId="9" xfId="7" applyFont="1" applyFill="1" applyBorder="1" applyAlignment="1" applyProtection="1">
      <alignment horizontal="center"/>
    </xf>
    <xf numFmtId="168" fontId="3" fillId="0" borderId="10" xfId="7" applyNumberFormat="1" applyFont="1" applyBorder="1" applyAlignment="1" applyProtection="1">
      <alignment horizontal="left" indent="2"/>
    </xf>
    <xf numFmtId="0" fontId="15" fillId="0" borderId="4" xfId="7" applyFont="1" applyBorder="1" applyAlignment="1" applyProtection="1">
      <alignment horizontal="center" wrapText="1"/>
    </xf>
    <xf numFmtId="168" fontId="3" fillId="0" borderId="0" xfId="7" applyNumberFormat="1" applyFont="1" applyBorder="1" applyAlignment="1" applyProtection="1">
      <alignment horizontal="left" vertical="center"/>
    </xf>
    <xf numFmtId="40" fontId="29" fillId="0" borderId="0" xfId="0" applyNumberFormat="1" applyFont="1" applyFill="1" applyAlignment="1">
      <alignment horizontal="center"/>
    </xf>
    <xf numFmtId="0" fontId="29" fillId="0" borderId="0" xfId="0" applyFont="1" applyAlignment="1">
      <alignment horizontal="center"/>
    </xf>
    <xf numFmtId="0" fontId="44" fillId="14" borderId="17" xfId="0" applyFont="1" applyFill="1" applyBorder="1" applyAlignment="1">
      <alignment horizontal="center" vertical="top"/>
    </xf>
    <xf numFmtId="49" fontId="44" fillId="14" borderId="17" xfId="0" applyNumberFormat="1" applyFont="1" applyFill="1" applyBorder="1" applyAlignment="1">
      <alignment horizontal="center" vertical="top"/>
    </xf>
    <xf numFmtId="0" fontId="45" fillId="0" borderId="18" xfId="0" applyFont="1" applyBorder="1" applyAlignment="1">
      <alignment vertical="top"/>
    </xf>
    <xf numFmtId="49" fontId="0" fillId="0" borderId="18" xfId="0" applyNumberFormat="1" applyBorder="1"/>
    <xf numFmtId="0" fontId="0" fillId="0" borderId="18" xfId="0" applyBorder="1"/>
    <xf numFmtId="183" fontId="45" fillId="0" borderId="18" xfId="0" applyNumberFormat="1" applyFont="1" applyBorder="1" applyAlignment="1">
      <alignment vertical="top"/>
    </xf>
    <xf numFmtId="4" fontId="45" fillId="0" borderId="18" xfId="0" applyNumberFormat="1" applyFont="1" applyBorder="1" applyAlignment="1">
      <alignment vertical="top"/>
    </xf>
    <xf numFmtId="185" fontId="45" fillId="0" borderId="18" xfId="0" applyNumberFormat="1" applyFont="1" applyBorder="1" applyAlignment="1">
      <alignment vertical="top"/>
    </xf>
    <xf numFmtId="49" fontId="45" fillId="0" borderId="18" xfId="0" applyNumberFormat="1" applyFont="1" applyBorder="1" applyAlignment="1">
      <alignment vertical="top"/>
    </xf>
    <xf numFmtId="0" fontId="4" fillId="2" borderId="0" xfId="0" applyNumberFormat="1" applyFont="1" applyFill="1" applyAlignment="1">
      <alignment horizontal="left" vertical="top" wrapText="1"/>
    </xf>
    <xf numFmtId="0" fontId="25" fillId="0" borderId="0" xfId="0" applyFont="1" applyAlignment="1">
      <alignment horizontal="left" indent="1"/>
    </xf>
    <xf numFmtId="168" fontId="3" fillId="0" borderId="9" xfId="7" applyNumberFormat="1" applyFont="1" applyBorder="1" applyAlignment="1" applyProtection="1">
      <alignment horizontal="left" vertical="center"/>
    </xf>
    <xf numFmtId="168" fontId="3" fillId="0" borderId="10" xfId="7" applyNumberFormat="1" applyFont="1" applyBorder="1" applyAlignment="1" applyProtection="1">
      <alignment horizontal="left" vertical="center"/>
    </xf>
    <xf numFmtId="0" fontId="15" fillId="0" borderId="4" xfId="7" applyFont="1" applyBorder="1" applyAlignment="1" applyProtection="1">
      <alignment horizontal="center" wrapText="1"/>
    </xf>
    <xf numFmtId="0" fontId="15" fillId="0" borderId="8" xfId="7" applyFont="1" applyBorder="1" applyAlignment="1" applyProtection="1">
      <alignment horizontal="center" wrapText="1"/>
    </xf>
    <xf numFmtId="168" fontId="15" fillId="0" borderId="6" xfId="7" applyNumberFormat="1" applyFont="1" applyBorder="1" applyAlignment="1" applyProtection="1">
      <alignment horizontal="left" vertical="center"/>
    </xf>
    <xf numFmtId="168" fontId="15" fillId="0" borderId="7" xfId="7" applyNumberFormat="1" applyFont="1" applyBorder="1" applyAlignment="1" applyProtection="1">
      <alignment horizontal="left" vertical="center"/>
    </xf>
    <xf numFmtId="168" fontId="3" fillId="0" borderId="0" xfId="7" applyNumberFormat="1" applyFont="1" applyBorder="1" applyAlignment="1" applyProtection="1">
      <alignment horizontal="left" vertical="center"/>
    </xf>
    <xf numFmtId="168" fontId="15" fillId="0" borderId="4" xfId="7" applyNumberFormat="1" applyFont="1" applyBorder="1" applyAlignment="1" applyProtection="1">
      <alignment horizontal="center" vertical="center" wrapText="1"/>
    </xf>
    <xf numFmtId="168" fontId="15" fillId="0" borderId="1" xfId="7" applyNumberFormat="1" applyFont="1" applyBorder="1" applyAlignment="1" applyProtection="1">
      <alignment horizontal="center" vertical="center" wrapText="1"/>
    </xf>
    <xf numFmtId="168" fontId="15" fillId="0" borderId="9" xfId="7" applyNumberFormat="1" applyFont="1" applyBorder="1" applyAlignment="1" applyProtection="1">
      <alignment horizontal="left" vertical="center"/>
    </xf>
    <xf numFmtId="168" fontId="15" fillId="0" borderId="10" xfId="7" applyNumberFormat="1" applyFont="1" applyBorder="1" applyAlignment="1" applyProtection="1">
      <alignment horizontal="left" vertical="center"/>
    </xf>
    <xf numFmtId="168" fontId="3" fillId="0" borderId="1" xfId="7" applyNumberFormat="1" applyFont="1" applyFill="1" applyBorder="1" applyAlignment="1" applyProtection="1">
      <alignment horizontal="left" vertical="center" wrapText="1"/>
    </xf>
    <xf numFmtId="168" fontId="3" fillId="0" borderId="14" xfId="7" applyNumberFormat="1" applyFont="1" applyFill="1" applyBorder="1" applyAlignment="1" applyProtection="1">
      <alignment horizontal="left" vertical="center" wrapText="1"/>
    </xf>
    <xf numFmtId="0" fontId="15" fillId="0" borderId="9" xfId="7" applyFont="1" applyBorder="1" applyAlignment="1" applyProtection="1">
      <alignment horizontal="left" vertical="center"/>
    </xf>
    <xf numFmtId="0" fontId="15" fillId="0" borderId="10" xfId="7" applyFont="1" applyBorder="1" applyAlignment="1" applyProtection="1">
      <alignment horizontal="left" vertical="center"/>
    </xf>
    <xf numFmtId="0" fontId="11" fillId="4" borderId="4" xfId="7" applyNumberFormat="1" applyFont="1" applyFill="1" applyBorder="1" applyAlignment="1" applyProtection="1">
      <alignment horizontal="left" vertical="center" indent="2"/>
    </xf>
    <xf numFmtId="0" fontId="11" fillId="4" borderId="8" xfId="7" applyNumberFormat="1" applyFont="1" applyFill="1" applyBorder="1" applyAlignment="1" applyProtection="1">
      <alignment horizontal="left" vertical="center" indent="2"/>
    </xf>
    <xf numFmtId="49" fontId="13" fillId="5" borderId="4" xfId="1" applyNumberFormat="1" applyFont="1" applyFill="1" applyBorder="1" applyAlignment="1">
      <alignment horizontal="center" vertical="center" shrinkToFit="1"/>
    </xf>
    <xf numFmtId="49" fontId="13" fillId="5" borderId="8" xfId="1" applyNumberFormat="1" applyFont="1" applyFill="1" applyBorder="1" applyAlignment="1">
      <alignment horizontal="center" vertical="center" shrinkToFit="1"/>
    </xf>
    <xf numFmtId="49" fontId="13" fillId="5" borderId="5" xfId="1" applyNumberFormat="1" applyFont="1" applyFill="1" applyBorder="1" applyAlignment="1">
      <alignment horizontal="center" vertical="center" shrinkToFit="1"/>
    </xf>
    <xf numFmtId="0" fontId="3" fillId="0" borderId="11" xfId="7" applyFont="1" applyBorder="1" applyAlignment="1" applyProtection="1">
      <alignment horizontal="left" indent="2"/>
    </xf>
    <xf numFmtId="0" fontId="3" fillId="0" borderId="1" xfId="7" applyFont="1" applyBorder="1" applyAlignment="1" applyProtection="1">
      <alignment horizontal="left" indent="2"/>
    </xf>
    <xf numFmtId="168" fontId="3" fillId="0" borderId="9" xfId="7" applyNumberFormat="1" applyFont="1" applyBorder="1" applyAlignment="1" applyProtection="1">
      <alignment horizontal="left" indent="1"/>
    </xf>
    <xf numFmtId="168" fontId="3" fillId="0" borderId="0" xfId="7" applyNumberFormat="1" applyFont="1" applyBorder="1" applyAlignment="1" applyProtection="1">
      <alignment horizontal="left" indent="1"/>
    </xf>
    <xf numFmtId="168" fontId="3" fillId="0" borderId="9" xfId="7" applyNumberFormat="1" applyFont="1" applyBorder="1" applyAlignment="1" applyProtection="1">
      <alignment horizontal="left" indent="2"/>
    </xf>
    <xf numFmtId="168" fontId="3" fillId="0" borderId="0" xfId="7" applyNumberFormat="1" applyFont="1" applyBorder="1" applyAlignment="1" applyProtection="1">
      <alignment horizontal="left" indent="2"/>
    </xf>
    <xf numFmtId="168" fontId="3" fillId="0" borderId="11" xfId="7" applyNumberFormat="1" applyFont="1" applyBorder="1" applyAlignment="1" applyProtection="1">
      <alignment horizontal="left" indent="2"/>
    </xf>
    <xf numFmtId="168" fontId="3" fillId="0" borderId="1" xfId="7" applyNumberFormat="1" applyFont="1" applyBorder="1" applyAlignment="1" applyProtection="1">
      <alignment horizontal="left" indent="2"/>
    </xf>
    <xf numFmtId="168" fontId="16" fillId="3" borderId="4" xfId="7" applyNumberFormat="1" applyFont="1" applyFill="1" applyBorder="1" applyAlignment="1" applyProtection="1">
      <alignment horizontal="left" vertical="center" indent="1"/>
      <protection locked="0"/>
    </xf>
    <xf numFmtId="168" fontId="16" fillId="3" borderId="5" xfId="7" applyNumberFormat="1" applyFont="1" applyFill="1" applyBorder="1" applyAlignment="1" applyProtection="1">
      <alignment horizontal="left" vertical="center" indent="1"/>
      <protection locked="0"/>
    </xf>
    <xf numFmtId="168" fontId="16" fillId="3" borderId="8" xfId="7" applyNumberFormat="1" applyFont="1" applyFill="1" applyBorder="1" applyAlignment="1" applyProtection="1">
      <alignment horizontal="left" vertical="center" indent="1"/>
      <protection locked="0"/>
    </xf>
    <xf numFmtId="38" fontId="15" fillId="12" borderId="6" xfId="7" applyNumberFormat="1" applyFont="1" applyFill="1" applyBorder="1" applyAlignment="1" applyProtection="1">
      <alignment horizontal="center" vertical="center" wrapText="1"/>
    </xf>
    <xf numFmtId="38" fontId="15" fillId="12" borderId="7" xfId="7" applyNumberFormat="1" applyFont="1" applyFill="1" applyBorder="1" applyAlignment="1" applyProtection="1">
      <alignment horizontal="center" vertical="center" wrapText="1"/>
    </xf>
    <xf numFmtId="38" fontId="15" fillId="12" borderId="15" xfId="7" applyNumberFormat="1" applyFont="1" applyFill="1" applyBorder="1" applyAlignment="1" applyProtection="1">
      <alignment horizontal="center" vertical="center" wrapText="1"/>
    </xf>
    <xf numFmtId="38" fontId="15" fillId="12" borderId="11" xfId="7" applyNumberFormat="1" applyFont="1" applyFill="1" applyBorder="1" applyAlignment="1" applyProtection="1">
      <alignment horizontal="center" vertical="center" wrapText="1"/>
    </xf>
    <xf numFmtId="38" fontId="15" fillId="12" borderId="1" xfId="7" applyNumberFormat="1" applyFont="1" applyFill="1" applyBorder="1" applyAlignment="1" applyProtection="1">
      <alignment horizontal="center" vertical="center" wrapText="1"/>
    </xf>
    <xf numFmtId="38" fontId="15" fillId="12" borderId="14" xfId="7" applyNumberFormat="1" applyFont="1" applyFill="1" applyBorder="1" applyAlignment="1" applyProtection="1">
      <alignment horizontal="center" vertical="center" wrapText="1"/>
    </xf>
    <xf numFmtId="0" fontId="30" fillId="0" borderId="6" xfId="7" applyFont="1" applyBorder="1" applyAlignment="1" applyProtection="1">
      <alignment horizontal="center" vertical="center"/>
    </xf>
    <xf numFmtId="0" fontId="30" fillId="0" borderId="7" xfId="7" applyFont="1" applyBorder="1" applyAlignment="1" applyProtection="1">
      <alignment horizontal="center" vertical="center"/>
    </xf>
    <xf numFmtId="0" fontId="30" fillId="0" borderId="15" xfId="7" applyFont="1" applyBorder="1" applyAlignment="1" applyProtection="1">
      <alignment horizontal="center" vertical="center"/>
    </xf>
    <xf numFmtId="0" fontId="30" fillId="0" borderId="11" xfId="7" applyFont="1" applyBorder="1" applyAlignment="1" applyProtection="1">
      <alignment horizontal="center" vertical="center"/>
    </xf>
    <xf numFmtId="0" fontId="30" fillId="0" borderId="1" xfId="7" applyFont="1" applyBorder="1" applyAlignment="1" applyProtection="1">
      <alignment horizontal="center" vertical="center"/>
    </xf>
    <xf numFmtId="0" fontId="30" fillId="0" borderId="14" xfId="7" applyFont="1" applyBorder="1" applyAlignment="1" applyProtection="1">
      <alignment horizontal="center" vertical="center"/>
    </xf>
    <xf numFmtId="49" fontId="3" fillId="6" borderId="4" xfId="7" applyNumberFormat="1" applyFont="1" applyFill="1" applyBorder="1" applyAlignment="1" applyProtection="1">
      <alignment horizontal="left"/>
    </xf>
    <xf numFmtId="49" fontId="3" fillId="6" borderId="8" xfId="7" applyNumberFormat="1" applyFont="1" applyFill="1" applyBorder="1" applyAlignment="1" applyProtection="1">
      <alignment horizontal="left"/>
    </xf>
    <xf numFmtId="0" fontId="3" fillId="0" borderId="9" xfId="7" applyFont="1" applyFill="1" applyBorder="1" applyAlignment="1" applyProtection="1">
      <alignment horizontal="center"/>
    </xf>
    <xf numFmtId="0" fontId="3" fillId="0" borderId="10" xfId="7" applyFont="1" applyFill="1" applyBorder="1" applyAlignment="1" applyProtection="1">
      <alignment horizontal="center"/>
    </xf>
    <xf numFmtId="168" fontId="3" fillId="0" borderId="10" xfId="7" applyNumberFormat="1" applyFont="1" applyBorder="1" applyAlignment="1" applyProtection="1">
      <alignment horizontal="left" indent="1"/>
    </xf>
    <xf numFmtId="49" fontId="3" fillId="0" borderId="9" xfId="7" applyNumberFormat="1" applyFont="1" applyBorder="1" applyAlignment="1" applyProtection="1">
      <alignment horizontal="left"/>
    </xf>
    <xf numFmtId="49" fontId="3" fillId="0" borderId="10" xfId="7" applyNumberFormat="1" applyFont="1" applyBorder="1" applyAlignment="1" applyProtection="1">
      <alignment horizontal="left"/>
    </xf>
    <xf numFmtId="168" fontId="3" fillId="0" borderId="10" xfId="7" applyNumberFormat="1" applyFont="1" applyBorder="1" applyAlignment="1" applyProtection="1">
      <alignment horizontal="left" indent="2"/>
    </xf>
    <xf numFmtId="168" fontId="3" fillId="0" borderId="11" xfId="7" applyNumberFormat="1" applyFont="1" applyBorder="1" applyAlignment="1" applyProtection="1">
      <alignment horizontal="left" indent="1"/>
    </xf>
    <xf numFmtId="168" fontId="3" fillId="0" borderId="14" xfId="7" applyNumberFormat="1" applyFont="1" applyBorder="1" applyAlignment="1" applyProtection="1">
      <alignment horizontal="left" indent="1"/>
    </xf>
    <xf numFmtId="0" fontId="37" fillId="0" borderId="0" xfId="7" applyFont="1" applyBorder="1" applyAlignment="1" applyProtection="1">
      <alignment horizontal="center" vertical="center" wrapText="1"/>
    </xf>
    <xf numFmtId="0" fontId="37" fillId="0" borderId="9" xfId="7" applyFont="1" applyBorder="1" applyAlignment="1" applyProtection="1">
      <alignment horizontal="center" vertical="center"/>
    </xf>
    <xf numFmtId="0" fontId="37" fillId="0" borderId="0" xfId="7" applyFont="1" applyBorder="1" applyAlignment="1" applyProtection="1">
      <alignment horizontal="center" vertical="center"/>
    </xf>
    <xf numFmtId="0" fontId="36" fillId="0" borderId="9" xfId="7" applyFont="1" applyBorder="1" applyAlignment="1" applyProtection="1">
      <alignment horizontal="center" vertical="center"/>
    </xf>
    <xf numFmtId="0" fontId="36" fillId="0" borderId="0" xfId="7" applyFont="1" applyBorder="1" applyAlignment="1" applyProtection="1">
      <alignment horizontal="center" vertical="center"/>
    </xf>
    <xf numFmtId="0" fontId="3" fillId="8" borderId="9" xfId="7" applyFont="1" applyFill="1" applyBorder="1" applyAlignment="1" applyProtection="1">
      <alignment horizontal="center"/>
    </xf>
    <xf numFmtId="0" fontId="3" fillId="8" borderId="10" xfId="7" applyFont="1" applyFill="1" applyBorder="1" applyAlignment="1" applyProtection="1">
      <alignment horizontal="center"/>
    </xf>
    <xf numFmtId="0" fontId="3" fillId="0" borderId="9" xfId="7" applyFont="1" applyBorder="1" applyAlignment="1" applyProtection="1">
      <alignment horizontal="left" indent="1"/>
    </xf>
    <xf numFmtId="0" fontId="3" fillId="0" borderId="0" xfId="7" applyFont="1" applyBorder="1" applyAlignment="1" applyProtection="1">
      <alignment horizontal="left" indent="1"/>
    </xf>
    <xf numFmtId="49" fontId="3" fillId="0" borderId="9" xfId="7" applyNumberFormat="1" applyFont="1" applyBorder="1" applyAlignment="1" applyProtection="1">
      <alignment horizontal="left" vertical="center"/>
    </xf>
    <xf numFmtId="49" fontId="3" fillId="0" borderId="10" xfId="7" applyNumberFormat="1" applyFont="1" applyBorder="1" applyAlignment="1" applyProtection="1">
      <alignment horizontal="left" vertical="center"/>
    </xf>
    <xf numFmtId="168" fontId="15" fillId="0" borderId="6" xfId="7" applyNumberFormat="1" applyFont="1" applyBorder="1" applyAlignment="1" applyProtection="1">
      <alignment horizontal="center" vertical="center" wrapText="1"/>
    </xf>
    <xf numFmtId="168" fontId="15" fillId="0" borderId="15" xfId="7" applyNumberFormat="1" applyFont="1" applyBorder="1" applyAlignment="1" applyProtection="1">
      <alignment horizontal="center" vertical="center" wrapText="1"/>
    </xf>
    <xf numFmtId="168" fontId="15" fillId="0" borderId="11" xfId="7" applyNumberFormat="1" applyFont="1" applyBorder="1" applyAlignment="1" applyProtection="1">
      <alignment horizontal="center" vertical="center" wrapText="1"/>
    </xf>
    <xf numFmtId="168" fontId="15" fillId="0" borderId="14" xfId="7" applyNumberFormat="1" applyFont="1" applyBorder="1" applyAlignment="1" applyProtection="1">
      <alignment horizontal="center" vertical="center" wrapText="1"/>
    </xf>
    <xf numFmtId="0" fontId="14" fillId="0" borderId="7" xfId="7" applyFont="1" applyBorder="1" applyAlignment="1" applyProtection="1">
      <alignment horizontal="center"/>
    </xf>
    <xf numFmtId="0" fontId="14" fillId="0" borderId="15" xfId="7" applyFont="1" applyBorder="1" applyAlignment="1" applyProtection="1">
      <alignment horizontal="center"/>
    </xf>
    <xf numFmtId="40" fontId="29" fillId="0" borderId="0" xfId="0" applyNumberFormat="1" applyFont="1" applyFill="1" applyAlignment="1">
      <alignment horizontal="center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center"/>
    </xf>
    <xf numFmtId="0" fontId="45" fillId="0" borderId="18" xfId="0" applyNumberFormat="1" applyFont="1" applyBorder="1" applyAlignment="1">
      <alignment vertical="top"/>
    </xf>
    <xf numFmtId="0" fontId="0" fillId="0" borderId="18" xfId="0" applyNumberFormat="1" applyBorder="1"/>
    <xf numFmtId="40" fontId="45" fillId="0" borderId="18" xfId="0" applyNumberFormat="1" applyFont="1" applyBorder="1" applyAlignment="1">
      <alignment vertical="top"/>
    </xf>
    <xf numFmtId="0" fontId="0" fillId="15" borderId="0" xfId="0" applyFill="1" applyAlignment="1">
      <alignment horizontal="center"/>
    </xf>
    <xf numFmtId="40" fontId="0" fillId="0" borderId="0" xfId="0" applyNumberFormat="1"/>
    <xf numFmtId="0" fontId="0" fillId="16" borderId="0" xfId="0" applyFill="1" applyAlignment="1">
      <alignment horizontal="center"/>
    </xf>
    <xf numFmtId="0" fontId="0" fillId="17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9" borderId="0" xfId="0" applyFill="1" applyAlignment="1">
      <alignment horizontal="center"/>
    </xf>
    <xf numFmtId="0" fontId="46" fillId="0" borderId="0" xfId="0" applyFont="1"/>
    <xf numFmtId="0" fontId="47" fillId="0" borderId="0" xfId="0" applyFont="1"/>
    <xf numFmtId="40" fontId="29" fillId="20" borderId="19" xfId="0" applyNumberFormat="1" applyFont="1" applyFill="1" applyBorder="1"/>
    <xf numFmtId="0" fontId="46" fillId="21" borderId="0" xfId="0" applyFont="1" applyFill="1"/>
    <xf numFmtId="0" fontId="48" fillId="0" borderId="0" xfId="0" applyFont="1"/>
    <xf numFmtId="0" fontId="49" fillId="0" borderId="0" xfId="0" applyFont="1"/>
    <xf numFmtId="40" fontId="0" fillId="22" borderId="0" xfId="0" applyNumberFormat="1" applyFill="1"/>
    <xf numFmtId="40" fontId="0" fillId="23" borderId="0" xfId="0" applyNumberFormat="1" applyFill="1"/>
    <xf numFmtId="40" fontId="46" fillId="24" borderId="0" xfId="0" applyNumberFormat="1" applyFont="1" applyFill="1"/>
    <xf numFmtId="8" fontId="46" fillId="24" borderId="0" xfId="0" applyNumberFormat="1" applyFont="1" applyFill="1"/>
    <xf numFmtId="43" fontId="0" fillId="0" borderId="0" xfId="0" applyNumberFormat="1"/>
    <xf numFmtId="43" fontId="0" fillId="22" borderId="0" xfId="0" applyNumberFormat="1" applyFill="1"/>
    <xf numFmtId="43" fontId="0" fillId="23" borderId="0" xfId="0" applyNumberFormat="1" applyFill="1"/>
  </cellXfs>
  <cellStyles count="8">
    <cellStyle name="Comma" xfId="5" builtinId="3"/>
    <cellStyle name="Comma 2" xfId="2" xr:uid="{00000000-0005-0000-0000-000001000000}"/>
    <cellStyle name="Normal" xfId="0" builtinId="0"/>
    <cellStyle name="Normal 2" xfId="3" xr:uid="{00000000-0005-0000-0000-000003000000}"/>
    <cellStyle name="Normal 3" xfId="1" xr:uid="{00000000-0005-0000-0000-000004000000}"/>
    <cellStyle name="Normal_Revised B-6" xfId="7" xr:uid="{00000000-0005-0000-0000-000005000000}"/>
    <cellStyle name="Percent" xfId="6" builtinId="5"/>
    <cellStyle name="Percent 2" xfId="4" xr:uid="{00000000-0005-0000-0000-000007000000}"/>
  </cellStyles>
  <dxfs count="19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98"/>
      <tableStyleElement type="headerRow" dxfId="19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461F3-17FA-43D2-95A2-1C6D8F1840B8}">
  <sheetPr>
    <pageSetUpPr fitToPage="1"/>
  </sheetPr>
  <dimension ref="A1:CP80"/>
  <sheetViews>
    <sheetView showGridLines="0" tabSelected="1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1444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1441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167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1442</v>
      </c>
      <c r="J5" s="404"/>
      <c r="K5" s="404"/>
      <c r="L5" s="403"/>
      <c r="M5" s="352" t="s">
        <v>115</v>
      </c>
      <c r="N5" s="32" t="s">
        <v>1443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"&amp;'AGAA|0001-00'!FiscalYear-1&amp;" SALARY"</f>
        <v>FY 2022 SALARY</v>
      </c>
      <c r="H8" s="50" t="str">
        <f>"FY "&amp;'AGAA|0001-00'!FiscalYear-1&amp;" HEALTH BENEFITS"</f>
        <v>FY 2022 HEALTH BENEFITS</v>
      </c>
      <c r="I8" s="50" t="str">
        <f>"FY "&amp;'AGAA|0001-00'!FiscalYear-1&amp;" VAR BENEFITS"</f>
        <v>FY 2022 VAR BENEFITS</v>
      </c>
      <c r="J8" s="50" t="str">
        <f>"FY "&amp;'AGAA|0001-00'!FiscalYear-1&amp;" TOTAL"</f>
        <v>FY 2022 TOTAL</v>
      </c>
      <c r="K8" s="50" t="str">
        <f>"FY "&amp;'AGAA|0001-00'!FiscalYear&amp;" SALARY CHANGE"</f>
        <v>FY 2023 SALARY CHANGE</v>
      </c>
      <c r="L8" s="50" t="str">
        <f>"FY "&amp;'AGAA|0001-00'!FiscalYear&amp;" CHG HEALTH BENEFITS"</f>
        <v>FY 2023 CHG HEALTH BENEFITS</v>
      </c>
      <c r="M8" s="50" t="str">
        <f>"FY "&amp;'AGAA|0001-00'!FiscalYear&amp;"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[0]!AGAA000100col_INC_FTI</f>
        <v>7.8100000000000005</v>
      </c>
      <c r="G10" s="218">
        <f>[0]!AGAA000100col_FTI_SALARY_PERM</f>
        <v>683552.04999999993</v>
      </c>
      <c r="H10" s="218">
        <f>[0]!AGAA000100col_HEALTH_PERM</f>
        <v>90986.5</v>
      </c>
      <c r="I10" s="218">
        <f>[0]!AGAA000100col_TOT_VB_PERM</f>
        <v>151337.36680009999</v>
      </c>
      <c r="J10" s="219">
        <f>SUM(G10:I10)</f>
        <v>925875.91680009989</v>
      </c>
      <c r="K10" s="219">
        <f>[0]!AGAA000100col_1_27TH_PP</f>
        <v>0</v>
      </c>
      <c r="L10" s="218">
        <f>[0]!AGAA000100col_HEALTH_PERM_CHG</f>
        <v>0</v>
      </c>
      <c r="M10" s="218">
        <f>[0]!AGAA000100col_TOT_VB_PERM_CHG</f>
        <v>-685.11836999999787</v>
      </c>
      <c r="N10" s="218">
        <f>SUM(L10:M10)</f>
        <v>-685.11836999999787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6800</v>
      </c>
      <c r="AB10" s="335">
        <f>ROUND(PermVarBen*CECPerm+(CECPerm*PermVarBenChg),-2)</f>
        <v>1500</v>
      </c>
      <c r="AC10" s="335">
        <f>SUM(AA10:AB10)</f>
        <v>8300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[0]!AGAA000100col_Group_Salary</f>
        <v>0</v>
      </c>
      <c r="H11" s="218">
        <v>0</v>
      </c>
      <c r="I11" s="218">
        <f>[0]!AGAA000100col_Group_Ben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[0]!AGAA000100col_TOTAL_ELECT_PCN_FTI</f>
        <v>0</v>
      </c>
      <c r="G12" s="218">
        <f>[0]!AGAA000100col_FTI_SALARY_ELECT</f>
        <v>0</v>
      </c>
      <c r="H12" s="218">
        <f>[0]!AGAA000100col_HEALTH_ELECT</f>
        <v>0</v>
      </c>
      <c r="I12" s="218">
        <f>[0]!AGAA000100col_TOT_VB_ELECT</f>
        <v>0</v>
      </c>
      <c r="J12" s="219">
        <f>SUM(G12:I12)</f>
        <v>0</v>
      </c>
      <c r="K12" s="268"/>
      <c r="L12" s="218">
        <f>[0]!AGAA000100col_HEALTH_ELECT_CHG</f>
        <v>0</v>
      </c>
      <c r="M12" s="218">
        <f>[0]!AGAA000100col_TOT_VB_ELECT_CHG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7.8100000000000005</v>
      </c>
      <c r="G13" s="221">
        <f>SUM(G10:G12)</f>
        <v>683552.04999999993</v>
      </c>
      <c r="H13" s="221">
        <f>SUM(H10:H12)</f>
        <v>90986.5</v>
      </c>
      <c r="I13" s="221">
        <f>SUM(I10:I12)</f>
        <v>151337.36680009999</v>
      </c>
      <c r="J13" s="219">
        <f>SUM(G13:I13)</f>
        <v>925875.91680009989</v>
      </c>
      <c r="K13" s="268"/>
      <c r="L13" s="219">
        <f>SUM(L10:L12)</f>
        <v>0</v>
      </c>
      <c r="M13" s="219">
        <f>SUM(M10:M12)</f>
        <v>-685.11836999999787</v>
      </c>
      <c r="N13" s="219">
        <f>SUM(N10:N12)</f>
        <v>-685.11836999999787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"&amp;'AGAA|0001-00'!FiscalYear-1</f>
        <v>FY 2022</v>
      </c>
      <c r="D15" s="158" t="s">
        <v>31</v>
      </c>
      <c r="E15" s="355">
        <v>925700</v>
      </c>
      <c r="F15" s="55">
        <v>8.34</v>
      </c>
      <c r="G15" s="223">
        <f>IF(OrigApprop=0,0,(G13/$J$13)*OrigApprop)</f>
        <v>683422.17483297607</v>
      </c>
      <c r="H15" s="223">
        <f>IF(OrigApprop=0,0,(H13/$J$13)*OrigApprop)</f>
        <v>90969.212528059259</v>
      </c>
      <c r="I15" s="223">
        <f>IF(G15=0,0,(I13/$J$13)*OrigApprop)</f>
        <v>151308.61263896464</v>
      </c>
      <c r="J15" s="223">
        <f>SUM(G15:I15)</f>
        <v>925700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0.52999999999999936</v>
      </c>
      <c r="G16" s="162">
        <f>G15-G13</f>
        <v>-129.87516702385619</v>
      </c>
      <c r="H16" s="162">
        <f>H15-H13</f>
        <v>-17.287471940740943</v>
      </c>
      <c r="I16" s="162">
        <f>I15-I13</f>
        <v>-28.754161135351751</v>
      </c>
      <c r="J16" s="162">
        <f>J15-J13</f>
        <v>-175.91680009989068</v>
      </c>
      <c r="K16" s="269"/>
      <c r="L16" s="56" t="str">
        <f>IF('AGAA|0001-00'!OrigApprop=0,"ERROR! Enter Original Appropriation amount in DU 3.00!","Calculated "&amp;IF('AGAA|0001-00'!AdjustedTotal&gt;0,"overfunding ","underfunding ")&amp;"is "&amp;TEXT('AGAA|0001-00'!AdjustedTotal/'AGAA|0001-00'!AppropTotal,"#.0%;(#.0% );0% ;")&amp;" of Original Appropriation")</f>
        <v>Calculated underfunding is (.0% )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7.8100000000000005</v>
      </c>
      <c r="G38" s="191">
        <f>SUMIF($E10:$E35,$E38,$G10:$G35)</f>
        <v>683552.04999999993</v>
      </c>
      <c r="H38" s="192">
        <f>SUMIF($E10:$E35,$E38,$H10:$H35)</f>
        <v>90986.5</v>
      </c>
      <c r="I38" s="192">
        <f>SUMIF($E10:$E35,$E38,$I10:$I35)</f>
        <v>151337.36680009999</v>
      </c>
      <c r="J38" s="192">
        <f>SUM(G38:I38)</f>
        <v>925875.91680009989</v>
      </c>
      <c r="K38" s="166"/>
      <c r="L38" s="191">
        <f>SUMIF($E10:$E35,$E38,$L10:$L35)</f>
        <v>0</v>
      </c>
      <c r="M38" s="192">
        <f>SUMIF($E10:$E35,$E38,$M10:$M35)</f>
        <v>-685.11836999999787</v>
      </c>
      <c r="N38" s="192">
        <f>SUM(L38:M38)</f>
        <v>-685.11836999999787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6800</v>
      </c>
      <c r="AB38" s="338">
        <f>ROUND((AdjPermVB*CECPerm+AdjPermVBBY*CECPerm),-2)</f>
        <v>1500</v>
      </c>
      <c r="AC38" s="338">
        <f>SUM(AA38:AB38)</f>
        <v>8300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7.8100000000000005</v>
      </c>
      <c r="G41" s="195">
        <f>SUM($G$38:$G$40)</f>
        <v>683552.04999999993</v>
      </c>
      <c r="H41" s="162">
        <f>SUM($H$38:$H$40)</f>
        <v>90986.5</v>
      </c>
      <c r="I41" s="162">
        <f>SUM($I$38:$I$40)</f>
        <v>151337.36680009999</v>
      </c>
      <c r="J41" s="162">
        <f>SUM($J$38:$J$40)</f>
        <v>925875.91680009989</v>
      </c>
      <c r="K41" s="259"/>
      <c r="L41" s="195">
        <f>SUM($L$38:$L$40)</f>
        <v>0</v>
      </c>
      <c r="M41" s="162">
        <f>SUM($M$38:$M$40)</f>
        <v>-685.11836999999787</v>
      </c>
      <c r="N41" s="162">
        <f>SUM(L41:M41)</f>
        <v>-685.11836999999787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0.53</v>
      </c>
      <c r="G43" s="206">
        <f>ROUND(G51-G41,-2)</f>
        <v>-100</v>
      </c>
      <c r="H43" s="159">
        <f>ROUND(H51-H41,-2)</f>
        <v>0</v>
      </c>
      <c r="I43" s="159">
        <f>ROUND(I51-I41,-2)</f>
        <v>0</v>
      </c>
      <c r="J43" s="159">
        <f>SUM(G43:I43)</f>
        <v>-100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underfunding is (.0% )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0.53</v>
      </c>
      <c r="G44" s="206">
        <f>ROUND(G60-G41,-2)</f>
        <v>-200</v>
      </c>
      <c r="H44" s="159">
        <f>ROUND(H60-H41,-2)</f>
        <v>0</v>
      </c>
      <c r="I44" s="159">
        <f>ROUND(I60-I41,-2)</f>
        <v>0</v>
      </c>
      <c r="J44" s="159">
        <f>SUM(G44:I44)</f>
        <v>-200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underfunding is (.0% )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0.53</v>
      </c>
      <c r="G45" s="206">
        <f>ROUND(G67-G41-G63,-2)</f>
        <v>-200</v>
      </c>
      <c r="H45" s="206">
        <f>ROUND(H67-H41-H63,-2)</f>
        <v>0</v>
      </c>
      <c r="I45" s="206">
        <f>ROUND(I67-I41-I63,-2)</f>
        <v>0</v>
      </c>
      <c r="J45" s="159">
        <f>SUM(G45:I45)</f>
        <v>-200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underfunding is (.0% )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925700</v>
      </c>
      <c r="F51" s="272">
        <f>AppropFTP</f>
        <v>8.34</v>
      </c>
      <c r="G51" s="274">
        <f>IF(E51=0,0,(G41/$J$41)*$E$51)</f>
        <v>683422.17483297607</v>
      </c>
      <c r="H51" s="274">
        <f>IF(E51=0,0,(H41/$J$41)*$E$51)</f>
        <v>90969.212528059259</v>
      </c>
      <c r="I51" s="275">
        <f>IF(E51=0,0,(I41/$J$41)*$E$51)</f>
        <v>151308.61263896464</v>
      </c>
      <c r="J51" s="90">
        <f>SUM(G51:I51)</f>
        <v>925700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8.34</v>
      </c>
      <c r="G52" s="79">
        <f>ROUND(G51,-2)</f>
        <v>683400</v>
      </c>
      <c r="H52" s="79">
        <f>ROUND(H51,-2)</f>
        <v>91000</v>
      </c>
      <c r="I52" s="266">
        <f>ROUND(I51,-2)</f>
        <v>151300</v>
      </c>
      <c r="J52" s="80">
        <f>ROUND(J51,-2)</f>
        <v>925700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8.34</v>
      </c>
      <c r="G56" s="80">
        <f>SUM(G52:G55)</f>
        <v>683400</v>
      </c>
      <c r="H56" s="80">
        <f>SUM(H52:H55)</f>
        <v>91000</v>
      </c>
      <c r="I56" s="260">
        <f>SUM(I52:I55)</f>
        <v>151300</v>
      </c>
      <c r="J56" s="80">
        <f>SUM(J52:J55)</f>
        <v>925700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8.34</v>
      </c>
      <c r="G60" s="80">
        <f>SUM(G56:G59)</f>
        <v>683400</v>
      </c>
      <c r="H60" s="80">
        <f>SUM(H56:H59)</f>
        <v>91000</v>
      </c>
      <c r="I60" s="260">
        <f>SUM(I56:I59)</f>
        <v>151300</v>
      </c>
      <c r="J60" s="80">
        <f>SUM(J56:J59)</f>
        <v>925700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8.34</v>
      </c>
      <c r="G67" s="80">
        <f>SUM(G60:G64)</f>
        <v>683400</v>
      </c>
      <c r="H67" s="80">
        <f>SUM(H60:H64)</f>
        <v>91000</v>
      </c>
      <c r="I67" s="80">
        <f>SUM(I60:I64)</f>
        <v>151300</v>
      </c>
      <c r="J67" s="80">
        <f>SUM(J60:J64)</f>
        <v>925700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-700</v>
      </c>
      <c r="J69" s="287">
        <f>SUM(G69:I69)</f>
        <v>-700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6800</v>
      </c>
      <c r="H72" s="287"/>
      <c r="I72" s="287">
        <f>ROUND(($G72*PermVBBY+$G72*Retire1BY),-2)</f>
        <v>1500</v>
      </c>
      <c r="J72" s="113">
        <f>SUM(G72:I72)</f>
        <v>8300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8.34</v>
      </c>
      <c r="G75" s="80">
        <f>SUM(G67:G74)</f>
        <v>690200</v>
      </c>
      <c r="H75" s="80">
        <f>SUM(H67:H74)</f>
        <v>91000</v>
      </c>
      <c r="I75" s="80">
        <f>SUM(I67:I74)</f>
        <v>152100</v>
      </c>
      <c r="J75" s="80">
        <f>SUM(J67:K74)</f>
        <v>933300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8.34</v>
      </c>
      <c r="G80" s="80">
        <f>SUM(G75:G79)</f>
        <v>690200</v>
      </c>
      <c r="H80" s="80">
        <f>SUM(H75:H79)</f>
        <v>91000</v>
      </c>
      <c r="I80" s="80">
        <f>SUM(I75:I79)</f>
        <v>152100</v>
      </c>
      <c r="J80" s="80">
        <f>SUM(J75:J79)</f>
        <v>933300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196" priority="5">
      <formula>$J$44&lt;0</formula>
    </cfRule>
  </conditionalFormatting>
  <conditionalFormatting sqref="K43">
    <cfRule type="expression" dxfId="195" priority="4">
      <formula>$J$43&lt;0</formula>
    </cfRule>
  </conditionalFormatting>
  <conditionalFormatting sqref="L16">
    <cfRule type="expression" dxfId="194" priority="3">
      <formula>$J$16&lt;0</formula>
    </cfRule>
  </conditionalFormatting>
  <conditionalFormatting sqref="K45">
    <cfRule type="expression" dxfId="193" priority="2">
      <formula>$J$44&lt;0</formula>
    </cfRule>
  </conditionalFormatting>
  <conditionalFormatting sqref="K43:N45">
    <cfRule type="containsText" dxfId="19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AA2BEB7-A8AA-4364-B65B-EF6D2837393F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D9144-EA59-4B94-BC10-5C1A22E1BF49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1491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1479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651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1489</v>
      </c>
      <c r="J5" s="404"/>
      <c r="K5" s="404"/>
      <c r="L5" s="403"/>
      <c r="M5" s="352" t="s">
        <v>115</v>
      </c>
      <c r="N5" s="32" t="s">
        <v>1490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"&amp;'AGAC|0348-00'!FiscalYear-1&amp;" SALARY"</f>
        <v>FY 2022 SALARY</v>
      </c>
      <c r="H8" s="50" t="str">
        <f>"FY "&amp;'AGAC|0348-00'!FiscalYear-1&amp;" HEALTH BENEFITS"</f>
        <v>FY 2022 HEALTH BENEFITS</v>
      </c>
      <c r="I8" s="50" t="str">
        <f>"FY "&amp;'AGAC|0348-00'!FiscalYear-1&amp;" VAR BENEFITS"</f>
        <v>FY 2022 VAR BENEFITS</v>
      </c>
      <c r="J8" s="50" t="str">
        <f>"FY "&amp;'AGAC|0348-00'!FiscalYear-1&amp;" TOTAL"</f>
        <v>FY 2022 TOTAL</v>
      </c>
      <c r="K8" s="50" t="str">
        <f>"FY "&amp;'AGAC|0348-00'!FiscalYear&amp;" SALARY CHANGE"</f>
        <v>FY 2023 SALARY CHANGE</v>
      </c>
      <c r="L8" s="50" t="str">
        <f>"FY "&amp;'AGAC|0348-00'!FiscalYear&amp;" CHG HEALTH BENEFITS"</f>
        <v>FY 2023 CHG HEALTH BENEFITS</v>
      </c>
      <c r="M8" s="50" t="str">
        <f>"FY "&amp;'AGAC|0348-00'!FiscalYear&amp;"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[0]!AGAC034800col_INC_FTI</f>
        <v>0</v>
      </c>
      <c r="G10" s="218">
        <f>[0]!AGAC034800col_FTI_SALARY_PERM</f>
        <v>0</v>
      </c>
      <c r="H10" s="218">
        <f>[0]!AGAC034800col_HEALTH_PERM</f>
        <v>0</v>
      </c>
      <c r="I10" s="218">
        <f>[0]!AGAC034800col_TOT_VB_PERM</f>
        <v>0</v>
      </c>
      <c r="J10" s="219">
        <f>SUM(G10:I10)</f>
        <v>0</v>
      </c>
      <c r="K10" s="219">
        <f>[0]!AGAC034800col_1_27TH_PP</f>
        <v>0</v>
      </c>
      <c r="L10" s="218">
        <f>[0]!AGAC034800col_HEALTH_PERM_CHG</f>
        <v>0</v>
      </c>
      <c r="M10" s="218">
        <f>[0]!AGAC034800col_TOT_VB_PERM_CHG</f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[0]!AGAC034800col_Group_Salary</f>
        <v>0</v>
      </c>
      <c r="H11" s="218">
        <v>0</v>
      </c>
      <c r="I11" s="218">
        <f>[0]!AGAC034800col_Group_Ben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[0]!AGAC034800col_TOTAL_ELECT_PCN_FTI</f>
        <v>0</v>
      </c>
      <c r="G12" s="218">
        <f>[0]!AGAC034800col_FTI_SALARY_ELECT</f>
        <v>0</v>
      </c>
      <c r="H12" s="218">
        <f>[0]!AGAC034800col_HEALTH_ELECT</f>
        <v>0</v>
      </c>
      <c r="I12" s="218">
        <f>[0]!AGAC034800col_TOT_VB_ELECT</f>
        <v>0</v>
      </c>
      <c r="J12" s="219">
        <f>SUM(G12:I12)</f>
        <v>0</v>
      </c>
      <c r="K12" s="268"/>
      <c r="L12" s="218">
        <f>[0]!AGAC034800col_HEALTH_ELECT_CHG</f>
        <v>0</v>
      </c>
      <c r="M12" s="218">
        <f>[0]!AGAC034800col_TOT_VB_ELECT_CHG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"&amp;'AGAC|0348-00'!FiscalYear-1</f>
        <v>FY 2022</v>
      </c>
      <c r="D15" s="158" t="s">
        <v>31</v>
      </c>
      <c r="E15" s="355">
        <v>391700</v>
      </c>
      <c r="F15" s="55">
        <v>1</v>
      </c>
      <c r="G15" s="223" t="e">
        <f>IF(OrigApprop=0,0,(G13/$J$13)*OrigApprop)</f>
        <v>#DIV/0!</v>
      </c>
      <c r="H15" s="223" t="e">
        <f>IF(OrigApprop=0,0,(H13/$J$13)*OrigApprop)</f>
        <v>#DIV/0!</v>
      </c>
      <c r="I15" s="223" t="e">
        <f>IF(G15=0,0,(I13/$J$13)*OrigApprop)</f>
        <v>#DIV/0!</v>
      </c>
      <c r="J15" s="223" t="e">
        <f>SUM(G15:I15)</f>
        <v>#DIV/0!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1</v>
      </c>
      <c r="G16" s="162" t="e">
        <f>G15-G13</f>
        <v>#DIV/0!</v>
      </c>
      <c r="H16" s="162" t="e">
        <f>H15-H13</f>
        <v>#DIV/0!</v>
      </c>
      <c r="I16" s="162" t="e">
        <f>I15-I13</f>
        <v>#DIV/0!</v>
      </c>
      <c r="J16" s="162" t="e">
        <f>J15-J13</f>
        <v>#DIV/0!</v>
      </c>
      <c r="K16" s="269"/>
      <c r="L16" s="56" t="e">
        <f>IF('AGAC|0348-00'!OrigApprop=0,"ERROR! Enter Original Appropriation amount in DU 3.00!","Calculated "&amp;IF('AGAC|0348-00'!AdjustedTotal&gt;0,"overfunding ","underfunding ")&amp;"is "&amp;TEXT('AGAC|0348-00'!AdjustedTotal/'AGAC|0348-00'!AppropTotal,"#.0%;(#.0% );0% ;")&amp;" of Original Appropriation")</f>
        <v>#DIV/0!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1</v>
      </c>
      <c r="G43" s="206" t="e">
        <f>ROUND(G51-G41,-2)</f>
        <v>#DIV/0!</v>
      </c>
      <c r="H43" s="159" t="e">
        <f>ROUND(H51-H41,-2)</f>
        <v>#DIV/0!</v>
      </c>
      <c r="I43" s="159" t="e">
        <f>ROUND(I51-I41,-2)</f>
        <v>#DIV/0!</v>
      </c>
      <c r="J43" s="159" t="e">
        <f>SUM(G43:I43)</f>
        <v>#DIV/0!</v>
      </c>
      <c r="K43" s="413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1</v>
      </c>
      <c r="G44" s="206" t="e">
        <f>ROUND(G60-G41,-2)</f>
        <v>#DIV/0!</v>
      </c>
      <c r="H44" s="159" t="e">
        <f>ROUND(H60-H41,-2)</f>
        <v>#DIV/0!</v>
      </c>
      <c r="I44" s="159" t="e">
        <f>ROUND(I60-I41,-2)</f>
        <v>#DIV/0!</v>
      </c>
      <c r="J44" s="159" t="e">
        <f>SUM(G44:I44)</f>
        <v>#DIV/0!</v>
      </c>
      <c r="K44" s="413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1</v>
      </c>
      <c r="G45" s="206" t="e">
        <f>ROUND(G67-G41-G63,-2)</f>
        <v>#DIV/0!</v>
      </c>
      <c r="H45" s="206" t="e">
        <f>ROUND(H67-H41-H63,-2)</f>
        <v>#DIV/0!</v>
      </c>
      <c r="I45" s="206" t="e">
        <f>ROUND(I67-I41-I63,-2)</f>
        <v>#DIV/0!</v>
      </c>
      <c r="J45" s="159" t="e">
        <f>SUM(G45:I45)</f>
        <v>#DIV/0!</v>
      </c>
      <c r="K45" s="413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e">
        <f>IF(OR(J45&lt;0,F45&lt;0),"You may not have sufficient funding or authorized FTP, and may need to make additional adjustments to finalize this form.  Please contact both your DFM and LSO analysts.","")</f>
        <v>#DIV/0!</v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391700</v>
      </c>
      <c r="F51" s="272">
        <f>AppropFTP</f>
        <v>1</v>
      </c>
      <c r="G51" s="274" t="e">
        <f>IF(E51=0,0,(G41/$J$41)*$E$51)</f>
        <v>#DIV/0!</v>
      </c>
      <c r="H51" s="274" t="e">
        <f>IF(E51=0,0,(H41/$J$41)*$E$51)</f>
        <v>#DIV/0!</v>
      </c>
      <c r="I51" s="275" t="e">
        <f>IF(E51=0,0,(I41/$J$41)*$E$51)</f>
        <v>#DIV/0!</v>
      </c>
      <c r="J51" s="90" t="e">
        <f>SUM(G51:I51)</f>
        <v>#DIV/0!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1</v>
      </c>
      <c r="G52" s="79" t="e">
        <f>ROUND(G51,-2)</f>
        <v>#DIV/0!</v>
      </c>
      <c r="H52" s="79" t="e">
        <f>ROUND(H51,-2)</f>
        <v>#DIV/0!</v>
      </c>
      <c r="I52" s="266" t="e">
        <f>ROUND(I51,-2)</f>
        <v>#DIV/0!</v>
      </c>
      <c r="J52" s="80" t="e">
        <f>ROUND(J51,-2)</f>
        <v>#DIV/0!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</v>
      </c>
      <c r="G56" s="80" t="e">
        <f>SUM(G52:G55)</f>
        <v>#DIV/0!</v>
      </c>
      <c r="H56" s="80" t="e">
        <f>SUM(H52:H55)</f>
        <v>#DIV/0!</v>
      </c>
      <c r="I56" s="260" t="e">
        <f>SUM(I52:I55)</f>
        <v>#DIV/0!</v>
      </c>
      <c r="J56" s="80" t="e">
        <f>SUM(J52:J55)</f>
        <v>#DIV/0!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</v>
      </c>
      <c r="G60" s="80" t="e">
        <f>SUM(G56:G59)</f>
        <v>#DIV/0!</v>
      </c>
      <c r="H60" s="80" t="e">
        <f>SUM(H56:H59)</f>
        <v>#DIV/0!</v>
      </c>
      <c r="I60" s="260" t="e">
        <f>SUM(I56:I59)</f>
        <v>#DIV/0!</v>
      </c>
      <c r="J60" s="80" t="e">
        <f>SUM(J56:J59)</f>
        <v>#DIV/0!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</v>
      </c>
      <c r="G67" s="80" t="e">
        <f>SUM(G60:G64)</f>
        <v>#DIV/0!</v>
      </c>
      <c r="H67" s="80" t="e">
        <f>SUM(H60:H64)</f>
        <v>#DIV/0!</v>
      </c>
      <c r="I67" s="80" t="e">
        <f>SUM(I60:I64)</f>
        <v>#DIV/0!</v>
      </c>
      <c r="J67" s="80" t="e">
        <f>SUM(J60:J64)</f>
        <v>#DIV/0!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 t="e">
        <f>IF(DUNine=0,0,ROUND(SUM(L41:L65),-2))</f>
        <v>#DIV/0!</v>
      </c>
      <c r="I68" s="113"/>
      <c r="J68" s="287" t="e">
        <f>SUM(G68:I68)</f>
        <v>#DIV/0!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 t="e">
        <f>IF(DUNine=0,0,ROUND(SUM(M41:M64),-2))</f>
        <v>#DIV/0!</v>
      </c>
      <c r="J69" s="287" t="e">
        <f>SUM(G69:I69)</f>
        <v>#DIV/0!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 t="e">
        <f>IF(DUNine=0,0,IF(DUNine&lt;0,0,ROUND(AdjPermSalary*CECPerm,-2)))</f>
        <v>#DIV/0!</v>
      </c>
      <c r="H72" s="287"/>
      <c r="I72" s="287" t="e">
        <f>ROUND(($G72*PermVBBY+$G72*Retire1BY),-2)</f>
        <v>#DIV/0!</v>
      </c>
      <c r="J72" s="113" t="e">
        <f>SUM(G72:I72)</f>
        <v>#DIV/0!</v>
      </c>
      <c r="K72" s="296"/>
      <c r="L72" s="298"/>
      <c r="M72" s="350" t="e">
        <f>IF(DUNine=0,0,IF(((#REF!-G39-G40)*E72)&lt;0,0,ROUND(((#REF!-G39-G40)*E72),-2)))</f>
        <v>#DIV/0!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#DIV/0!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 t="e">
        <f>IF(DUNine=0,0,IF(DUNine&lt;0,0,ROUND(AdjGroupSalary*CECGroup,-2)))</f>
        <v>#DIV/0!</v>
      </c>
      <c r="H73" s="287"/>
      <c r="I73" s="287" t="e">
        <f>ROUND(($G73*GroupVBBY),-2)</f>
        <v>#DIV/0!</v>
      </c>
      <c r="J73" s="113" t="e">
        <f t="shared" si="11"/>
        <v>#DIV/0!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</v>
      </c>
      <c r="G75" s="80" t="e">
        <f>SUM(G67:G74)</f>
        <v>#DIV/0!</v>
      </c>
      <c r="H75" s="80" t="e">
        <f>SUM(H67:H74)</f>
        <v>#DIV/0!</v>
      </c>
      <c r="I75" s="80" t="e">
        <f>SUM(I67:I74)</f>
        <v>#DIV/0!</v>
      </c>
      <c r="J75" s="80" t="e">
        <f>SUM(J67:K74)</f>
        <v>#DIV/0!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</v>
      </c>
      <c r="G80" s="80" t="e">
        <f>SUM(G75:G79)</f>
        <v>#DIV/0!</v>
      </c>
      <c r="H80" s="80" t="e">
        <f>SUM(H75:H79)</f>
        <v>#DIV/0!</v>
      </c>
      <c r="I80" s="80" t="e">
        <f>SUM(I75:I79)</f>
        <v>#DIV/0!</v>
      </c>
      <c r="J80" s="80" t="e">
        <f>SUM(J75:J79)</f>
        <v>#DIV/0!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151" priority="5">
      <formula>$J$44&lt;0</formula>
    </cfRule>
  </conditionalFormatting>
  <conditionalFormatting sqref="K43">
    <cfRule type="expression" dxfId="150" priority="4">
      <formula>$J$43&lt;0</formula>
    </cfRule>
  </conditionalFormatting>
  <conditionalFormatting sqref="L16">
    <cfRule type="expression" dxfId="149" priority="3">
      <formula>$J$16&lt;0</formula>
    </cfRule>
  </conditionalFormatting>
  <conditionalFormatting sqref="K45">
    <cfRule type="expression" dxfId="148" priority="2">
      <formula>$J$44&lt;0</formula>
    </cfRule>
  </conditionalFormatting>
  <conditionalFormatting sqref="K43:N45">
    <cfRule type="containsText" dxfId="14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AA305FF-BB46-4D4D-8A9F-81D2917BDEC4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3619A-7F74-4021-B039-29D9D4155D48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1444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1495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762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1442</v>
      </c>
      <c r="J5" s="404"/>
      <c r="K5" s="404"/>
      <c r="L5" s="403"/>
      <c r="M5" s="352" t="s">
        <v>115</v>
      </c>
      <c r="N5" s="32" t="s">
        <v>1443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"&amp;'AGAD|0001-00'!FiscalYear-1&amp;" SALARY"</f>
        <v>FY 2022 SALARY</v>
      </c>
      <c r="H8" s="50" t="str">
        <f>"FY "&amp;'AGAD|0001-00'!FiscalYear-1&amp;" HEALTH BENEFITS"</f>
        <v>FY 2022 HEALTH BENEFITS</v>
      </c>
      <c r="I8" s="50" t="str">
        <f>"FY "&amp;'AGAD|0001-00'!FiscalYear-1&amp;" VAR BENEFITS"</f>
        <v>FY 2022 VAR BENEFITS</v>
      </c>
      <c r="J8" s="50" t="str">
        <f>"FY "&amp;'AGAD|0001-00'!FiscalYear-1&amp;" TOTAL"</f>
        <v>FY 2022 TOTAL</v>
      </c>
      <c r="K8" s="50" t="str">
        <f>"FY "&amp;'AGAD|0001-00'!FiscalYear&amp;" SALARY CHANGE"</f>
        <v>FY 2023 SALARY CHANGE</v>
      </c>
      <c r="L8" s="50" t="str">
        <f>"FY "&amp;'AGAD|0001-00'!FiscalYear&amp;" CHG HEALTH BENEFITS"</f>
        <v>FY 2023 CHG HEALTH BENEFITS</v>
      </c>
      <c r="M8" s="50" t="str">
        <f>"FY "&amp;'AGAD|0001-00'!FiscalYear&amp;"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[0]!AGAD000100col_INC_FTI</f>
        <v>18.425000000000001</v>
      </c>
      <c r="G10" s="218">
        <f>[0]!AGAD000100col_FTI_SALARY_PERM</f>
        <v>972102.14</v>
      </c>
      <c r="H10" s="218">
        <f>[0]!AGAD000100col_HEALTH_PERM</f>
        <v>216107.5</v>
      </c>
      <c r="I10" s="218">
        <f>[0]!AGAD000100col_TOT_VB_PERM</f>
        <v>219729.32920779998</v>
      </c>
      <c r="J10" s="219">
        <f>SUM(G10:I10)</f>
        <v>1407938.9692078</v>
      </c>
      <c r="K10" s="219">
        <f>[0]!AGAD000100col_1_27TH_PP</f>
        <v>0</v>
      </c>
      <c r="L10" s="218">
        <f>[0]!AGAD000100col_HEALTH_PERM_CHG</f>
        <v>0</v>
      </c>
      <c r="M10" s="218">
        <f>[0]!AGAD000100col_TOT_VB_PERM_CHG</f>
        <v>-2527.4655639999978</v>
      </c>
      <c r="N10" s="218">
        <f>SUM(L10:M10)</f>
        <v>-2527.4655639999978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9700</v>
      </c>
      <c r="AB10" s="335">
        <f>ROUND(PermVarBen*CECPerm+(CECPerm*PermVarBenChg),-2)</f>
        <v>2200</v>
      </c>
      <c r="AC10" s="335">
        <f>SUM(AA10:AB10)</f>
        <v>11900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[0]!AGAD000100col_Group_Salary</f>
        <v>44407.59</v>
      </c>
      <c r="H11" s="218">
        <v>0</v>
      </c>
      <c r="I11" s="218">
        <f>[0]!AGAD000100col_Group_Ben</f>
        <v>18243.990000000002</v>
      </c>
      <c r="J11" s="219">
        <f>SUM(G11:I11)</f>
        <v>62651.58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400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[0]!AGAD000100col_TOTAL_ELECT_PCN_FTI</f>
        <v>0</v>
      </c>
      <c r="G12" s="218">
        <f>[0]!AGAD000100col_FTI_SALARY_ELECT</f>
        <v>0</v>
      </c>
      <c r="H12" s="218">
        <f>[0]!AGAD000100col_HEALTH_ELECT</f>
        <v>0</v>
      </c>
      <c r="I12" s="218">
        <f>[0]!AGAD000100col_TOT_VB_ELECT</f>
        <v>0</v>
      </c>
      <c r="J12" s="219">
        <f>SUM(G12:I12)</f>
        <v>0</v>
      </c>
      <c r="K12" s="268"/>
      <c r="L12" s="218">
        <f>[0]!AGAD000100col_HEALTH_ELECT_CHG</f>
        <v>0</v>
      </c>
      <c r="M12" s="218">
        <f>[0]!AGAD000100col_TOT_VB_ELECT_CHG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18.425000000000001</v>
      </c>
      <c r="G13" s="221">
        <f>SUM(G10:G12)</f>
        <v>1016509.73</v>
      </c>
      <c r="H13" s="221">
        <f>SUM(H10:H12)</f>
        <v>216107.5</v>
      </c>
      <c r="I13" s="221">
        <f>SUM(I10:I12)</f>
        <v>237973.31920779997</v>
      </c>
      <c r="J13" s="219">
        <f>SUM(G13:I13)</f>
        <v>1470590.5492078001</v>
      </c>
      <c r="K13" s="268"/>
      <c r="L13" s="219">
        <f>SUM(L10:L12)</f>
        <v>0</v>
      </c>
      <c r="M13" s="219">
        <f>SUM(M10:M12)</f>
        <v>-2527.4655639999978</v>
      </c>
      <c r="N13" s="219">
        <f>SUM(N10:N12)</f>
        <v>-2527.4655639999978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"&amp;'AGAD|0001-00'!FiscalYear-1</f>
        <v>FY 2022</v>
      </c>
      <c r="D15" s="158" t="s">
        <v>31</v>
      </c>
      <c r="E15" s="355">
        <v>1606500</v>
      </c>
      <c r="F15" s="55">
        <v>17.8</v>
      </c>
      <c r="G15" s="223">
        <f>IF(OrigApprop=0,0,(G13/$J$13)*OrigApprop)</f>
        <v>1110453.8119904969</v>
      </c>
      <c r="H15" s="223">
        <f>IF(OrigApprop=0,0,(H13/$J$13)*OrigApprop)</f>
        <v>236079.78368759571</v>
      </c>
      <c r="I15" s="223">
        <f>IF(G15=0,0,(I13/$J$13)*OrigApprop)</f>
        <v>259966.40432190729</v>
      </c>
      <c r="J15" s="223">
        <f>SUM(G15:I15)</f>
        <v>1606500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-0.625</v>
      </c>
      <c r="G16" s="162">
        <f>G15-G13</f>
        <v>93944.081990496954</v>
      </c>
      <c r="H16" s="162">
        <f>H15-H13</f>
        <v>19972.283687595715</v>
      </c>
      <c r="I16" s="162">
        <f>I15-I13</f>
        <v>21993.085114107322</v>
      </c>
      <c r="J16" s="162">
        <f>J15-J13</f>
        <v>135909.45079219993</v>
      </c>
      <c r="K16" s="269"/>
      <c r="L16" s="56" t="str">
        <f>IF('AGAD|0001-00'!OrigApprop=0,"ERROR! Enter Original Appropriation amount in DU 3.00!","Calculated "&amp;IF('AGAD|0001-00'!AdjustedTotal&gt;0,"overfunding ","underfunding ")&amp;"is "&amp;TEXT('AGAD|0001-00'!AdjustedTotal/'AGAD|0001-00'!AppropTotal,"#.0%;(#.0% );0% ;")&amp;" of Original Appropriation")</f>
        <v>Calculated overfunding is 8.5%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18.425000000000001</v>
      </c>
      <c r="G38" s="191">
        <f>SUMIF($E10:$E35,$E38,$G10:$G35)</f>
        <v>972102.14</v>
      </c>
      <c r="H38" s="192">
        <f>SUMIF($E10:$E35,$E38,$H10:$H35)</f>
        <v>216107.5</v>
      </c>
      <c r="I38" s="192">
        <f>SUMIF($E10:$E35,$E38,$I10:$I35)</f>
        <v>219729.32920779998</v>
      </c>
      <c r="J38" s="192">
        <f>SUM(G38:I38)</f>
        <v>1407938.9692078</v>
      </c>
      <c r="K38" s="166"/>
      <c r="L38" s="191">
        <f>SUMIF($E10:$E35,$E38,$L10:$L35)</f>
        <v>0</v>
      </c>
      <c r="M38" s="192">
        <f>SUMIF($E10:$E35,$E38,$M10:$M35)</f>
        <v>-2527.4655639999978</v>
      </c>
      <c r="N38" s="192">
        <f>SUM(L38:M38)</f>
        <v>-2527.4655639999978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9700</v>
      </c>
      <c r="AB38" s="338">
        <f>ROUND((AdjPermVB*CECPerm+AdjPermVBBY*CECPerm),-2)</f>
        <v>2200</v>
      </c>
      <c r="AC38" s="338">
        <f>SUM(AA38:AB38)</f>
        <v>11900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44407.59</v>
      </c>
      <c r="H39" s="152">
        <f>SUMIF($E10:$E35,$E39,$H10:$H35)</f>
        <v>0</v>
      </c>
      <c r="I39" s="152">
        <f>SUMIF($E10:$E35,$E39,$I10:$I35)</f>
        <v>18243.990000000002</v>
      </c>
      <c r="J39" s="152">
        <f>SUM(G39:I39)</f>
        <v>62651.58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400</v>
      </c>
      <c r="AB39" s="338">
        <f>ROUND(AdjGroupVB*CECGroup,-2)</f>
        <v>200</v>
      </c>
      <c r="AC39" s="338">
        <f>SUM(AA39:AB39)</f>
        <v>600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18.425000000000001</v>
      </c>
      <c r="G41" s="195">
        <f>SUM($G$38:$G$40)</f>
        <v>1016509.73</v>
      </c>
      <c r="H41" s="162">
        <f>SUM($H$38:$H$40)</f>
        <v>216107.5</v>
      </c>
      <c r="I41" s="162">
        <f>SUM($I$38:$I$40)</f>
        <v>237973.31920779997</v>
      </c>
      <c r="J41" s="162">
        <f>SUM($J$38:$J$40)</f>
        <v>1470590.5492078001</v>
      </c>
      <c r="K41" s="259"/>
      <c r="L41" s="195">
        <f>SUM($L$38:$L$40)</f>
        <v>0</v>
      </c>
      <c r="M41" s="162">
        <f>SUM($M$38:$M$40)</f>
        <v>-2527.4655639999978</v>
      </c>
      <c r="N41" s="162">
        <f>SUM(L41:M41)</f>
        <v>-2527.4655639999978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-0.63</v>
      </c>
      <c r="G43" s="206">
        <f>ROUND(G51-G41,-2)</f>
        <v>93900</v>
      </c>
      <c r="H43" s="159">
        <f>ROUND(H51-H41,-2)</f>
        <v>20000</v>
      </c>
      <c r="I43" s="159">
        <f>ROUND(I51-I41,-2)</f>
        <v>22000</v>
      </c>
      <c r="J43" s="159">
        <f>SUM(G43:I43)</f>
        <v>135900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overfunding is 8.5%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-0.63</v>
      </c>
      <c r="G44" s="206">
        <f>ROUND(G60-G41,-2)</f>
        <v>94000</v>
      </c>
      <c r="H44" s="159">
        <f>ROUND(H60-H41,-2)</f>
        <v>20000</v>
      </c>
      <c r="I44" s="159">
        <f>ROUND(I60-I41,-2)</f>
        <v>22000</v>
      </c>
      <c r="J44" s="159">
        <f>SUM(G44:I44)</f>
        <v>136000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overfunding is 8.5%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-0.63</v>
      </c>
      <c r="G45" s="206">
        <f>ROUND(G67-G41-G63,-2)</f>
        <v>94000</v>
      </c>
      <c r="H45" s="206">
        <f>ROUND(H67-H41-H63,-2)</f>
        <v>20000</v>
      </c>
      <c r="I45" s="206">
        <f>ROUND(I67-I41-I63,-2)</f>
        <v>22000</v>
      </c>
      <c r="J45" s="159">
        <f>SUM(G45:I45)</f>
        <v>136000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8.5%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200</v>
      </c>
      <c r="AC45" s="338">
        <f>SUM(AA45:AB45)</f>
        <v>200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1606500</v>
      </c>
      <c r="F51" s="272">
        <f>AppropFTP</f>
        <v>17.8</v>
      </c>
      <c r="G51" s="274">
        <f>IF(E51=0,0,(G41/$J$41)*$E$51)</f>
        <v>1110453.8119904969</v>
      </c>
      <c r="H51" s="274">
        <f>IF(E51=0,0,(H41/$J$41)*$E$51)</f>
        <v>236079.78368759571</v>
      </c>
      <c r="I51" s="275">
        <f>IF(E51=0,0,(I41/$J$41)*$E$51)</f>
        <v>259966.40432190729</v>
      </c>
      <c r="J51" s="90">
        <f>SUM(G51:I51)</f>
        <v>1606500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17.8</v>
      </c>
      <c r="G52" s="79">
        <f>ROUND(G51,-2)</f>
        <v>1110500</v>
      </c>
      <c r="H52" s="79">
        <f>ROUND(H51,-2)</f>
        <v>236100</v>
      </c>
      <c r="I52" s="266">
        <f>ROUND(I51,-2)</f>
        <v>260000</v>
      </c>
      <c r="J52" s="80">
        <f>ROUND(J51,-2)</f>
        <v>1606500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17.8</v>
      </c>
      <c r="G56" s="80">
        <f>SUM(G52:G55)</f>
        <v>1110500</v>
      </c>
      <c r="H56" s="80">
        <f>SUM(H52:H55)</f>
        <v>236100</v>
      </c>
      <c r="I56" s="260">
        <f>SUM(I52:I55)</f>
        <v>260000</v>
      </c>
      <c r="J56" s="80">
        <f>SUM(J52:J55)</f>
        <v>1606500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17.8</v>
      </c>
      <c r="G60" s="80">
        <f>SUM(G56:G59)</f>
        <v>1110500</v>
      </c>
      <c r="H60" s="80">
        <f>SUM(H56:H59)</f>
        <v>236100</v>
      </c>
      <c r="I60" s="260">
        <f>SUM(I56:I59)</f>
        <v>260000</v>
      </c>
      <c r="J60" s="80">
        <f>SUM(J56:J59)</f>
        <v>1606500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17.8</v>
      </c>
      <c r="G67" s="80">
        <f>SUM(G60:G64)</f>
        <v>1110500</v>
      </c>
      <c r="H67" s="80">
        <f>SUM(H60:H64)</f>
        <v>236100</v>
      </c>
      <c r="I67" s="80">
        <f>SUM(I60:I64)</f>
        <v>260000</v>
      </c>
      <c r="J67" s="80">
        <f>SUM(J60:J64)</f>
        <v>1606500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-2500</v>
      </c>
      <c r="J69" s="287">
        <f>SUM(G69:I69)</f>
        <v>-2500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9700</v>
      </c>
      <c r="H72" s="287"/>
      <c r="I72" s="287">
        <f>ROUND(($G72*PermVBBY+$G72*Retire1BY),-2)</f>
        <v>2200</v>
      </c>
      <c r="J72" s="113">
        <f>SUM(G72:I72)</f>
        <v>11900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400</v>
      </c>
      <c r="H73" s="287"/>
      <c r="I73" s="287">
        <f>ROUND(($G73*GroupVBBY),-2)</f>
        <v>0</v>
      </c>
      <c r="J73" s="113">
        <f t="shared" si="11"/>
        <v>400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17.8</v>
      </c>
      <c r="G75" s="80">
        <f>SUM(G67:G74)</f>
        <v>1120600</v>
      </c>
      <c r="H75" s="80">
        <f>SUM(H67:H74)</f>
        <v>236100</v>
      </c>
      <c r="I75" s="80">
        <f>SUM(I67:I74)</f>
        <v>259700</v>
      </c>
      <c r="J75" s="80">
        <f>SUM(J67:K74)</f>
        <v>1616300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17.8</v>
      </c>
      <c r="G80" s="80">
        <f>SUM(G75:G79)</f>
        <v>1120600</v>
      </c>
      <c r="H80" s="80">
        <f>SUM(H75:H79)</f>
        <v>236100</v>
      </c>
      <c r="I80" s="80">
        <f>SUM(I75:I79)</f>
        <v>259700</v>
      </c>
      <c r="J80" s="80">
        <f>SUM(J75:J79)</f>
        <v>1616300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146" priority="5">
      <formula>$J$44&lt;0</formula>
    </cfRule>
  </conditionalFormatting>
  <conditionalFormatting sqref="K43">
    <cfRule type="expression" dxfId="145" priority="4">
      <formula>$J$43&lt;0</formula>
    </cfRule>
  </conditionalFormatting>
  <conditionalFormatting sqref="L16">
    <cfRule type="expression" dxfId="144" priority="3">
      <formula>$J$16&lt;0</formula>
    </cfRule>
  </conditionalFormatting>
  <conditionalFormatting sqref="K45">
    <cfRule type="expression" dxfId="143" priority="2">
      <formula>$J$44&lt;0</formula>
    </cfRule>
  </conditionalFormatting>
  <conditionalFormatting sqref="K43:N45">
    <cfRule type="containsText" dxfId="14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3247E7E-FE81-423E-BE52-11D2C47508FB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5A3FA-5DAC-4DFD-8F08-F5846D928EC9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1505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1495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762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1503</v>
      </c>
      <c r="J5" s="404"/>
      <c r="K5" s="404"/>
      <c r="L5" s="403"/>
      <c r="M5" s="352" t="s">
        <v>115</v>
      </c>
      <c r="N5" s="32" t="s">
        <v>1504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"&amp;'AGAD|0330-00'!FiscalYear-1&amp;" SALARY"</f>
        <v>FY 2022 SALARY</v>
      </c>
      <c r="H8" s="50" t="str">
        <f>"FY "&amp;'AGAD|0330-00'!FiscalYear-1&amp;" HEALTH BENEFITS"</f>
        <v>FY 2022 HEALTH BENEFITS</v>
      </c>
      <c r="I8" s="50" t="str">
        <f>"FY "&amp;'AGAD|0330-00'!FiscalYear-1&amp;" VAR BENEFITS"</f>
        <v>FY 2022 VAR BENEFITS</v>
      </c>
      <c r="J8" s="50" t="str">
        <f>"FY "&amp;'AGAD|0330-00'!FiscalYear-1&amp;" TOTAL"</f>
        <v>FY 2022 TOTAL</v>
      </c>
      <c r="K8" s="50" t="str">
        <f>"FY "&amp;'AGAD|0330-00'!FiscalYear&amp;" SALARY CHANGE"</f>
        <v>FY 2023 SALARY CHANGE</v>
      </c>
      <c r="L8" s="50" t="str">
        <f>"FY "&amp;'AGAD|0330-00'!FiscalYear&amp;" CHG HEALTH BENEFITS"</f>
        <v>FY 2023 CHG HEALTH BENEFITS</v>
      </c>
      <c r="M8" s="50" t="str">
        <f>"FY "&amp;'AGAD|0330-00'!FiscalYear&amp;"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[0]!AGAD033000col_INC_FTI</f>
        <v>8.8899999999999988</v>
      </c>
      <c r="G10" s="218">
        <f>[0]!AGAD033000col_FTI_SALARY_PERM</f>
        <v>414706.65</v>
      </c>
      <c r="H10" s="218">
        <f>[0]!AGAD033000col_HEALTH_PERM</f>
        <v>103568.5</v>
      </c>
      <c r="I10" s="218">
        <f>[0]!AGAD033000col_TOT_VB_PERM</f>
        <v>93877.144360500009</v>
      </c>
      <c r="J10" s="219">
        <f>SUM(G10:I10)</f>
        <v>612152.29436050006</v>
      </c>
      <c r="K10" s="219">
        <f>[0]!AGAD033000col_1_27TH_PP</f>
        <v>0</v>
      </c>
      <c r="L10" s="218">
        <f>[0]!AGAD033000col_HEALTH_PERM_CHG</f>
        <v>0</v>
      </c>
      <c r="M10" s="218">
        <f>[0]!AGAD033000col_TOT_VB_PERM_CHG</f>
        <v>-1078.2372899999991</v>
      </c>
      <c r="N10" s="218">
        <f>SUM(L10:M10)</f>
        <v>-1078.2372899999991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4100</v>
      </c>
      <c r="AB10" s="335">
        <f>ROUND(PermVarBen*CECPerm+(CECPerm*PermVarBenChg),-2)</f>
        <v>900</v>
      </c>
      <c r="AC10" s="335">
        <f>SUM(AA10:AB10)</f>
        <v>5000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[0]!AGAD033000col_Group_Salary</f>
        <v>244989.6</v>
      </c>
      <c r="H11" s="218">
        <v>0</v>
      </c>
      <c r="I11" s="218">
        <f>[0]!AGAD033000col_Group_Ben</f>
        <v>44015.619999999995</v>
      </c>
      <c r="J11" s="219">
        <f>SUM(G11:I11)</f>
        <v>289005.21999999997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2400</v>
      </c>
      <c r="AB11" s="335">
        <f>ROUND((GroupSalary*GroupVBBY)*CECGroup,-2)</f>
        <v>200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[0]!AGAD033000col_TOTAL_ELECT_PCN_FTI</f>
        <v>0</v>
      </c>
      <c r="G12" s="218">
        <f>[0]!AGAD033000col_FTI_SALARY_ELECT</f>
        <v>0</v>
      </c>
      <c r="H12" s="218">
        <f>[0]!AGAD033000col_HEALTH_ELECT</f>
        <v>0</v>
      </c>
      <c r="I12" s="218">
        <f>[0]!AGAD033000col_TOT_VB_ELECT</f>
        <v>0</v>
      </c>
      <c r="J12" s="219">
        <f>SUM(G12:I12)</f>
        <v>0</v>
      </c>
      <c r="K12" s="268"/>
      <c r="L12" s="218">
        <f>[0]!AGAD033000col_HEALTH_ELECT_CHG</f>
        <v>0</v>
      </c>
      <c r="M12" s="218">
        <f>[0]!AGAD033000col_TOT_VB_ELECT_CHG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8.8899999999999988</v>
      </c>
      <c r="G13" s="221">
        <f>SUM(G10:G12)</f>
        <v>659696.25</v>
      </c>
      <c r="H13" s="221">
        <f>SUM(H10:H12)</f>
        <v>103568.5</v>
      </c>
      <c r="I13" s="221">
        <f>SUM(I10:I12)</f>
        <v>137892.7643605</v>
      </c>
      <c r="J13" s="219">
        <f>SUM(G13:I13)</f>
        <v>901157.51436050003</v>
      </c>
      <c r="K13" s="268"/>
      <c r="L13" s="219">
        <f>SUM(L10:L12)</f>
        <v>0</v>
      </c>
      <c r="M13" s="219">
        <f>SUM(M10:M12)</f>
        <v>-1078.2372899999991</v>
      </c>
      <c r="N13" s="219">
        <f>SUM(N10:N12)</f>
        <v>-1078.2372899999991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"&amp;'AGAD|0330-00'!FiscalYear-1</f>
        <v>FY 2022</v>
      </c>
      <c r="D15" s="158" t="s">
        <v>31</v>
      </c>
      <c r="E15" s="355">
        <v>1315400</v>
      </c>
      <c r="F15" s="55">
        <v>12.79</v>
      </c>
      <c r="G15" s="223">
        <f>IF(OrigApprop=0,0,(G13/$J$13)*OrigApprop)</f>
        <v>962944.25050187018</v>
      </c>
      <c r="H15" s="223">
        <f>IF(OrigApprop=0,0,(H13/$J$13)*OrigApprop)</f>
        <v>151176.68413016284</v>
      </c>
      <c r="I15" s="223">
        <f>IF(G15=0,0,(I13/$J$13)*OrigApprop)</f>
        <v>201279.06536796695</v>
      </c>
      <c r="J15" s="223">
        <f>SUM(G15:I15)</f>
        <v>1315400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3.9000000000000004</v>
      </c>
      <c r="G16" s="162">
        <f>G15-G13</f>
        <v>303248.00050187018</v>
      </c>
      <c r="H16" s="162">
        <f>H15-H13</f>
        <v>47608.184130162845</v>
      </c>
      <c r="I16" s="162">
        <f>I15-I13</f>
        <v>63386.301007466944</v>
      </c>
      <c r="J16" s="162">
        <f>J15-J13</f>
        <v>414242.48563949997</v>
      </c>
      <c r="K16" s="269"/>
      <c r="L16" s="56" t="str">
        <f>IF('AGAD|0330-00'!OrigApprop=0,"ERROR! Enter Original Appropriation amount in DU 3.00!","Calculated "&amp;IF('AGAD|0330-00'!AdjustedTotal&gt;0,"overfunding ","underfunding ")&amp;"is "&amp;TEXT('AGAD|0330-00'!AdjustedTotal/'AGAD|0330-00'!AppropTotal,"#.0%;(#.0% );0% ;")&amp;" of Original Appropriation")</f>
        <v>Calculated overfunding is 31.5%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8.8899999999999988</v>
      </c>
      <c r="G38" s="191">
        <f>SUMIF($E10:$E35,$E38,$G10:$G35)</f>
        <v>414706.65</v>
      </c>
      <c r="H38" s="192">
        <f>SUMIF($E10:$E35,$E38,$H10:$H35)</f>
        <v>103568.5</v>
      </c>
      <c r="I38" s="192">
        <f>SUMIF($E10:$E35,$E38,$I10:$I35)</f>
        <v>93877.144360500009</v>
      </c>
      <c r="J38" s="192">
        <f>SUM(G38:I38)</f>
        <v>612152.29436050006</v>
      </c>
      <c r="K38" s="166"/>
      <c r="L38" s="191">
        <f>SUMIF($E10:$E35,$E38,$L10:$L35)</f>
        <v>0</v>
      </c>
      <c r="M38" s="192">
        <f>SUMIF($E10:$E35,$E38,$M10:$M35)</f>
        <v>-1078.2372899999991</v>
      </c>
      <c r="N38" s="192">
        <f>SUM(L38:M38)</f>
        <v>-1078.2372899999991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4100</v>
      </c>
      <c r="AB38" s="338">
        <f>ROUND((AdjPermVB*CECPerm+AdjPermVBBY*CECPerm),-2)</f>
        <v>900</v>
      </c>
      <c r="AC38" s="338">
        <f>SUM(AA38:AB38)</f>
        <v>5000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244989.6</v>
      </c>
      <c r="H39" s="152">
        <f>SUMIF($E10:$E35,$E39,$H10:$H35)</f>
        <v>0</v>
      </c>
      <c r="I39" s="152">
        <f>SUMIF($E10:$E35,$E39,$I10:$I35)</f>
        <v>44015.619999999995</v>
      </c>
      <c r="J39" s="152">
        <f>SUM(G39:I39)</f>
        <v>289005.21999999997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2400</v>
      </c>
      <c r="AB39" s="338">
        <f>ROUND(AdjGroupVB*CECGroup,-2)</f>
        <v>400</v>
      </c>
      <c r="AC39" s="338">
        <f>SUM(AA39:AB39)</f>
        <v>2800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8.8899999999999988</v>
      </c>
      <c r="G41" s="195">
        <f>SUM($G$38:$G$40)</f>
        <v>659696.25</v>
      </c>
      <c r="H41" s="162">
        <f>SUM($H$38:$H$40)</f>
        <v>103568.5</v>
      </c>
      <c r="I41" s="162">
        <f>SUM($I$38:$I$40)</f>
        <v>137892.7643605</v>
      </c>
      <c r="J41" s="162">
        <f>SUM($J$38:$J$40)</f>
        <v>901157.51436050003</v>
      </c>
      <c r="K41" s="259"/>
      <c r="L41" s="195">
        <f>SUM($L$38:$L$40)</f>
        <v>0</v>
      </c>
      <c r="M41" s="162">
        <f>SUM($M$38:$M$40)</f>
        <v>-1078.2372899999991</v>
      </c>
      <c r="N41" s="162">
        <f>SUM(L41:M41)</f>
        <v>-1078.2372899999991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3.9</v>
      </c>
      <c r="G43" s="206">
        <f>ROUND(G51-G41,-2)</f>
        <v>303200</v>
      </c>
      <c r="H43" s="159">
        <f>ROUND(H51-H41,-2)</f>
        <v>47600</v>
      </c>
      <c r="I43" s="159">
        <f>ROUND(I51-I41,-2)</f>
        <v>63400</v>
      </c>
      <c r="J43" s="159">
        <f>SUM(G43:I43)</f>
        <v>414200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overfunding is 31.5%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3.9</v>
      </c>
      <c r="G44" s="206">
        <f>ROUND(G60-G41,-2)</f>
        <v>303200</v>
      </c>
      <c r="H44" s="159">
        <f>ROUND(H60-H41,-2)</f>
        <v>47600</v>
      </c>
      <c r="I44" s="159">
        <f>ROUND(I60-I41,-2)</f>
        <v>63400</v>
      </c>
      <c r="J44" s="159">
        <f>SUM(G44:I44)</f>
        <v>414200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overfunding is 31.5%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3.9</v>
      </c>
      <c r="G45" s="206">
        <f>ROUND(G67-G41-G63,-2)</f>
        <v>303200</v>
      </c>
      <c r="H45" s="206">
        <f>ROUND(H67-H41-H63,-2)</f>
        <v>47600</v>
      </c>
      <c r="I45" s="206">
        <f>ROUND(I67-I41-I63,-2)</f>
        <v>63400</v>
      </c>
      <c r="J45" s="159">
        <f>SUM(G45:I45)</f>
        <v>414200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31.5%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200</v>
      </c>
      <c r="AC45" s="338">
        <f>SUM(AA45:AB45)</f>
        <v>200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/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1315400</v>
      </c>
      <c r="F51" s="272">
        <f>AppropFTP</f>
        <v>12.79</v>
      </c>
      <c r="G51" s="274">
        <f>IF(E51=0,0,(G41/$J$41)*$E$51)</f>
        <v>962944.25050187018</v>
      </c>
      <c r="H51" s="274">
        <f>IF(E51=0,0,(H41/$J$41)*$E$51)</f>
        <v>151176.68413016284</v>
      </c>
      <c r="I51" s="275">
        <f>IF(E51=0,0,(I41/$J$41)*$E$51)</f>
        <v>201279.06536796695</v>
      </c>
      <c r="J51" s="90">
        <f>SUM(G51:I51)</f>
        <v>1315400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12.79</v>
      </c>
      <c r="G52" s="79">
        <f>ROUND(G51,-2)</f>
        <v>962900</v>
      </c>
      <c r="H52" s="79">
        <f>ROUND(H51,-2)</f>
        <v>151200</v>
      </c>
      <c r="I52" s="266">
        <f>ROUND(I51,-2)</f>
        <v>201300</v>
      </c>
      <c r="J52" s="80">
        <f>ROUND(J51,-2)</f>
        <v>1315400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12.79</v>
      </c>
      <c r="G56" s="80">
        <f>SUM(G52:G55)</f>
        <v>962900</v>
      </c>
      <c r="H56" s="80">
        <f>SUM(H52:H55)</f>
        <v>151200</v>
      </c>
      <c r="I56" s="260">
        <f>SUM(I52:I55)</f>
        <v>201300</v>
      </c>
      <c r="J56" s="80">
        <f>SUM(J52:J55)</f>
        <v>1315400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12.79</v>
      </c>
      <c r="G60" s="80">
        <f>SUM(G56:G59)</f>
        <v>962900</v>
      </c>
      <c r="H60" s="80">
        <f>SUM(H56:H59)</f>
        <v>151200</v>
      </c>
      <c r="I60" s="260">
        <f>SUM(I56:I59)</f>
        <v>201300</v>
      </c>
      <c r="J60" s="80">
        <f>SUM(J56:J59)</f>
        <v>1315400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12.79</v>
      </c>
      <c r="G67" s="80">
        <f>SUM(G60:G64)</f>
        <v>962900</v>
      </c>
      <c r="H67" s="80">
        <f>SUM(H60:H64)</f>
        <v>151200</v>
      </c>
      <c r="I67" s="80">
        <f>SUM(I60:I64)</f>
        <v>201300</v>
      </c>
      <c r="J67" s="80">
        <f>SUM(J60:J64)</f>
        <v>1315400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-1100</v>
      </c>
      <c r="J69" s="287">
        <f>SUM(G69:I69)</f>
        <v>-1100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4100</v>
      </c>
      <c r="H72" s="287"/>
      <c r="I72" s="287">
        <f>ROUND(($G72*PermVBBY+$G72*Retire1BY),-2)</f>
        <v>900</v>
      </c>
      <c r="J72" s="113">
        <f>SUM(G72:I72)</f>
        <v>5000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2400</v>
      </c>
      <c r="H73" s="287"/>
      <c r="I73" s="287">
        <f>ROUND(($G73*GroupVBBY),-2)</f>
        <v>200</v>
      </c>
      <c r="J73" s="113">
        <f t="shared" si="11"/>
        <v>2600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12.79</v>
      </c>
      <c r="G75" s="80">
        <f>SUM(G67:G74)</f>
        <v>969400</v>
      </c>
      <c r="H75" s="80">
        <f>SUM(H67:H74)</f>
        <v>151200</v>
      </c>
      <c r="I75" s="80">
        <f>SUM(I67:I74)</f>
        <v>201300</v>
      </c>
      <c r="J75" s="80">
        <f>SUM(J67:K74)</f>
        <v>1321900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12.79</v>
      </c>
      <c r="G80" s="80">
        <f>SUM(G75:G79)</f>
        <v>969400</v>
      </c>
      <c r="H80" s="80">
        <f>SUM(H75:H79)</f>
        <v>151200</v>
      </c>
      <c r="I80" s="80">
        <f>SUM(I75:I79)</f>
        <v>201300</v>
      </c>
      <c r="J80" s="80">
        <f>SUM(J75:J79)</f>
        <v>1321900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141" priority="5">
      <formula>$J$44&lt;0</formula>
    </cfRule>
  </conditionalFormatting>
  <conditionalFormatting sqref="K43">
    <cfRule type="expression" dxfId="140" priority="4">
      <formula>$J$43&lt;0</formula>
    </cfRule>
  </conditionalFormatting>
  <conditionalFormatting sqref="L16">
    <cfRule type="expression" dxfId="139" priority="3">
      <formula>$J$16&lt;0</formula>
    </cfRule>
  </conditionalFormatting>
  <conditionalFormatting sqref="K45">
    <cfRule type="expression" dxfId="138" priority="2">
      <formula>$J$44&lt;0</formula>
    </cfRule>
  </conditionalFormatting>
  <conditionalFormatting sqref="K43:N45">
    <cfRule type="containsText" dxfId="13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C0D365C-7AFB-4BA7-9B6A-512F76D03EC0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7FBC2-6A32-49DB-B626-B6BD8C580916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1510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1495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762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1508</v>
      </c>
      <c r="J5" s="404"/>
      <c r="K5" s="404"/>
      <c r="L5" s="403"/>
      <c r="M5" s="352" t="s">
        <v>115</v>
      </c>
      <c r="N5" s="32" t="s">
        <v>1509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"&amp;'AGAD|0330-13'!FiscalYear-1&amp;" SALARY"</f>
        <v>FY 2022 SALARY</v>
      </c>
      <c r="H8" s="50" t="str">
        <f>"FY "&amp;'AGAD|0330-13'!FiscalYear-1&amp;" HEALTH BENEFITS"</f>
        <v>FY 2022 HEALTH BENEFITS</v>
      </c>
      <c r="I8" s="50" t="str">
        <f>"FY "&amp;'AGAD|0330-13'!FiscalYear-1&amp;" VAR BENEFITS"</f>
        <v>FY 2022 VAR BENEFITS</v>
      </c>
      <c r="J8" s="50" t="str">
        <f>"FY "&amp;'AGAD|0330-13'!FiscalYear-1&amp;" TOTAL"</f>
        <v>FY 2022 TOTAL</v>
      </c>
      <c r="K8" s="50" t="str">
        <f>"FY "&amp;'AGAD|0330-13'!FiscalYear&amp;" SALARY CHANGE"</f>
        <v>FY 2023 SALARY CHANGE</v>
      </c>
      <c r="L8" s="50" t="str">
        <f>"FY "&amp;'AGAD|0330-13'!FiscalYear&amp;" CHG HEALTH BENEFITS"</f>
        <v>FY 2023 CHG HEALTH BENEFITS</v>
      </c>
      <c r="M8" s="50" t="str">
        <f>"FY "&amp;'AGAD|0330-13'!FiscalYear&amp;"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[0]!AGAD033013col_INC_FTI</f>
        <v>3.34</v>
      </c>
      <c r="G10" s="218">
        <f>[0]!AGAD033013col_FTI_SALARY_PERM</f>
        <v>214840.28</v>
      </c>
      <c r="H10" s="218">
        <f>[0]!AGAD033013col_HEALTH_PERM</f>
        <v>38911</v>
      </c>
      <c r="I10" s="218">
        <f>[0]!AGAD033013col_TOT_VB_PERM</f>
        <v>48633.394183599994</v>
      </c>
      <c r="J10" s="219">
        <f>SUM(G10:I10)</f>
        <v>302384.6741836</v>
      </c>
      <c r="K10" s="219">
        <f>[0]!AGAD033013col_1_27TH_PP</f>
        <v>0</v>
      </c>
      <c r="L10" s="218">
        <f>[0]!AGAD033013col_HEALTH_PERM_CHG</f>
        <v>0</v>
      </c>
      <c r="M10" s="218">
        <f>[0]!AGAD033013col_TOT_VB_PERM_CHG</f>
        <v>-558.58472799999959</v>
      </c>
      <c r="N10" s="218">
        <f>SUM(L10:M10)</f>
        <v>-558.58472799999959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2100</v>
      </c>
      <c r="AB10" s="335">
        <f>ROUND(PermVarBen*CECPerm+(CECPerm*PermVarBenChg),-2)</f>
        <v>500</v>
      </c>
      <c r="AC10" s="335">
        <f>SUM(AA10:AB10)</f>
        <v>2600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[0]!AGAD033013col_Group_Salary</f>
        <v>9786.2000000000007</v>
      </c>
      <c r="H11" s="218">
        <v>0</v>
      </c>
      <c r="I11" s="218">
        <f>[0]!AGAD033013col_Group_Ben</f>
        <v>1849.98</v>
      </c>
      <c r="J11" s="219">
        <f>SUM(G11:I11)</f>
        <v>11636.18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100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[0]!AGAD033013col_TOTAL_ELECT_PCN_FTI</f>
        <v>0</v>
      </c>
      <c r="G12" s="218">
        <f>[0]!AGAD033013col_FTI_SALARY_ELECT</f>
        <v>0</v>
      </c>
      <c r="H12" s="218">
        <f>[0]!AGAD033013col_HEALTH_ELECT</f>
        <v>0</v>
      </c>
      <c r="I12" s="218">
        <f>[0]!AGAD033013col_TOT_VB_ELECT</f>
        <v>0</v>
      </c>
      <c r="J12" s="219">
        <f>SUM(G12:I12)</f>
        <v>0</v>
      </c>
      <c r="K12" s="268"/>
      <c r="L12" s="218">
        <f>[0]!AGAD033013col_HEALTH_ELECT_CHG</f>
        <v>0</v>
      </c>
      <c r="M12" s="218">
        <f>[0]!AGAD033013col_TOT_VB_ELECT_CHG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3.34</v>
      </c>
      <c r="G13" s="221">
        <f>SUM(G10:G12)</f>
        <v>224626.48</v>
      </c>
      <c r="H13" s="221">
        <f>SUM(H10:H12)</f>
        <v>38911</v>
      </c>
      <c r="I13" s="221">
        <f>SUM(I10:I12)</f>
        <v>50483.374183599997</v>
      </c>
      <c r="J13" s="219">
        <f>SUM(G13:I13)</f>
        <v>314020.85418359999</v>
      </c>
      <c r="K13" s="268"/>
      <c r="L13" s="219">
        <f>SUM(L10:L12)</f>
        <v>0</v>
      </c>
      <c r="M13" s="219">
        <f>SUM(M10:M12)</f>
        <v>-558.58472799999959</v>
      </c>
      <c r="N13" s="219">
        <f>SUM(N10:N12)</f>
        <v>-558.58472799999959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"&amp;'AGAD|0330-13'!FiscalYear-1</f>
        <v>FY 2022</v>
      </c>
      <c r="D15" s="158" t="s">
        <v>31</v>
      </c>
      <c r="E15" s="355">
        <v>585200</v>
      </c>
      <c r="F15" s="55">
        <v>2.54</v>
      </c>
      <c r="G15" s="223">
        <f>IF(OrigApprop=0,0,(G13/$J$13)*OrigApprop)</f>
        <v>418607.28147419059</v>
      </c>
      <c r="H15" s="223">
        <f>IF(OrigApprop=0,0,(H13/$J$13)*OrigApprop)</f>
        <v>72513.391695592742</v>
      </c>
      <c r="I15" s="223">
        <f>IF(G15=0,0,(I13/$J$13)*OrigApprop)</f>
        <v>94079.326830216669</v>
      </c>
      <c r="J15" s="223">
        <f>SUM(G15:I15)</f>
        <v>585200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-0.79999999999999982</v>
      </c>
      <c r="G16" s="162">
        <f>G15-G13</f>
        <v>193980.80147419058</v>
      </c>
      <c r="H16" s="162">
        <f>H15-H13</f>
        <v>33602.391695592742</v>
      </c>
      <c r="I16" s="162">
        <f>I15-I13</f>
        <v>43595.952646616672</v>
      </c>
      <c r="J16" s="162">
        <f>J15-J13</f>
        <v>271179.14581640001</v>
      </c>
      <c r="K16" s="269"/>
      <c r="L16" s="56" t="str">
        <f>IF('AGAD|0330-13'!OrigApprop=0,"ERROR! Enter Original Appropriation amount in DU 3.00!","Calculated "&amp;IF('AGAD|0330-13'!AdjustedTotal&gt;0,"overfunding ","underfunding ")&amp;"is "&amp;TEXT('AGAD|0330-13'!AdjustedTotal/'AGAD|0330-13'!AppropTotal,"#.0%;(#.0% );0% ;")&amp;" of Original Appropriation")</f>
        <v>Calculated overfunding is 46.3%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3.34</v>
      </c>
      <c r="G38" s="191">
        <f>SUMIF($E10:$E35,$E38,$G10:$G35)</f>
        <v>214840.28</v>
      </c>
      <c r="H38" s="192">
        <f>SUMIF($E10:$E35,$E38,$H10:$H35)</f>
        <v>38911</v>
      </c>
      <c r="I38" s="192">
        <f>SUMIF($E10:$E35,$E38,$I10:$I35)</f>
        <v>48633.394183599994</v>
      </c>
      <c r="J38" s="192">
        <f>SUM(G38:I38)</f>
        <v>302384.6741836</v>
      </c>
      <c r="K38" s="166"/>
      <c r="L38" s="191">
        <f>SUMIF($E10:$E35,$E38,$L10:$L35)</f>
        <v>0</v>
      </c>
      <c r="M38" s="192">
        <f>SUMIF($E10:$E35,$E38,$M10:$M35)</f>
        <v>-558.58472799999959</v>
      </c>
      <c r="N38" s="192">
        <f>SUM(L38:M38)</f>
        <v>-558.58472799999959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2100</v>
      </c>
      <c r="AB38" s="338">
        <f>ROUND((AdjPermVB*CECPerm+AdjPermVBBY*CECPerm),-2)</f>
        <v>500</v>
      </c>
      <c r="AC38" s="338">
        <f>SUM(AA38:AB38)</f>
        <v>2600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9786.2000000000007</v>
      </c>
      <c r="H39" s="152">
        <f>SUMIF($E10:$E35,$E39,$H10:$H35)</f>
        <v>0</v>
      </c>
      <c r="I39" s="152">
        <f>SUMIF($E10:$E35,$E39,$I10:$I35)</f>
        <v>1849.98</v>
      </c>
      <c r="J39" s="152">
        <f>SUM(G39:I39)</f>
        <v>11636.18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100</v>
      </c>
      <c r="AB39" s="338">
        <f>ROUND(AdjGroupVB*CECGroup,-2)</f>
        <v>0</v>
      </c>
      <c r="AC39" s="338">
        <f>SUM(AA39:AB39)</f>
        <v>100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3.34</v>
      </c>
      <c r="G41" s="195">
        <f>SUM($G$38:$G$40)</f>
        <v>224626.48</v>
      </c>
      <c r="H41" s="162">
        <f>SUM($H$38:$H$40)</f>
        <v>38911</v>
      </c>
      <c r="I41" s="162">
        <f>SUM($I$38:$I$40)</f>
        <v>50483.374183599997</v>
      </c>
      <c r="J41" s="162">
        <f>SUM($J$38:$J$40)</f>
        <v>314020.85418359999</v>
      </c>
      <c r="K41" s="259"/>
      <c r="L41" s="195">
        <f>SUM($L$38:$L$40)</f>
        <v>0</v>
      </c>
      <c r="M41" s="162">
        <f>SUM($M$38:$M$40)</f>
        <v>-558.58472799999959</v>
      </c>
      <c r="N41" s="162">
        <f>SUM(L41:M41)</f>
        <v>-558.58472799999959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-0.8</v>
      </c>
      <c r="G43" s="206">
        <f>ROUND(G51-G41,-2)</f>
        <v>194000</v>
      </c>
      <c r="H43" s="159">
        <f>ROUND(H51-H41,-2)</f>
        <v>33600</v>
      </c>
      <c r="I43" s="159">
        <f>ROUND(I51-I41,-2)</f>
        <v>43600</v>
      </c>
      <c r="J43" s="159">
        <f>SUM(G43:I43)</f>
        <v>271200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overfunding is 46.3%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-0.8</v>
      </c>
      <c r="G44" s="206">
        <f>ROUND(G60-G41,-2)</f>
        <v>194000</v>
      </c>
      <c r="H44" s="159">
        <f>ROUND(H60-H41,-2)</f>
        <v>33600</v>
      </c>
      <c r="I44" s="159">
        <f>ROUND(I60-I41,-2)</f>
        <v>43600</v>
      </c>
      <c r="J44" s="159">
        <f>SUM(G44:I44)</f>
        <v>271200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overfunding is 46.3%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-0.8</v>
      </c>
      <c r="G45" s="206">
        <f>ROUND(G67-G41-G63,-2)</f>
        <v>194000</v>
      </c>
      <c r="H45" s="206">
        <f>ROUND(H67-H41-H63,-2)</f>
        <v>33600</v>
      </c>
      <c r="I45" s="206">
        <f>ROUND(I67-I41-I63,-2)</f>
        <v>43600</v>
      </c>
      <c r="J45" s="159">
        <f>SUM(G45:I45)</f>
        <v>271200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46.3%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585200</v>
      </c>
      <c r="F51" s="272">
        <f>AppropFTP</f>
        <v>2.54</v>
      </c>
      <c r="G51" s="274">
        <f>IF(E51=0,0,(G41/$J$41)*$E$51)</f>
        <v>418607.28147419059</v>
      </c>
      <c r="H51" s="274">
        <f>IF(E51=0,0,(H41/$J$41)*$E$51)</f>
        <v>72513.391695592742</v>
      </c>
      <c r="I51" s="275">
        <f>IF(E51=0,0,(I41/$J$41)*$E$51)</f>
        <v>94079.326830216669</v>
      </c>
      <c r="J51" s="90">
        <f>SUM(G51:I51)</f>
        <v>585200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2.54</v>
      </c>
      <c r="G52" s="79">
        <f>ROUND(G51,-2)</f>
        <v>418600</v>
      </c>
      <c r="H52" s="79">
        <f>ROUND(H51,-2)</f>
        <v>72500</v>
      </c>
      <c r="I52" s="266">
        <f>ROUND(I51,-2)</f>
        <v>94100</v>
      </c>
      <c r="J52" s="80">
        <f>ROUND(J51,-2)</f>
        <v>585200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2.54</v>
      </c>
      <c r="G56" s="80">
        <f>SUM(G52:G55)</f>
        <v>418600</v>
      </c>
      <c r="H56" s="80">
        <f>SUM(H52:H55)</f>
        <v>72500</v>
      </c>
      <c r="I56" s="260">
        <f>SUM(I52:I55)</f>
        <v>94100</v>
      </c>
      <c r="J56" s="80">
        <f>SUM(J52:J55)</f>
        <v>585200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2.54</v>
      </c>
      <c r="G60" s="80">
        <f>SUM(G56:G59)</f>
        <v>418600</v>
      </c>
      <c r="H60" s="80">
        <f>SUM(H56:H59)</f>
        <v>72500</v>
      </c>
      <c r="I60" s="260">
        <f>SUM(I56:I59)</f>
        <v>94100</v>
      </c>
      <c r="J60" s="80">
        <f>SUM(J56:J59)</f>
        <v>585200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2.54</v>
      </c>
      <c r="G67" s="80">
        <f>SUM(G60:G64)</f>
        <v>418600</v>
      </c>
      <c r="H67" s="80">
        <f>SUM(H60:H64)</f>
        <v>72500</v>
      </c>
      <c r="I67" s="80">
        <f>SUM(I60:I64)</f>
        <v>94100</v>
      </c>
      <c r="J67" s="80">
        <f>SUM(J60:J64)</f>
        <v>585200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-600</v>
      </c>
      <c r="J69" s="287">
        <f>SUM(G69:I69)</f>
        <v>-600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2100</v>
      </c>
      <c r="H72" s="287"/>
      <c r="I72" s="287">
        <f>ROUND(($G72*PermVBBY+$G72*Retire1BY),-2)</f>
        <v>500</v>
      </c>
      <c r="J72" s="113">
        <f>SUM(G72:I72)</f>
        <v>2600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100</v>
      </c>
      <c r="H73" s="287"/>
      <c r="I73" s="287">
        <f>ROUND(($G73*GroupVBBY),-2)</f>
        <v>0</v>
      </c>
      <c r="J73" s="113">
        <f t="shared" si="11"/>
        <v>100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2.54</v>
      </c>
      <c r="G75" s="80">
        <f>SUM(G67:G74)</f>
        <v>420800</v>
      </c>
      <c r="H75" s="80">
        <f>SUM(H67:H74)</f>
        <v>72500</v>
      </c>
      <c r="I75" s="80">
        <f>SUM(I67:I74)</f>
        <v>94000</v>
      </c>
      <c r="J75" s="80">
        <f>SUM(J67:K74)</f>
        <v>587300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2.54</v>
      </c>
      <c r="G80" s="80">
        <f>SUM(G75:G79)</f>
        <v>420800</v>
      </c>
      <c r="H80" s="80">
        <f>SUM(H75:H79)</f>
        <v>72500</v>
      </c>
      <c r="I80" s="80">
        <f>SUM(I75:I79)</f>
        <v>94000</v>
      </c>
      <c r="J80" s="80">
        <f>SUM(J75:J79)</f>
        <v>587300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136" priority="5">
      <formula>$J$44&lt;0</formula>
    </cfRule>
  </conditionalFormatting>
  <conditionalFormatting sqref="K43">
    <cfRule type="expression" dxfId="135" priority="4">
      <formula>$J$43&lt;0</formula>
    </cfRule>
  </conditionalFormatting>
  <conditionalFormatting sqref="L16">
    <cfRule type="expression" dxfId="134" priority="3">
      <formula>$J$16&lt;0</formula>
    </cfRule>
  </conditionalFormatting>
  <conditionalFormatting sqref="K45">
    <cfRule type="expression" dxfId="133" priority="2">
      <formula>$J$44&lt;0</formula>
    </cfRule>
  </conditionalFormatting>
  <conditionalFormatting sqref="K43:N45">
    <cfRule type="containsText" dxfId="13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1CB99F9-C703-482B-9AED-56BAACB3AC3A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1AC4F-704D-460F-BB6D-E965443CF780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1516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1495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762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1514</v>
      </c>
      <c r="J5" s="404"/>
      <c r="K5" s="404"/>
      <c r="L5" s="403"/>
      <c r="M5" s="352" t="s">
        <v>115</v>
      </c>
      <c r="N5" s="32" t="s">
        <v>1515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"&amp;'AGAD|0332-04'!FiscalYear-1&amp;" SALARY"</f>
        <v>FY 2022 SALARY</v>
      </c>
      <c r="H8" s="50" t="str">
        <f>"FY "&amp;'AGAD|0332-04'!FiscalYear-1&amp;" HEALTH BENEFITS"</f>
        <v>FY 2022 HEALTH BENEFITS</v>
      </c>
      <c r="I8" s="50" t="str">
        <f>"FY "&amp;'AGAD|0332-04'!FiscalYear-1&amp;" VAR BENEFITS"</f>
        <v>FY 2022 VAR BENEFITS</v>
      </c>
      <c r="J8" s="50" t="str">
        <f>"FY "&amp;'AGAD|0332-04'!FiscalYear-1&amp;" TOTAL"</f>
        <v>FY 2022 TOTAL</v>
      </c>
      <c r="K8" s="50" t="str">
        <f>"FY "&amp;'AGAD|0332-04'!FiscalYear&amp;" SALARY CHANGE"</f>
        <v>FY 2023 SALARY CHANGE</v>
      </c>
      <c r="L8" s="50" t="str">
        <f>"FY "&amp;'AGAD|0332-04'!FiscalYear&amp;" CHG HEALTH BENEFITS"</f>
        <v>FY 2023 CHG HEALTH BENEFITS</v>
      </c>
      <c r="M8" s="50" t="str">
        <f>"FY "&amp;'AGAD|0332-04'!FiscalYear&amp;"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[0]!AGAD033204col_INC_FTI</f>
        <v>15.920000000000002</v>
      </c>
      <c r="G10" s="218">
        <f>[0]!AGAD033204col_FTI_SALARY_PERM</f>
        <v>844871.85000000009</v>
      </c>
      <c r="H10" s="218">
        <f>[0]!AGAD033204col_HEALTH_PERM</f>
        <v>185468</v>
      </c>
      <c r="I10" s="218">
        <f>[0]!AGAD033204col_TOT_VB_PERM</f>
        <v>191253.64068450002</v>
      </c>
      <c r="J10" s="219">
        <f>SUM(G10:I10)</f>
        <v>1221593.4906845002</v>
      </c>
      <c r="K10" s="219">
        <f>[0]!AGAD033204col_1_27TH_PP</f>
        <v>0</v>
      </c>
      <c r="L10" s="218">
        <f>[0]!AGAD033204col_HEALTH_PERM_CHG</f>
        <v>0</v>
      </c>
      <c r="M10" s="218">
        <f>[0]!AGAD033204col_TOT_VB_PERM_CHG</f>
        <v>-2196.6668099999983</v>
      </c>
      <c r="N10" s="218">
        <f>SUM(L10:M10)</f>
        <v>-2196.6668099999983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8400</v>
      </c>
      <c r="AB10" s="335">
        <f>ROUND(PermVarBen*CECPerm+(CECPerm*PermVarBenChg),-2)</f>
        <v>1900</v>
      </c>
      <c r="AC10" s="335">
        <f>SUM(AA10:AB10)</f>
        <v>10300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[0]!AGAD033204col_Group_Salary</f>
        <v>0</v>
      </c>
      <c r="H11" s="218">
        <v>0</v>
      </c>
      <c r="I11" s="218">
        <f>[0]!AGAD033204col_Group_Ben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[0]!AGAD033204col_TOTAL_ELECT_PCN_FTI</f>
        <v>0</v>
      </c>
      <c r="G12" s="218">
        <f>[0]!AGAD033204col_FTI_SALARY_ELECT</f>
        <v>0</v>
      </c>
      <c r="H12" s="218">
        <f>[0]!AGAD033204col_HEALTH_ELECT</f>
        <v>0</v>
      </c>
      <c r="I12" s="218">
        <f>[0]!AGAD033204col_TOT_VB_ELECT</f>
        <v>0</v>
      </c>
      <c r="J12" s="219">
        <f>SUM(G12:I12)</f>
        <v>0</v>
      </c>
      <c r="K12" s="268"/>
      <c r="L12" s="218">
        <f>[0]!AGAD033204col_HEALTH_ELECT_CHG</f>
        <v>0</v>
      </c>
      <c r="M12" s="218">
        <f>[0]!AGAD033204col_TOT_VB_ELECT_CHG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15.920000000000002</v>
      </c>
      <c r="G13" s="221">
        <f>SUM(G10:G12)</f>
        <v>844871.85000000009</v>
      </c>
      <c r="H13" s="221">
        <f>SUM(H10:H12)</f>
        <v>185468</v>
      </c>
      <c r="I13" s="221">
        <f>SUM(I10:I12)</f>
        <v>191253.64068450002</v>
      </c>
      <c r="J13" s="219">
        <f>SUM(G13:I13)</f>
        <v>1221593.4906845002</v>
      </c>
      <c r="K13" s="268"/>
      <c r="L13" s="219">
        <f>SUM(L10:L12)</f>
        <v>0</v>
      </c>
      <c r="M13" s="219">
        <f>SUM(M10:M12)</f>
        <v>-2196.6668099999983</v>
      </c>
      <c r="N13" s="219">
        <f>SUM(N10:N12)</f>
        <v>-2196.6668099999983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"&amp;'AGAD|0332-04'!FiscalYear-1</f>
        <v>FY 2022</v>
      </c>
      <c r="D15" s="158" t="s">
        <v>31</v>
      </c>
      <c r="E15" s="355">
        <v>1262400</v>
      </c>
      <c r="F15" s="55">
        <v>16.170000000000002</v>
      </c>
      <c r="G15" s="223">
        <f>IF(OrigApprop=0,0,(G13/$J$13)*OrigApprop)</f>
        <v>873094.22616714088</v>
      </c>
      <c r="H15" s="223">
        <f>IF(OrigApprop=0,0,(H13/$J$13)*OrigApprop)</f>
        <v>191663.43385540336</v>
      </c>
      <c r="I15" s="223">
        <f>IF(G15=0,0,(I13/$J$13)*OrigApprop)</f>
        <v>197642.33997745567</v>
      </c>
      <c r="J15" s="223">
        <f>SUM(G15:I15)</f>
        <v>1262400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0.25</v>
      </c>
      <c r="G16" s="162">
        <f>G15-G13</f>
        <v>28222.376167140785</v>
      </c>
      <c r="H16" s="162">
        <f>H15-H13</f>
        <v>6195.4338554033602</v>
      </c>
      <c r="I16" s="162">
        <f>I15-I13</f>
        <v>6388.6992929556582</v>
      </c>
      <c r="J16" s="162">
        <f>J15-J13</f>
        <v>40806.509315499803</v>
      </c>
      <c r="K16" s="269"/>
      <c r="L16" s="56" t="str">
        <f>IF('AGAD|0332-04'!OrigApprop=0,"ERROR! Enter Original Appropriation amount in DU 3.00!","Calculated "&amp;IF('AGAD|0332-04'!AdjustedTotal&gt;0,"overfunding ","underfunding ")&amp;"is "&amp;TEXT('AGAD|0332-04'!AdjustedTotal/'AGAD|0332-04'!AppropTotal,"#.0%;(#.0% );0% ;")&amp;" of Original Appropriation")</f>
        <v>Calculated overfunding is 3.2%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15.920000000000002</v>
      </c>
      <c r="G38" s="191">
        <f>SUMIF($E10:$E35,$E38,$G10:$G35)</f>
        <v>844871.85000000009</v>
      </c>
      <c r="H38" s="192">
        <f>SUMIF($E10:$E35,$E38,$H10:$H35)</f>
        <v>185468</v>
      </c>
      <c r="I38" s="192">
        <f>SUMIF($E10:$E35,$E38,$I10:$I35)</f>
        <v>191253.64068450002</v>
      </c>
      <c r="J38" s="192">
        <f>SUM(G38:I38)</f>
        <v>1221593.4906845002</v>
      </c>
      <c r="K38" s="166"/>
      <c r="L38" s="191">
        <f>SUMIF($E10:$E35,$E38,$L10:$L35)</f>
        <v>0</v>
      </c>
      <c r="M38" s="192">
        <f>SUMIF($E10:$E35,$E38,$M10:$M35)</f>
        <v>-2196.6668099999983</v>
      </c>
      <c r="N38" s="192">
        <f>SUM(L38:M38)</f>
        <v>-2196.6668099999983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8400</v>
      </c>
      <c r="AB38" s="338">
        <f>ROUND((AdjPermVB*CECPerm+AdjPermVBBY*CECPerm),-2)</f>
        <v>1900</v>
      </c>
      <c r="AC38" s="338">
        <f>SUM(AA38:AB38)</f>
        <v>10300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15.920000000000002</v>
      </c>
      <c r="G41" s="195">
        <f>SUM($G$38:$G$40)</f>
        <v>844871.85000000009</v>
      </c>
      <c r="H41" s="162">
        <f>SUM($H$38:$H$40)</f>
        <v>185468</v>
      </c>
      <c r="I41" s="162">
        <f>SUM($I$38:$I$40)</f>
        <v>191253.64068450002</v>
      </c>
      <c r="J41" s="162">
        <f>SUM($J$38:$J$40)</f>
        <v>1221593.4906845002</v>
      </c>
      <c r="K41" s="259"/>
      <c r="L41" s="195">
        <f>SUM($L$38:$L$40)</f>
        <v>0</v>
      </c>
      <c r="M41" s="162">
        <f>SUM($M$38:$M$40)</f>
        <v>-2196.6668099999983</v>
      </c>
      <c r="N41" s="162">
        <f>SUM(L41:M41)</f>
        <v>-2196.6668099999983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0.25</v>
      </c>
      <c r="G43" s="206">
        <f>ROUND(G51-G41,-2)</f>
        <v>28200</v>
      </c>
      <c r="H43" s="159">
        <f>ROUND(H51-H41,-2)</f>
        <v>6200</v>
      </c>
      <c r="I43" s="159">
        <f>ROUND(I51-I41,-2)</f>
        <v>6400</v>
      </c>
      <c r="J43" s="159">
        <f>SUM(G43:I43)</f>
        <v>40800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overfunding is 3.2%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0.25</v>
      </c>
      <c r="G44" s="206">
        <f>ROUND(G60-G41,-2)</f>
        <v>28200</v>
      </c>
      <c r="H44" s="159">
        <f>ROUND(H60-H41,-2)</f>
        <v>6200</v>
      </c>
      <c r="I44" s="159">
        <f>ROUND(I60-I41,-2)</f>
        <v>6300</v>
      </c>
      <c r="J44" s="159">
        <f>SUM(G44:I44)</f>
        <v>40700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overfunding is 3.2%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0.25</v>
      </c>
      <c r="G45" s="206">
        <f>ROUND(G67-G41-G63,-2)</f>
        <v>28200</v>
      </c>
      <c r="H45" s="206">
        <f>ROUND(H67-H41-H63,-2)</f>
        <v>6200</v>
      </c>
      <c r="I45" s="206">
        <f>ROUND(I67-I41-I63,-2)</f>
        <v>6300</v>
      </c>
      <c r="J45" s="159">
        <f>SUM(G45:I45)</f>
        <v>40700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3.2%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/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1262400</v>
      </c>
      <c r="F51" s="272">
        <f>AppropFTP</f>
        <v>16.170000000000002</v>
      </c>
      <c r="G51" s="274">
        <f>IF(E51=0,0,(G41/$J$41)*$E$51)</f>
        <v>873094.22616714088</v>
      </c>
      <c r="H51" s="274">
        <f>IF(E51=0,0,(H41/$J$41)*$E$51)</f>
        <v>191663.43385540336</v>
      </c>
      <c r="I51" s="275">
        <f>IF(E51=0,0,(I41/$J$41)*$E$51)</f>
        <v>197642.33997745567</v>
      </c>
      <c r="J51" s="90">
        <f>SUM(G51:I51)</f>
        <v>1262400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16.170000000000002</v>
      </c>
      <c r="G52" s="79">
        <f>ROUND(G51,-2)</f>
        <v>873100</v>
      </c>
      <c r="H52" s="79">
        <f>ROUND(H51,-2)</f>
        <v>191700</v>
      </c>
      <c r="I52" s="266">
        <f>ROUND(I51,-2)</f>
        <v>197600</v>
      </c>
      <c r="J52" s="80">
        <f>ROUND(J51,-2)</f>
        <v>1262400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16.170000000000002</v>
      </c>
      <c r="G56" s="80">
        <f>SUM(G52:G55)</f>
        <v>873100</v>
      </c>
      <c r="H56" s="80">
        <f>SUM(H52:H55)</f>
        <v>191700</v>
      </c>
      <c r="I56" s="260">
        <f>SUM(I52:I55)</f>
        <v>197600</v>
      </c>
      <c r="J56" s="80">
        <f>SUM(J52:J55)</f>
        <v>1262400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16.170000000000002</v>
      </c>
      <c r="G60" s="80">
        <f>SUM(G56:G59)</f>
        <v>873100</v>
      </c>
      <c r="H60" s="80">
        <f>SUM(H56:H59)</f>
        <v>191700</v>
      </c>
      <c r="I60" s="260">
        <f>SUM(I56:I59)</f>
        <v>197600</v>
      </c>
      <c r="J60" s="80">
        <f>SUM(J56:J59)</f>
        <v>1262400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16.170000000000002</v>
      </c>
      <c r="G67" s="80">
        <f>SUM(G60:G64)</f>
        <v>873100</v>
      </c>
      <c r="H67" s="80">
        <f>SUM(H60:H64)</f>
        <v>191700</v>
      </c>
      <c r="I67" s="80">
        <f>SUM(I60:I64)</f>
        <v>197600</v>
      </c>
      <c r="J67" s="80">
        <f>SUM(J60:J64)</f>
        <v>1262400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-2200</v>
      </c>
      <c r="J69" s="287">
        <f>SUM(G69:I69)</f>
        <v>-2200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8400</v>
      </c>
      <c r="H72" s="287"/>
      <c r="I72" s="287">
        <f>ROUND(($G72*PermVBBY+$G72*Retire1BY),-2)</f>
        <v>1900</v>
      </c>
      <c r="J72" s="113">
        <f>SUM(G72:I72)</f>
        <v>10300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16.170000000000002</v>
      </c>
      <c r="G75" s="80">
        <f>SUM(G67:G74)</f>
        <v>881500</v>
      </c>
      <c r="H75" s="80">
        <f>SUM(H67:H74)</f>
        <v>191700</v>
      </c>
      <c r="I75" s="80">
        <f>SUM(I67:I74)</f>
        <v>197300</v>
      </c>
      <c r="J75" s="80">
        <f>SUM(J67:K74)</f>
        <v>1270500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16.170000000000002</v>
      </c>
      <c r="G80" s="80">
        <f>SUM(G75:G79)</f>
        <v>881500</v>
      </c>
      <c r="H80" s="80">
        <f>SUM(H75:H79)</f>
        <v>191700</v>
      </c>
      <c r="I80" s="80">
        <f>SUM(I75:I79)</f>
        <v>197300</v>
      </c>
      <c r="J80" s="80">
        <f>SUM(J75:J79)</f>
        <v>1270500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131" priority="5">
      <formula>$J$44&lt;0</formula>
    </cfRule>
  </conditionalFormatting>
  <conditionalFormatting sqref="K43">
    <cfRule type="expression" dxfId="130" priority="4">
      <formula>$J$43&lt;0</formula>
    </cfRule>
  </conditionalFormatting>
  <conditionalFormatting sqref="L16">
    <cfRule type="expression" dxfId="129" priority="3">
      <formula>$J$16&lt;0</formula>
    </cfRule>
  </conditionalFormatting>
  <conditionalFormatting sqref="K45">
    <cfRule type="expression" dxfId="128" priority="2">
      <formula>$J$44&lt;0</formula>
    </cfRule>
  </conditionalFormatting>
  <conditionalFormatting sqref="K43:N45">
    <cfRule type="containsText" dxfId="12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4727333-6BA6-449A-9496-8DFDE708DDAD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6ED50-9B9C-4232-AEEC-A248E28302EE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1521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1495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762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1519</v>
      </c>
      <c r="J5" s="404"/>
      <c r="K5" s="404"/>
      <c r="L5" s="403"/>
      <c r="M5" s="352" t="s">
        <v>115</v>
      </c>
      <c r="N5" s="32" t="s">
        <v>1520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"&amp;'AGAD|0332-08'!FiscalYear-1&amp;" SALARY"</f>
        <v>FY 2022 SALARY</v>
      </c>
      <c r="H8" s="50" t="str">
        <f>"FY "&amp;'AGAD|0332-08'!FiscalYear-1&amp;" HEALTH BENEFITS"</f>
        <v>FY 2022 HEALTH BENEFITS</v>
      </c>
      <c r="I8" s="50" t="str">
        <f>"FY "&amp;'AGAD|0332-08'!FiscalYear-1&amp;" VAR BENEFITS"</f>
        <v>FY 2022 VAR BENEFITS</v>
      </c>
      <c r="J8" s="50" t="str">
        <f>"FY "&amp;'AGAD|0332-08'!FiscalYear-1&amp;" TOTAL"</f>
        <v>FY 2022 TOTAL</v>
      </c>
      <c r="K8" s="50" t="str">
        <f>"FY "&amp;'AGAD|0332-08'!FiscalYear&amp;" SALARY CHANGE"</f>
        <v>FY 2023 SALARY CHANGE</v>
      </c>
      <c r="L8" s="50" t="str">
        <f>"FY "&amp;'AGAD|0332-08'!FiscalYear&amp;" CHG HEALTH BENEFITS"</f>
        <v>FY 2023 CHG HEALTH BENEFITS</v>
      </c>
      <c r="M8" s="50" t="str">
        <f>"FY "&amp;'AGAD|0332-08'!FiscalYear&amp;"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[0]!AGAD033208col_INC_FTI</f>
        <v>0</v>
      </c>
      <c r="G10" s="218">
        <f>[0]!AGAD033208col_FTI_SALARY_PERM</f>
        <v>0</v>
      </c>
      <c r="H10" s="218">
        <f>[0]!AGAD033208col_HEALTH_PERM</f>
        <v>0</v>
      </c>
      <c r="I10" s="218">
        <f>[0]!AGAD033208col_TOT_VB_PERM</f>
        <v>0</v>
      </c>
      <c r="J10" s="219">
        <f>SUM(G10:I10)</f>
        <v>0</v>
      </c>
      <c r="K10" s="219">
        <f>[0]!AGAD033208col_1_27TH_PP</f>
        <v>0</v>
      </c>
      <c r="L10" s="218">
        <f>[0]!AGAD033208col_HEALTH_PERM_CHG</f>
        <v>0</v>
      </c>
      <c r="M10" s="218">
        <f>[0]!AGAD033208col_TOT_VB_PERM_CHG</f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[0]!AGAD033208col_Group_Salary</f>
        <v>0</v>
      </c>
      <c r="H11" s="218">
        <v>0</v>
      </c>
      <c r="I11" s="218">
        <f>[0]!AGAD033208col_Group_Ben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[0]!AGAD033208col_TOTAL_ELECT_PCN_FTI</f>
        <v>0</v>
      </c>
      <c r="G12" s="218">
        <f>[0]!AGAD033208col_FTI_SALARY_ELECT</f>
        <v>0</v>
      </c>
      <c r="H12" s="218">
        <f>[0]!AGAD033208col_HEALTH_ELECT</f>
        <v>0</v>
      </c>
      <c r="I12" s="218">
        <f>[0]!AGAD033208col_TOT_VB_ELECT</f>
        <v>0</v>
      </c>
      <c r="J12" s="219">
        <f>SUM(G12:I12)</f>
        <v>0</v>
      </c>
      <c r="K12" s="268"/>
      <c r="L12" s="218">
        <f>[0]!AGAD033208col_HEALTH_ELECT_CHG</f>
        <v>0</v>
      </c>
      <c r="M12" s="218">
        <f>[0]!AGAD033208col_TOT_VB_ELECT_CHG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"&amp;'AGAD|0332-08'!FiscalYear-1</f>
        <v>FY 2022</v>
      </c>
      <c r="D15" s="158" t="s">
        <v>31</v>
      </c>
      <c r="E15" s="355">
        <v>400</v>
      </c>
      <c r="F15" s="55">
        <v>0</v>
      </c>
      <c r="G15" s="223" t="e">
        <f>IF(OrigApprop=0,0,(G13/$J$13)*OrigApprop)</f>
        <v>#DIV/0!</v>
      </c>
      <c r="H15" s="223" t="e">
        <f>IF(OrigApprop=0,0,(H13/$J$13)*OrigApprop)</f>
        <v>#DIV/0!</v>
      </c>
      <c r="I15" s="223" t="e">
        <f>IF(G15=0,0,(I13/$J$13)*OrigApprop)</f>
        <v>#DIV/0!</v>
      </c>
      <c r="J15" s="223" t="e">
        <f>SUM(G15:I15)</f>
        <v>#DIV/0!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0</v>
      </c>
      <c r="G16" s="162" t="e">
        <f>G15-G13</f>
        <v>#DIV/0!</v>
      </c>
      <c r="H16" s="162" t="e">
        <f>H15-H13</f>
        <v>#DIV/0!</v>
      </c>
      <c r="I16" s="162" t="e">
        <f>I15-I13</f>
        <v>#DIV/0!</v>
      </c>
      <c r="J16" s="162" t="e">
        <f>J15-J13</f>
        <v>#DIV/0!</v>
      </c>
      <c r="K16" s="269"/>
      <c r="L16" s="56" t="e">
        <f>IF('AGAD|0332-08'!OrigApprop=0,"ERROR! Enter Original Appropriation amount in DU 3.00!","Calculated "&amp;IF('AGAD|0332-08'!AdjustedTotal&gt;0,"overfunding ","underfunding ")&amp;"is "&amp;TEXT('AGAD|0332-08'!AdjustedTotal/'AGAD|0332-08'!AppropTotal,"#.0%;(#.0% );0% ;")&amp;" of Original Appropriation")</f>
        <v>#DIV/0!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0</v>
      </c>
      <c r="G43" s="206" t="e">
        <f>ROUND(G51-G41,-2)</f>
        <v>#DIV/0!</v>
      </c>
      <c r="H43" s="159" t="e">
        <f>ROUND(H51-H41,-2)</f>
        <v>#DIV/0!</v>
      </c>
      <c r="I43" s="159" t="e">
        <f>ROUND(I51-I41,-2)</f>
        <v>#DIV/0!</v>
      </c>
      <c r="J43" s="159" t="e">
        <f>SUM(G43:I43)</f>
        <v>#DIV/0!</v>
      </c>
      <c r="K43" s="413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0</v>
      </c>
      <c r="G44" s="206" t="e">
        <f>ROUND(G60-G41,-2)</f>
        <v>#DIV/0!</v>
      </c>
      <c r="H44" s="159" t="e">
        <f>ROUND(H60-H41,-2)</f>
        <v>#DIV/0!</v>
      </c>
      <c r="I44" s="159" t="e">
        <f>ROUND(I60-I41,-2)</f>
        <v>#DIV/0!</v>
      </c>
      <c r="J44" s="159" t="e">
        <f>SUM(G44:I44)</f>
        <v>#DIV/0!</v>
      </c>
      <c r="K44" s="413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 t="e">
        <f>ROUND(G67-G41-G63,-2)</f>
        <v>#DIV/0!</v>
      </c>
      <c r="H45" s="206" t="e">
        <f>ROUND(H67-H41-H63,-2)</f>
        <v>#DIV/0!</v>
      </c>
      <c r="I45" s="206" t="e">
        <f>ROUND(I67-I41-I63,-2)</f>
        <v>#DIV/0!</v>
      </c>
      <c r="J45" s="159" t="e">
        <f>SUM(G45:I45)</f>
        <v>#DIV/0!</v>
      </c>
      <c r="K45" s="413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e">
        <f>IF(OR(J45&lt;0,F45&lt;0),"You may not have sufficient funding or authorized FTP, and may need to make additional adjustments to finalize this form.  Please contact both your DFM and LSO analysts.","")</f>
        <v>#DIV/0!</v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400</v>
      </c>
      <c r="F51" s="272">
        <f>AppropFTP</f>
        <v>0</v>
      </c>
      <c r="G51" s="274" t="e">
        <f>IF(E51=0,0,(G41/$J$41)*$E$51)</f>
        <v>#DIV/0!</v>
      </c>
      <c r="H51" s="274" t="e">
        <f>IF(E51=0,0,(H41/$J$41)*$E$51)</f>
        <v>#DIV/0!</v>
      </c>
      <c r="I51" s="275" t="e">
        <f>IF(E51=0,0,(I41/$J$41)*$E$51)</f>
        <v>#DIV/0!</v>
      </c>
      <c r="J51" s="90" t="e">
        <f>SUM(G51:I51)</f>
        <v>#DIV/0!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0</v>
      </c>
      <c r="G52" s="79" t="e">
        <f>ROUND(G51,-2)</f>
        <v>#DIV/0!</v>
      </c>
      <c r="H52" s="79" t="e">
        <f>ROUND(H51,-2)</f>
        <v>#DIV/0!</v>
      </c>
      <c r="I52" s="266" t="e">
        <f>ROUND(I51,-2)</f>
        <v>#DIV/0!</v>
      </c>
      <c r="J52" s="80" t="e">
        <f>ROUND(J51,-2)</f>
        <v>#DIV/0!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 t="e">
        <f>SUM(G52:G55)</f>
        <v>#DIV/0!</v>
      </c>
      <c r="H56" s="80" t="e">
        <f>SUM(H52:H55)</f>
        <v>#DIV/0!</v>
      </c>
      <c r="I56" s="260" t="e">
        <f>SUM(I52:I55)</f>
        <v>#DIV/0!</v>
      </c>
      <c r="J56" s="80" t="e">
        <f>SUM(J52:J55)</f>
        <v>#DIV/0!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 t="e">
        <f>SUM(G56:G59)</f>
        <v>#DIV/0!</v>
      </c>
      <c r="H60" s="80" t="e">
        <f>SUM(H56:H59)</f>
        <v>#DIV/0!</v>
      </c>
      <c r="I60" s="260" t="e">
        <f>SUM(I56:I59)</f>
        <v>#DIV/0!</v>
      </c>
      <c r="J60" s="80" t="e">
        <f>SUM(J56:J59)</f>
        <v>#DIV/0!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 t="e">
        <f>SUM(G60:G64)</f>
        <v>#DIV/0!</v>
      </c>
      <c r="H67" s="80" t="e">
        <f>SUM(H60:H64)</f>
        <v>#DIV/0!</v>
      </c>
      <c r="I67" s="80" t="e">
        <f>SUM(I60:I64)</f>
        <v>#DIV/0!</v>
      </c>
      <c r="J67" s="80" t="e">
        <f>SUM(J60:J64)</f>
        <v>#DIV/0!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 t="e">
        <f>IF(DUNine=0,0,ROUND(SUM(L41:L65),-2))</f>
        <v>#DIV/0!</v>
      </c>
      <c r="I68" s="113"/>
      <c r="J68" s="287" t="e">
        <f>SUM(G68:I68)</f>
        <v>#DIV/0!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 t="e">
        <f>IF(DUNine=0,0,ROUND(SUM(M41:M64),-2))</f>
        <v>#DIV/0!</v>
      </c>
      <c r="J69" s="287" t="e">
        <f>SUM(G69:I69)</f>
        <v>#DIV/0!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 t="e">
        <f>IF(DUNine=0,0,IF(DUNine&lt;0,0,ROUND(AdjPermSalary*CECPerm,-2)))</f>
        <v>#DIV/0!</v>
      </c>
      <c r="H72" s="287"/>
      <c r="I72" s="287" t="e">
        <f>ROUND(($G72*PermVBBY+$G72*Retire1BY),-2)</f>
        <v>#DIV/0!</v>
      </c>
      <c r="J72" s="113" t="e">
        <f>SUM(G72:I72)</f>
        <v>#DIV/0!</v>
      </c>
      <c r="K72" s="296"/>
      <c r="L72" s="298"/>
      <c r="M72" s="350" t="e">
        <f>IF(DUNine=0,0,IF(((#REF!-G39-G40)*E72)&lt;0,0,ROUND(((#REF!-G39-G40)*E72),-2)))</f>
        <v>#DIV/0!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#DIV/0!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 t="e">
        <f>IF(DUNine=0,0,IF(DUNine&lt;0,0,ROUND(AdjGroupSalary*CECGroup,-2)))</f>
        <v>#DIV/0!</v>
      </c>
      <c r="H73" s="287"/>
      <c r="I73" s="287" t="e">
        <f>ROUND(($G73*GroupVBBY),-2)</f>
        <v>#DIV/0!</v>
      </c>
      <c r="J73" s="113" t="e">
        <f t="shared" si="11"/>
        <v>#DIV/0!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 t="e">
        <f>SUM(G67:G74)</f>
        <v>#DIV/0!</v>
      </c>
      <c r="H75" s="80" t="e">
        <f>SUM(H67:H74)</f>
        <v>#DIV/0!</v>
      </c>
      <c r="I75" s="80" t="e">
        <f>SUM(I67:I74)</f>
        <v>#DIV/0!</v>
      </c>
      <c r="J75" s="80" t="e">
        <f>SUM(J67:K74)</f>
        <v>#DIV/0!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 t="e">
        <f>SUM(G75:G79)</f>
        <v>#DIV/0!</v>
      </c>
      <c r="H80" s="80" t="e">
        <f>SUM(H75:H79)</f>
        <v>#DIV/0!</v>
      </c>
      <c r="I80" s="80" t="e">
        <f>SUM(I75:I79)</f>
        <v>#DIV/0!</v>
      </c>
      <c r="J80" s="80" t="e">
        <f>SUM(J75:J79)</f>
        <v>#DIV/0!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126" priority="5">
      <formula>$J$44&lt;0</formula>
    </cfRule>
  </conditionalFormatting>
  <conditionalFormatting sqref="K43">
    <cfRule type="expression" dxfId="125" priority="4">
      <formula>$J$43&lt;0</formula>
    </cfRule>
  </conditionalFormatting>
  <conditionalFormatting sqref="L16">
    <cfRule type="expression" dxfId="124" priority="3">
      <formula>$J$16&lt;0</formula>
    </cfRule>
  </conditionalFormatting>
  <conditionalFormatting sqref="K45">
    <cfRule type="expression" dxfId="123" priority="2">
      <formula>$J$44&lt;0</formula>
    </cfRule>
  </conditionalFormatting>
  <conditionalFormatting sqref="K43:N45">
    <cfRule type="containsText" dxfId="12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FB0CA59-67ED-452A-949C-10AFA5F6EA8D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779C2-8062-48A6-8FAE-73DCE2008F18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1444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1525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1010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1442</v>
      </c>
      <c r="J5" s="404"/>
      <c r="K5" s="404"/>
      <c r="L5" s="403"/>
      <c r="M5" s="352" t="s">
        <v>115</v>
      </c>
      <c r="N5" s="32" t="s">
        <v>1443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"&amp;'AGAE|0001-00'!FiscalYear-1&amp;" SALARY"</f>
        <v>FY 2022 SALARY</v>
      </c>
      <c r="H8" s="50" t="str">
        <f>"FY "&amp;'AGAE|0001-00'!FiscalYear-1&amp;" HEALTH BENEFITS"</f>
        <v>FY 2022 HEALTH BENEFITS</v>
      </c>
      <c r="I8" s="50" t="str">
        <f>"FY "&amp;'AGAE|0001-00'!FiscalYear-1&amp;" VAR BENEFITS"</f>
        <v>FY 2022 VAR BENEFITS</v>
      </c>
      <c r="J8" s="50" t="str">
        <f>"FY "&amp;'AGAE|0001-00'!FiscalYear-1&amp;" TOTAL"</f>
        <v>FY 2022 TOTAL</v>
      </c>
      <c r="K8" s="50" t="str">
        <f>"FY "&amp;'AGAE|0001-00'!FiscalYear&amp;" SALARY CHANGE"</f>
        <v>FY 2023 SALARY CHANGE</v>
      </c>
      <c r="L8" s="50" t="str">
        <f>"FY "&amp;'AGAE|0001-00'!FiscalYear&amp;" CHG HEALTH BENEFITS"</f>
        <v>FY 2023 CHG HEALTH BENEFITS</v>
      </c>
      <c r="M8" s="50" t="str">
        <f>"FY "&amp;'AGAE|0001-00'!FiscalYear&amp;"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[0]!AGAE000100col_INC_FTI</f>
        <v>8.8000000000000007</v>
      </c>
      <c r="G10" s="218">
        <f>[0]!AGAE000100col_FTI_SALARY_PERM</f>
        <v>487820.32000000007</v>
      </c>
      <c r="H10" s="218">
        <f>[0]!AGAE000100col_HEALTH_PERM</f>
        <v>102520</v>
      </c>
      <c r="I10" s="218">
        <f>[0]!AGAE000100col_TOT_VB_PERM</f>
        <v>110123.96663839999</v>
      </c>
      <c r="J10" s="219">
        <f>SUM(G10:I10)</f>
        <v>700464.28663840005</v>
      </c>
      <c r="K10" s="219">
        <f>[0]!AGAE000100col_1_27TH_PP</f>
        <v>0</v>
      </c>
      <c r="L10" s="218">
        <f>[0]!AGAE000100col_HEALTH_PERM_CHG</f>
        <v>0</v>
      </c>
      <c r="M10" s="218">
        <f>[0]!AGAE000100col_TOT_VB_PERM_CHG</f>
        <v>-1268.3328319999991</v>
      </c>
      <c r="N10" s="218">
        <f>SUM(L10:M10)</f>
        <v>-1268.3328319999991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4900</v>
      </c>
      <c r="AB10" s="335">
        <f>ROUND(PermVarBen*CECPerm+(CECPerm*PermVarBenChg),-2)</f>
        <v>1100</v>
      </c>
      <c r="AC10" s="335">
        <f>SUM(AA10:AB10)</f>
        <v>6000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[0]!AGAE000100col_Group_Salary</f>
        <v>0</v>
      </c>
      <c r="H11" s="218">
        <v>0</v>
      </c>
      <c r="I11" s="218">
        <f>[0]!AGAE000100col_Group_Ben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[0]!AGAE000100col_TOTAL_ELECT_PCN_FTI</f>
        <v>0</v>
      </c>
      <c r="G12" s="218">
        <f>[0]!AGAE000100col_FTI_SALARY_ELECT</f>
        <v>0</v>
      </c>
      <c r="H12" s="218">
        <f>[0]!AGAE000100col_HEALTH_ELECT</f>
        <v>0</v>
      </c>
      <c r="I12" s="218">
        <f>[0]!AGAE000100col_TOT_VB_ELECT</f>
        <v>0</v>
      </c>
      <c r="J12" s="219">
        <f>SUM(G12:I12)</f>
        <v>0</v>
      </c>
      <c r="K12" s="268"/>
      <c r="L12" s="218">
        <f>[0]!AGAE000100col_HEALTH_ELECT_CHG</f>
        <v>0</v>
      </c>
      <c r="M12" s="218">
        <f>[0]!AGAE000100col_TOT_VB_ELECT_CHG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8.8000000000000007</v>
      </c>
      <c r="G13" s="221">
        <f>SUM(G10:G12)</f>
        <v>487820.32000000007</v>
      </c>
      <c r="H13" s="221">
        <f>SUM(H10:H12)</f>
        <v>102520</v>
      </c>
      <c r="I13" s="221">
        <f>SUM(I10:I12)</f>
        <v>110123.96663839999</v>
      </c>
      <c r="J13" s="219">
        <f>SUM(G13:I13)</f>
        <v>700464.28663840005</v>
      </c>
      <c r="K13" s="268"/>
      <c r="L13" s="219">
        <f>SUM(L10:L12)</f>
        <v>0</v>
      </c>
      <c r="M13" s="219">
        <f>SUM(M10:M12)</f>
        <v>-1268.3328319999991</v>
      </c>
      <c r="N13" s="219">
        <f>SUM(N10:N12)</f>
        <v>-1268.3328319999991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"&amp;'AGAE|0001-00'!FiscalYear-1</f>
        <v>FY 2022</v>
      </c>
      <c r="D15" s="158" t="s">
        <v>31</v>
      </c>
      <c r="E15" s="355">
        <v>754800</v>
      </c>
      <c r="F15" s="55">
        <v>9.4</v>
      </c>
      <c r="G15" s="223">
        <f>IF(OrigApprop=0,0,(G13/$J$13)*OrigApprop)</f>
        <v>525661.02877715882</v>
      </c>
      <c r="H15" s="223">
        <f>IF(OrigApprop=0,0,(H13/$J$13)*OrigApprop)</f>
        <v>110472.57865403048</v>
      </c>
      <c r="I15" s="223">
        <f>IF(G15=0,0,(I13/$J$13)*OrigApprop)</f>
        <v>118666.39256881068</v>
      </c>
      <c r="J15" s="223">
        <f>SUM(G15:I15)</f>
        <v>754800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0.59999999999999964</v>
      </c>
      <c r="G16" s="162">
        <f>G15-G13</f>
        <v>37840.708777158754</v>
      </c>
      <c r="H16" s="162">
        <f>H15-H13</f>
        <v>7952.5786540304834</v>
      </c>
      <c r="I16" s="162">
        <f>I15-I13</f>
        <v>8542.4259304106963</v>
      </c>
      <c r="J16" s="162">
        <f>J15-J13</f>
        <v>54335.713361599948</v>
      </c>
      <c r="K16" s="269"/>
      <c r="L16" s="56" t="str">
        <f>IF('AGAE|0001-00'!OrigApprop=0,"ERROR! Enter Original Appropriation amount in DU 3.00!","Calculated "&amp;IF('AGAE|0001-00'!AdjustedTotal&gt;0,"overfunding ","underfunding ")&amp;"is "&amp;TEXT('AGAE|0001-00'!AdjustedTotal/'AGAE|0001-00'!AppropTotal,"#.0%;(#.0% );0% ;")&amp;" of Original Appropriation")</f>
        <v>Calculated overfunding is 7.2%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8.8000000000000007</v>
      </c>
      <c r="G38" s="191">
        <f>SUMIF($E10:$E35,$E38,$G10:$G35)</f>
        <v>487820.32000000007</v>
      </c>
      <c r="H38" s="192">
        <f>SUMIF($E10:$E35,$E38,$H10:$H35)</f>
        <v>102520</v>
      </c>
      <c r="I38" s="192">
        <f>SUMIF($E10:$E35,$E38,$I10:$I35)</f>
        <v>110123.96663839999</v>
      </c>
      <c r="J38" s="192">
        <f>SUM(G38:I38)</f>
        <v>700464.28663840005</v>
      </c>
      <c r="K38" s="166"/>
      <c r="L38" s="191">
        <f>SUMIF($E10:$E35,$E38,$L10:$L35)</f>
        <v>0</v>
      </c>
      <c r="M38" s="192">
        <f>SUMIF($E10:$E35,$E38,$M10:$M35)</f>
        <v>-1268.3328319999991</v>
      </c>
      <c r="N38" s="192">
        <f>SUM(L38:M38)</f>
        <v>-1268.3328319999991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4900</v>
      </c>
      <c r="AB38" s="338">
        <f>ROUND((AdjPermVB*CECPerm+AdjPermVBBY*CECPerm),-2)</f>
        <v>1100</v>
      </c>
      <c r="AC38" s="338">
        <f>SUM(AA38:AB38)</f>
        <v>6000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8.8000000000000007</v>
      </c>
      <c r="G41" s="195">
        <f>SUM($G$38:$G$40)</f>
        <v>487820.32000000007</v>
      </c>
      <c r="H41" s="162">
        <f>SUM($H$38:$H$40)</f>
        <v>102520</v>
      </c>
      <c r="I41" s="162">
        <f>SUM($I$38:$I$40)</f>
        <v>110123.96663839999</v>
      </c>
      <c r="J41" s="162">
        <f>SUM($J$38:$J$40)</f>
        <v>700464.28663840005</v>
      </c>
      <c r="K41" s="259"/>
      <c r="L41" s="195">
        <f>SUM($L$38:$L$40)</f>
        <v>0</v>
      </c>
      <c r="M41" s="162">
        <f>SUM($M$38:$M$40)</f>
        <v>-1268.3328319999991</v>
      </c>
      <c r="N41" s="162">
        <f>SUM(L41:M41)</f>
        <v>-1268.3328319999991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0.6</v>
      </c>
      <c r="G43" s="206">
        <f>ROUND(G51-G41,-2)</f>
        <v>37800</v>
      </c>
      <c r="H43" s="159">
        <f>ROUND(H51-H41,-2)</f>
        <v>8000</v>
      </c>
      <c r="I43" s="159">
        <f>ROUND(I51-I41,-2)</f>
        <v>8500</v>
      </c>
      <c r="J43" s="159">
        <f>SUM(G43:I43)</f>
        <v>54300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overfunding is 7.2%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0.6</v>
      </c>
      <c r="G44" s="206">
        <f>ROUND(G60-G41,-2)</f>
        <v>37900</v>
      </c>
      <c r="H44" s="159">
        <f>ROUND(H60-H41,-2)</f>
        <v>8000</v>
      </c>
      <c r="I44" s="159">
        <f>ROUND(I60-I41,-2)</f>
        <v>8600</v>
      </c>
      <c r="J44" s="159">
        <f>SUM(G44:I44)</f>
        <v>54500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overfunding is 7.2%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0.6</v>
      </c>
      <c r="G45" s="206">
        <f>ROUND(G67-G41-G63,-2)</f>
        <v>37900</v>
      </c>
      <c r="H45" s="206">
        <f>ROUND(H67-H41-H63,-2)</f>
        <v>8000</v>
      </c>
      <c r="I45" s="206">
        <f>ROUND(I67-I41-I63,-2)</f>
        <v>8600</v>
      </c>
      <c r="J45" s="159">
        <f>SUM(G45:I45)</f>
        <v>54500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7.2%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/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754800</v>
      </c>
      <c r="F51" s="272">
        <f>AppropFTP</f>
        <v>9.4</v>
      </c>
      <c r="G51" s="274">
        <f>IF(E51=0,0,(G41/$J$41)*$E$51)</f>
        <v>525661.02877715882</v>
      </c>
      <c r="H51" s="274">
        <f>IF(E51=0,0,(H41/$J$41)*$E$51)</f>
        <v>110472.57865403048</v>
      </c>
      <c r="I51" s="275">
        <f>IF(E51=0,0,(I41/$J$41)*$E$51)</f>
        <v>118666.39256881068</v>
      </c>
      <c r="J51" s="90">
        <f>SUM(G51:I51)</f>
        <v>754800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9.4</v>
      </c>
      <c r="G52" s="79">
        <f>ROUND(G51,-2)</f>
        <v>525700</v>
      </c>
      <c r="H52" s="79">
        <f>ROUND(H51,-2)</f>
        <v>110500</v>
      </c>
      <c r="I52" s="266">
        <f>ROUND(I51,-2)</f>
        <v>118700</v>
      </c>
      <c r="J52" s="80">
        <f>ROUND(J51,-2)</f>
        <v>754800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9.4</v>
      </c>
      <c r="G56" s="80">
        <f>SUM(G52:G55)</f>
        <v>525700</v>
      </c>
      <c r="H56" s="80">
        <f>SUM(H52:H55)</f>
        <v>110500</v>
      </c>
      <c r="I56" s="260">
        <f>SUM(I52:I55)</f>
        <v>118700</v>
      </c>
      <c r="J56" s="80">
        <f>SUM(J52:J55)</f>
        <v>754800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9.4</v>
      </c>
      <c r="G60" s="80">
        <f>SUM(G56:G59)</f>
        <v>525700</v>
      </c>
      <c r="H60" s="80">
        <f>SUM(H56:H59)</f>
        <v>110500</v>
      </c>
      <c r="I60" s="260">
        <f>SUM(I56:I59)</f>
        <v>118700</v>
      </c>
      <c r="J60" s="80">
        <f>SUM(J56:J59)</f>
        <v>754800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9.4</v>
      </c>
      <c r="G67" s="80">
        <f>SUM(G60:G64)</f>
        <v>525700</v>
      </c>
      <c r="H67" s="80">
        <f>SUM(H60:H64)</f>
        <v>110500</v>
      </c>
      <c r="I67" s="80">
        <f>SUM(I60:I64)</f>
        <v>118700</v>
      </c>
      <c r="J67" s="80">
        <f>SUM(J60:J64)</f>
        <v>754800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-1300</v>
      </c>
      <c r="J69" s="287">
        <f>SUM(G69:I69)</f>
        <v>-1300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4900</v>
      </c>
      <c r="H72" s="287"/>
      <c r="I72" s="287">
        <f>ROUND(($G72*PermVBBY+$G72*Retire1BY),-2)</f>
        <v>1100</v>
      </c>
      <c r="J72" s="113">
        <f>SUM(G72:I72)</f>
        <v>6000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9.4</v>
      </c>
      <c r="G75" s="80">
        <f>SUM(G67:G74)</f>
        <v>530600</v>
      </c>
      <c r="H75" s="80">
        <f>SUM(H67:H74)</f>
        <v>110500</v>
      </c>
      <c r="I75" s="80">
        <f>SUM(I67:I74)</f>
        <v>118500</v>
      </c>
      <c r="J75" s="80">
        <f>SUM(J67:K74)</f>
        <v>759500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9.4</v>
      </c>
      <c r="G80" s="80">
        <f>SUM(G75:G79)</f>
        <v>530600</v>
      </c>
      <c r="H80" s="80">
        <f>SUM(H75:H79)</f>
        <v>110500</v>
      </c>
      <c r="I80" s="80">
        <f>SUM(I75:I79)</f>
        <v>118500</v>
      </c>
      <c r="J80" s="80">
        <f>SUM(J75:J79)</f>
        <v>759500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121" priority="5">
      <formula>$J$44&lt;0</formula>
    </cfRule>
  </conditionalFormatting>
  <conditionalFormatting sqref="K43">
    <cfRule type="expression" dxfId="120" priority="4">
      <formula>$J$43&lt;0</formula>
    </cfRule>
  </conditionalFormatting>
  <conditionalFormatting sqref="L16">
    <cfRule type="expression" dxfId="119" priority="3">
      <formula>$J$16&lt;0</formula>
    </cfRule>
  </conditionalFormatting>
  <conditionalFormatting sqref="K45">
    <cfRule type="expression" dxfId="118" priority="2">
      <formula>$J$44&lt;0</formula>
    </cfRule>
  </conditionalFormatting>
  <conditionalFormatting sqref="K43:N45">
    <cfRule type="containsText" dxfId="11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5364413-60E2-453D-9902-DB0D2B86547F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FCE7B-B9D9-4737-9985-7F0DC2940D6D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1531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1525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1010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1529</v>
      </c>
      <c r="J5" s="404"/>
      <c r="K5" s="404"/>
      <c r="L5" s="403"/>
      <c r="M5" s="352" t="s">
        <v>115</v>
      </c>
      <c r="N5" s="32" t="s">
        <v>1530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"&amp;'AGAE|0330-12'!FiscalYear-1&amp;" SALARY"</f>
        <v>FY 2022 SALARY</v>
      </c>
      <c r="H8" s="50" t="str">
        <f>"FY "&amp;'AGAE|0330-12'!FiscalYear-1&amp;" HEALTH BENEFITS"</f>
        <v>FY 2022 HEALTH BENEFITS</v>
      </c>
      <c r="I8" s="50" t="str">
        <f>"FY "&amp;'AGAE|0330-12'!FiscalYear-1&amp;" VAR BENEFITS"</f>
        <v>FY 2022 VAR BENEFITS</v>
      </c>
      <c r="J8" s="50" t="str">
        <f>"FY "&amp;'AGAE|0330-12'!FiscalYear-1&amp;" TOTAL"</f>
        <v>FY 2022 TOTAL</v>
      </c>
      <c r="K8" s="50" t="str">
        <f>"FY "&amp;'AGAE|0330-12'!FiscalYear&amp;" SALARY CHANGE"</f>
        <v>FY 2023 SALARY CHANGE</v>
      </c>
      <c r="L8" s="50" t="str">
        <f>"FY "&amp;'AGAE|0330-12'!FiscalYear&amp;" CHG HEALTH BENEFITS"</f>
        <v>FY 2023 CHG HEALTH BENEFITS</v>
      </c>
      <c r="M8" s="50" t="str">
        <f>"FY "&amp;'AGAE|0330-12'!FiscalYear&amp;"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[0]!AGAE033012col_INC_FTI</f>
        <v>3.7</v>
      </c>
      <c r="G10" s="218">
        <f>[0]!AGAE033012col_FTI_SALARY_PERM</f>
        <v>219941.28</v>
      </c>
      <c r="H10" s="218">
        <f>[0]!AGAE033012col_HEALTH_PERM</f>
        <v>43105</v>
      </c>
      <c r="I10" s="218">
        <f>[0]!AGAE033012col_TOT_VB_PERM</f>
        <v>49788.107553599984</v>
      </c>
      <c r="J10" s="219">
        <f>SUM(G10:I10)</f>
        <v>312834.38755360001</v>
      </c>
      <c r="K10" s="219">
        <f>[0]!AGAE033012col_1_27TH_PP</f>
        <v>0</v>
      </c>
      <c r="L10" s="218">
        <f>[0]!AGAE033012col_HEALTH_PERM_CHG</f>
        <v>0</v>
      </c>
      <c r="M10" s="218">
        <f>[0]!AGAE033012col_TOT_VB_PERM_CHG</f>
        <v>-571.84732799999961</v>
      </c>
      <c r="N10" s="218">
        <f>SUM(L10:M10)</f>
        <v>-571.84732799999961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2200</v>
      </c>
      <c r="AB10" s="335">
        <f>ROUND(PermVarBen*CECPerm+(CECPerm*PermVarBenChg),-2)</f>
        <v>500</v>
      </c>
      <c r="AC10" s="335">
        <f>SUM(AA10:AB10)</f>
        <v>2700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[0]!AGAE033012col_Group_Salary</f>
        <v>4536</v>
      </c>
      <c r="H11" s="218">
        <v>0</v>
      </c>
      <c r="I11" s="218">
        <f>[0]!AGAE033012col_Group_Ben</f>
        <v>385.59</v>
      </c>
      <c r="J11" s="219">
        <f>SUM(G11:I11)</f>
        <v>4921.59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[0]!AGAE033012col_TOTAL_ELECT_PCN_FTI</f>
        <v>0</v>
      </c>
      <c r="G12" s="218">
        <f>[0]!AGAE033012col_FTI_SALARY_ELECT</f>
        <v>0</v>
      </c>
      <c r="H12" s="218">
        <f>[0]!AGAE033012col_HEALTH_ELECT</f>
        <v>0</v>
      </c>
      <c r="I12" s="218">
        <f>[0]!AGAE033012col_TOT_VB_ELECT</f>
        <v>0</v>
      </c>
      <c r="J12" s="219">
        <f>SUM(G12:I12)</f>
        <v>0</v>
      </c>
      <c r="K12" s="268"/>
      <c r="L12" s="218">
        <f>[0]!AGAE033012col_HEALTH_ELECT_CHG</f>
        <v>0</v>
      </c>
      <c r="M12" s="218">
        <f>[0]!AGAE033012col_TOT_VB_ELECT_CHG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3.7</v>
      </c>
      <c r="G13" s="221">
        <f>SUM(G10:G12)</f>
        <v>224477.28</v>
      </c>
      <c r="H13" s="221">
        <f>SUM(H10:H12)</f>
        <v>43105</v>
      </c>
      <c r="I13" s="221">
        <f>SUM(I10:I12)</f>
        <v>50173.697553599981</v>
      </c>
      <c r="J13" s="219">
        <f>SUM(G13:I13)</f>
        <v>317755.97755359998</v>
      </c>
      <c r="K13" s="268"/>
      <c r="L13" s="219">
        <f>SUM(L10:L12)</f>
        <v>0</v>
      </c>
      <c r="M13" s="219">
        <f>SUM(M10:M12)</f>
        <v>-571.84732799999961</v>
      </c>
      <c r="N13" s="219">
        <f>SUM(N10:N12)</f>
        <v>-571.84732799999961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"&amp;'AGAE|0330-12'!FiscalYear-1</f>
        <v>FY 2022</v>
      </c>
      <c r="D15" s="158" t="s">
        <v>31</v>
      </c>
      <c r="E15" s="355">
        <v>469200</v>
      </c>
      <c r="F15" s="55">
        <v>5.45</v>
      </c>
      <c r="G15" s="223">
        <f>IF(OrigApprop=0,0,(G13/$J$13)*OrigApprop)</f>
        <v>331464.22794905101</v>
      </c>
      <c r="H15" s="223">
        <f>IF(OrigApprop=0,0,(H13/$J$13)*OrigApprop)</f>
        <v>63649.049675512113</v>
      </c>
      <c r="I15" s="223">
        <f>IF(G15=0,0,(I13/$J$13)*OrigApprop)</f>
        <v>74086.722375436875</v>
      </c>
      <c r="J15" s="223">
        <f>SUM(G15:I15)</f>
        <v>469200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1.75</v>
      </c>
      <c r="G16" s="162">
        <f>G15-G13</f>
        <v>106986.94794905101</v>
      </c>
      <c r="H16" s="162">
        <f>H15-H13</f>
        <v>20544.049675512113</v>
      </c>
      <c r="I16" s="162">
        <f>I15-I13</f>
        <v>23913.024821836894</v>
      </c>
      <c r="J16" s="162">
        <f>J15-J13</f>
        <v>151444.02244640002</v>
      </c>
      <c r="K16" s="269"/>
      <c r="L16" s="56" t="str">
        <f>IF('AGAE|0330-12'!OrigApprop=0,"ERROR! Enter Original Appropriation amount in DU 3.00!","Calculated "&amp;IF('AGAE|0330-12'!AdjustedTotal&gt;0,"overfunding ","underfunding ")&amp;"is "&amp;TEXT('AGAE|0330-12'!AdjustedTotal/'AGAE|0330-12'!AppropTotal,"#.0%;(#.0% );0% ;")&amp;" of Original Appropriation")</f>
        <v>Calculated overfunding is 32.3%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3.7</v>
      </c>
      <c r="G38" s="191">
        <f>SUMIF($E10:$E35,$E38,$G10:$G35)</f>
        <v>219941.28</v>
      </c>
      <c r="H38" s="192">
        <f>SUMIF($E10:$E35,$E38,$H10:$H35)</f>
        <v>43105</v>
      </c>
      <c r="I38" s="192">
        <f>SUMIF($E10:$E35,$E38,$I10:$I35)</f>
        <v>49788.107553599984</v>
      </c>
      <c r="J38" s="192">
        <f>SUM(G38:I38)</f>
        <v>312834.38755360001</v>
      </c>
      <c r="K38" s="166"/>
      <c r="L38" s="191">
        <f>SUMIF($E10:$E35,$E38,$L10:$L35)</f>
        <v>0</v>
      </c>
      <c r="M38" s="192">
        <f>SUMIF($E10:$E35,$E38,$M10:$M35)</f>
        <v>-571.84732799999961</v>
      </c>
      <c r="N38" s="192">
        <f>SUM(L38:M38)</f>
        <v>-571.84732799999961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2200</v>
      </c>
      <c r="AB38" s="338">
        <f>ROUND((AdjPermVB*CECPerm+AdjPermVBBY*CECPerm),-2)</f>
        <v>500</v>
      </c>
      <c r="AC38" s="338">
        <f>SUM(AA38:AB38)</f>
        <v>2700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4536</v>
      </c>
      <c r="H39" s="152">
        <f>SUMIF($E10:$E35,$E39,$H10:$H35)</f>
        <v>0</v>
      </c>
      <c r="I39" s="152">
        <f>SUMIF($E10:$E35,$E39,$I10:$I35)</f>
        <v>385.59</v>
      </c>
      <c r="J39" s="152">
        <f>SUM(G39:I39)</f>
        <v>4921.59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3.7</v>
      </c>
      <c r="G41" s="195">
        <f>SUM($G$38:$G$40)</f>
        <v>224477.28</v>
      </c>
      <c r="H41" s="162">
        <f>SUM($H$38:$H$40)</f>
        <v>43105</v>
      </c>
      <c r="I41" s="162">
        <f>SUM($I$38:$I$40)</f>
        <v>50173.697553599981</v>
      </c>
      <c r="J41" s="162">
        <f>SUM($J$38:$J$40)</f>
        <v>317755.97755360004</v>
      </c>
      <c r="K41" s="259"/>
      <c r="L41" s="195">
        <f>SUM($L$38:$L$40)</f>
        <v>0</v>
      </c>
      <c r="M41" s="162">
        <f>SUM($M$38:$M$40)</f>
        <v>-571.84732799999961</v>
      </c>
      <c r="N41" s="162">
        <f>SUM(L41:M41)</f>
        <v>-571.84732799999961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1.75</v>
      </c>
      <c r="G43" s="206">
        <f>ROUND(G51-G41,-2)</f>
        <v>107000</v>
      </c>
      <c r="H43" s="159">
        <f>ROUND(H51-H41,-2)</f>
        <v>20500</v>
      </c>
      <c r="I43" s="159">
        <f>ROUND(I51-I41,-2)</f>
        <v>23900</v>
      </c>
      <c r="J43" s="159">
        <f>SUM(G43:I43)</f>
        <v>151400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overfunding is 32.3%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1.75</v>
      </c>
      <c r="G44" s="206">
        <f>ROUND(G60-G41,-2)</f>
        <v>107000</v>
      </c>
      <c r="H44" s="159">
        <f>ROUND(H60-H41,-2)</f>
        <v>20500</v>
      </c>
      <c r="I44" s="159">
        <f>ROUND(I60-I41,-2)</f>
        <v>23900</v>
      </c>
      <c r="J44" s="159">
        <f>SUM(G44:I44)</f>
        <v>151400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overfunding is 32.3%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1.75</v>
      </c>
      <c r="G45" s="206">
        <f>ROUND(G67-G41-G63,-2)</f>
        <v>107000</v>
      </c>
      <c r="H45" s="206">
        <f>ROUND(H67-H41-H63,-2)</f>
        <v>20500</v>
      </c>
      <c r="I45" s="206">
        <f>ROUND(I67-I41-I63,-2)</f>
        <v>23900</v>
      </c>
      <c r="J45" s="159">
        <f>SUM(G45:I45)</f>
        <v>151400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32.3%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/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469200</v>
      </c>
      <c r="F51" s="272">
        <f>AppropFTP</f>
        <v>5.45</v>
      </c>
      <c r="G51" s="274">
        <f>IF(E51=0,0,(G41/$J$41)*$E$51)</f>
        <v>331464.22794905095</v>
      </c>
      <c r="H51" s="274">
        <f>IF(E51=0,0,(H41/$J$41)*$E$51)</f>
        <v>63649.049675512113</v>
      </c>
      <c r="I51" s="275">
        <f>IF(E51=0,0,(I41/$J$41)*$E$51)</f>
        <v>74086.722375436861</v>
      </c>
      <c r="J51" s="90">
        <f>SUM(G51:I51)</f>
        <v>469199.99999999994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5.45</v>
      </c>
      <c r="G52" s="79">
        <f>ROUND(G51,-2)</f>
        <v>331500</v>
      </c>
      <c r="H52" s="79">
        <f>ROUND(H51,-2)</f>
        <v>63600</v>
      </c>
      <c r="I52" s="266">
        <f>ROUND(I51,-2)</f>
        <v>74100</v>
      </c>
      <c r="J52" s="80">
        <f>ROUND(J51,-2)</f>
        <v>469200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5.45</v>
      </c>
      <c r="G56" s="80">
        <f>SUM(G52:G55)</f>
        <v>331500</v>
      </c>
      <c r="H56" s="80">
        <f>SUM(H52:H55)</f>
        <v>63600</v>
      </c>
      <c r="I56" s="260">
        <f>SUM(I52:I55)</f>
        <v>74100</v>
      </c>
      <c r="J56" s="80">
        <f>SUM(J52:J55)</f>
        <v>469200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5.45</v>
      </c>
      <c r="G60" s="80">
        <f>SUM(G56:G59)</f>
        <v>331500</v>
      </c>
      <c r="H60" s="80">
        <f>SUM(H56:H59)</f>
        <v>63600</v>
      </c>
      <c r="I60" s="260">
        <f>SUM(I56:I59)</f>
        <v>74100</v>
      </c>
      <c r="J60" s="80">
        <f>SUM(J56:J59)</f>
        <v>469200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5.45</v>
      </c>
      <c r="G67" s="80">
        <f>SUM(G60:G64)</f>
        <v>331500</v>
      </c>
      <c r="H67" s="80">
        <f>SUM(H60:H64)</f>
        <v>63600</v>
      </c>
      <c r="I67" s="80">
        <f>SUM(I60:I64)</f>
        <v>74100</v>
      </c>
      <c r="J67" s="80">
        <f>SUM(J60:J64)</f>
        <v>469200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-600</v>
      </c>
      <c r="J69" s="287">
        <f>SUM(G69:I69)</f>
        <v>-600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2200</v>
      </c>
      <c r="H72" s="287"/>
      <c r="I72" s="287">
        <f>ROUND(($G72*PermVBBY+$G72*Retire1BY),-2)</f>
        <v>500</v>
      </c>
      <c r="J72" s="113">
        <f>SUM(G72:I72)</f>
        <v>2700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5.45</v>
      </c>
      <c r="G75" s="80">
        <f>SUM(G67:G74)</f>
        <v>333700</v>
      </c>
      <c r="H75" s="80">
        <f>SUM(H67:H74)</f>
        <v>63600</v>
      </c>
      <c r="I75" s="80">
        <f>SUM(I67:I74)</f>
        <v>74000</v>
      </c>
      <c r="J75" s="80">
        <f>SUM(J67:K74)</f>
        <v>471300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5.45</v>
      </c>
      <c r="G80" s="80">
        <f>SUM(G75:G79)</f>
        <v>333700</v>
      </c>
      <c r="H80" s="80">
        <f>SUM(H75:H79)</f>
        <v>63600</v>
      </c>
      <c r="I80" s="80">
        <f>SUM(I75:I79)</f>
        <v>74000</v>
      </c>
      <c r="J80" s="80">
        <f>SUM(J75:J79)</f>
        <v>471300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116" priority="5">
      <formula>$J$44&lt;0</formula>
    </cfRule>
  </conditionalFormatting>
  <conditionalFormatting sqref="K43">
    <cfRule type="expression" dxfId="115" priority="4">
      <formula>$J$43&lt;0</formula>
    </cfRule>
  </conditionalFormatting>
  <conditionalFormatting sqref="L16">
    <cfRule type="expression" dxfId="114" priority="3">
      <formula>$J$16&lt;0</formula>
    </cfRule>
  </conditionalFormatting>
  <conditionalFormatting sqref="K45">
    <cfRule type="expression" dxfId="113" priority="2">
      <formula>$J$44&lt;0</formula>
    </cfRule>
  </conditionalFormatting>
  <conditionalFormatting sqref="K43:N45">
    <cfRule type="containsText" dxfId="11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C0201B9-B650-4E14-A425-1A8B76B2ADD0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B4273-CDD9-48B3-8F73-CF74EEADABE5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1537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1525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1010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1535</v>
      </c>
      <c r="J5" s="404"/>
      <c r="K5" s="404"/>
      <c r="L5" s="403"/>
      <c r="M5" s="352" t="s">
        <v>115</v>
      </c>
      <c r="N5" s="32" t="s">
        <v>1536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"&amp;'AGAE|0332-10'!FiscalYear-1&amp;" SALARY"</f>
        <v>FY 2022 SALARY</v>
      </c>
      <c r="H8" s="50" t="str">
        <f>"FY "&amp;'AGAE|0332-10'!FiscalYear-1&amp;" HEALTH BENEFITS"</f>
        <v>FY 2022 HEALTH BENEFITS</v>
      </c>
      <c r="I8" s="50" t="str">
        <f>"FY "&amp;'AGAE|0332-10'!FiscalYear-1&amp;" VAR BENEFITS"</f>
        <v>FY 2022 VAR BENEFITS</v>
      </c>
      <c r="J8" s="50" t="str">
        <f>"FY "&amp;'AGAE|0332-10'!FiscalYear-1&amp;" TOTAL"</f>
        <v>FY 2022 TOTAL</v>
      </c>
      <c r="K8" s="50" t="str">
        <f>"FY "&amp;'AGAE|0332-10'!FiscalYear&amp;" SALARY CHANGE"</f>
        <v>FY 2023 SALARY CHANGE</v>
      </c>
      <c r="L8" s="50" t="str">
        <f>"FY "&amp;'AGAE|0332-10'!FiscalYear&amp;" CHG HEALTH BENEFITS"</f>
        <v>FY 2023 CHG HEALTH BENEFITS</v>
      </c>
      <c r="M8" s="50" t="str">
        <f>"FY "&amp;'AGAE|0332-10'!FiscalYear&amp;"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[0]!AGAE033210col_INC_FTI</f>
        <v>8</v>
      </c>
      <c r="G10" s="218">
        <f>[0]!AGAE033210col_FTI_SALARY_PERM</f>
        <v>397737.6</v>
      </c>
      <c r="H10" s="218">
        <f>[0]!AGAE033210col_HEALTH_PERM</f>
        <v>93200</v>
      </c>
      <c r="I10" s="218">
        <f>[0]!AGAE033210col_TOT_VB_PERM</f>
        <v>90035.860511999985</v>
      </c>
      <c r="J10" s="219">
        <f>SUM(G10:I10)</f>
        <v>580973.4605119999</v>
      </c>
      <c r="K10" s="219">
        <f>[0]!AGAE033210col_1_27TH_PP</f>
        <v>0</v>
      </c>
      <c r="L10" s="218">
        <f>[0]!AGAE033210col_HEALTH_PERM_CHG</f>
        <v>0</v>
      </c>
      <c r="M10" s="218">
        <f>[0]!AGAE033210col_TOT_VB_PERM_CHG</f>
        <v>-1034.1177599999992</v>
      </c>
      <c r="N10" s="218">
        <f>SUM(L10:M10)</f>
        <v>-1034.1177599999992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4000</v>
      </c>
      <c r="AB10" s="335">
        <f>ROUND(PermVarBen*CECPerm+(CECPerm*PermVarBenChg),-2)</f>
        <v>900</v>
      </c>
      <c r="AC10" s="335">
        <f>SUM(AA10:AB10)</f>
        <v>4900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[0]!AGAE033210col_Group_Salary</f>
        <v>24.75</v>
      </c>
      <c r="H11" s="218">
        <v>0</v>
      </c>
      <c r="I11" s="218">
        <f>[0]!AGAE033210col_Group_Ben</f>
        <v>14.92</v>
      </c>
      <c r="J11" s="219">
        <f>SUM(G11:I11)</f>
        <v>39.67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[0]!AGAE033210col_TOTAL_ELECT_PCN_FTI</f>
        <v>0</v>
      </c>
      <c r="G12" s="218">
        <f>[0]!AGAE033210col_FTI_SALARY_ELECT</f>
        <v>0</v>
      </c>
      <c r="H12" s="218">
        <f>[0]!AGAE033210col_HEALTH_ELECT</f>
        <v>0</v>
      </c>
      <c r="I12" s="218">
        <f>[0]!AGAE033210col_TOT_VB_ELECT</f>
        <v>0</v>
      </c>
      <c r="J12" s="219">
        <f>SUM(G12:I12)</f>
        <v>0</v>
      </c>
      <c r="K12" s="268"/>
      <c r="L12" s="218">
        <f>[0]!AGAE033210col_HEALTH_ELECT_CHG</f>
        <v>0</v>
      </c>
      <c r="M12" s="218">
        <f>[0]!AGAE033210col_TOT_VB_ELECT_CHG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8</v>
      </c>
      <c r="G13" s="221">
        <f>SUM(G10:G12)</f>
        <v>397762.35</v>
      </c>
      <c r="H13" s="221">
        <f>SUM(H10:H12)</f>
        <v>93200</v>
      </c>
      <c r="I13" s="221">
        <f>SUM(I10:I12)</f>
        <v>90050.780511999983</v>
      </c>
      <c r="J13" s="219">
        <f>SUM(G13:I13)</f>
        <v>581013.13051199995</v>
      </c>
      <c r="K13" s="268"/>
      <c r="L13" s="219">
        <f>SUM(L10:L12)</f>
        <v>0</v>
      </c>
      <c r="M13" s="219">
        <f>SUM(M10:M12)</f>
        <v>-1034.1177599999992</v>
      </c>
      <c r="N13" s="219">
        <f>SUM(N10:N12)</f>
        <v>-1034.1177599999992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"&amp;'AGAE|0332-10'!FiscalYear-1</f>
        <v>FY 2022</v>
      </c>
      <c r="D15" s="158" t="s">
        <v>31</v>
      </c>
      <c r="E15" s="355">
        <v>559400</v>
      </c>
      <c r="F15" s="55">
        <v>7</v>
      </c>
      <c r="G15" s="223">
        <f>IF(OrigApprop=0,0,(G13/$J$13)*OrigApprop)</f>
        <v>382965.97254854022</v>
      </c>
      <c r="H15" s="223">
        <f>IF(OrigApprop=0,0,(H13/$J$13)*OrigApprop)</f>
        <v>89733.049499340385</v>
      </c>
      <c r="I15" s="223">
        <f>IF(G15=0,0,(I13/$J$13)*OrigApprop)</f>
        <v>86700.977952119429</v>
      </c>
      <c r="J15" s="223">
        <f>SUM(G15:I15)</f>
        <v>559400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-1</v>
      </c>
      <c r="G16" s="162">
        <f>G15-G13</f>
        <v>-14796.377451459761</v>
      </c>
      <c r="H16" s="162">
        <f>H15-H13</f>
        <v>-3466.9505006596155</v>
      </c>
      <c r="I16" s="162">
        <f>I15-I13</f>
        <v>-3349.8025598805543</v>
      </c>
      <c r="J16" s="162">
        <f>J15-J13</f>
        <v>-21613.130511999945</v>
      </c>
      <c r="K16" s="269"/>
      <c r="L16" s="56" t="str">
        <f>IF('AGAE|0332-10'!OrigApprop=0,"ERROR! Enter Original Appropriation amount in DU 3.00!","Calculated "&amp;IF('AGAE|0332-10'!AdjustedTotal&gt;0,"overfunding ","underfunding ")&amp;"is "&amp;TEXT('AGAE|0332-10'!AdjustedTotal/'AGAE|0332-10'!AppropTotal,"#.0%;(#.0% );0% ;")&amp;" of Original Appropriation")</f>
        <v>Calculated underfunding is (3.9% )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8</v>
      </c>
      <c r="G38" s="191">
        <f>SUMIF($E10:$E35,$E38,$G10:$G35)</f>
        <v>397737.6</v>
      </c>
      <c r="H38" s="192">
        <f>SUMIF($E10:$E35,$E38,$H10:$H35)</f>
        <v>93200</v>
      </c>
      <c r="I38" s="192">
        <f>SUMIF($E10:$E35,$E38,$I10:$I35)</f>
        <v>90035.860511999985</v>
      </c>
      <c r="J38" s="192">
        <f>SUM(G38:I38)</f>
        <v>580973.4605119999</v>
      </c>
      <c r="K38" s="166"/>
      <c r="L38" s="191">
        <f>SUMIF($E10:$E35,$E38,$L10:$L35)</f>
        <v>0</v>
      </c>
      <c r="M38" s="192">
        <f>SUMIF($E10:$E35,$E38,$M10:$M35)</f>
        <v>-1034.1177599999992</v>
      </c>
      <c r="N38" s="192">
        <f>SUM(L38:M38)</f>
        <v>-1034.1177599999992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4000</v>
      </c>
      <c r="AB38" s="338">
        <f>ROUND((AdjPermVB*CECPerm+AdjPermVBBY*CECPerm),-2)</f>
        <v>900</v>
      </c>
      <c r="AC38" s="338">
        <f>SUM(AA38:AB38)</f>
        <v>4900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24.75</v>
      </c>
      <c r="H39" s="152">
        <f>SUMIF($E10:$E35,$E39,$H10:$H35)</f>
        <v>0</v>
      </c>
      <c r="I39" s="152">
        <f>SUMIF($E10:$E35,$E39,$I10:$I35)</f>
        <v>14.92</v>
      </c>
      <c r="J39" s="152">
        <f>SUM(G39:I39)</f>
        <v>39.67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8</v>
      </c>
      <c r="G41" s="195">
        <f>SUM($G$38:$G$40)</f>
        <v>397762.35</v>
      </c>
      <c r="H41" s="162">
        <f>SUM($H$38:$H$40)</f>
        <v>93200</v>
      </c>
      <c r="I41" s="162">
        <f>SUM($I$38:$I$40)</f>
        <v>90050.780511999983</v>
      </c>
      <c r="J41" s="162">
        <f>SUM($J$38:$J$40)</f>
        <v>581013.13051199995</v>
      </c>
      <c r="K41" s="259"/>
      <c r="L41" s="195">
        <f>SUM($L$38:$L$40)</f>
        <v>0</v>
      </c>
      <c r="M41" s="162">
        <f>SUM($M$38:$M$40)</f>
        <v>-1034.1177599999992</v>
      </c>
      <c r="N41" s="162">
        <f>SUM(L41:M41)</f>
        <v>-1034.1177599999992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-1</v>
      </c>
      <c r="G43" s="206">
        <f>ROUND(G51-G41,-2)</f>
        <v>-14800</v>
      </c>
      <c r="H43" s="159">
        <f>ROUND(H51-H41,-2)</f>
        <v>-3500</v>
      </c>
      <c r="I43" s="159">
        <f>ROUND(I51-I41,-2)</f>
        <v>-3300</v>
      </c>
      <c r="J43" s="159">
        <f>SUM(G43:I43)</f>
        <v>-21600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underfunding is (3.9% )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-1</v>
      </c>
      <c r="G44" s="206">
        <f>ROUND(G60-G41,-2)</f>
        <v>-14800</v>
      </c>
      <c r="H44" s="159">
        <f>ROUND(H60-H41,-2)</f>
        <v>-3500</v>
      </c>
      <c r="I44" s="159">
        <f>ROUND(I60-I41,-2)</f>
        <v>-3400</v>
      </c>
      <c r="J44" s="159">
        <f>SUM(G44:I44)</f>
        <v>-21700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underfunding is (3.9% )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-1</v>
      </c>
      <c r="G45" s="206">
        <f>ROUND(G67-G41-G63,-2)</f>
        <v>-14800</v>
      </c>
      <c r="H45" s="206">
        <f>ROUND(H67-H41-H63,-2)</f>
        <v>-3500</v>
      </c>
      <c r="I45" s="206">
        <f>ROUND(I67-I41-I63,-2)</f>
        <v>-3400</v>
      </c>
      <c r="J45" s="159">
        <f>SUM(G45:I45)</f>
        <v>-21700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underfunding is (3.9% )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559400</v>
      </c>
      <c r="F51" s="272">
        <f>AppropFTP</f>
        <v>7</v>
      </c>
      <c r="G51" s="274">
        <f>IF(E51=0,0,(G41/$J$41)*$E$51)</f>
        <v>382965.97254854022</v>
      </c>
      <c r="H51" s="274">
        <f>IF(E51=0,0,(H41/$J$41)*$E$51)</f>
        <v>89733.049499340385</v>
      </c>
      <c r="I51" s="275">
        <f>IF(E51=0,0,(I41/$J$41)*$E$51)</f>
        <v>86700.977952119429</v>
      </c>
      <c r="J51" s="90">
        <f>SUM(G51:I51)</f>
        <v>559400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7</v>
      </c>
      <c r="G52" s="79">
        <f>ROUND(G51,-2)</f>
        <v>383000</v>
      </c>
      <c r="H52" s="79">
        <f>ROUND(H51,-2)</f>
        <v>89700</v>
      </c>
      <c r="I52" s="266">
        <f>ROUND(I51,-2)</f>
        <v>86700</v>
      </c>
      <c r="J52" s="80">
        <f>ROUND(J51,-2)</f>
        <v>559400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7</v>
      </c>
      <c r="G56" s="80">
        <f>SUM(G52:G55)</f>
        <v>383000</v>
      </c>
      <c r="H56" s="80">
        <f>SUM(H52:H55)</f>
        <v>89700</v>
      </c>
      <c r="I56" s="260">
        <f>SUM(I52:I55)</f>
        <v>86700</v>
      </c>
      <c r="J56" s="80">
        <f>SUM(J52:J55)</f>
        <v>559400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7</v>
      </c>
      <c r="G60" s="80">
        <f>SUM(G56:G59)</f>
        <v>383000</v>
      </c>
      <c r="H60" s="80">
        <f>SUM(H56:H59)</f>
        <v>89700</v>
      </c>
      <c r="I60" s="260">
        <f>SUM(I56:I59)</f>
        <v>86700</v>
      </c>
      <c r="J60" s="80">
        <f>SUM(J56:J59)</f>
        <v>559400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7</v>
      </c>
      <c r="G67" s="80">
        <f>SUM(G60:G64)</f>
        <v>383000</v>
      </c>
      <c r="H67" s="80">
        <f>SUM(H60:H64)</f>
        <v>89700</v>
      </c>
      <c r="I67" s="80">
        <f>SUM(I60:I64)</f>
        <v>86700</v>
      </c>
      <c r="J67" s="80">
        <f>SUM(J60:J64)</f>
        <v>559400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-1000</v>
      </c>
      <c r="J69" s="287">
        <f>SUM(G69:I69)</f>
        <v>-1000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4000</v>
      </c>
      <c r="H72" s="287"/>
      <c r="I72" s="287">
        <f>ROUND(($G72*PermVBBY+$G72*Retire1BY),-2)</f>
        <v>900</v>
      </c>
      <c r="J72" s="113">
        <f>SUM(G72:I72)</f>
        <v>4900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7</v>
      </c>
      <c r="G75" s="80">
        <f>SUM(G67:G74)</f>
        <v>387000</v>
      </c>
      <c r="H75" s="80">
        <f>SUM(H67:H74)</f>
        <v>89700</v>
      </c>
      <c r="I75" s="80">
        <f>SUM(I67:I74)</f>
        <v>86600</v>
      </c>
      <c r="J75" s="80">
        <f>SUM(J67:K74)</f>
        <v>563300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7</v>
      </c>
      <c r="G80" s="80">
        <f>SUM(G75:G79)</f>
        <v>387000</v>
      </c>
      <c r="H80" s="80">
        <f>SUM(H75:H79)</f>
        <v>89700</v>
      </c>
      <c r="I80" s="80">
        <f>SUM(I75:I79)</f>
        <v>86600</v>
      </c>
      <c r="J80" s="80">
        <f>SUM(J75:J79)</f>
        <v>563300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111" priority="5">
      <formula>$J$44&lt;0</formula>
    </cfRule>
  </conditionalFormatting>
  <conditionalFormatting sqref="K43">
    <cfRule type="expression" dxfId="110" priority="4">
      <formula>$J$43&lt;0</formula>
    </cfRule>
  </conditionalFormatting>
  <conditionalFormatting sqref="L16">
    <cfRule type="expression" dxfId="109" priority="3">
      <formula>$J$16&lt;0</formula>
    </cfRule>
  </conditionalFormatting>
  <conditionalFormatting sqref="K45">
    <cfRule type="expression" dxfId="108" priority="2">
      <formula>$J$44&lt;0</formula>
    </cfRule>
  </conditionalFormatting>
  <conditionalFormatting sqref="K43:N45">
    <cfRule type="containsText" dxfId="10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1AB8F28-5C42-4BDE-A4DF-822B4CAC7DD8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E67FF-A8B0-4332-B0BA-DC6020AC5136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1444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1541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1101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1442</v>
      </c>
      <c r="J5" s="404"/>
      <c r="K5" s="404"/>
      <c r="L5" s="403"/>
      <c r="M5" s="352" t="s">
        <v>115</v>
      </c>
      <c r="N5" s="32" t="s">
        <v>1443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"&amp;'AGAF|0001-00'!FiscalYear-1&amp;" SALARY"</f>
        <v>FY 2022 SALARY</v>
      </c>
      <c r="H8" s="50" t="str">
        <f>"FY "&amp;'AGAF|0001-00'!FiscalYear-1&amp;" HEALTH BENEFITS"</f>
        <v>FY 2022 HEALTH BENEFITS</v>
      </c>
      <c r="I8" s="50" t="str">
        <f>"FY "&amp;'AGAF|0001-00'!FiscalYear-1&amp;" VAR BENEFITS"</f>
        <v>FY 2022 VAR BENEFITS</v>
      </c>
      <c r="J8" s="50" t="str">
        <f>"FY "&amp;'AGAF|0001-00'!FiscalYear-1&amp;" TOTAL"</f>
        <v>FY 2022 TOTAL</v>
      </c>
      <c r="K8" s="50" t="str">
        <f>"FY "&amp;'AGAF|0001-00'!FiscalYear&amp;" SALARY CHANGE"</f>
        <v>FY 2023 SALARY CHANGE</v>
      </c>
      <c r="L8" s="50" t="str">
        <f>"FY "&amp;'AGAF|0001-00'!FiscalYear&amp;" CHG HEALTH BENEFITS"</f>
        <v>FY 2023 CHG HEALTH BENEFITS</v>
      </c>
      <c r="M8" s="50" t="str">
        <f>"FY "&amp;'AGAF|0001-00'!FiscalYear&amp;"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[0]!AGAF000100col_INC_FTI</f>
        <v>3.75</v>
      </c>
      <c r="G10" s="218">
        <f>[0]!AGAF000100col_FTI_SALARY_PERM</f>
        <v>225778.8</v>
      </c>
      <c r="H10" s="218">
        <f>[0]!AGAF000100col_HEALTH_PERM</f>
        <v>46017.5</v>
      </c>
      <c r="I10" s="218">
        <f>[0]!AGAF000100col_TOT_VB_PERM</f>
        <v>51109.546955999991</v>
      </c>
      <c r="J10" s="219">
        <f>SUM(G10:I10)</f>
        <v>322905.84695599996</v>
      </c>
      <c r="K10" s="219">
        <f>[0]!AGAF000100col_1_27TH_PP</f>
        <v>0</v>
      </c>
      <c r="L10" s="218">
        <f>[0]!AGAF000100col_HEALTH_PERM_CHG</f>
        <v>0</v>
      </c>
      <c r="M10" s="218">
        <f>[0]!AGAF000100col_TOT_VB_PERM_CHG</f>
        <v>-587.0248799999996</v>
      </c>
      <c r="N10" s="218">
        <f>SUM(L10:M10)</f>
        <v>-587.0248799999996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2300</v>
      </c>
      <c r="AB10" s="335">
        <f>ROUND(PermVarBen*CECPerm+(CECPerm*PermVarBenChg),-2)</f>
        <v>500</v>
      </c>
      <c r="AC10" s="335">
        <f>SUM(AA10:AB10)</f>
        <v>2800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[0]!AGAF000100col_Group_Salary</f>
        <v>1951.5</v>
      </c>
      <c r="H11" s="218">
        <v>0</v>
      </c>
      <c r="I11" s="218">
        <f>[0]!AGAF000100col_Group_Ben</f>
        <v>187.55</v>
      </c>
      <c r="J11" s="219">
        <f>SUM(G11:I11)</f>
        <v>2139.0500000000002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[0]!AGAF000100col_TOTAL_ELECT_PCN_FTI</f>
        <v>0</v>
      </c>
      <c r="G12" s="218">
        <f>[0]!AGAF000100col_FTI_SALARY_ELECT</f>
        <v>0</v>
      </c>
      <c r="H12" s="218">
        <f>[0]!AGAF000100col_HEALTH_ELECT</f>
        <v>0</v>
      </c>
      <c r="I12" s="218">
        <f>[0]!AGAF000100col_TOT_VB_ELECT</f>
        <v>0</v>
      </c>
      <c r="J12" s="219">
        <f>SUM(G12:I12)</f>
        <v>0</v>
      </c>
      <c r="K12" s="268"/>
      <c r="L12" s="218">
        <f>[0]!AGAF000100col_HEALTH_ELECT_CHG</f>
        <v>0</v>
      </c>
      <c r="M12" s="218">
        <f>[0]!AGAF000100col_TOT_VB_ELECT_CHG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3.75</v>
      </c>
      <c r="G13" s="221">
        <f>SUM(G10:G12)</f>
        <v>227730.3</v>
      </c>
      <c r="H13" s="221">
        <f>SUM(H10:H12)</f>
        <v>46017.5</v>
      </c>
      <c r="I13" s="221">
        <f>SUM(I10:I12)</f>
        <v>51297.096955999994</v>
      </c>
      <c r="J13" s="219">
        <f>SUM(G13:I13)</f>
        <v>325044.89695600001</v>
      </c>
      <c r="K13" s="268"/>
      <c r="L13" s="219">
        <f>SUM(L10:L12)</f>
        <v>0</v>
      </c>
      <c r="M13" s="219">
        <f>SUM(M10:M12)</f>
        <v>-587.0248799999996</v>
      </c>
      <c r="N13" s="219">
        <f>SUM(N10:N12)</f>
        <v>-587.0248799999996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"&amp;'AGAF|0001-00'!FiscalYear-1</f>
        <v>FY 2022</v>
      </c>
      <c r="D15" s="158" t="s">
        <v>31</v>
      </c>
      <c r="E15" s="355">
        <v>458200</v>
      </c>
      <c r="F15" s="55">
        <v>5.61</v>
      </c>
      <c r="G15" s="223">
        <f>IF(OrigApprop=0,0,(G13/$J$13)*OrigApprop)</f>
        <v>321020.34038123937</v>
      </c>
      <c r="H15" s="223">
        <f>IF(OrigApprop=0,0,(H13/$J$13)*OrigApprop)</f>
        <v>64868.634140883674</v>
      </c>
      <c r="I15" s="223">
        <f>IF(G15=0,0,(I13/$J$13)*OrigApprop)</f>
        <v>72311.02547787693</v>
      </c>
      <c r="J15" s="223">
        <f>SUM(G15:I15)</f>
        <v>458200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1.8600000000000003</v>
      </c>
      <c r="G16" s="162">
        <f>G15-G13</f>
        <v>93290.040381239378</v>
      </c>
      <c r="H16" s="162">
        <f>H15-H13</f>
        <v>18851.134140883674</v>
      </c>
      <c r="I16" s="162">
        <f>I15-I13</f>
        <v>21013.928521876936</v>
      </c>
      <c r="J16" s="162">
        <f>J15-J13</f>
        <v>133155.10304399999</v>
      </c>
      <c r="K16" s="269"/>
      <c r="L16" s="56" t="str">
        <f>IF('AGAF|0001-00'!OrigApprop=0,"ERROR! Enter Original Appropriation amount in DU 3.00!","Calculated "&amp;IF('AGAF|0001-00'!AdjustedTotal&gt;0,"overfunding ","underfunding ")&amp;"is "&amp;TEXT('AGAF|0001-00'!AdjustedTotal/'AGAF|0001-00'!AppropTotal,"#.0%;(#.0% );0% ;")&amp;" of Original Appropriation")</f>
        <v>Calculated overfunding is 29.1%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3.75</v>
      </c>
      <c r="G38" s="191">
        <f>SUMIF($E10:$E35,$E38,$G10:$G35)</f>
        <v>225778.8</v>
      </c>
      <c r="H38" s="192">
        <f>SUMIF($E10:$E35,$E38,$H10:$H35)</f>
        <v>46017.5</v>
      </c>
      <c r="I38" s="192">
        <f>SUMIF($E10:$E35,$E38,$I10:$I35)</f>
        <v>51109.546955999991</v>
      </c>
      <c r="J38" s="192">
        <f>SUM(G38:I38)</f>
        <v>322905.84695599996</v>
      </c>
      <c r="K38" s="166"/>
      <c r="L38" s="191">
        <f>SUMIF($E10:$E35,$E38,$L10:$L35)</f>
        <v>0</v>
      </c>
      <c r="M38" s="192">
        <f>SUMIF($E10:$E35,$E38,$M10:$M35)</f>
        <v>-587.0248799999996</v>
      </c>
      <c r="N38" s="192">
        <f>SUM(L38:M38)</f>
        <v>-587.0248799999996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2300</v>
      </c>
      <c r="AB38" s="338">
        <f>ROUND((AdjPermVB*CECPerm+AdjPermVBBY*CECPerm),-2)</f>
        <v>500</v>
      </c>
      <c r="AC38" s="338">
        <f>SUM(AA38:AB38)</f>
        <v>2800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1951.5</v>
      </c>
      <c r="H39" s="152">
        <f>SUMIF($E10:$E35,$E39,$H10:$H35)</f>
        <v>0</v>
      </c>
      <c r="I39" s="152">
        <f>SUMIF($E10:$E35,$E39,$I10:$I35)</f>
        <v>187.55</v>
      </c>
      <c r="J39" s="152">
        <f>SUM(G39:I39)</f>
        <v>2139.0500000000002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3.75</v>
      </c>
      <c r="G41" s="195">
        <f>SUM($G$38:$G$40)</f>
        <v>227730.3</v>
      </c>
      <c r="H41" s="162">
        <f>SUM($H$38:$H$40)</f>
        <v>46017.5</v>
      </c>
      <c r="I41" s="162">
        <f>SUM($I$38:$I$40)</f>
        <v>51297.096955999994</v>
      </c>
      <c r="J41" s="162">
        <f>SUM($J$38:$J$40)</f>
        <v>325044.89695599995</v>
      </c>
      <c r="K41" s="259"/>
      <c r="L41" s="195">
        <f>SUM($L$38:$L$40)</f>
        <v>0</v>
      </c>
      <c r="M41" s="162">
        <f>SUM($M$38:$M$40)</f>
        <v>-587.0248799999996</v>
      </c>
      <c r="N41" s="162">
        <f>SUM(L41:M41)</f>
        <v>-587.0248799999996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1.86</v>
      </c>
      <c r="G43" s="206">
        <f>ROUND(G51-G41,-2)</f>
        <v>93300</v>
      </c>
      <c r="H43" s="159">
        <f>ROUND(H51-H41,-2)</f>
        <v>18900</v>
      </c>
      <c r="I43" s="159">
        <f>ROUND(I51-I41,-2)</f>
        <v>21000</v>
      </c>
      <c r="J43" s="159">
        <f>SUM(G43:I43)</f>
        <v>133200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overfunding is 29.1%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1.86</v>
      </c>
      <c r="G44" s="206">
        <f>ROUND(G60-G41,-2)</f>
        <v>93300</v>
      </c>
      <c r="H44" s="159">
        <f>ROUND(H60-H41,-2)</f>
        <v>18900</v>
      </c>
      <c r="I44" s="159">
        <f>ROUND(I60-I41,-2)</f>
        <v>21000</v>
      </c>
      <c r="J44" s="159">
        <f>SUM(G44:I44)</f>
        <v>133200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overfunding is 29.1%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1.86</v>
      </c>
      <c r="G45" s="206">
        <f>ROUND(G67-G41-G63,-2)</f>
        <v>93300</v>
      </c>
      <c r="H45" s="206">
        <f>ROUND(H67-H41-H63,-2)</f>
        <v>18900</v>
      </c>
      <c r="I45" s="206">
        <f>ROUND(I67-I41-I63,-2)</f>
        <v>21000</v>
      </c>
      <c r="J45" s="159">
        <f>SUM(G45:I45)</f>
        <v>133200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29.1%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/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458200</v>
      </c>
      <c r="F51" s="272">
        <f>AppropFTP</f>
        <v>5.61</v>
      </c>
      <c r="G51" s="274">
        <f>IF(E51=0,0,(G41/$J$41)*$E$51)</f>
        <v>321020.34038123942</v>
      </c>
      <c r="H51" s="274">
        <f>IF(E51=0,0,(H41/$J$41)*$E$51)</f>
        <v>64868.634140883689</v>
      </c>
      <c r="I51" s="275">
        <f>IF(E51=0,0,(I41/$J$41)*$E$51)</f>
        <v>72311.025477876945</v>
      </c>
      <c r="J51" s="90">
        <f>SUM(G51:I51)</f>
        <v>458200.00000000006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5.61</v>
      </c>
      <c r="G52" s="79">
        <f>ROUND(G51,-2)</f>
        <v>321000</v>
      </c>
      <c r="H52" s="79">
        <f>ROUND(H51,-2)</f>
        <v>64900</v>
      </c>
      <c r="I52" s="266">
        <f>ROUND(I51,-2)</f>
        <v>72300</v>
      </c>
      <c r="J52" s="80">
        <f>ROUND(J51,-2)</f>
        <v>458200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5.61</v>
      </c>
      <c r="G56" s="80">
        <f>SUM(G52:G55)</f>
        <v>321000</v>
      </c>
      <c r="H56" s="80">
        <f>SUM(H52:H55)</f>
        <v>64900</v>
      </c>
      <c r="I56" s="260">
        <f>SUM(I52:I55)</f>
        <v>72300</v>
      </c>
      <c r="J56" s="80">
        <f>SUM(J52:J55)</f>
        <v>458200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5.61</v>
      </c>
      <c r="G60" s="80">
        <f>SUM(G56:G59)</f>
        <v>321000</v>
      </c>
      <c r="H60" s="80">
        <f>SUM(H56:H59)</f>
        <v>64900</v>
      </c>
      <c r="I60" s="260">
        <f>SUM(I56:I59)</f>
        <v>72300</v>
      </c>
      <c r="J60" s="80">
        <f>SUM(J56:J59)</f>
        <v>458200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5.61</v>
      </c>
      <c r="G67" s="80">
        <f>SUM(G60:G64)</f>
        <v>321000</v>
      </c>
      <c r="H67" s="80">
        <f>SUM(H60:H64)</f>
        <v>64900</v>
      </c>
      <c r="I67" s="80">
        <f>SUM(I60:I64)</f>
        <v>72300</v>
      </c>
      <c r="J67" s="80">
        <f>SUM(J60:J64)</f>
        <v>458200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-600</v>
      </c>
      <c r="J69" s="287">
        <f>SUM(G69:I69)</f>
        <v>-600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2300</v>
      </c>
      <c r="H72" s="287"/>
      <c r="I72" s="287">
        <f>ROUND(($G72*PermVBBY+$G72*Retire1BY),-2)</f>
        <v>500</v>
      </c>
      <c r="J72" s="113">
        <f>SUM(G72:I72)</f>
        <v>2800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5.61</v>
      </c>
      <c r="G75" s="80">
        <f>SUM(G67:G74)</f>
        <v>323300</v>
      </c>
      <c r="H75" s="80">
        <f>SUM(H67:H74)</f>
        <v>64900</v>
      </c>
      <c r="I75" s="80">
        <f>SUM(I67:I74)</f>
        <v>72200</v>
      </c>
      <c r="J75" s="80">
        <f>SUM(J67:K74)</f>
        <v>460400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5.61</v>
      </c>
      <c r="G80" s="80">
        <f>SUM(G75:G79)</f>
        <v>323300</v>
      </c>
      <c r="H80" s="80">
        <f>SUM(H75:H79)</f>
        <v>64900</v>
      </c>
      <c r="I80" s="80">
        <f>SUM(I75:I79)</f>
        <v>72200</v>
      </c>
      <c r="J80" s="80">
        <f>SUM(J75:J79)</f>
        <v>460400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106" priority="5">
      <formula>$J$44&lt;0</formula>
    </cfRule>
  </conditionalFormatting>
  <conditionalFormatting sqref="K43">
    <cfRule type="expression" dxfId="105" priority="4">
      <formula>$J$43&lt;0</formula>
    </cfRule>
  </conditionalFormatting>
  <conditionalFormatting sqref="L16">
    <cfRule type="expression" dxfId="104" priority="3">
      <formula>$J$16&lt;0</formula>
    </cfRule>
  </conditionalFormatting>
  <conditionalFormatting sqref="K45">
    <cfRule type="expression" dxfId="103" priority="2">
      <formula>$J$44&lt;0</formula>
    </cfRule>
  </conditionalFormatting>
  <conditionalFormatting sqref="K43:N45">
    <cfRule type="containsText" dxfId="10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F441F40-AA3A-447B-A105-7A8917C735D8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FAA74-1D1F-4530-A874-42F33D62336E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1450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1441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167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1448</v>
      </c>
      <c r="J5" s="404"/>
      <c r="K5" s="404"/>
      <c r="L5" s="403"/>
      <c r="M5" s="352" t="s">
        <v>115</v>
      </c>
      <c r="N5" s="32" t="s">
        <v>1449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"&amp;'AGAA|0125-01'!FiscalYear-1&amp;" SALARY"</f>
        <v>FY 2022 SALARY</v>
      </c>
      <c r="H8" s="50" t="str">
        <f>"FY "&amp;'AGAA|0125-01'!FiscalYear-1&amp;" HEALTH BENEFITS"</f>
        <v>FY 2022 HEALTH BENEFITS</v>
      </c>
      <c r="I8" s="50" t="str">
        <f>"FY "&amp;'AGAA|0125-01'!FiscalYear-1&amp;" VAR BENEFITS"</f>
        <v>FY 2022 VAR BENEFITS</v>
      </c>
      <c r="J8" s="50" t="str">
        <f>"FY "&amp;'AGAA|0125-01'!FiscalYear-1&amp;" TOTAL"</f>
        <v>FY 2022 TOTAL</v>
      </c>
      <c r="K8" s="50" t="str">
        <f>"FY "&amp;'AGAA|0125-01'!FiscalYear&amp;" SALARY CHANGE"</f>
        <v>FY 2023 SALARY CHANGE</v>
      </c>
      <c r="L8" s="50" t="str">
        <f>"FY "&amp;'AGAA|0125-01'!FiscalYear&amp;" CHG HEALTH BENEFITS"</f>
        <v>FY 2023 CHG HEALTH BENEFITS</v>
      </c>
      <c r="M8" s="50" t="str">
        <f>"FY "&amp;'AGAA|0125-01'!FiscalYear&amp;"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[0]!AGAA012501col_INC_FTI</f>
        <v>10.34</v>
      </c>
      <c r="G10" s="218">
        <f>[0]!AGAA012501col_FTI_SALARY_PERM</f>
        <v>643493.12</v>
      </c>
      <c r="H10" s="218">
        <f>[0]!AGAA012501col_HEALTH_PERM</f>
        <v>123373.5</v>
      </c>
      <c r="I10" s="218">
        <f>[0]!AGAA012501col_TOT_VB_PERM</f>
        <v>145166.16954879998</v>
      </c>
      <c r="J10" s="219">
        <f>SUM(G10:I10)</f>
        <v>912032.78954879998</v>
      </c>
      <c r="K10" s="219">
        <f>[0]!AGAA012501col_1_27TH_PP</f>
        <v>0</v>
      </c>
      <c r="L10" s="218">
        <f>[0]!AGAA012501col_HEALTH_PERM_CHG</f>
        <v>0</v>
      </c>
      <c r="M10" s="218">
        <f>[0]!AGAA012501col_TOT_VB_PERM_CHG</f>
        <v>-1673.0821119999989</v>
      </c>
      <c r="N10" s="218">
        <f>SUM(L10:M10)</f>
        <v>-1673.0821119999989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6400</v>
      </c>
      <c r="AB10" s="335">
        <f>ROUND(PermVarBen*CECPerm+(CECPerm*PermVarBenChg),-2)</f>
        <v>1400</v>
      </c>
      <c r="AC10" s="335">
        <f>SUM(AA10:AB10)</f>
        <v>7800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[0]!AGAA012501col_Group_Salary</f>
        <v>7210</v>
      </c>
      <c r="H11" s="218">
        <v>0</v>
      </c>
      <c r="I11" s="218">
        <f>[0]!AGAA012501col_Group_Ben</f>
        <v>855.24</v>
      </c>
      <c r="J11" s="219">
        <f>SUM(G11:I11)</f>
        <v>8065.24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100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[0]!AGAA012501col_TOTAL_ELECT_PCN_FTI</f>
        <v>0</v>
      </c>
      <c r="G12" s="218">
        <f>[0]!AGAA012501col_FTI_SALARY_ELECT</f>
        <v>0</v>
      </c>
      <c r="H12" s="218">
        <f>[0]!AGAA012501col_HEALTH_ELECT</f>
        <v>0</v>
      </c>
      <c r="I12" s="218">
        <f>[0]!AGAA012501col_TOT_VB_ELECT</f>
        <v>0</v>
      </c>
      <c r="J12" s="219">
        <f>SUM(G12:I12)</f>
        <v>0</v>
      </c>
      <c r="K12" s="268"/>
      <c r="L12" s="218">
        <f>[0]!AGAA012501col_HEALTH_ELECT_CHG</f>
        <v>0</v>
      </c>
      <c r="M12" s="218">
        <f>[0]!AGAA012501col_TOT_VB_ELECT_CHG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10.34</v>
      </c>
      <c r="G13" s="221">
        <f>SUM(G10:G12)</f>
        <v>650703.12</v>
      </c>
      <c r="H13" s="221">
        <f>SUM(H10:H12)</f>
        <v>123373.5</v>
      </c>
      <c r="I13" s="221">
        <f>SUM(I10:I12)</f>
        <v>146021.40954879997</v>
      </c>
      <c r="J13" s="219">
        <f>SUM(G13:I13)</f>
        <v>920098.02954879997</v>
      </c>
      <c r="K13" s="268"/>
      <c r="L13" s="219">
        <f>SUM(L10:L12)</f>
        <v>0</v>
      </c>
      <c r="M13" s="219">
        <f>SUM(M10:M12)</f>
        <v>-1673.0821119999989</v>
      </c>
      <c r="N13" s="219">
        <f>SUM(N10:N12)</f>
        <v>-1673.0821119999989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"&amp;'AGAA|0125-01'!FiscalYear-1</f>
        <v>FY 2022</v>
      </c>
      <c r="D15" s="158" t="s">
        <v>31</v>
      </c>
      <c r="E15" s="355">
        <v>991100</v>
      </c>
      <c r="F15" s="55">
        <v>11.66</v>
      </c>
      <c r="G15" s="223">
        <f>IF(OrigApprop=0,0,(G13/$J$13)*OrigApprop)</f>
        <v>700916.46924649272</v>
      </c>
      <c r="H15" s="223">
        <f>IF(OrigApprop=0,0,(H13/$J$13)*OrigApprop)</f>
        <v>132893.96555925868</v>
      </c>
      <c r="I15" s="223">
        <f>IF(G15=0,0,(I13/$J$13)*OrigApprop)</f>
        <v>157289.5651942486</v>
      </c>
      <c r="J15" s="223">
        <f>SUM(G15:I15)</f>
        <v>991100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1.3200000000000003</v>
      </c>
      <c r="G16" s="162">
        <f>G15-G13</f>
        <v>50213.349246492726</v>
      </c>
      <c r="H16" s="162">
        <f>H15-H13</f>
        <v>9520.4655592586787</v>
      </c>
      <c r="I16" s="162">
        <f>I15-I13</f>
        <v>11268.155645448627</v>
      </c>
      <c r="J16" s="162">
        <f>J15-J13</f>
        <v>71001.970451200032</v>
      </c>
      <c r="K16" s="269"/>
      <c r="L16" s="56" t="str">
        <f>IF('AGAA|0125-01'!OrigApprop=0,"ERROR! Enter Original Appropriation amount in DU 3.00!","Calculated "&amp;IF('AGAA|0125-01'!AdjustedTotal&gt;0,"overfunding ","underfunding ")&amp;"is "&amp;TEXT('AGAA|0125-01'!AdjustedTotal/'AGAA|0125-01'!AppropTotal,"#.0%;(#.0% );0% ;")&amp;" of Original Appropriation")</f>
        <v>Calculated overfunding is 7.2%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10.34</v>
      </c>
      <c r="G38" s="191">
        <f>SUMIF($E10:$E35,$E38,$G10:$G35)</f>
        <v>643493.12</v>
      </c>
      <c r="H38" s="192">
        <f>SUMIF($E10:$E35,$E38,$H10:$H35)</f>
        <v>123373.5</v>
      </c>
      <c r="I38" s="192">
        <f>SUMIF($E10:$E35,$E38,$I10:$I35)</f>
        <v>145166.16954879998</v>
      </c>
      <c r="J38" s="192">
        <f>SUM(G38:I38)</f>
        <v>912032.78954879998</v>
      </c>
      <c r="K38" s="166"/>
      <c r="L38" s="191">
        <f>SUMIF($E10:$E35,$E38,$L10:$L35)</f>
        <v>0</v>
      </c>
      <c r="M38" s="192">
        <f>SUMIF($E10:$E35,$E38,$M10:$M35)</f>
        <v>-1673.0821119999989</v>
      </c>
      <c r="N38" s="192">
        <f>SUM(L38:M38)</f>
        <v>-1673.0821119999989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6400</v>
      </c>
      <c r="AB38" s="338">
        <f>ROUND((AdjPermVB*CECPerm+AdjPermVBBY*CECPerm),-2)</f>
        <v>1400</v>
      </c>
      <c r="AC38" s="338">
        <f>SUM(AA38:AB38)</f>
        <v>7800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7210</v>
      </c>
      <c r="H39" s="152">
        <f>SUMIF($E10:$E35,$E39,$H10:$H35)</f>
        <v>0</v>
      </c>
      <c r="I39" s="152">
        <f>SUMIF($E10:$E35,$E39,$I10:$I35)</f>
        <v>855.24</v>
      </c>
      <c r="J39" s="152">
        <f>SUM(G39:I39)</f>
        <v>8065.24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100</v>
      </c>
      <c r="AB39" s="338">
        <f>ROUND(AdjGroupVB*CECGroup,-2)</f>
        <v>0</v>
      </c>
      <c r="AC39" s="338">
        <f>SUM(AA39:AB39)</f>
        <v>100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10.34</v>
      </c>
      <c r="G41" s="195">
        <f>SUM($G$38:$G$40)</f>
        <v>650703.12</v>
      </c>
      <c r="H41" s="162">
        <f>SUM($H$38:$H$40)</f>
        <v>123373.5</v>
      </c>
      <c r="I41" s="162">
        <f>SUM($I$38:$I$40)</f>
        <v>146021.40954879997</v>
      </c>
      <c r="J41" s="162">
        <f>SUM($J$38:$J$40)</f>
        <v>920098.02954879997</v>
      </c>
      <c r="K41" s="259"/>
      <c r="L41" s="195">
        <f>SUM($L$38:$L$40)</f>
        <v>0</v>
      </c>
      <c r="M41" s="162">
        <f>SUM($M$38:$M$40)</f>
        <v>-1673.0821119999989</v>
      </c>
      <c r="N41" s="162">
        <f>SUM(L41:M41)</f>
        <v>-1673.0821119999989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1.32</v>
      </c>
      <c r="G43" s="206">
        <f>ROUND(G51-G41,-2)</f>
        <v>50200</v>
      </c>
      <c r="H43" s="159">
        <f>ROUND(H51-H41,-2)</f>
        <v>9500</v>
      </c>
      <c r="I43" s="159">
        <f>ROUND(I51-I41,-2)</f>
        <v>11300</v>
      </c>
      <c r="J43" s="159">
        <f>SUM(G43:I43)</f>
        <v>71000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overfunding is 7.2%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1.32</v>
      </c>
      <c r="G44" s="206">
        <f>ROUND(G60-G41,-2)</f>
        <v>50200</v>
      </c>
      <c r="H44" s="159">
        <f>ROUND(H60-H41,-2)</f>
        <v>9500</v>
      </c>
      <c r="I44" s="159">
        <f>ROUND(I60-I41,-2)</f>
        <v>11300</v>
      </c>
      <c r="J44" s="159">
        <f>SUM(G44:I44)</f>
        <v>71000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overfunding is 7.2%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1.32</v>
      </c>
      <c r="G45" s="206">
        <f>ROUND(G67-G41-G63,-2)</f>
        <v>50200</v>
      </c>
      <c r="H45" s="206">
        <f>ROUND(H67-H41-H63,-2)</f>
        <v>9500</v>
      </c>
      <c r="I45" s="206">
        <f>ROUND(I67-I41-I63,-2)</f>
        <v>11300</v>
      </c>
      <c r="J45" s="159">
        <f>SUM(G45:I45)</f>
        <v>71000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7.2%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/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991100</v>
      </c>
      <c r="F51" s="272">
        <f>AppropFTP</f>
        <v>11.66</v>
      </c>
      <c r="G51" s="274">
        <f>IF(E51=0,0,(G41/$J$41)*$E$51)</f>
        <v>700916.46924649272</v>
      </c>
      <c r="H51" s="274">
        <f>IF(E51=0,0,(H41/$J$41)*$E$51)</f>
        <v>132893.96555925868</v>
      </c>
      <c r="I51" s="275">
        <f>IF(E51=0,0,(I41/$J$41)*$E$51)</f>
        <v>157289.5651942486</v>
      </c>
      <c r="J51" s="90">
        <f>SUM(G51:I51)</f>
        <v>991100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11.66</v>
      </c>
      <c r="G52" s="79">
        <f>ROUND(G51,-2)</f>
        <v>700900</v>
      </c>
      <c r="H52" s="79">
        <f>ROUND(H51,-2)</f>
        <v>132900</v>
      </c>
      <c r="I52" s="266">
        <f>ROUND(I51,-2)</f>
        <v>157300</v>
      </c>
      <c r="J52" s="80">
        <f>ROUND(J51,-2)</f>
        <v>991100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11.66</v>
      </c>
      <c r="G56" s="80">
        <f>SUM(G52:G55)</f>
        <v>700900</v>
      </c>
      <c r="H56" s="80">
        <f>SUM(H52:H55)</f>
        <v>132900</v>
      </c>
      <c r="I56" s="260">
        <f>SUM(I52:I55)</f>
        <v>157300</v>
      </c>
      <c r="J56" s="80">
        <f>SUM(J52:J55)</f>
        <v>991100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11.66</v>
      </c>
      <c r="G60" s="80">
        <f>SUM(G56:G59)</f>
        <v>700900</v>
      </c>
      <c r="H60" s="80">
        <f>SUM(H56:H59)</f>
        <v>132900</v>
      </c>
      <c r="I60" s="260">
        <f>SUM(I56:I59)</f>
        <v>157300</v>
      </c>
      <c r="J60" s="80">
        <f>SUM(J56:J59)</f>
        <v>991100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11.66</v>
      </c>
      <c r="G67" s="80">
        <f>SUM(G60:G64)</f>
        <v>700900</v>
      </c>
      <c r="H67" s="80">
        <f>SUM(H60:H64)</f>
        <v>132900</v>
      </c>
      <c r="I67" s="80">
        <f>SUM(I60:I64)</f>
        <v>157300</v>
      </c>
      <c r="J67" s="80">
        <f>SUM(J60:J64)</f>
        <v>991100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-1700</v>
      </c>
      <c r="J69" s="287">
        <f>SUM(G69:I69)</f>
        <v>-1700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6400</v>
      </c>
      <c r="H72" s="287"/>
      <c r="I72" s="287">
        <f>ROUND(($G72*PermVBBY+$G72*Retire1BY),-2)</f>
        <v>1400</v>
      </c>
      <c r="J72" s="113">
        <f>SUM(G72:I72)</f>
        <v>7800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100</v>
      </c>
      <c r="H73" s="287"/>
      <c r="I73" s="287">
        <f>ROUND(($G73*GroupVBBY),-2)</f>
        <v>0</v>
      </c>
      <c r="J73" s="113">
        <f t="shared" si="11"/>
        <v>100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11.66</v>
      </c>
      <c r="G75" s="80">
        <f>SUM(G67:G74)</f>
        <v>707400</v>
      </c>
      <c r="H75" s="80">
        <f>SUM(H67:H74)</f>
        <v>132900</v>
      </c>
      <c r="I75" s="80">
        <f>SUM(I67:I74)</f>
        <v>157000</v>
      </c>
      <c r="J75" s="80">
        <f>SUM(J67:K74)</f>
        <v>997300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11.66</v>
      </c>
      <c r="G80" s="80">
        <f>SUM(G75:G79)</f>
        <v>707400</v>
      </c>
      <c r="H80" s="80">
        <f>SUM(H75:H79)</f>
        <v>132900</v>
      </c>
      <c r="I80" s="80">
        <f>SUM(I75:I79)</f>
        <v>157000</v>
      </c>
      <c r="J80" s="80">
        <f>SUM(J75:J79)</f>
        <v>997300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191" priority="5">
      <formula>$J$44&lt;0</formula>
    </cfRule>
  </conditionalFormatting>
  <conditionalFormatting sqref="K43">
    <cfRule type="expression" dxfId="190" priority="4">
      <formula>$J$43&lt;0</formula>
    </cfRule>
  </conditionalFormatting>
  <conditionalFormatting sqref="L16">
    <cfRule type="expression" dxfId="189" priority="3">
      <formula>$J$16&lt;0</formula>
    </cfRule>
  </conditionalFormatting>
  <conditionalFormatting sqref="K45">
    <cfRule type="expression" dxfId="188" priority="2">
      <formula>$J$44&lt;0</formula>
    </cfRule>
  </conditionalFormatting>
  <conditionalFormatting sqref="K43:N45">
    <cfRule type="containsText" dxfId="18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BA1CD7-06C0-49C0-8959-328607482C87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6A172-63B8-4A72-B34B-7E1D20DFE718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1505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1541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1101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1503</v>
      </c>
      <c r="J5" s="404"/>
      <c r="K5" s="404"/>
      <c r="L5" s="403"/>
      <c r="M5" s="352" t="s">
        <v>115</v>
      </c>
      <c r="N5" s="32" t="s">
        <v>1504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"&amp;'AGAF|0330-00'!FiscalYear-1&amp;" SALARY"</f>
        <v>FY 2022 SALARY</v>
      </c>
      <c r="H8" s="50" t="str">
        <f>"FY "&amp;'AGAF|0330-00'!FiscalYear-1&amp;" HEALTH BENEFITS"</f>
        <v>FY 2022 HEALTH BENEFITS</v>
      </c>
      <c r="I8" s="50" t="str">
        <f>"FY "&amp;'AGAF|0330-00'!FiscalYear-1&amp;" VAR BENEFITS"</f>
        <v>FY 2022 VAR BENEFITS</v>
      </c>
      <c r="J8" s="50" t="str">
        <f>"FY "&amp;'AGAF|0330-00'!FiscalYear-1&amp;" TOTAL"</f>
        <v>FY 2022 TOTAL</v>
      </c>
      <c r="K8" s="50" t="str">
        <f>"FY "&amp;'AGAF|0330-00'!FiscalYear&amp;" SALARY CHANGE"</f>
        <v>FY 2023 SALARY CHANGE</v>
      </c>
      <c r="L8" s="50" t="str">
        <f>"FY "&amp;'AGAF|0330-00'!FiscalYear&amp;" CHG HEALTH BENEFITS"</f>
        <v>FY 2023 CHG HEALTH BENEFITS</v>
      </c>
      <c r="M8" s="50" t="str">
        <f>"FY "&amp;'AGAF|0330-00'!FiscalYear&amp;"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[0]!AGAF033000col_INC_FTI</f>
        <v>0.05</v>
      </c>
      <c r="G10" s="218">
        <f>[0]!AGAF033000col_FTI_SALARY_PERM</f>
        <v>1731.6</v>
      </c>
      <c r="H10" s="218">
        <f>[0]!AGAF033000col_HEALTH_PERM</f>
        <v>582.5</v>
      </c>
      <c r="I10" s="218">
        <f>[0]!AGAF033000col_TOT_VB_PERM</f>
        <v>391.98229199999997</v>
      </c>
      <c r="J10" s="219">
        <f>SUM(G10:I10)</f>
        <v>2706.0822920000001</v>
      </c>
      <c r="K10" s="219">
        <f>[0]!AGAF033000col_1_27TH_PP</f>
        <v>0</v>
      </c>
      <c r="L10" s="218">
        <f>[0]!AGAF033000col_HEALTH_PERM_CHG</f>
        <v>0</v>
      </c>
      <c r="M10" s="218">
        <f>[0]!AGAF033000col_TOT_VB_PERM_CHG</f>
        <v>-4.5021599999999973</v>
      </c>
      <c r="N10" s="218">
        <f>SUM(L10:M10)</f>
        <v>-4.5021599999999973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[0]!AGAF033000col_Group_Salary</f>
        <v>12.5</v>
      </c>
      <c r="H11" s="218">
        <v>0</v>
      </c>
      <c r="I11" s="218">
        <f>[0]!AGAF033000col_Group_Ben</f>
        <v>1.34</v>
      </c>
      <c r="J11" s="219">
        <f>SUM(G11:I11)</f>
        <v>13.84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[0]!AGAF033000col_TOTAL_ELECT_PCN_FTI</f>
        <v>0</v>
      </c>
      <c r="G12" s="218">
        <f>[0]!AGAF033000col_FTI_SALARY_ELECT</f>
        <v>0</v>
      </c>
      <c r="H12" s="218">
        <f>[0]!AGAF033000col_HEALTH_ELECT</f>
        <v>0</v>
      </c>
      <c r="I12" s="218">
        <f>[0]!AGAF033000col_TOT_VB_ELECT</f>
        <v>0</v>
      </c>
      <c r="J12" s="219">
        <f>SUM(G12:I12)</f>
        <v>0</v>
      </c>
      <c r="K12" s="268"/>
      <c r="L12" s="218">
        <f>[0]!AGAF033000col_HEALTH_ELECT_CHG</f>
        <v>0</v>
      </c>
      <c r="M12" s="218">
        <f>[0]!AGAF033000col_TOT_VB_ELECT_CHG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0.05</v>
      </c>
      <c r="G13" s="221">
        <f>SUM(G10:G12)</f>
        <v>1744.1</v>
      </c>
      <c r="H13" s="221">
        <f>SUM(H10:H12)</f>
        <v>582.5</v>
      </c>
      <c r="I13" s="221">
        <f>SUM(I10:I12)</f>
        <v>393.32229199999995</v>
      </c>
      <c r="J13" s="219">
        <f>SUM(G13:I13)</f>
        <v>2719.9222919999997</v>
      </c>
      <c r="K13" s="268"/>
      <c r="L13" s="219">
        <f>SUM(L10:L12)</f>
        <v>0</v>
      </c>
      <c r="M13" s="219">
        <f>SUM(M10:M12)</f>
        <v>-4.5021599999999973</v>
      </c>
      <c r="N13" s="219">
        <f>SUM(N10:N12)</f>
        <v>-4.5021599999999973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"&amp;'AGAF|0330-00'!FiscalYear-1</f>
        <v>FY 2022</v>
      </c>
      <c r="D15" s="158" t="s">
        <v>31</v>
      </c>
      <c r="E15" s="355">
        <v>80700</v>
      </c>
      <c r="F15" s="55">
        <v>0.39</v>
      </c>
      <c r="G15" s="223">
        <f>IF(OrigApprop=0,0,(G13/$J$13)*OrigApprop)</f>
        <v>51747.386465407151</v>
      </c>
      <c r="H15" s="223">
        <f>IF(OrigApprop=0,0,(H13/$J$13)*OrigApprop)</f>
        <v>17282.754782466411</v>
      </c>
      <c r="I15" s="223">
        <f>IF(G15=0,0,(I13/$J$13)*OrigApprop)</f>
        <v>11669.858752126436</v>
      </c>
      <c r="J15" s="223">
        <f>SUM(G15:I15)</f>
        <v>80700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0.34</v>
      </c>
      <c r="G16" s="162">
        <f>G15-G13</f>
        <v>50003.286465407153</v>
      </c>
      <c r="H16" s="162">
        <f>H15-H13</f>
        <v>16700.254782466411</v>
      </c>
      <c r="I16" s="162">
        <f>I15-I13</f>
        <v>11276.536460126435</v>
      </c>
      <c r="J16" s="162">
        <f>J15-J13</f>
        <v>77980.077707999997</v>
      </c>
      <c r="K16" s="269"/>
      <c r="L16" s="56" t="str">
        <f>IF('AGAF|0330-00'!OrigApprop=0,"ERROR! Enter Original Appropriation amount in DU 3.00!","Calculated "&amp;IF('AGAF|0330-00'!AdjustedTotal&gt;0,"overfunding ","underfunding ")&amp;"is "&amp;TEXT('AGAF|0330-00'!AdjustedTotal/'AGAF|0330-00'!AppropTotal,"#.0%;(#.0% );0% ;")&amp;" of Original Appropriation")</f>
        <v>Calculated overfunding is 96.6%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0.05</v>
      </c>
      <c r="G38" s="191">
        <f>SUMIF($E10:$E35,$E38,$G10:$G35)</f>
        <v>1731.6</v>
      </c>
      <c r="H38" s="192">
        <f>SUMIF($E10:$E35,$E38,$H10:$H35)</f>
        <v>582.5</v>
      </c>
      <c r="I38" s="192">
        <f>SUMIF($E10:$E35,$E38,$I10:$I35)</f>
        <v>391.98229199999997</v>
      </c>
      <c r="J38" s="192">
        <f>SUM(G38:I38)</f>
        <v>2706.0822920000001</v>
      </c>
      <c r="K38" s="166"/>
      <c r="L38" s="191">
        <f>SUMIF($E10:$E35,$E38,$L10:$L35)</f>
        <v>0</v>
      </c>
      <c r="M38" s="192">
        <f>SUMIF($E10:$E35,$E38,$M10:$M35)</f>
        <v>-4.5021599999999973</v>
      </c>
      <c r="N38" s="192">
        <f>SUM(L38:M38)</f>
        <v>-4.5021599999999973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12.5</v>
      </c>
      <c r="H39" s="152">
        <f>SUMIF($E10:$E35,$E39,$H10:$H35)</f>
        <v>0</v>
      </c>
      <c r="I39" s="152">
        <f>SUMIF($E10:$E35,$E39,$I10:$I35)</f>
        <v>1.34</v>
      </c>
      <c r="J39" s="152">
        <f>SUM(G39:I39)</f>
        <v>13.84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0.05</v>
      </c>
      <c r="G41" s="195">
        <f>SUM($G$38:$G$40)</f>
        <v>1744.1</v>
      </c>
      <c r="H41" s="162">
        <f>SUM($H$38:$H$40)</f>
        <v>582.5</v>
      </c>
      <c r="I41" s="162">
        <f>SUM($I$38:$I$40)</f>
        <v>393.32229199999995</v>
      </c>
      <c r="J41" s="162">
        <f>SUM($J$38:$J$40)</f>
        <v>2719.9222920000002</v>
      </c>
      <c r="K41" s="259"/>
      <c r="L41" s="195">
        <f>SUM($L$38:$L$40)</f>
        <v>0</v>
      </c>
      <c r="M41" s="162">
        <f>SUM($M$38:$M$40)</f>
        <v>-4.5021599999999973</v>
      </c>
      <c r="N41" s="162">
        <f>SUM(L41:M41)</f>
        <v>-4.5021599999999973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0.34</v>
      </c>
      <c r="G43" s="206">
        <f>ROUND(G51-G41,-2)</f>
        <v>50000</v>
      </c>
      <c r="H43" s="159">
        <f>ROUND(H51-H41,-2)</f>
        <v>16700</v>
      </c>
      <c r="I43" s="159">
        <f>ROUND(I51-I41,-2)</f>
        <v>11300</v>
      </c>
      <c r="J43" s="159">
        <f>SUM(G43:I43)</f>
        <v>78000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overfunding is 96.7%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0.34</v>
      </c>
      <c r="G44" s="206">
        <f>ROUND(G60-G41,-2)</f>
        <v>50000</v>
      </c>
      <c r="H44" s="159">
        <f>ROUND(H60-H41,-2)</f>
        <v>16700</v>
      </c>
      <c r="I44" s="159">
        <f>ROUND(I60-I41,-2)</f>
        <v>11300</v>
      </c>
      <c r="J44" s="159">
        <f>SUM(G44:I44)</f>
        <v>78000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overfunding is 96.7%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0.34</v>
      </c>
      <c r="G45" s="206">
        <f>ROUND(G67-G41-G63,-2)</f>
        <v>50000</v>
      </c>
      <c r="H45" s="206">
        <f>ROUND(H67-H41-H63,-2)</f>
        <v>16700</v>
      </c>
      <c r="I45" s="206">
        <f>ROUND(I67-I41-I63,-2)</f>
        <v>11300</v>
      </c>
      <c r="J45" s="159">
        <f>SUM(G45:I45)</f>
        <v>78000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96.7%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/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80700</v>
      </c>
      <c r="F51" s="272">
        <f>AppropFTP</f>
        <v>0.39</v>
      </c>
      <c r="G51" s="274">
        <f>IF(E51=0,0,(G41/$J$41)*$E$51)</f>
        <v>51747.386465407144</v>
      </c>
      <c r="H51" s="274">
        <f>IF(E51=0,0,(H41/$J$41)*$E$51)</f>
        <v>17282.754782466411</v>
      </c>
      <c r="I51" s="275">
        <f>IF(E51=0,0,(I41/$J$41)*$E$51)</f>
        <v>11669.858752126434</v>
      </c>
      <c r="J51" s="90">
        <f>SUM(G51:I51)</f>
        <v>80700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0.39</v>
      </c>
      <c r="G52" s="79">
        <f>ROUND(G51,-2)</f>
        <v>51700</v>
      </c>
      <c r="H52" s="79">
        <f>ROUND(H51,-2)</f>
        <v>17300</v>
      </c>
      <c r="I52" s="266">
        <f>ROUND(I51,-2)</f>
        <v>11700</v>
      </c>
      <c r="J52" s="80">
        <f>ROUND(J51,-2)</f>
        <v>80700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0.39</v>
      </c>
      <c r="G56" s="80">
        <f>SUM(G52:G55)</f>
        <v>51700</v>
      </c>
      <c r="H56" s="80">
        <f>SUM(H52:H55)</f>
        <v>17300</v>
      </c>
      <c r="I56" s="260">
        <f>SUM(I52:I55)</f>
        <v>11700</v>
      </c>
      <c r="J56" s="80">
        <f>SUM(J52:J55)</f>
        <v>80700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0.39</v>
      </c>
      <c r="G60" s="80">
        <f>SUM(G56:G59)</f>
        <v>51700</v>
      </c>
      <c r="H60" s="80">
        <f>SUM(H56:H59)</f>
        <v>17300</v>
      </c>
      <c r="I60" s="260">
        <f>SUM(I56:I59)</f>
        <v>11700</v>
      </c>
      <c r="J60" s="80">
        <f>SUM(J56:J59)</f>
        <v>80700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0.39</v>
      </c>
      <c r="G67" s="80">
        <f>SUM(G60:G64)</f>
        <v>51700</v>
      </c>
      <c r="H67" s="80">
        <f>SUM(H60:H64)</f>
        <v>17300</v>
      </c>
      <c r="I67" s="80">
        <f>SUM(I60:I64)</f>
        <v>11700</v>
      </c>
      <c r="J67" s="80">
        <f>SUM(J60:J64)</f>
        <v>80700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0</v>
      </c>
      <c r="H72" s="287"/>
      <c r="I72" s="287">
        <f>ROUND(($G72*PermVBBY+$G72*Retire1BY),-2)</f>
        <v>0</v>
      </c>
      <c r="J72" s="113">
        <f>SUM(G72:I72)</f>
        <v>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0.39</v>
      </c>
      <c r="G75" s="80">
        <f>SUM(G67:G74)</f>
        <v>51700</v>
      </c>
      <c r="H75" s="80">
        <f>SUM(H67:H74)</f>
        <v>17300</v>
      </c>
      <c r="I75" s="80">
        <f>SUM(I67:I74)</f>
        <v>11700</v>
      </c>
      <c r="J75" s="80">
        <f>SUM(J67:K74)</f>
        <v>80700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0.39</v>
      </c>
      <c r="G80" s="80">
        <f>SUM(G75:G79)</f>
        <v>51700</v>
      </c>
      <c r="H80" s="80">
        <f>SUM(H75:H79)</f>
        <v>17300</v>
      </c>
      <c r="I80" s="80">
        <f>SUM(I75:I79)</f>
        <v>11700</v>
      </c>
      <c r="J80" s="80">
        <f>SUM(J75:J79)</f>
        <v>80700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101" priority="5">
      <formula>$J$44&lt;0</formula>
    </cfRule>
  </conditionalFormatting>
  <conditionalFormatting sqref="K43">
    <cfRule type="expression" dxfId="100" priority="4">
      <formula>$J$43&lt;0</formula>
    </cfRule>
  </conditionalFormatting>
  <conditionalFormatting sqref="L16">
    <cfRule type="expression" dxfId="99" priority="3">
      <formula>$J$16&lt;0</formula>
    </cfRule>
  </conditionalFormatting>
  <conditionalFormatting sqref="K45">
    <cfRule type="expression" dxfId="98" priority="2">
      <formula>$J$44&lt;0</formula>
    </cfRule>
  </conditionalFormatting>
  <conditionalFormatting sqref="K43:N45">
    <cfRule type="containsText" dxfId="9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704F86C-F449-43C2-9D59-D014304E60AE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B7502-4969-4D36-9E50-2865343FAED9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1551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1541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1101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1549</v>
      </c>
      <c r="J5" s="404"/>
      <c r="K5" s="404"/>
      <c r="L5" s="403"/>
      <c r="M5" s="352" t="s">
        <v>115</v>
      </c>
      <c r="N5" s="32" t="s">
        <v>1550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"&amp;'AGAF|0490-00'!FiscalYear-1&amp;" SALARY"</f>
        <v>FY 2022 SALARY</v>
      </c>
      <c r="H8" s="50" t="str">
        <f>"FY "&amp;'AGAF|0490-00'!FiscalYear-1&amp;" HEALTH BENEFITS"</f>
        <v>FY 2022 HEALTH BENEFITS</v>
      </c>
      <c r="I8" s="50" t="str">
        <f>"FY "&amp;'AGAF|0490-00'!FiscalYear-1&amp;" VAR BENEFITS"</f>
        <v>FY 2022 VAR BENEFITS</v>
      </c>
      <c r="J8" s="50" t="str">
        <f>"FY "&amp;'AGAF|0490-00'!FiscalYear-1&amp;" TOTAL"</f>
        <v>FY 2022 TOTAL</v>
      </c>
      <c r="K8" s="50" t="str">
        <f>"FY "&amp;'AGAF|0490-00'!FiscalYear&amp;" SALARY CHANGE"</f>
        <v>FY 2023 SALARY CHANGE</v>
      </c>
      <c r="L8" s="50" t="str">
        <f>"FY "&amp;'AGAF|0490-00'!FiscalYear&amp;" CHG HEALTH BENEFITS"</f>
        <v>FY 2023 CHG HEALTH BENEFITS</v>
      </c>
      <c r="M8" s="50" t="str">
        <f>"FY "&amp;'AGAF|0490-00'!FiscalYear&amp;"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[0]!AGAF049000col_INC_FTI</f>
        <v>0</v>
      </c>
      <c r="G10" s="218">
        <f>[0]!AGAF049000col_FTI_SALARY_PERM</f>
        <v>0</v>
      </c>
      <c r="H10" s="218">
        <f>[0]!AGAF049000col_HEALTH_PERM</f>
        <v>0</v>
      </c>
      <c r="I10" s="218">
        <f>[0]!AGAF049000col_TOT_VB_PERM</f>
        <v>0</v>
      </c>
      <c r="J10" s="219">
        <f>SUM(G10:I10)</f>
        <v>0</v>
      </c>
      <c r="K10" s="219">
        <f>[0]!AGAF049000col_1_27TH_PP</f>
        <v>0</v>
      </c>
      <c r="L10" s="218">
        <f>[0]!AGAF049000col_HEALTH_PERM_CHG</f>
        <v>0</v>
      </c>
      <c r="M10" s="218">
        <f>[0]!AGAF049000col_TOT_VB_PERM_CHG</f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[0]!AGAF049000col_Group_Salary</f>
        <v>0</v>
      </c>
      <c r="H11" s="218">
        <v>0</v>
      </c>
      <c r="I11" s="218">
        <f>[0]!AGAF049000col_Group_Ben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[0]!AGAF049000col_TOTAL_ELECT_PCN_FTI</f>
        <v>0</v>
      </c>
      <c r="G12" s="218">
        <f>[0]!AGAF049000col_FTI_SALARY_ELECT</f>
        <v>0</v>
      </c>
      <c r="H12" s="218">
        <f>[0]!AGAF049000col_HEALTH_ELECT</f>
        <v>0</v>
      </c>
      <c r="I12" s="218">
        <f>[0]!AGAF049000col_TOT_VB_ELECT</f>
        <v>0</v>
      </c>
      <c r="J12" s="219">
        <f>SUM(G12:I12)</f>
        <v>0</v>
      </c>
      <c r="K12" s="268"/>
      <c r="L12" s="218">
        <f>[0]!AGAF049000col_HEALTH_ELECT_CHG</f>
        <v>0</v>
      </c>
      <c r="M12" s="218">
        <f>[0]!AGAF049000col_TOT_VB_ELECT_CHG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"&amp;'AGAF|0490-00'!FiscalYear-1</f>
        <v>FY 2022</v>
      </c>
      <c r="D15" s="158" t="s">
        <v>31</v>
      </c>
      <c r="E15" s="355">
        <v>12300</v>
      </c>
      <c r="F15" s="55">
        <v>0</v>
      </c>
      <c r="G15" s="223" t="e">
        <f>IF(OrigApprop=0,0,(G13/$J$13)*OrigApprop)</f>
        <v>#DIV/0!</v>
      </c>
      <c r="H15" s="223" t="e">
        <f>IF(OrigApprop=0,0,(H13/$J$13)*OrigApprop)</f>
        <v>#DIV/0!</v>
      </c>
      <c r="I15" s="223" t="e">
        <f>IF(G15=0,0,(I13/$J$13)*OrigApprop)</f>
        <v>#DIV/0!</v>
      </c>
      <c r="J15" s="223" t="e">
        <f>SUM(G15:I15)</f>
        <v>#DIV/0!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0</v>
      </c>
      <c r="G16" s="162" t="e">
        <f>G15-G13</f>
        <v>#DIV/0!</v>
      </c>
      <c r="H16" s="162" t="e">
        <f>H15-H13</f>
        <v>#DIV/0!</v>
      </c>
      <c r="I16" s="162" t="e">
        <f>I15-I13</f>
        <v>#DIV/0!</v>
      </c>
      <c r="J16" s="162" t="e">
        <f>J15-J13</f>
        <v>#DIV/0!</v>
      </c>
      <c r="K16" s="269"/>
      <c r="L16" s="56" t="e">
        <f>IF('AGAF|0490-00'!OrigApprop=0,"ERROR! Enter Original Appropriation amount in DU 3.00!","Calculated "&amp;IF('AGAF|0490-00'!AdjustedTotal&gt;0,"overfunding ","underfunding ")&amp;"is "&amp;TEXT('AGAF|0490-00'!AdjustedTotal/'AGAF|0490-00'!AppropTotal,"#.0%;(#.0% );0% ;")&amp;" of Original Appropriation")</f>
        <v>#DIV/0!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0</v>
      </c>
      <c r="G43" s="206" t="e">
        <f>ROUND(G51-G41,-2)</f>
        <v>#DIV/0!</v>
      </c>
      <c r="H43" s="159" t="e">
        <f>ROUND(H51-H41,-2)</f>
        <v>#DIV/0!</v>
      </c>
      <c r="I43" s="159" t="e">
        <f>ROUND(I51-I41,-2)</f>
        <v>#DIV/0!</v>
      </c>
      <c r="J43" s="159" t="e">
        <f>SUM(G43:I43)</f>
        <v>#DIV/0!</v>
      </c>
      <c r="K43" s="413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0</v>
      </c>
      <c r="G44" s="206" t="e">
        <f>ROUND(G60-G41,-2)</f>
        <v>#DIV/0!</v>
      </c>
      <c r="H44" s="159" t="e">
        <f>ROUND(H60-H41,-2)</f>
        <v>#DIV/0!</v>
      </c>
      <c r="I44" s="159" t="e">
        <f>ROUND(I60-I41,-2)</f>
        <v>#DIV/0!</v>
      </c>
      <c r="J44" s="159" t="e">
        <f>SUM(G44:I44)</f>
        <v>#DIV/0!</v>
      </c>
      <c r="K44" s="413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 t="e">
        <f>ROUND(G67-G41-G63,-2)</f>
        <v>#DIV/0!</v>
      </c>
      <c r="H45" s="206" t="e">
        <f>ROUND(H67-H41-H63,-2)</f>
        <v>#DIV/0!</v>
      </c>
      <c r="I45" s="206" t="e">
        <f>ROUND(I67-I41-I63,-2)</f>
        <v>#DIV/0!</v>
      </c>
      <c r="J45" s="159" t="e">
        <f>SUM(G45:I45)</f>
        <v>#DIV/0!</v>
      </c>
      <c r="K45" s="413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e">
        <f>IF(OR(J45&lt;0,F45&lt;0),"You may not have sufficient funding or authorized FTP, and may need to make additional adjustments to finalize this form.  Please contact both your DFM and LSO analysts.","")</f>
        <v>#DIV/0!</v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12300</v>
      </c>
      <c r="F51" s="272">
        <f>AppropFTP</f>
        <v>0</v>
      </c>
      <c r="G51" s="274" t="e">
        <f>IF(E51=0,0,(G41/$J$41)*$E$51)</f>
        <v>#DIV/0!</v>
      </c>
      <c r="H51" s="274" t="e">
        <f>IF(E51=0,0,(H41/$J$41)*$E$51)</f>
        <v>#DIV/0!</v>
      </c>
      <c r="I51" s="275" t="e">
        <f>IF(E51=0,0,(I41/$J$41)*$E$51)</f>
        <v>#DIV/0!</v>
      </c>
      <c r="J51" s="90" t="e">
        <f>SUM(G51:I51)</f>
        <v>#DIV/0!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0</v>
      </c>
      <c r="G52" s="79" t="e">
        <f>ROUND(G51,-2)</f>
        <v>#DIV/0!</v>
      </c>
      <c r="H52" s="79" t="e">
        <f>ROUND(H51,-2)</f>
        <v>#DIV/0!</v>
      </c>
      <c r="I52" s="266" t="e">
        <f>ROUND(I51,-2)</f>
        <v>#DIV/0!</v>
      </c>
      <c r="J52" s="80" t="e">
        <f>ROUND(J51,-2)</f>
        <v>#DIV/0!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 t="e">
        <f>SUM(G52:G55)</f>
        <v>#DIV/0!</v>
      </c>
      <c r="H56" s="80" t="e">
        <f>SUM(H52:H55)</f>
        <v>#DIV/0!</v>
      </c>
      <c r="I56" s="260" t="e">
        <f>SUM(I52:I55)</f>
        <v>#DIV/0!</v>
      </c>
      <c r="J56" s="80" t="e">
        <f>SUM(J52:J55)</f>
        <v>#DIV/0!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 t="e">
        <f>SUM(G56:G59)</f>
        <v>#DIV/0!</v>
      </c>
      <c r="H60" s="80" t="e">
        <f>SUM(H56:H59)</f>
        <v>#DIV/0!</v>
      </c>
      <c r="I60" s="260" t="e">
        <f>SUM(I56:I59)</f>
        <v>#DIV/0!</v>
      </c>
      <c r="J60" s="80" t="e">
        <f>SUM(J56:J59)</f>
        <v>#DIV/0!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 t="e">
        <f>SUM(G60:G64)</f>
        <v>#DIV/0!</v>
      </c>
      <c r="H67" s="80" t="e">
        <f>SUM(H60:H64)</f>
        <v>#DIV/0!</v>
      </c>
      <c r="I67" s="80" t="e">
        <f>SUM(I60:I64)</f>
        <v>#DIV/0!</v>
      </c>
      <c r="J67" s="80" t="e">
        <f>SUM(J60:J64)</f>
        <v>#DIV/0!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 t="e">
        <f>IF(DUNine=0,0,ROUND(SUM(L41:L65),-2))</f>
        <v>#DIV/0!</v>
      </c>
      <c r="I68" s="113"/>
      <c r="J68" s="287" t="e">
        <f>SUM(G68:I68)</f>
        <v>#DIV/0!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 t="e">
        <f>IF(DUNine=0,0,ROUND(SUM(M41:M64),-2))</f>
        <v>#DIV/0!</v>
      </c>
      <c r="J69" s="287" t="e">
        <f>SUM(G69:I69)</f>
        <v>#DIV/0!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 t="e">
        <f>IF(DUNine=0,0,IF(DUNine&lt;0,0,ROUND(AdjPermSalary*CECPerm,-2)))</f>
        <v>#DIV/0!</v>
      </c>
      <c r="H72" s="287"/>
      <c r="I72" s="287" t="e">
        <f>ROUND(($G72*PermVBBY+$G72*Retire1BY),-2)</f>
        <v>#DIV/0!</v>
      </c>
      <c r="J72" s="113" t="e">
        <f>SUM(G72:I72)</f>
        <v>#DIV/0!</v>
      </c>
      <c r="K72" s="296"/>
      <c r="L72" s="298"/>
      <c r="M72" s="350" t="e">
        <f>IF(DUNine=0,0,IF(((#REF!-G39-G40)*E72)&lt;0,0,ROUND(((#REF!-G39-G40)*E72),-2)))</f>
        <v>#DIV/0!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#DIV/0!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 t="e">
        <f>IF(DUNine=0,0,IF(DUNine&lt;0,0,ROUND(AdjGroupSalary*CECGroup,-2)))</f>
        <v>#DIV/0!</v>
      </c>
      <c r="H73" s="287"/>
      <c r="I73" s="287" t="e">
        <f>ROUND(($G73*GroupVBBY),-2)</f>
        <v>#DIV/0!</v>
      </c>
      <c r="J73" s="113" t="e">
        <f t="shared" si="11"/>
        <v>#DIV/0!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 t="e">
        <f>SUM(G67:G74)</f>
        <v>#DIV/0!</v>
      </c>
      <c r="H75" s="80" t="e">
        <f>SUM(H67:H74)</f>
        <v>#DIV/0!</v>
      </c>
      <c r="I75" s="80" t="e">
        <f>SUM(I67:I74)</f>
        <v>#DIV/0!</v>
      </c>
      <c r="J75" s="80" t="e">
        <f>SUM(J67:K74)</f>
        <v>#DIV/0!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 t="e">
        <f>SUM(G75:G79)</f>
        <v>#DIV/0!</v>
      </c>
      <c r="H80" s="80" t="e">
        <f>SUM(H75:H79)</f>
        <v>#DIV/0!</v>
      </c>
      <c r="I80" s="80" t="e">
        <f>SUM(I75:I79)</f>
        <v>#DIV/0!</v>
      </c>
      <c r="J80" s="80" t="e">
        <f>SUM(J75:J79)</f>
        <v>#DIV/0!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96" priority="5">
      <formula>$J$44&lt;0</formula>
    </cfRule>
  </conditionalFormatting>
  <conditionalFormatting sqref="K43">
    <cfRule type="expression" dxfId="95" priority="4">
      <formula>$J$43&lt;0</formula>
    </cfRule>
  </conditionalFormatting>
  <conditionalFormatting sqref="L16">
    <cfRule type="expression" dxfId="94" priority="3">
      <formula>$J$16&lt;0</formula>
    </cfRule>
  </conditionalFormatting>
  <conditionalFormatting sqref="K45">
    <cfRule type="expression" dxfId="93" priority="2">
      <formula>$J$44&lt;0</formula>
    </cfRule>
  </conditionalFormatting>
  <conditionalFormatting sqref="K43:N45">
    <cfRule type="containsText" dxfId="9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FC7A84C-B2E7-4CA3-911D-97215EB74C35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F3C4D-3C1E-41A2-B5AA-65CBD4231B91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1444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1555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1131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1442</v>
      </c>
      <c r="J5" s="404"/>
      <c r="K5" s="404"/>
      <c r="L5" s="403"/>
      <c r="M5" s="352" t="s">
        <v>115</v>
      </c>
      <c r="N5" s="32" t="s">
        <v>1443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"&amp;'AGAH|0001-00'!FiscalYear-1&amp;" SALARY"</f>
        <v>FY 2022 SALARY</v>
      </c>
      <c r="H8" s="50" t="str">
        <f>"FY "&amp;'AGAH|0001-00'!FiscalYear-1&amp;" HEALTH BENEFITS"</f>
        <v>FY 2022 HEALTH BENEFITS</v>
      </c>
      <c r="I8" s="50" t="str">
        <f>"FY "&amp;'AGAH|0001-00'!FiscalYear-1&amp;" VAR BENEFITS"</f>
        <v>FY 2022 VAR BENEFITS</v>
      </c>
      <c r="J8" s="50" t="str">
        <f>"FY "&amp;'AGAH|0001-00'!FiscalYear-1&amp;" TOTAL"</f>
        <v>FY 2022 TOTAL</v>
      </c>
      <c r="K8" s="50" t="str">
        <f>"FY "&amp;'AGAH|0001-00'!FiscalYear&amp;" SALARY CHANGE"</f>
        <v>FY 2023 SALARY CHANGE</v>
      </c>
      <c r="L8" s="50" t="str">
        <f>"FY "&amp;'AGAH|0001-00'!FiscalYear&amp;" CHG HEALTH BENEFITS"</f>
        <v>FY 2023 CHG HEALTH BENEFITS</v>
      </c>
      <c r="M8" s="50" t="str">
        <f>"FY "&amp;'AGAH|0001-00'!FiscalYear&amp;"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[0]!AGAH000100col_INC_FTI</f>
        <v>0</v>
      </c>
      <c r="G10" s="218">
        <f>[0]!AGAH000100col_FTI_SALARY_PERM</f>
        <v>0</v>
      </c>
      <c r="H10" s="218">
        <f>[0]!AGAH000100col_HEALTH_PERM</f>
        <v>0</v>
      </c>
      <c r="I10" s="218">
        <f>[0]!AGAH000100col_TOT_VB_PERM</f>
        <v>0</v>
      </c>
      <c r="J10" s="219">
        <f>SUM(G10:I10)</f>
        <v>0</v>
      </c>
      <c r="K10" s="219">
        <f>[0]!AGAH000100col_1_27TH_PP</f>
        <v>0</v>
      </c>
      <c r="L10" s="218">
        <f>[0]!AGAH000100col_HEALTH_PERM_CHG</f>
        <v>0</v>
      </c>
      <c r="M10" s="218">
        <f>[0]!AGAH000100col_TOT_VB_PERM_CHG</f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[0]!AGAH000100col_Group_Salary</f>
        <v>0</v>
      </c>
      <c r="H11" s="218">
        <v>0</v>
      </c>
      <c r="I11" s="218">
        <f>[0]!AGAH000100col_Group_Ben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[0]!AGAH000100col_TOTAL_ELECT_PCN_FTI</f>
        <v>0</v>
      </c>
      <c r="G12" s="218">
        <f>[0]!AGAH000100col_FTI_SALARY_ELECT</f>
        <v>0</v>
      </c>
      <c r="H12" s="218">
        <f>[0]!AGAH000100col_HEALTH_ELECT</f>
        <v>0</v>
      </c>
      <c r="I12" s="218">
        <f>[0]!AGAH000100col_TOT_VB_ELECT</f>
        <v>0</v>
      </c>
      <c r="J12" s="219">
        <f>SUM(G12:I12)</f>
        <v>0</v>
      </c>
      <c r="K12" s="268"/>
      <c r="L12" s="218">
        <f>[0]!AGAH000100col_HEALTH_ELECT_CHG</f>
        <v>0</v>
      </c>
      <c r="M12" s="218">
        <f>[0]!AGAH000100col_TOT_VB_ELECT_CHG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"&amp;'AGAH|0001-00'!FiscalYear-1</f>
        <v>FY 2022</v>
      </c>
      <c r="D15" s="158" t="s">
        <v>31</v>
      </c>
      <c r="E15" s="355">
        <v>72200</v>
      </c>
      <c r="F15" s="55">
        <v>2</v>
      </c>
      <c r="G15" s="223" t="e">
        <f>IF(OrigApprop=0,0,(G13/$J$13)*OrigApprop)</f>
        <v>#DIV/0!</v>
      </c>
      <c r="H15" s="223" t="e">
        <f>IF(OrigApprop=0,0,(H13/$J$13)*OrigApprop)</f>
        <v>#DIV/0!</v>
      </c>
      <c r="I15" s="223" t="e">
        <f>IF(G15=0,0,(I13/$J$13)*OrigApprop)</f>
        <v>#DIV/0!</v>
      </c>
      <c r="J15" s="223" t="e">
        <f>SUM(G15:I15)</f>
        <v>#DIV/0!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2</v>
      </c>
      <c r="G16" s="162" t="e">
        <f>G15-G13</f>
        <v>#DIV/0!</v>
      </c>
      <c r="H16" s="162" t="e">
        <f>H15-H13</f>
        <v>#DIV/0!</v>
      </c>
      <c r="I16" s="162" t="e">
        <f>I15-I13</f>
        <v>#DIV/0!</v>
      </c>
      <c r="J16" s="162" t="e">
        <f>J15-J13</f>
        <v>#DIV/0!</v>
      </c>
      <c r="K16" s="269"/>
      <c r="L16" s="56" t="e">
        <f>IF('AGAH|0001-00'!OrigApprop=0,"ERROR! Enter Original Appropriation amount in DU 3.00!","Calculated "&amp;IF('AGAH|0001-00'!AdjustedTotal&gt;0,"overfunding ","underfunding ")&amp;"is "&amp;TEXT('AGAH|0001-00'!AdjustedTotal/'AGAH|0001-00'!AppropTotal,"#.0%;(#.0% );0% ;")&amp;" of Original Appropriation")</f>
        <v>#DIV/0!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2</v>
      </c>
      <c r="G43" s="206" t="e">
        <f>ROUND(G51-G41,-2)</f>
        <v>#DIV/0!</v>
      </c>
      <c r="H43" s="159" t="e">
        <f>ROUND(H51-H41,-2)</f>
        <v>#DIV/0!</v>
      </c>
      <c r="I43" s="159" t="e">
        <f>ROUND(I51-I41,-2)</f>
        <v>#DIV/0!</v>
      </c>
      <c r="J43" s="159" t="e">
        <f>SUM(G43:I43)</f>
        <v>#DIV/0!</v>
      </c>
      <c r="K43" s="413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2</v>
      </c>
      <c r="G44" s="206" t="e">
        <f>ROUND(G60-G41,-2)</f>
        <v>#DIV/0!</v>
      </c>
      <c r="H44" s="159" t="e">
        <f>ROUND(H60-H41,-2)</f>
        <v>#DIV/0!</v>
      </c>
      <c r="I44" s="159" t="e">
        <f>ROUND(I60-I41,-2)</f>
        <v>#DIV/0!</v>
      </c>
      <c r="J44" s="159" t="e">
        <f>SUM(G44:I44)</f>
        <v>#DIV/0!</v>
      </c>
      <c r="K44" s="413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2</v>
      </c>
      <c r="G45" s="206" t="e">
        <f>ROUND(G67-G41-G63,-2)</f>
        <v>#DIV/0!</v>
      </c>
      <c r="H45" s="206" t="e">
        <f>ROUND(H67-H41-H63,-2)</f>
        <v>#DIV/0!</v>
      </c>
      <c r="I45" s="206" t="e">
        <f>ROUND(I67-I41-I63,-2)</f>
        <v>#DIV/0!</v>
      </c>
      <c r="J45" s="159" t="e">
        <f>SUM(G45:I45)</f>
        <v>#DIV/0!</v>
      </c>
      <c r="K45" s="413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e">
        <f>IF(OR(J45&lt;0,F45&lt;0),"You may not have sufficient funding or authorized FTP, and may need to make additional adjustments to finalize this form.  Please contact both your DFM and LSO analysts.","")</f>
        <v>#DIV/0!</v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72200</v>
      </c>
      <c r="F51" s="272">
        <f>AppropFTP</f>
        <v>2</v>
      </c>
      <c r="G51" s="274" t="e">
        <f>IF(E51=0,0,(G41/$J$41)*$E$51)</f>
        <v>#DIV/0!</v>
      </c>
      <c r="H51" s="274" t="e">
        <f>IF(E51=0,0,(H41/$J$41)*$E$51)</f>
        <v>#DIV/0!</v>
      </c>
      <c r="I51" s="275" t="e">
        <f>IF(E51=0,0,(I41/$J$41)*$E$51)</f>
        <v>#DIV/0!</v>
      </c>
      <c r="J51" s="90" t="e">
        <f>SUM(G51:I51)</f>
        <v>#DIV/0!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2</v>
      </c>
      <c r="G52" s="79" t="e">
        <f>ROUND(G51,-2)</f>
        <v>#DIV/0!</v>
      </c>
      <c r="H52" s="79" t="e">
        <f>ROUND(H51,-2)</f>
        <v>#DIV/0!</v>
      </c>
      <c r="I52" s="266" t="e">
        <f>ROUND(I51,-2)</f>
        <v>#DIV/0!</v>
      </c>
      <c r="J52" s="80" t="e">
        <f>ROUND(J51,-2)</f>
        <v>#DIV/0!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2</v>
      </c>
      <c r="G56" s="80" t="e">
        <f>SUM(G52:G55)</f>
        <v>#DIV/0!</v>
      </c>
      <c r="H56" s="80" t="e">
        <f>SUM(H52:H55)</f>
        <v>#DIV/0!</v>
      </c>
      <c r="I56" s="260" t="e">
        <f>SUM(I52:I55)</f>
        <v>#DIV/0!</v>
      </c>
      <c r="J56" s="80" t="e">
        <f>SUM(J52:J55)</f>
        <v>#DIV/0!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2</v>
      </c>
      <c r="G60" s="80" t="e">
        <f>SUM(G56:G59)</f>
        <v>#DIV/0!</v>
      </c>
      <c r="H60" s="80" t="e">
        <f>SUM(H56:H59)</f>
        <v>#DIV/0!</v>
      </c>
      <c r="I60" s="260" t="e">
        <f>SUM(I56:I59)</f>
        <v>#DIV/0!</v>
      </c>
      <c r="J60" s="80" t="e">
        <f>SUM(J56:J59)</f>
        <v>#DIV/0!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2</v>
      </c>
      <c r="G67" s="80" t="e">
        <f>SUM(G60:G64)</f>
        <v>#DIV/0!</v>
      </c>
      <c r="H67" s="80" t="e">
        <f>SUM(H60:H64)</f>
        <v>#DIV/0!</v>
      </c>
      <c r="I67" s="80" t="e">
        <f>SUM(I60:I64)</f>
        <v>#DIV/0!</v>
      </c>
      <c r="J67" s="80" t="e">
        <f>SUM(J60:J64)</f>
        <v>#DIV/0!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 t="e">
        <f>IF(DUNine=0,0,ROUND(SUM(L41:L65),-2))</f>
        <v>#DIV/0!</v>
      </c>
      <c r="I68" s="113"/>
      <c r="J68" s="287" t="e">
        <f>SUM(G68:I68)</f>
        <v>#DIV/0!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 t="e">
        <f>IF(DUNine=0,0,ROUND(SUM(M41:M64),-2))</f>
        <v>#DIV/0!</v>
      </c>
      <c r="J69" s="287" t="e">
        <f>SUM(G69:I69)</f>
        <v>#DIV/0!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 t="e">
        <f>IF(DUNine=0,0,IF(DUNine&lt;0,0,ROUND(AdjPermSalary*CECPerm,-2)))</f>
        <v>#DIV/0!</v>
      </c>
      <c r="H72" s="287"/>
      <c r="I72" s="287" t="e">
        <f>ROUND(($G72*PermVBBY+$G72*Retire1BY),-2)</f>
        <v>#DIV/0!</v>
      </c>
      <c r="J72" s="113" t="e">
        <f>SUM(G72:I72)</f>
        <v>#DIV/0!</v>
      </c>
      <c r="K72" s="296"/>
      <c r="L72" s="298"/>
      <c r="M72" s="350" t="e">
        <f>IF(DUNine=0,0,IF(((#REF!-G39-G40)*E72)&lt;0,0,ROUND(((#REF!-G39-G40)*E72),-2)))</f>
        <v>#DIV/0!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#DIV/0!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 t="e">
        <f>IF(DUNine=0,0,IF(DUNine&lt;0,0,ROUND(AdjGroupSalary*CECGroup,-2)))</f>
        <v>#DIV/0!</v>
      </c>
      <c r="H73" s="287"/>
      <c r="I73" s="287" t="e">
        <f>ROUND(($G73*GroupVBBY),-2)</f>
        <v>#DIV/0!</v>
      </c>
      <c r="J73" s="113" t="e">
        <f t="shared" si="11"/>
        <v>#DIV/0!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2</v>
      </c>
      <c r="G75" s="80" t="e">
        <f>SUM(G67:G74)</f>
        <v>#DIV/0!</v>
      </c>
      <c r="H75" s="80" t="e">
        <f>SUM(H67:H74)</f>
        <v>#DIV/0!</v>
      </c>
      <c r="I75" s="80" t="e">
        <f>SUM(I67:I74)</f>
        <v>#DIV/0!</v>
      </c>
      <c r="J75" s="80" t="e">
        <f>SUM(J67:K74)</f>
        <v>#DIV/0!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2</v>
      </c>
      <c r="G80" s="80" t="e">
        <f>SUM(G75:G79)</f>
        <v>#DIV/0!</v>
      </c>
      <c r="H80" s="80" t="e">
        <f>SUM(H75:H79)</f>
        <v>#DIV/0!</v>
      </c>
      <c r="I80" s="80" t="e">
        <f>SUM(I75:I79)</f>
        <v>#DIV/0!</v>
      </c>
      <c r="J80" s="80" t="e">
        <f>SUM(J75:J79)</f>
        <v>#DIV/0!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91" priority="5">
      <formula>$J$44&lt;0</formula>
    </cfRule>
  </conditionalFormatting>
  <conditionalFormatting sqref="K43">
    <cfRule type="expression" dxfId="90" priority="4">
      <formula>$J$43&lt;0</formula>
    </cfRule>
  </conditionalFormatting>
  <conditionalFormatting sqref="L16">
    <cfRule type="expression" dxfId="89" priority="3">
      <formula>$J$16&lt;0</formula>
    </cfRule>
  </conditionalFormatting>
  <conditionalFormatting sqref="K45">
    <cfRule type="expression" dxfId="88" priority="2">
      <formula>$J$44&lt;0</formula>
    </cfRule>
  </conditionalFormatting>
  <conditionalFormatting sqref="K43:N45">
    <cfRule type="containsText" dxfId="8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A850A51-D7E4-4AC1-98F6-4ECF5B6474A7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205FB-5399-4451-A986-908F959801AB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1561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1555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1131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1559</v>
      </c>
      <c r="J5" s="404"/>
      <c r="K5" s="404"/>
      <c r="L5" s="403"/>
      <c r="M5" s="352" t="s">
        <v>115</v>
      </c>
      <c r="N5" s="32" t="s">
        <v>1560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"&amp;'AGAH|0332-03'!FiscalYear-1&amp;" SALARY"</f>
        <v>FY 2022 SALARY</v>
      </c>
      <c r="H8" s="50" t="str">
        <f>"FY "&amp;'AGAH|0332-03'!FiscalYear-1&amp;" HEALTH BENEFITS"</f>
        <v>FY 2022 HEALTH BENEFITS</v>
      </c>
      <c r="I8" s="50" t="str">
        <f>"FY "&amp;'AGAH|0332-03'!FiscalYear-1&amp;" VAR BENEFITS"</f>
        <v>FY 2022 VAR BENEFITS</v>
      </c>
      <c r="J8" s="50" t="str">
        <f>"FY "&amp;'AGAH|0332-03'!FiscalYear-1&amp;" TOTAL"</f>
        <v>FY 2022 TOTAL</v>
      </c>
      <c r="K8" s="50" t="str">
        <f>"FY "&amp;'AGAH|0332-03'!FiscalYear&amp;" SALARY CHANGE"</f>
        <v>FY 2023 SALARY CHANGE</v>
      </c>
      <c r="L8" s="50" t="str">
        <f>"FY "&amp;'AGAH|0332-03'!FiscalYear&amp;" CHG HEALTH BENEFITS"</f>
        <v>FY 2023 CHG HEALTH BENEFITS</v>
      </c>
      <c r="M8" s="50" t="str">
        <f>"FY "&amp;'AGAH|0332-03'!FiscalYear&amp;"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[0]!AGAH033203col_INC_FTI</f>
        <v>0</v>
      </c>
      <c r="G10" s="218">
        <f>[0]!AGAH033203col_FTI_SALARY_PERM</f>
        <v>0</v>
      </c>
      <c r="H10" s="218">
        <f>[0]!AGAH033203col_HEALTH_PERM</f>
        <v>0</v>
      </c>
      <c r="I10" s="218">
        <f>[0]!AGAH033203col_TOT_VB_PERM</f>
        <v>0</v>
      </c>
      <c r="J10" s="219">
        <f>SUM(G10:I10)</f>
        <v>0</v>
      </c>
      <c r="K10" s="219">
        <f>[0]!AGAH033203col_1_27TH_PP</f>
        <v>0</v>
      </c>
      <c r="L10" s="218">
        <f>[0]!AGAH033203col_HEALTH_PERM_CHG</f>
        <v>0</v>
      </c>
      <c r="M10" s="218">
        <f>[0]!AGAH033203col_TOT_VB_PERM_CHG</f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[0]!AGAH033203col_Group_Salary</f>
        <v>0</v>
      </c>
      <c r="H11" s="218">
        <v>0</v>
      </c>
      <c r="I11" s="218">
        <f>[0]!AGAH033203col_Group_Ben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[0]!AGAH033203col_TOTAL_ELECT_PCN_FTI</f>
        <v>0</v>
      </c>
      <c r="G12" s="218">
        <f>[0]!AGAH033203col_FTI_SALARY_ELECT</f>
        <v>0</v>
      </c>
      <c r="H12" s="218">
        <f>[0]!AGAH033203col_HEALTH_ELECT</f>
        <v>0</v>
      </c>
      <c r="I12" s="218">
        <f>[0]!AGAH033203col_TOT_VB_ELECT</f>
        <v>0</v>
      </c>
      <c r="J12" s="219">
        <f>SUM(G12:I12)</f>
        <v>0</v>
      </c>
      <c r="K12" s="268"/>
      <c r="L12" s="218">
        <f>[0]!AGAH033203col_HEALTH_ELECT_CHG</f>
        <v>0</v>
      </c>
      <c r="M12" s="218">
        <f>[0]!AGAH033203col_TOT_VB_ELECT_CHG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"&amp;'AGAH|0332-03'!FiscalYear-1</f>
        <v>FY 2022</v>
      </c>
      <c r="D15" s="158" t="s">
        <v>31</v>
      </c>
      <c r="E15" s="355">
        <v>72500</v>
      </c>
      <c r="F15" s="55">
        <v>0</v>
      </c>
      <c r="G15" s="223" t="e">
        <f>IF(OrigApprop=0,0,(G13/$J$13)*OrigApprop)</f>
        <v>#DIV/0!</v>
      </c>
      <c r="H15" s="223" t="e">
        <f>IF(OrigApprop=0,0,(H13/$J$13)*OrigApprop)</f>
        <v>#DIV/0!</v>
      </c>
      <c r="I15" s="223" t="e">
        <f>IF(G15=0,0,(I13/$J$13)*OrigApprop)</f>
        <v>#DIV/0!</v>
      </c>
      <c r="J15" s="223" t="e">
        <f>SUM(G15:I15)</f>
        <v>#DIV/0!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0</v>
      </c>
      <c r="G16" s="162" t="e">
        <f>G15-G13</f>
        <v>#DIV/0!</v>
      </c>
      <c r="H16" s="162" t="e">
        <f>H15-H13</f>
        <v>#DIV/0!</v>
      </c>
      <c r="I16" s="162" t="e">
        <f>I15-I13</f>
        <v>#DIV/0!</v>
      </c>
      <c r="J16" s="162" t="e">
        <f>J15-J13</f>
        <v>#DIV/0!</v>
      </c>
      <c r="K16" s="269"/>
      <c r="L16" s="56" t="e">
        <f>IF('AGAH|0332-03'!OrigApprop=0,"ERROR! Enter Original Appropriation amount in DU 3.00!","Calculated "&amp;IF('AGAH|0332-03'!AdjustedTotal&gt;0,"overfunding ","underfunding ")&amp;"is "&amp;TEXT('AGAH|0332-03'!AdjustedTotal/'AGAH|0332-03'!AppropTotal,"#.0%;(#.0% );0% ;")&amp;" of Original Appropriation")</f>
        <v>#DIV/0!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0</v>
      </c>
      <c r="G43" s="206" t="e">
        <f>ROUND(G51-G41,-2)</f>
        <v>#DIV/0!</v>
      </c>
      <c r="H43" s="159" t="e">
        <f>ROUND(H51-H41,-2)</f>
        <v>#DIV/0!</v>
      </c>
      <c r="I43" s="159" t="e">
        <f>ROUND(I51-I41,-2)</f>
        <v>#DIV/0!</v>
      </c>
      <c r="J43" s="159" t="e">
        <f>SUM(G43:I43)</f>
        <v>#DIV/0!</v>
      </c>
      <c r="K43" s="413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0</v>
      </c>
      <c r="G44" s="206" t="e">
        <f>ROUND(G60-G41,-2)</f>
        <v>#DIV/0!</v>
      </c>
      <c r="H44" s="159" t="e">
        <f>ROUND(H60-H41,-2)</f>
        <v>#DIV/0!</v>
      </c>
      <c r="I44" s="159" t="e">
        <f>ROUND(I60-I41,-2)</f>
        <v>#DIV/0!</v>
      </c>
      <c r="J44" s="159" t="e">
        <f>SUM(G44:I44)</f>
        <v>#DIV/0!</v>
      </c>
      <c r="K44" s="413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 t="e">
        <f>ROUND(G67-G41-G63,-2)</f>
        <v>#DIV/0!</v>
      </c>
      <c r="H45" s="206" t="e">
        <f>ROUND(H67-H41-H63,-2)</f>
        <v>#DIV/0!</v>
      </c>
      <c r="I45" s="206" t="e">
        <f>ROUND(I67-I41-I63,-2)</f>
        <v>#DIV/0!</v>
      </c>
      <c r="J45" s="159" t="e">
        <f>SUM(G45:I45)</f>
        <v>#DIV/0!</v>
      </c>
      <c r="K45" s="413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e">
        <f>IF(OR(J45&lt;0,F45&lt;0),"You may not have sufficient funding or authorized FTP, and may need to make additional adjustments to finalize this form.  Please contact both your DFM and LSO analysts.","")</f>
        <v>#DIV/0!</v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72500</v>
      </c>
      <c r="F51" s="272">
        <f>AppropFTP</f>
        <v>0</v>
      </c>
      <c r="G51" s="274" t="e">
        <f>IF(E51=0,0,(G41/$J$41)*$E$51)</f>
        <v>#DIV/0!</v>
      </c>
      <c r="H51" s="274" t="e">
        <f>IF(E51=0,0,(H41/$J$41)*$E$51)</f>
        <v>#DIV/0!</v>
      </c>
      <c r="I51" s="275" t="e">
        <f>IF(E51=0,0,(I41/$J$41)*$E$51)</f>
        <v>#DIV/0!</v>
      </c>
      <c r="J51" s="90" t="e">
        <f>SUM(G51:I51)</f>
        <v>#DIV/0!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0</v>
      </c>
      <c r="G52" s="79" t="e">
        <f>ROUND(G51,-2)</f>
        <v>#DIV/0!</v>
      </c>
      <c r="H52" s="79" t="e">
        <f>ROUND(H51,-2)</f>
        <v>#DIV/0!</v>
      </c>
      <c r="I52" s="266" t="e">
        <f>ROUND(I51,-2)</f>
        <v>#DIV/0!</v>
      </c>
      <c r="J52" s="80" t="e">
        <f>ROUND(J51,-2)</f>
        <v>#DIV/0!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 t="e">
        <f>SUM(G52:G55)</f>
        <v>#DIV/0!</v>
      </c>
      <c r="H56" s="80" t="e">
        <f>SUM(H52:H55)</f>
        <v>#DIV/0!</v>
      </c>
      <c r="I56" s="260" t="e">
        <f>SUM(I52:I55)</f>
        <v>#DIV/0!</v>
      </c>
      <c r="J56" s="80" t="e">
        <f>SUM(J52:J55)</f>
        <v>#DIV/0!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 t="e">
        <f>SUM(G56:G59)</f>
        <v>#DIV/0!</v>
      </c>
      <c r="H60" s="80" t="e">
        <f>SUM(H56:H59)</f>
        <v>#DIV/0!</v>
      </c>
      <c r="I60" s="260" t="e">
        <f>SUM(I56:I59)</f>
        <v>#DIV/0!</v>
      </c>
      <c r="J60" s="80" t="e">
        <f>SUM(J56:J59)</f>
        <v>#DIV/0!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 t="e">
        <f>SUM(G60:G64)</f>
        <v>#DIV/0!</v>
      </c>
      <c r="H67" s="80" t="e">
        <f>SUM(H60:H64)</f>
        <v>#DIV/0!</v>
      </c>
      <c r="I67" s="80" t="e">
        <f>SUM(I60:I64)</f>
        <v>#DIV/0!</v>
      </c>
      <c r="J67" s="80" t="e">
        <f>SUM(J60:J64)</f>
        <v>#DIV/0!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 t="e">
        <f>IF(DUNine=0,0,ROUND(SUM(L41:L65),-2))</f>
        <v>#DIV/0!</v>
      </c>
      <c r="I68" s="113"/>
      <c r="J68" s="287" t="e">
        <f>SUM(G68:I68)</f>
        <v>#DIV/0!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 t="e">
        <f>IF(DUNine=0,0,ROUND(SUM(M41:M64),-2))</f>
        <v>#DIV/0!</v>
      </c>
      <c r="J69" s="287" t="e">
        <f>SUM(G69:I69)</f>
        <v>#DIV/0!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 t="e">
        <f>IF(DUNine=0,0,IF(DUNine&lt;0,0,ROUND(AdjPermSalary*CECPerm,-2)))</f>
        <v>#DIV/0!</v>
      </c>
      <c r="H72" s="287"/>
      <c r="I72" s="287" t="e">
        <f>ROUND(($G72*PermVBBY+$G72*Retire1BY),-2)</f>
        <v>#DIV/0!</v>
      </c>
      <c r="J72" s="113" t="e">
        <f>SUM(G72:I72)</f>
        <v>#DIV/0!</v>
      </c>
      <c r="K72" s="296"/>
      <c r="L72" s="298"/>
      <c r="M72" s="350" t="e">
        <f>IF(DUNine=0,0,IF(((#REF!-G39-G40)*E72)&lt;0,0,ROUND(((#REF!-G39-G40)*E72),-2)))</f>
        <v>#DIV/0!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#DIV/0!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 t="e">
        <f>IF(DUNine=0,0,IF(DUNine&lt;0,0,ROUND(AdjGroupSalary*CECGroup,-2)))</f>
        <v>#DIV/0!</v>
      </c>
      <c r="H73" s="287"/>
      <c r="I73" s="287" t="e">
        <f>ROUND(($G73*GroupVBBY),-2)</f>
        <v>#DIV/0!</v>
      </c>
      <c r="J73" s="113" t="e">
        <f t="shared" si="11"/>
        <v>#DIV/0!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 t="e">
        <f>SUM(G67:G74)</f>
        <v>#DIV/0!</v>
      </c>
      <c r="H75" s="80" t="e">
        <f>SUM(H67:H74)</f>
        <v>#DIV/0!</v>
      </c>
      <c r="I75" s="80" t="e">
        <f>SUM(I67:I74)</f>
        <v>#DIV/0!</v>
      </c>
      <c r="J75" s="80" t="e">
        <f>SUM(J67:K74)</f>
        <v>#DIV/0!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 t="e">
        <f>SUM(G75:G79)</f>
        <v>#DIV/0!</v>
      </c>
      <c r="H80" s="80" t="e">
        <f>SUM(H75:H79)</f>
        <v>#DIV/0!</v>
      </c>
      <c r="I80" s="80" t="e">
        <f>SUM(I75:I79)</f>
        <v>#DIV/0!</v>
      </c>
      <c r="J80" s="80" t="e">
        <f>SUM(J75:J79)</f>
        <v>#DIV/0!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86" priority="5">
      <formula>$J$44&lt;0</formula>
    </cfRule>
  </conditionalFormatting>
  <conditionalFormatting sqref="K43">
    <cfRule type="expression" dxfId="85" priority="4">
      <formula>$J$43&lt;0</formula>
    </cfRule>
  </conditionalFormatting>
  <conditionalFormatting sqref="L16">
    <cfRule type="expression" dxfId="84" priority="3">
      <formula>$J$16&lt;0</formula>
    </cfRule>
  </conditionalFormatting>
  <conditionalFormatting sqref="K45">
    <cfRule type="expression" dxfId="83" priority="2">
      <formula>$J$44&lt;0</formula>
    </cfRule>
  </conditionalFormatting>
  <conditionalFormatting sqref="K43:N45">
    <cfRule type="containsText" dxfId="8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69D458-FBF3-474A-8C69-D1C1854DF57A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BE90A-4FFF-4360-B146-113C781AFE58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1569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1525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1141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1567</v>
      </c>
      <c r="J5" s="404"/>
      <c r="K5" s="404"/>
      <c r="L5" s="403"/>
      <c r="M5" s="352" t="s">
        <v>115</v>
      </c>
      <c r="N5" s="32" t="s">
        <v>1568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"&amp;'AGAL|0486-00'!FiscalYear-1&amp;" SALARY"</f>
        <v>FY 2022 SALARY</v>
      </c>
      <c r="H8" s="50" t="str">
        <f>"FY "&amp;'AGAL|0486-00'!FiscalYear-1&amp;" HEALTH BENEFITS"</f>
        <v>FY 2022 HEALTH BENEFITS</v>
      </c>
      <c r="I8" s="50" t="str">
        <f>"FY "&amp;'AGAL|0486-00'!FiscalYear-1&amp;" VAR BENEFITS"</f>
        <v>FY 2022 VAR BENEFITS</v>
      </c>
      <c r="J8" s="50" t="str">
        <f>"FY "&amp;'AGAL|0486-00'!FiscalYear-1&amp;" TOTAL"</f>
        <v>FY 2022 TOTAL</v>
      </c>
      <c r="K8" s="50" t="str">
        <f>"FY "&amp;'AGAL|0486-00'!FiscalYear&amp;" SALARY CHANGE"</f>
        <v>FY 2023 SALARY CHANGE</v>
      </c>
      <c r="L8" s="50" t="str">
        <f>"FY "&amp;'AGAL|0486-00'!FiscalYear&amp;" CHG HEALTH BENEFITS"</f>
        <v>FY 2023 CHG HEALTH BENEFITS</v>
      </c>
      <c r="M8" s="50" t="str">
        <f>"FY "&amp;'AGAL|0486-00'!FiscalYear&amp;"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[0]!AGAL048600col_INC_FTI</f>
        <v>13</v>
      </c>
      <c r="G10" s="218">
        <f>[0]!AGAL048600col_FTI_SALARY_PERM</f>
        <v>748571.20000000007</v>
      </c>
      <c r="H10" s="218">
        <f>[0]!AGAL048600col_HEALTH_PERM</f>
        <v>154945</v>
      </c>
      <c r="I10" s="218">
        <f>[0]!AGAL048600col_TOT_VB_PERM</f>
        <v>169454.06254400004</v>
      </c>
      <c r="J10" s="219">
        <f>SUM(G10:I10)</f>
        <v>1072970.2625440001</v>
      </c>
      <c r="K10" s="219">
        <f>[0]!AGAL048600col_1_27TH_PP</f>
        <v>0</v>
      </c>
      <c r="L10" s="218">
        <f>[0]!AGAL048600col_HEALTH_PERM_CHG</f>
        <v>0</v>
      </c>
      <c r="M10" s="218">
        <f>[0]!AGAL048600col_TOT_VB_PERM_CHG</f>
        <v>-1946.2851199999984</v>
      </c>
      <c r="N10" s="218">
        <f>SUM(L10:M10)</f>
        <v>-1946.2851199999984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7500</v>
      </c>
      <c r="AB10" s="335">
        <f>ROUND(PermVarBen*CECPerm+(CECPerm*PermVarBenChg),-2)</f>
        <v>1700</v>
      </c>
      <c r="AC10" s="335">
        <f>SUM(AA10:AB10)</f>
        <v>9200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[0]!AGAL048600col_Group_Salary</f>
        <v>3474080.0999999996</v>
      </c>
      <c r="H11" s="218">
        <v>0</v>
      </c>
      <c r="I11" s="218">
        <f>[0]!AGAL048600col_Group_Ben</f>
        <v>1952693.5</v>
      </c>
      <c r="J11" s="219">
        <f>SUM(G11:I11)</f>
        <v>5426773.5999999996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34700</v>
      </c>
      <c r="AB11" s="335">
        <f>ROUND((GroupSalary*GroupVBBY)*CECGroup,-2)</f>
        <v>3300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[0]!AGAL048600col_TOTAL_ELECT_PCN_FTI</f>
        <v>0</v>
      </c>
      <c r="G12" s="218">
        <f>[0]!AGAL048600col_FTI_SALARY_ELECT</f>
        <v>0</v>
      </c>
      <c r="H12" s="218">
        <f>[0]!AGAL048600col_HEALTH_ELECT</f>
        <v>0</v>
      </c>
      <c r="I12" s="218">
        <f>[0]!AGAL048600col_TOT_VB_ELECT</f>
        <v>0</v>
      </c>
      <c r="J12" s="219">
        <f>SUM(G12:I12)</f>
        <v>0</v>
      </c>
      <c r="K12" s="268"/>
      <c r="L12" s="218">
        <f>[0]!AGAL048600col_HEALTH_ELECT_CHG</f>
        <v>0</v>
      </c>
      <c r="M12" s="218">
        <f>[0]!AGAL048600col_TOT_VB_ELECT_CHG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13</v>
      </c>
      <c r="G13" s="221">
        <f>SUM(G10:G12)</f>
        <v>4222651.3</v>
      </c>
      <c r="H13" s="221">
        <f>SUM(H10:H12)</f>
        <v>154945</v>
      </c>
      <c r="I13" s="221">
        <f>SUM(I10:I12)</f>
        <v>2122147.5625439999</v>
      </c>
      <c r="J13" s="219">
        <f>SUM(G13:I13)</f>
        <v>6499743.8625440001</v>
      </c>
      <c r="K13" s="268"/>
      <c r="L13" s="219">
        <f>SUM(L10:L12)</f>
        <v>0</v>
      </c>
      <c r="M13" s="219">
        <f>SUM(M10:M12)</f>
        <v>-1946.2851199999984</v>
      </c>
      <c r="N13" s="219">
        <f>SUM(N10:N12)</f>
        <v>-1946.2851199999984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"&amp;'AGAL|0486-00'!FiscalYear-1</f>
        <v>FY 2022</v>
      </c>
      <c r="D15" s="158" t="s">
        <v>31</v>
      </c>
      <c r="E15" s="355">
        <v>7659900</v>
      </c>
      <c r="F15" s="55">
        <v>16.350000000000001</v>
      </c>
      <c r="G15" s="223">
        <f>IF(OrigApprop=0,0,(G13/$J$13)*OrigApprop)</f>
        <v>4976363.2809078302</v>
      </c>
      <c r="H15" s="223">
        <f>IF(OrigApprop=0,0,(H13/$J$13)*OrigApprop)</f>
        <v>182601.5348604001</v>
      </c>
      <c r="I15" s="223">
        <f>IF(G15=0,0,(I13/$J$13)*OrigApprop)</f>
        <v>2500935.1842317684</v>
      </c>
      <c r="J15" s="223">
        <f>SUM(G15:I15)</f>
        <v>7659899.9999999991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3.3500000000000014</v>
      </c>
      <c r="G16" s="162">
        <f>G15-G13</f>
        <v>753711.98090783041</v>
      </c>
      <c r="H16" s="162">
        <f>H15-H13</f>
        <v>27656.534860400105</v>
      </c>
      <c r="I16" s="162">
        <f>I15-I13</f>
        <v>378787.62168776849</v>
      </c>
      <c r="J16" s="162">
        <f>J15-J13</f>
        <v>1160156.1374559989</v>
      </c>
      <c r="K16" s="269"/>
      <c r="L16" s="56" t="str">
        <f>IF('AGAL|0486-00'!OrigApprop=0,"ERROR! Enter Original Appropriation amount in DU 3.00!","Calculated "&amp;IF('AGAL|0486-00'!AdjustedTotal&gt;0,"overfunding ","underfunding ")&amp;"is "&amp;TEXT('AGAL|0486-00'!AdjustedTotal/'AGAL|0486-00'!AppropTotal,"#.0%;(#.0% );0% ;")&amp;" of Original Appropriation")</f>
        <v>Calculated overfunding is 15.1%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13</v>
      </c>
      <c r="G38" s="191">
        <f>SUMIF($E10:$E35,$E38,$G10:$G35)</f>
        <v>748571.20000000007</v>
      </c>
      <c r="H38" s="192">
        <f>SUMIF($E10:$E35,$E38,$H10:$H35)</f>
        <v>154945</v>
      </c>
      <c r="I38" s="192">
        <f>SUMIF($E10:$E35,$E38,$I10:$I35)</f>
        <v>169454.06254400004</v>
      </c>
      <c r="J38" s="192">
        <f>SUM(G38:I38)</f>
        <v>1072970.2625440001</v>
      </c>
      <c r="K38" s="166"/>
      <c r="L38" s="191">
        <f>SUMIF($E10:$E35,$E38,$L10:$L35)</f>
        <v>0</v>
      </c>
      <c r="M38" s="192">
        <f>SUMIF($E10:$E35,$E38,$M10:$M35)</f>
        <v>-1946.2851199999984</v>
      </c>
      <c r="N38" s="192">
        <f>SUM(L38:M38)</f>
        <v>-1946.2851199999984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7500</v>
      </c>
      <c r="AB38" s="338">
        <f>ROUND((AdjPermVB*CECPerm+AdjPermVBBY*CECPerm),-2)</f>
        <v>1700</v>
      </c>
      <c r="AC38" s="338">
        <f>SUM(AA38:AB38)</f>
        <v>9200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3474080.0999999996</v>
      </c>
      <c r="H39" s="152">
        <f>SUMIF($E10:$E35,$E39,$H10:$H35)</f>
        <v>0</v>
      </c>
      <c r="I39" s="152">
        <f>SUMIF($E10:$E35,$E39,$I10:$I35)</f>
        <v>1952693.5</v>
      </c>
      <c r="J39" s="152">
        <f>SUM(G39:I39)</f>
        <v>5426773.5999999996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34700</v>
      </c>
      <c r="AB39" s="338">
        <f>ROUND(AdjGroupVB*CECGroup,-2)</f>
        <v>19500</v>
      </c>
      <c r="AC39" s="338">
        <f>SUM(AA39:AB39)</f>
        <v>54200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13</v>
      </c>
      <c r="G41" s="195">
        <f>SUM($G$38:$G$40)</f>
        <v>4222651.3</v>
      </c>
      <c r="H41" s="162">
        <f>SUM($H$38:$H$40)</f>
        <v>154945</v>
      </c>
      <c r="I41" s="162">
        <f>SUM($I$38:$I$40)</f>
        <v>2122147.5625439999</v>
      </c>
      <c r="J41" s="162">
        <f>SUM($J$38:$J$40)</f>
        <v>6499743.8625440001</v>
      </c>
      <c r="K41" s="259"/>
      <c r="L41" s="195">
        <f>SUM($L$38:$L$40)</f>
        <v>0</v>
      </c>
      <c r="M41" s="162">
        <f>SUM($M$38:$M$40)</f>
        <v>-1946.2851199999984</v>
      </c>
      <c r="N41" s="162">
        <f>SUM(L41:M41)</f>
        <v>-1946.2851199999984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3.35</v>
      </c>
      <c r="G43" s="206">
        <f>ROUND(G51-G41,-2)</f>
        <v>753700</v>
      </c>
      <c r="H43" s="159">
        <f>ROUND(H51-H41,-2)</f>
        <v>27700</v>
      </c>
      <c r="I43" s="159">
        <f>ROUND(I51-I41,-2)</f>
        <v>378800</v>
      </c>
      <c r="J43" s="159">
        <f>SUM(G43:I43)</f>
        <v>1160200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overfunding is 15.1%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3.35</v>
      </c>
      <c r="G44" s="206">
        <f>ROUND(G60-G41,-2)</f>
        <v>753700</v>
      </c>
      <c r="H44" s="159">
        <f>ROUND(H60-H41,-2)</f>
        <v>27700</v>
      </c>
      <c r="I44" s="159">
        <f>ROUND(I60-I41,-2)</f>
        <v>378800</v>
      </c>
      <c r="J44" s="159">
        <f>SUM(G44:I44)</f>
        <v>1160200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overfunding is 15.1%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3.35</v>
      </c>
      <c r="G45" s="206">
        <f>ROUND(G67-G41-G63,-2)</f>
        <v>753700</v>
      </c>
      <c r="H45" s="206">
        <f>ROUND(H67-H41-H63,-2)</f>
        <v>27700</v>
      </c>
      <c r="I45" s="206">
        <f>ROUND(I67-I41-I63,-2)</f>
        <v>378800</v>
      </c>
      <c r="J45" s="159">
        <f>SUM(G45:I45)</f>
        <v>1160200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15.1%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16200</v>
      </c>
      <c r="AC45" s="338">
        <f>SUM(AA45:AB45)</f>
        <v>16200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/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7659900</v>
      </c>
      <c r="F51" s="272">
        <f>AppropFTP</f>
        <v>16.350000000000001</v>
      </c>
      <c r="G51" s="274">
        <f>IF(E51=0,0,(G41/$J$41)*$E$51)</f>
        <v>4976363.2809078302</v>
      </c>
      <c r="H51" s="274">
        <f>IF(E51=0,0,(H41/$J$41)*$E$51)</f>
        <v>182601.5348604001</v>
      </c>
      <c r="I51" s="275">
        <f>IF(E51=0,0,(I41/$J$41)*$E$51)</f>
        <v>2500935.1842317684</v>
      </c>
      <c r="J51" s="90">
        <f>SUM(G51:I51)</f>
        <v>7659899.9999999991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16.350000000000001</v>
      </c>
      <c r="G52" s="79">
        <f>ROUND(G51,-2)</f>
        <v>4976400</v>
      </c>
      <c r="H52" s="79">
        <f>ROUND(H51,-2)</f>
        <v>182600</v>
      </c>
      <c r="I52" s="266">
        <f>ROUND(I51,-2)</f>
        <v>2500900</v>
      </c>
      <c r="J52" s="80">
        <f>ROUND(J51,-2)</f>
        <v>7659900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16.350000000000001</v>
      </c>
      <c r="G56" s="80">
        <f>SUM(G52:G55)</f>
        <v>4976400</v>
      </c>
      <c r="H56" s="80">
        <f>SUM(H52:H55)</f>
        <v>182600</v>
      </c>
      <c r="I56" s="260">
        <f>SUM(I52:I55)</f>
        <v>2500900</v>
      </c>
      <c r="J56" s="80">
        <f>SUM(J52:J55)</f>
        <v>7659900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16.350000000000001</v>
      </c>
      <c r="G60" s="80">
        <f>SUM(G56:G59)</f>
        <v>4976400</v>
      </c>
      <c r="H60" s="80">
        <f>SUM(H56:H59)</f>
        <v>182600</v>
      </c>
      <c r="I60" s="260">
        <f>SUM(I56:I59)</f>
        <v>2500900</v>
      </c>
      <c r="J60" s="80">
        <f>SUM(J56:J59)</f>
        <v>7659900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16.350000000000001</v>
      </c>
      <c r="G67" s="80">
        <f>SUM(G60:G64)</f>
        <v>4976400</v>
      </c>
      <c r="H67" s="80">
        <f>SUM(H60:H64)</f>
        <v>182600</v>
      </c>
      <c r="I67" s="80">
        <f>SUM(I60:I64)</f>
        <v>2500900</v>
      </c>
      <c r="J67" s="80">
        <f>SUM(J60:J64)</f>
        <v>7659900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-1900</v>
      </c>
      <c r="J69" s="287">
        <f>SUM(G69:I69)</f>
        <v>-1900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7500</v>
      </c>
      <c r="H72" s="287"/>
      <c r="I72" s="287">
        <f>ROUND(($G72*PermVBBY+$G72*Retire1BY),-2)</f>
        <v>1700</v>
      </c>
      <c r="J72" s="113">
        <f>SUM(G72:I72)</f>
        <v>9200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34700</v>
      </c>
      <c r="H73" s="287"/>
      <c r="I73" s="287">
        <f>ROUND(($G73*GroupVBBY),-2)</f>
        <v>3300</v>
      </c>
      <c r="J73" s="113">
        <f t="shared" si="11"/>
        <v>38000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16.350000000000001</v>
      </c>
      <c r="G75" s="80">
        <f>SUM(G67:G74)</f>
        <v>5018600</v>
      </c>
      <c r="H75" s="80">
        <f>SUM(H67:H74)</f>
        <v>182600</v>
      </c>
      <c r="I75" s="80">
        <f>SUM(I67:I74)</f>
        <v>2504000</v>
      </c>
      <c r="J75" s="80">
        <f>SUM(J67:K74)</f>
        <v>7705200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16.350000000000001</v>
      </c>
      <c r="G80" s="80">
        <f>SUM(G75:G79)</f>
        <v>5018600</v>
      </c>
      <c r="H80" s="80">
        <f>SUM(H75:H79)</f>
        <v>182600</v>
      </c>
      <c r="I80" s="80">
        <f>SUM(I75:I79)</f>
        <v>2504000</v>
      </c>
      <c r="J80" s="80">
        <f>SUM(J75:J79)</f>
        <v>7705200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81" priority="5">
      <formula>$J$44&lt;0</formula>
    </cfRule>
  </conditionalFormatting>
  <conditionalFormatting sqref="K43">
    <cfRule type="expression" dxfId="80" priority="4">
      <formula>$J$43&lt;0</formula>
    </cfRule>
  </conditionalFormatting>
  <conditionalFormatting sqref="L16">
    <cfRule type="expression" dxfId="79" priority="3">
      <formula>$J$16&lt;0</formula>
    </cfRule>
  </conditionalFormatting>
  <conditionalFormatting sqref="K45">
    <cfRule type="expression" dxfId="78" priority="2">
      <formula>$J$44&lt;0</formula>
    </cfRule>
  </conditionalFormatting>
  <conditionalFormatting sqref="K43:N45">
    <cfRule type="containsText" dxfId="7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2E8E1D6-73F7-4A91-BB9B-2BDF2A71F8FC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372E9-E869-495F-AF71-6482006D39DA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1491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1541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1331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1489</v>
      </c>
      <c r="J5" s="404"/>
      <c r="K5" s="404"/>
      <c r="L5" s="403"/>
      <c r="M5" s="352" t="s">
        <v>115</v>
      </c>
      <c r="N5" s="32" t="s">
        <v>1490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"&amp;'AGAM|0348-00'!FiscalYear-1&amp;" SALARY"</f>
        <v>FY 2022 SALARY</v>
      </c>
      <c r="H8" s="50" t="str">
        <f>"FY "&amp;'AGAM|0348-00'!FiscalYear-1&amp;" HEALTH BENEFITS"</f>
        <v>FY 2022 HEALTH BENEFITS</v>
      </c>
      <c r="I8" s="50" t="str">
        <f>"FY "&amp;'AGAM|0348-00'!FiscalYear-1&amp;" VAR BENEFITS"</f>
        <v>FY 2022 VAR BENEFITS</v>
      </c>
      <c r="J8" s="50" t="str">
        <f>"FY "&amp;'AGAM|0348-00'!FiscalYear-1&amp;" TOTAL"</f>
        <v>FY 2022 TOTAL</v>
      </c>
      <c r="K8" s="50" t="str">
        <f>"FY "&amp;'AGAM|0348-00'!FiscalYear&amp;" SALARY CHANGE"</f>
        <v>FY 2023 SALARY CHANGE</v>
      </c>
      <c r="L8" s="50" t="str">
        <f>"FY "&amp;'AGAM|0348-00'!FiscalYear&amp;" CHG HEALTH BENEFITS"</f>
        <v>FY 2023 CHG HEALTH BENEFITS</v>
      </c>
      <c r="M8" s="50" t="str">
        <f>"FY "&amp;'AGAM|0348-00'!FiscalYear&amp;"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[0]!AGAM034800col_INC_FTI</f>
        <v>1</v>
      </c>
      <c r="G10" s="218">
        <f>[0]!AGAM034800col_FTI_SALARY_PERM</f>
        <v>46800</v>
      </c>
      <c r="H10" s="218">
        <f>[0]!AGAM034800col_HEALTH_PERM</f>
        <v>11650</v>
      </c>
      <c r="I10" s="218">
        <f>[0]!AGAM034800col_TOT_VB_PERM</f>
        <v>10594.115999999998</v>
      </c>
      <c r="J10" s="219">
        <f>SUM(G10:I10)</f>
        <v>69044.115999999995</v>
      </c>
      <c r="K10" s="219">
        <f>[0]!AGAM034800col_1_27TH_PP</f>
        <v>0</v>
      </c>
      <c r="L10" s="218">
        <f>[0]!AGAM034800col_HEALTH_PERM_CHG</f>
        <v>0</v>
      </c>
      <c r="M10" s="218">
        <f>[0]!AGAM034800col_TOT_VB_PERM_CHG</f>
        <v>-121.67999999999991</v>
      </c>
      <c r="N10" s="218">
        <f>SUM(L10:M10)</f>
        <v>-121.67999999999991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500</v>
      </c>
      <c r="AB10" s="335">
        <f>ROUND(PermVarBen*CECPerm+(CECPerm*PermVarBenChg),-2)</f>
        <v>100</v>
      </c>
      <c r="AC10" s="335">
        <f>SUM(AA10:AB10)</f>
        <v>600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[0]!AGAM034800col_Group_Salary</f>
        <v>0</v>
      </c>
      <c r="H11" s="218">
        <v>0</v>
      </c>
      <c r="I11" s="218">
        <f>[0]!AGAM034800col_Group_Ben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[0]!AGAM034800col_TOTAL_ELECT_PCN_FTI</f>
        <v>0</v>
      </c>
      <c r="G12" s="218">
        <f>[0]!AGAM034800col_FTI_SALARY_ELECT</f>
        <v>0</v>
      </c>
      <c r="H12" s="218">
        <f>[0]!AGAM034800col_HEALTH_ELECT</f>
        <v>0</v>
      </c>
      <c r="I12" s="218">
        <f>[0]!AGAM034800col_TOT_VB_ELECT</f>
        <v>0</v>
      </c>
      <c r="J12" s="219">
        <f>SUM(G12:I12)</f>
        <v>0</v>
      </c>
      <c r="K12" s="268"/>
      <c r="L12" s="218">
        <f>[0]!AGAM034800col_HEALTH_ELECT_CHG</f>
        <v>0</v>
      </c>
      <c r="M12" s="218">
        <f>[0]!AGAM034800col_TOT_VB_ELECT_CHG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1</v>
      </c>
      <c r="G13" s="221">
        <f>SUM(G10:G12)</f>
        <v>46800</v>
      </c>
      <c r="H13" s="221">
        <f>SUM(H10:H12)</f>
        <v>11650</v>
      </c>
      <c r="I13" s="221">
        <f>SUM(I10:I12)</f>
        <v>10594.115999999998</v>
      </c>
      <c r="J13" s="219">
        <f>SUM(G13:I13)</f>
        <v>69044.115999999995</v>
      </c>
      <c r="K13" s="268"/>
      <c r="L13" s="219">
        <f>SUM(L10:L12)</f>
        <v>0</v>
      </c>
      <c r="M13" s="219">
        <f>SUM(M10:M12)</f>
        <v>-121.67999999999991</v>
      </c>
      <c r="N13" s="219">
        <f>SUM(N10:N12)</f>
        <v>-121.67999999999991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"&amp;'AGAM|0348-00'!FiscalYear-1</f>
        <v>FY 2022</v>
      </c>
      <c r="D15" s="158" t="s">
        <v>31</v>
      </c>
      <c r="E15" s="355">
        <v>152100</v>
      </c>
      <c r="F15" s="55">
        <v>2</v>
      </c>
      <c r="G15" s="223">
        <f>IF(OrigApprop=0,0,(G13/$J$13)*OrigApprop)</f>
        <v>103097.56156484067</v>
      </c>
      <c r="H15" s="223">
        <f>IF(OrigApprop=0,0,(H13/$J$13)*OrigApprop)</f>
        <v>25664.243423726362</v>
      </c>
      <c r="I15" s="223">
        <f>IF(G15=0,0,(I13/$J$13)*OrigApprop)</f>
        <v>23338.195011432977</v>
      </c>
      <c r="J15" s="223">
        <f>SUM(G15:I15)</f>
        <v>152100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1</v>
      </c>
      <c r="G16" s="162">
        <f>G15-G13</f>
        <v>56297.561564840667</v>
      </c>
      <c r="H16" s="162">
        <f>H15-H13</f>
        <v>14014.243423726362</v>
      </c>
      <c r="I16" s="162">
        <f>I15-I13</f>
        <v>12744.079011432979</v>
      </c>
      <c r="J16" s="162">
        <f>J15-J13</f>
        <v>83055.884000000005</v>
      </c>
      <c r="K16" s="269"/>
      <c r="L16" s="56" t="str">
        <f>IF('AGAM|0348-00'!OrigApprop=0,"ERROR! Enter Original Appropriation amount in DU 3.00!","Calculated "&amp;IF('AGAM|0348-00'!AdjustedTotal&gt;0,"overfunding ","underfunding ")&amp;"is "&amp;TEXT('AGAM|0348-00'!AdjustedTotal/'AGAM|0348-00'!AppropTotal,"#.0%;(#.0% );0% ;")&amp;" of Original Appropriation")</f>
        <v>Calculated overfunding is 54.6%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1</v>
      </c>
      <c r="G38" s="191">
        <f>SUMIF($E10:$E35,$E38,$G10:$G35)</f>
        <v>46800</v>
      </c>
      <c r="H38" s="192">
        <f>SUMIF($E10:$E35,$E38,$H10:$H35)</f>
        <v>11650</v>
      </c>
      <c r="I38" s="192">
        <f>SUMIF($E10:$E35,$E38,$I10:$I35)</f>
        <v>10594.115999999998</v>
      </c>
      <c r="J38" s="192">
        <f>SUM(G38:I38)</f>
        <v>69044.115999999995</v>
      </c>
      <c r="K38" s="166"/>
      <c r="L38" s="191">
        <f>SUMIF($E10:$E35,$E38,$L10:$L35)</f>
        <v>0</v>
      </c>
      <c r="M38" s="192">
        <f>SUMIF($E10:$E35,$E38,$M10:$M35)</f>
        <v>-121.67999999999991</v>
      </c>
      <c r="N38" s="192">
        <f>SUM(L38:M38)</f>
        <v>-121.67999999999991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500</v>
      </c>
      <c r="AB38" s="338">
        <f>ROUND((AdjPermVB*CECPerm+AdjPermVBBY*CECPerm),-2)</f>
        <v>100</v>
      </c>
      <c r="AC38" s="338">
        <f>SUM(AA38:AB38)</f>
        <v>600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1</v>
      </c>
      <c r="G41" s="195">
        <f>SUM($G$38:$G$40)</f>
        <v>46800</v>
      </c>
      <c r="H41" s="162">
        <f>SUM($H$38:$H$40)</f>
        <v>11650</v>
      </c>
      <c r="I41" s="162">
        <f>SUM($I$38:$I$40)</f>
        <v>10594.115999999998</v>
      </c>
      <c r="J41" s="162">
        <f>SUM($J$38:$J$40)</f>
        <v>69044.115999999995</v>
      </c>
      <c r="K41" s="259"/>
      <c r="L41" s="195">
        <f>SUM($L$38:$L$40)</f>
        <v>0</v>
      </c>
      <c r="M41" s="162">
        <f>SUM($M$38:$M$40)</f>
        <v>-121.67999999999991</v>
      </c>
      <c r="N41" s="162">
        <f>SUM(L41:M41)</f>
        <v>-121.67999999999991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1</v>
      </c>
      <c r="G43" s="206">
        <f>ROUND(G51-G41,-2)</f>
        <v>56300</v>
      </c>
      <c r="H43" s="159">
        <f>ROUND(H51-H41,-2)</f>
        <v>14000</v>
      </c>
      <c r="I43" s="159">
        <f>ROUND(I51-I41,-2)</f>
        <v>12700</v>
      </c>
      <c r="J43" s="159">
        <f>SUM(G43:I43)</f>
        <v>83000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overfunding is 54.6%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1</v>
      </c>
      <c r="G44" s="206">
        <f>ROUND(G60-G41,-2)</f>
        <v>56300</v>
      </c>
      <c r="H44" s="159">
        <f>ROUND(H60-H41,-2)</f>
        <v>14100</v>
      </c>
      <c r="I44" s="159">
        <f>ROUND(I60-I41,-2)</f>
        <v>12700</v>
      </c>
      <c r="J44" s="159">
        <f>SUM(G44:I44)</f>
        <v>83100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overfunding is 54.6%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1</v>
      </c>
      <c r="G45" s="206">
        <f>ROUND(G67-G41-G63,-2)</f>
        <v>56300</v>
      </c>
      <c r="H45" s="206">
        <f>ROUND(H67-H41-H63,-2)</f>
        <v>14100</v>
      </c>
      <c r="I45" s="206">
        <f>ROUND(I67-I41-I63,-2)</f>
        <v>12700</v>
      </c>
      <c r="J45" s="159">
        <f>SUM(G45:I45)</f>
        <v>83100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54.6%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/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152100</v>
      </c>
      <c r="F51" s="272">
        <f>AppropFTP</f>
        <v>2</v>
      </c>
      <c r="G51" s="274">
        <f>IF(E51=0,0,(G41/$J$41)*$E$51)</f>
        <v>103097.56156484067</v>
      </c>
      <c r="H51" s="274">
        <f>IF(E51=0,0,(H41/$J$41)*$E$51)</f>
        <v>25664.243423726362</v>
      </c>
      <c r="I51" s="275">
        <f>IF(E51=0,0,(I41/$J$41)*$E$51)</f>
        <v>23338.195011432977</v>
      </c>
      <c r="J51" s="90">
        <f>SUM(G51:I51)</f>
        <v>152100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2</v>
      </c>
      <c r="G52" s="79">
        <f>ROUND(G51,-2)</f>
        <v>103100</v>
      </c>
      <c r="H52" s="79">
        <f>ROUND(H51,-2)</f>
        <v>25700</v>
      </c>
      <c r="I52" s="266">
        <f>ROUND(I51,-2)</f>
        <v>23300</v>
      </c>
      <c r="J52" s="80">
        <f>ROUND(J51,-2)</f>
        <v>152100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2</v>
      </c>
      <c r="G56" s="80">
        <f>SUM(G52:G55)</f>
        <v>103100</v>
      </c>
      <c r="H56" s="80">
        <f>SUM(H52:H55)</f>
        <v>25700</v>
      </c>
      <c r="I56" s="260">
        <f>SUM(I52:I55)</f>
        <v>23300</v>
      </c>
      <c r="J56" s="80">
        <f>SUM(J52:J55)</f>
        <v>152100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2</v>
      </c>
      <c r="G60" s="80">
        <f>SUM(G56:G59)</f>
        <v>103100</v>
      </c>
      <c r="H60" s="80">
        <f>SUM(H56:H59)</f>
        <v>25700</v>
      </c>
      <c r="I60" s="260">
        <f>SUM(I56:I59)</f>
        <v>23300</v>
      </c>
      <c r="J60" s="80">
        <f>SUM(J56:J59)</f>
        <v>152100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2</v>
      </c>
      <c r="G67" s="80">
        <f>SUM(G60:G64)</f>
        <v>103100</v>
      </c>
      <c r="H67" s="80">
        <f>SUM(H60:H64)</f>
        <v>25700</v>
      </c>
      <c r="I67" s="80">
        <f>SUM(I60:I64)</f>
        <v>23300</v>
      </c>
      <c r="J67" s="80">
        <f>SUM(J60:J64)</f>
        <v>152100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-100</v>
      </c>
      <c r="J69" s="287">
        <f>SUM(G69:I69)</f>
        <v>-100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500</v>
      </c>
      <c r="H72" s="287"/>
      <c r="I72" s="287">
        <f>ROUND(($G72*PermVBBY+$G72*Retire1BY),-2)</f>
        <v>100</v>
      </c>
      <c r="J72" s="113">
        <f>SUM(G72:I72)</f>
        <v>600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2</v>
      </c>
      <c r="G75" s="80">
        <f>SUM(G67:G74)</f>
        <v>103600</v>
      </c>
      <c r="H75" s="80">
        <f>SUM(H67:H74)</f>
        <v>25700</v>
      </c>
      <c r="I75" s="80">
        <f>SUM(I67:I74)</f>
        <v>23300</v>
      </c>
      <c r="J75" s="80">
        <f>SUM(J67:K74)</f>
        <v>152600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2</v>
      </c>
      <c r="G80" s="80">
        <f>SUM(G75:G79)</f>
        <v>103600</v>
      </c>
      <c r="H80" s="80">
        <f>SUM(H75:H79)</f>
        <v>25700</v>
      </c>
      <c r="I80" s="80">
        <f>SUM(I75:I79)</f>
        <v>23300</v>
      </c>
      <c r="J80" s="80">
        <f>SUM(J75:J79)</f>
        <v>152600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76" priority="5">
      <formula>$J$44&lt;0</formula>
    </cfRule>
  </conditionalFormatting>
  <conditionalFormatting sqref="K43">
    <cfRule type="expression" dxfId="75" priority="4">
      <formula>$J$43&lt;0</formula>
    </cfRule>
  </conditionalFormatting>
  <conditionalFormatting sqref="L16">
    <cfRule type="expression" dxfId="74" priority="3">
      <formula>$J$16&lt;0</formula>
    </cfRule>
  </conditionalFormatting>
  <conditionalFormatting sqref="K45">
    <cfRule type="expression" dxfId="73" priority="2">
      <formula>$J$44&lt;0</formula>
    </cfRule>
  </conditionalFormatting>
  <conditionalFormatting sqref="K43:N45">
    <cfRule type="containsText" dxfId="7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1658786-52FD-4EFE-A49A-4A9EB9A6492E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A0803-F8E0-4A98-BEF2-A20117A803AF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1578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1541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1331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1576</v>
      </c>
      <c r="J5" s="404"/>
      <c r="K5" s="404"/>
      <c r="L5" s="403"/>
      <c r="M5" s="352" t="s">
        <v>115</v>
      </c>
      <c r="N5" s="32" t="s">
        <v>1577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"&amp;'AGAM|0403-03'!FiscalYear-1&amp;" SALARY"</f>
        <v>FY 2022 SALARY</v>
      </c>
      <c r="H8" s="50" t="str">
        <f>"FY "&amp;'AGAM|0403-03'!FiscalYear-1&amp;" HEALTH BENEFITS"</f>
        <v>FY 2022 HEALTH BENEFITS</v>
      </c>
      <c r="I8" s="50" t="str">
        <f>"FY "&amp;'AGAM|0403-03'!FiscalYear-1&amp;" VAR BENEFITS"</f>
        <v>FY 2022 VAR BENEFITS</v>
      </c>
      <c r="J8" s="50" t="str">
        <f>"FY "&amp;'AGAM|0403-03'!FiscalYear-1&amp;" TOTAL"</f>
        <v>FY 2022 TOTAL</v>
      </c>
      <c r="K8" s="50" t="str">
        <f>"FY "&amp;'AGAM|0403-03'!FiscalYear&amp;" SALARY CHANGE"</f>
        <v>FY 2023 SALARY CHANGE</v>
      </c>
      <c r="L8" s="50" t="str">
        <f>"FY "&amp;'AGAM|0403-03'!FiscalYear&amp;" CHG HEALTH BENEFITS"</f>
        <v>FY 2023 CHG HEALTH BENEFITS</v>
      </c>
      <c r="M8" s="50" t="str">
        <f>"FY "&amp;'AGAM|0403-03'!FiscalYear&amp;"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[0]!AGAM040303col_INC_FTI</f>
        <v>0</v>
      </c>
      <c r="G10" s="218">
        <f>[0]!AGAM040303col_FTI_SALARY_PERM</f>
        <v>0</v>
      </c>
      <c r="H10" s="218">
        <f>[0]!AGAM040303col_HEALTH_PERM</f>
        <v>0</v>
      </c>
      <c r="I10" s="218">
        <f>[0]!AGAM040303col_TOT_VB_PERM</f>
        <v>0</v>
      </c>
      <c r="J10" s="219">
        <f>SUM(G10:I10)</f>
        <v>0</v>
      </c>
      <c r="K10" s="219">
        <f>[0]!AGAM040303col_1_27TH_PP</f>
        <v>0</v>
      </c>
      <c r="L10" s="218">
        <f>[0]!AGAM040303col_HEALTH_PERM_CHG</f>
        <v>0</v>
      </c>
      <c r="M10" s="218">
        <f>[0]!AGAM040303col_TOT_VB_PERM_CHG</f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[0]!AGAM040303col_Group_Salary</f>
        <v>0</v>
      </c>
      <c r="H11" s="218">
        <v>0</v>
      </c>
      <c r="I11" s="218">
        <f>[0]!AGAM040303col_Group_Ben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[0]!AGAM040303col_TOTAL_ELECT_PCN_FTI</f>
        <v>0</v>
      </c>
      <c r="G12" s="218">
        <f>[0]!AGAM040303col_FTI_SALARY_ELECT</f>
        <v>0</v>
      </c>
      <c r="H12" s="218">
        <f>[0]!AGAM040303col_HEALTH_ELECT</f>
        <v>0</v>
      </c>
      <c r="I12" s="218">
        <f>[0]!AGAM040303col_TOT_VB_ELECT</f>
        <v>0</v>
      </c>
      <c r="J12" s="219">
        <f>SUM(G12:I12)</f>
        <v>0</v>
      </c>
      <c r="K12" s="268"/>
      <c r="L12" s="218">
        <f>[0]!AGAM040303col_HEALTH_ELECT_CHG</f>
        <v>0</v>
      </c>
      <c r="M12" s="218">
        <f>[0]!AGAM040303col_TOT_VB_ELECT_CHG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"&amp;'AGAM|0403-03'!FiscalYear-1</f>
        <v>FY 2022</v>
      </c>
      <c r="D15" s="158" t="s">
        <v>31</v>
      </c>
      <c r="E15" s="355">
        <v>9600</v>
      </c>
      <c r="F15" s="55">
        <v>0.05</v>
      </c>
      <c r="G15" s="223" t="e">
        <f>IF(OrigApprop=0,0,(G13/$J$13)*OrigApprop)</f>
        <v>#DIV/0!</v>
      </c>
      <c r="H15" s="223" t="e">
        <f>IF(OrigApprop=0,0,(H13/$J$13)*OrigApprop)</f>
        <v>#DIV/0!</v>
      </c>
      <c r="I15" s="223" t="e">
        <f>IF(G15=0,0,(I13/$J$13)*OrigApprop)</f>
        <v>#DIV/0!</v>
      </c>
      <c r="J15" s="223" t="e">
        <f>SUM(G15:I15)</f>
        <v>#DIV/0!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0.05</v>
      </c>
      <c r="G16" s="162" t="e">
        <f>G15-G13</f>
        <v>#DIV/0!</v>
      </c>
      <c r="H16" s="162" t="e">
        <f>H15-H13</f>
        <v>#DIV/0!</v>
      </c>
      <c r="I16" s="162" t="e">
        <f>I15-I13</f>
        <v>#DIV/0!</v>
      </c>
      <c r="J16" s="162" t="e">
        <f>J15-J13</f>
        <v>#DIV/0!</v>
      </c>
      <c r="K16" s="269"/>
      <c r="L16" s="56" t="e">
        <f>IF('AGAM|0403-03'!OrigApprop=0,"ERROR! Enter Original Appropriation amount in DU 3.00!","Calculated "&amp;IF('AGAM|0403-03'!AdjustedTotal&gt;0,"overfunding ","underfunding ")&amp;"is "&amp;TEXT('AGAM|0403-03'!AdjustedTotal/'AGAM|0403-03'!AppropTotal,"#.0%;(#.0% );0% ;")&amp;" of Original Appropriation")</f>
        <v>#DIV/0!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0.05</v>
      </c>
      <c r="G43" s="206" t="e">
        <f>ROUND(G51-G41,-2)</f>
        <v>#DIV/0!</v>
      </c>
      <c r="H43" s="159" t="e">
        <f>ROUND(H51-H41,-2)</f>
        <v>#DIV/0!</v>
      </c>
      <c r="I43" s="159" t="e">
        <f>ROUND(I51-I41,-2)</f>
        <v>#DIV/0!</v>
      </c>
      <c r="J43" s="159" t="e">
        <f>SUM(G43:I43)</f>
        <v>#DIV/0!</v>
      </c>
      <c r="K43" s="413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0.05</v>
      </c>
      <c r="G44" s="206" t="e">
        <f>ROUND(G60-G41,-2)</f>
        <v>#DIV/0!</v>
      </c>
      <c r="H44" s="159" t="e">
        <f>ROUND(H60-H41,-2)</f>
        <v>#DIV/0!</v>
      </c>
      <c r="I44" s="159" t="e">
        <f>ROUND(I60-I41,-2)</f>
        <v>#DIV/0!</v>
      </c>
      <c r="J44" s="159" t="e">
        <f>SUM(G44:I44)</f>
        <v>#DIV/0!</v>
      </c>
      <c r="K44" s="413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0.05</v>
      </c>
      <c r="G45" s="206" t="e">
        <f>ROUND(G67-G41-G63,-2)</f>
        <v>#DIV/0!</v>
      </c>
      <c r="H45" s="206" t="e">
        <f>ROUND(H67-H41-H63,-2)</f>
        <v>#DIV/0!</v>
      </c>
      <c r="I45" s="206" t="e">
        <f>ROUND(I67-I41-I63,-2)</f>
        <v>#DIV/0!</v>
      </c>
      <c r="J45" s="159" t="e">
        <f>SUM(G45:I45)</f>
        <v>#DIV/0!</v>
      </c>
      <c r="K45" s="413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e">
        <f>IF(OR(J45&lt;0,F45&lt;0),"You may not have sufficient funding or authorized FTP, and may need to make additional adjustments to finalize this form.  Please contact both your DFM and LSO analysts.","")</f>
        <v>#DIV/0!</v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9600</v>
      </c>
      <c r="F51" s="272">
        <f>AppropFTP</f>
        <v>0.05</v>
      </c>
      <c r="G51" s="274" t="e">
        <f>IF(E51=0,0,(G41/$J$41)*$E$51)</f>
        <v>#DIV/0!</v>
      </c>
      <c r="H51" s="274" t="e">
        <f>IF(E51=0,0,(H41/$J$41)*$E$51)</f>
        <v>#DIV/0!</v>
      </c>
      <c r="I51" s="275" t="e">
        <f>IF(E51=0,0,(I41/$J$41)*$E$51)</f>
        <v>#DIV/0!</v>
      </c>
      <c r="J51" s="90" t="e">
        <f>SUM(G51:I51)</f>
        <v>#DIV/0!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0.05</v>
      </c>
      <c r="G52" s="79" t="e">
        <f>ROUND(G51,-2)</f>
        <v>#DIV/0!</v>
      </c>
      <c r="H52" s="79" t="e">
        <f>ROUND(H51,-2)</f>
        <v>#DIV/0!</v>
      </c>
      <c r="I52" s="266" t="e">
        <f>ROUND(I51,-2)</f>
        <v>#DIV/0!</v>
      </c>
      <c r="J52" s="80" t="e">
        <f>ROUND(J51,-2)</f>
        <v>#DIV/0!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0.05</v>
      </c>
      <c r="G56" s="80" t="e">
        <f>SUM(G52:G55)</f>
        <v>#DIV/0!</v>
      </c>
      <c r="H56" s="80" t="e">
        <f>SUM(H52:H55)</f>
        <v>#DIV/0!</v>
      </c>
      <c r="I56" s="260" t="e">
        <f>SUM(I52:I55)</f>
        <v>#DIV/0!</v>
      </c>
      <c r="J56" s="80" t="e">
        <f>SUM(J52:J55)</f>
        <v>#DIV/0!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0.05</v>
      </c>
      <c r="G60" s="80" t="e">
        <f>SUM(G56:G59)</f>
        <v>#DIV/0!</v>
      </c>
      <c r="H60" s="80" t="e">
        <f>SUM(H56:H59)</f>
        <v>#DIV/0!</v>
      </c>
      <c r="I60" s="260" t="e">
        <f>SUM(I56:I59)</f>
        <v>#DIV/0!</v>
      </c>
      <c r="J60" s="80" t="e">
        <f>SUM(J56:J59)</f>
        <v>#DIV/0!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0.05</v>
      </c>
      <c r="G67" s="80" t="e">
        <f>SUM(G60:G64)</f>
        <v>#DIV/0!</v>
      </c>
      <c r="H67" s="80" t="e">
        <f>SUM(H60:H64)</f>
        <v>#DIV/0!</v>
      </c>
      <c r="I67" s="80" t="e">
        <f>SUM(I60:I64)</f>
        <v>#DIV/0!</v>
      </c>
      <c r="J67" s="80" t="e">
        <f>SUM(J60:J64)</f>
        <v>#DIV/0!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 t="e">
        <f>IF(DUNine=0,0,ROUND(SUM(L41:L65),-2))</f>
        <v>#DIV/0!</v>
      </c>
      <c r="I68" s="113"/>
      <c r="J68" s="287" t="e">
        <f>SUM(G68:I68)</f>
        <v>#DIV/0!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 t="e">
        <f>IF(DUNine=0,0,ROUND(SUM(M41:M64),-2))</f>
        <v>#DIV/0!</v>
      </c>
      <c r="J69" s="287" t="e">
        <f>SUM(G69:I69)</f>
        <v>#DIV/0!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 t="e">
        <f>IF(DUNine=0,0,IF(DUNine&lt;0,0,ROUND(AdjPermSalary*CECPerm,-2)))</f>
        <v>#DIV/0!</v>
      </c>
      <c r="H72" s="287"/>
      <c r="I72" s="287" t="e">
        <f>ROUND(($G72*PermVBBY+$G72*Retire1BY),-2)</f>
        <v>#DIV/0!</v>
      </c>
      <c r="J72" s="113" t="e">
        <f>SUM(G72:I72)</f>
        <v>#DIV/0!</v>
      </c>
      <c r="K72" s="296"/>
      <c r="L72" s="298"/>
      <c r="M72" s="350" t="e">
        <f>IF(DUNine=0,0,IF(((#REF!-G39-G40)*E72)&lt;0,0,ROUND(((#REF!-G39-G40)*E72),-2)))</f>
        <v>#DIV/0!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#DIV/0!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 t="e">
        <f>IF(DUNine=0,0,IF(DUNine&lt;0,0,ROUND(AdjGroupSalary*CECGroup,-2)))</f>
        <v>#DIV/0!</v>
      </c>
      <c r="H73" s="287"/>
      <c r="I73" s="287" t="e">
        <f>ROUND(($G73*GroupVBBY),-2)</f>
        <v>#DIV/0!</v>
      </c>
      <c r="J73" s="113" t="e">
        <f t="shared" si="11"/>
        <v>#DIV/0!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0.05</v>
      </c>
      <c r="G75" s="80" t="e">
        <f>SUM(G67:G74)</f>
        <v>#DIV/0!</v>
      </c>
      <c r="H75" s="80" t="e">
        <f>SUM(H67:H74)</f>
        <v>#DIV/0!</v>
      </c>
      <c r="I75" s="80" t="e">
        <f>SUM(I67:I74)</f>
        <v>#DIV/0!</v>
      </c>
      <c r="J75" s="80" t="e">
        <f>SUM(J67:K74)</f>
        <v>#DIV/0!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0.05</v>
      </c>
      <c r="G80" s="80" t="e">
        <f>SUM(G75:G79)</f>
        <v>#DIV/0!</v>
      </c>
      <c r="H80" s="80" t="e">
        <f>SUM(H75:H79)</f>
        <v>#DIV/0!</v>
      </c>
      <c r="I80" s="80" t="e">
        <f>SUM(I75:I79)</f>
        <v>#DIV/0!</v>
      </c>
      <c r="J80" s="80" t="e">
        <f>SUM(J75:J79)</f>
        <v>#DIV/0!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71" priority="5">
      <formula>$J$44&lt;0</formula>
    </cfRule>
  </conditionalFormatting>
  <conditionalFormatting sqref="K43">
    <cfRule type="expression" dxfId="70" priority="4">
      <formula>$J$43&lt;0</formula>
    </cfRule>
  </conditionalFormatting>
  <conditionalFormatting sqref="L16">
    <cfRule type="expression" dxfId="69" priority="3">
      <formula>$J$16&lt;0</formula>
    </cfRule>
  </conditionalFormatting>
  <conditionalFormatting sqref="K45">
    <cfRule type="expression" dxfId="68" priority="2">
      <formula>$J$44&lt;0</formula>
    </cfRule>
  </conditionalFormatting>
  <conditionalFormatting sqref="K43:N45">
    <cfRule type="containsText" dxfId="6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391A79D-6E15-41FA-AF7C-FF57A52B01E1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544FE-D891-41A1-9221-D394036986B8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1505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1459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1351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1503</v>
      </c>
      <c r="J5" s="404"/>
      <c r="K5" s="404"/>
      <c r="L5" s="403"/>
      <c r="M5" s="352" t="s">
        <v>115</v>
      </c>
      <c r="N5" s="32" t="s">
        <v>1504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"&amp;'AGAO|0330-00'!FiscalYear-1&amp;" SALARY"</f>
        <v>FY 2022 SALARY</v>
      </c>
      <c r="H8" s="50" t="str">
        <f>"FY "&amp;'AGAO|0330-00'!FiscalYear-1&amp;" HEALTH BENEFITS"</f>
        <v>FY 2022 HEALTH BENEFITS</v>
      </c>
      <c r="I8" s="50" t="str">
        <f>"FY "&amp;'AGAO|0330-00'!FiscalYear-1&amp;" VAR BENEFITS"</f>
        <v>FY 2022 VAR BENEFITS</v>
      </c>
      <c r="J8" s="50" t="str">
        <f>"FY "&amp;'AGAO|0330-00'!FiscalYear-1&amp;" TOTAL"</f>
        <v>FY 2022 TOTAL</v>
      </c>
      <c r="K8" s="50" t="str">
        <f>"FY "&amp;'AGAO|0330-00'!FiscalYear&amp;" SALARY CHANGE"</f>
        <v>FY 2023 SALARY CHANGE</v>
      </c>
      <c r="L8" s="50" t="str">
        <f>"FY "&amp;'AGAO|0330-00'!FiscalYear&amp;" CHG HEALTH BENEFITS"</f>
        <v>FY 2023 CHG HEALTH BENEFITS</v>
      </c>
      <c r="M8" s="50" t="str">
        <f>"FY "&amp;'AGAO|0330-00'!FiscalYear&amp;"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[0]!AGAO033000col_INC_FTI</f>
        <v>0</v>
      </c>
      <c r="G10" s="218">
        <f>[0]!AGAO033000col_FTI_SALARY_PERM</f>
        <v>0</v>
      </c>
      <c r="H10" s="218">
        <f>[0]!AGAO033000col_HEALTH_PERM</f>
        <v>0</v>
      </c>
      <c r="I10" s="218">
        <f>[0]!AGAO033000col_TOT_VB_PERM</f>
        <v>0</v>
      </c>
      <c r="J10" s="219">
        <f>SUM(G10:I10)</f>
        <v>0</v>
      </c>
      <c r="K10" s="219">
        <f>[0]!AGAO033000col_1_27TH_PP</f>
        <v>0</v>
      </c>
      <c r="L10" s="218">
        <f>[0]!AGAO033000col_HEALTH_PERM_CHG</f>
        <v>0</v>
      </c>
      <c r="M10" s="218">
        <f>[0]!AGAO033000col_TOT_VB_PERM_CHG</f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[0]!AGAO033000col_Group_Salary</f>
        <v>0</v>
      </c>
      <c r="H11" s="218">
        <v>0</v>
      </c>
      <c r="I11" s="218">
        <f>[0]!AGAO033000col_Group_Ben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[0]!AGAO033000col_TOTAL_ELECT_PCN_FTI</f>
        <v>0</v>
      </c>
      <c r="G12" s="218">
        <f>[0]!AGAO033000col_FTI_SALARY_ELECT</f>
        <v>0</v>
      </c>
      <c r="H12" s="218">
        <f>[0]!AGAO033000col_HEALTH_ELECT</f>
        <v>0</v>
      </c>
      <c r="I12" s="218">
        <f>[0]!AGAO033000col_TOT_VB_ELECT</f>
        <v>0</v>
      </c>
      <c r="J12" s="219">
        <f>SUM(G12:I12)</f>
        <v>0</v>
      </c>
      <c r="K12" s="268"/>
      <c r="L12" s="218">
        <f>[0]!AGAO033000col_HEALTH_ELECT_CHG</f>
        <v>0</v>
      </c>
      <c r="M12" s="218">
        <f>[0]!AGAO033000col_TOT_VB_ELECT_CHG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"&amp;'AGAO|0330-00'!FiscalYear-1</f>
        <v>FY 2022</v>
      </c>
      <c r="D15" s="158" t="s">
        <v>31</v>
      </c>
      <c r="E15" s="355">
        <v>38500</v>
      </c>
      <c r="F15" s="55">
        <v>0</v>
      </c>
      <c r="G15" s="223" t="e">
        <f>IF(OrigApprop=0,0,(G13/$J$13)*OrigApprop)</f>
        <v>#DIV/0!</v>
      </c>
      <c r="H15" s="223" t="e">
        <f>IF(OrigApprop=0,0,(H13/$J$13)*OrigApprop)</f>
        <v>#DIV/0!</v>
      </c>
      <c r="I15" s="223" t="e">
        <f>IF(G15=0,0,(I13/$J$13)*OrigApprop)</f>
        <v>#DIV/0!</v>
      </c>
      <c r="J15" s="223" t="e">
        <f>SUM(G15:I15)</f>
        <v>#DIV/0!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0</v>
      </c>
      <c r="G16" s="162" t="e">
        <f>G15-G13</f>
        <v>#DIV/0!</v>
      </c>
      <c r="H16" s="162" t="e">
        <f>H15-H13</f>
        <v>#DIV/0!</v>
      </c>
      <c r="I16" s="162" t="e">
        <f>I15-I13</f>
        <v>#DIV/0!</v>
      </c>
      <c r="J16" s="162" t="e">
        <f>J15-J13</f>
        <v>#DIV/0!</v>
      </c>
      <c r="K16" s="269"/>
      <c r="L16" s="56" t="e">
        <f>IF('AGAO|0330-00'!OrigApprop=0,"ERROR! Enter Original Appropriation amount in DU 3.00!","Calculated "&amp;IF('AGAO|0330-00'!AdjustedTotal&gt;0,"overfunding ","underfunding ")&amp;"is "&amp;TEXT('AGAO|0330-00'!AdjustedTotal/'AGAO|0330-00'!AppropTotal,"#.0%;(#.0% );0% ;")&amp;" of Original Appropriation")</f>
        <v>#DIV/0!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0</v>
      </c>
      <c r="G43" s="206" t="e">
        <f>ROUND(G51-G41,-2)</f>
        <v>#DIV/0!</v>
      </c>
      <c r="H43" s="159" t="e">
        <f>ROUND(H51-H41,-2)</f>
        <v>#DIV/0!</v>
      </c>
      <c r="I43" s="159" t="e">
        <f>ROUND(I51-I41,-2)</f>
        <v>#DIV/0!</v>
      </c>
      <c r="J43" s="159" t="e">
        <f>SUM(G43:I43)</f>
        <v>#DIV/0!</v>
      </c>
      <c r="K43" s="413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0</v>
      </c>
      <c r="G44" s="206" t="e">
        <f>ROUND(G60-G41,-2)</f>
        <v>#DIV/0!</v>
      </c>
      <c r="H44" s="159" t="e">
        <f>ROUND(H60-H41,-2)</f>
        <v>#DIV/0!</v>
      </c>
      <c r="I44" s="159" t="e">
        <f>ROUND(I60-I41,-2)</f>
        <v>#DIV/0!</v>
      </c>
      <c r="J44" s="159" t="e">
        <f>SUM(G44:I44)</f>
        <v>#DIV/0!</v>
      </c>
      <c r="K44" s="413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 t="e">
        <f>ROUND(G67-G41-G63,-2)</f>
        <v>#DIV/0!</v>
      </c>
      <c r="H45" s="206" t="e">
        <f>ROUND(H67-H41-H63,-2)</f>
        <v>#DIV/0!</v>
      </c>
      <c r="I45" s="206" t="e">
        <f>ROUND(I67-I41-I63,-2)</f>
        <v>#DIV/0!</v>
      </c>
      <c r="J45" s="159" t="e">
        <f>SUM(G45:I45)</f>
        <v>#DIV/0!</v>
      </c>
      <c r="K45" s="413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e">
        <f>IF(OR(J45&lt;0,F45&lt;0),"You may not have sufficient funding or authorized FTP, and may need to make additional adjustments to finalize this form.  Please contact both your DFM and LSO analysts.","")</f>
        <v>#DIV/0!</v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38500</v>
      </c>
      <c r="F51" s="272">
        <f>AppropFTP</f>
        <v>0</v>
      </c>
      <c r="G51" s="274" t="e">
        <f>IF(E51=0,0,(G41/$J$41)*$E$51)</f>
        <v>#DIV/0!</v>
      </c>
      <c r="H51" s="274" t="e">
        <f>IF(E51=0,0,(H41/$J$41)*$E$51)</f>
        <v>#DIV/0!</v>
      </c>
      <c r="I51" s="275" t="e">
        <f>IF(E51=0,0,(I41/$J$41)*$E$51)</f>
        <v>#DIV/0!</v>
      </c>
      <c r="J51" s="90" t="e">
        <f>SUM(G51:I51)</f>
        <v>#DIV/0!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0</v>
      </c>
      <c r="G52" s="79" t="e">
        <f>ROUND(G51,-2)</f>
        <v>#DIV/0!</v>
      </c>
      <c r="H52" s="79" t="e">
        <f>ROUND(H51,-2)</f>
        <v>#DIV/0!</v>
      </c>
      <c r="I52" s="266" t="e">
        <f>ROUND(I51,-2)</f>
        <v>#DIV/0!</v>
      </c>
      <c r="J52" s="80" t="e">
        <f>ROUND(J51,-2)</f>
        <v>#DIV/0!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 t="e">
        <f>SUM(G52:G55)</f>
        <v>#DIV/0!</v>
      </c>
      <c r="H56" s="80" t="e">
        <f>SUM(H52:H55)</f>
        <v>#DIV/0!</v>
      </c>
      <c r="I56" s="260" t="e">
        <f>SUM(I52:I55)</f>
        <v>#DIV/0!</v>
      </c>
      <c r="J56" s="80" t="e">
        <f>SUM(J52:J55)</f>
        <v>#DIV/0!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 t="e">
        <f>SUM(G56:G59)</f>
        <v>#DIV/0!</v>
      </c>
      <c r="H60" s="80" t="e">
        <f>SUM(H56:H59)</f>
        <v>#DIV/0!</v>
      </c>
      <c r="I60" s="260" t="e">
        <f>SUM(I56:I59)</f>
        <v>#DIV/0!</v>
      </c>
      <c r="J60" s="80" t="e">
        <f>SUM(J56:J59)</f>
        <v>#DIV/0!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 t="e">
        <f>SUM(G60:G64)</f>
        <v>#DIV/0!</v>
      </c>
      <c r="H67" s="80" t="e">
        <f>SUM(H60:H64)</f>
        <v>#DIV/0!</v>
      </c>
      <c r="I67" s="80" t="e">
        <f>SUM(I60:I64)</f>
        <v>#DIV/0!</v>
      </c>
      <c r="J67" s="80" t="e">
        <f>SUM(J60:J64)</f>
        <v>#DIV/0!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 t="e">
        <f>IF(DUNine=0,0,ROUND(SUM(L41:L65),-2))</f>
        <v>#DIV/0!</v>
      </c>
      <c r="I68" s="113"/>
      <c r="J68" s="287" t="e">
        <f>SUM(G68:I68)</f>
        <v>#DIV/0!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 t="e">
        <f>IF(DUNine=0,0,ROUND(SUM(M41:M64),-2))</f>
        <v>#DIV/0!</v>
      </c>
      <c r="J69" s="287" t="e">
        <f>SUM(G69:I69)</f>
        <v>#DIV/0!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 t="e">
        <f>IF(DUNine=0,0,IF(DUNine&lt;0,0,ROUND(AdjPermSalary*CECPerm,-2)))</f>
        <v>#DIV/0!</v>
      </c>
      <c r="H72" s="287"/>
      <c r="I72" s="287" t="e">
        <f>ROUND(($G72*PermVBBY+$G72*Retire1BY),-2)</f>
        <v>#DIV/0!</v>
      </c>
      <c r="J72" s="113" t="e">
        <f>SUM(G72:I72)</f>
        <v>#DIV/0!</v>
      </c>
      <c r="K72" s="296"/>
      <c r="L72" s="298"/>
      <c r="M72" s="350" t="e">
        <f>IF(DUNine=0,0,IF(((#REF!-G39-G40)*E72)&lt;0,0,ROUND(((#REF!-G39-G40)*E72),-2)))</f>
        <v>#DIV/0!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#DIV/0!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 t="e">
        <f>IF(DUNine=0,0,IF(DUNine&lt;0,0,ROUND(AdjGroupSalary*CECGroup,-2)))</f>
        <v>#DIV/0!</v>
      </c>
      <c r="H73" s="287"/>
      <c r="I73" s="287" t="e">
        <f>ROUND(($G73*GroupVBBY),-2)</f>
        <v>#DIV/0!</v>
      </c>
      <c r="J73" s="113" t="e">
        <f t="shared" si="11"/>
        <v>#DIV/0!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 t="e">
        <f>SUM(G67:G74)</f>
        <v>#DIV/0!</v>
      </c>
      <c r="H75" s="80" t="e">
        <f>SUM(H67:H74)</f>
        <v>#DIV/0!</v>
      </c>
      <c r="I75" s="80" t="e">
        <f>SUM(I67:I74)</f>
        <v>#DIV/0!</v>
      </c>
      <c r="J75" s="80" t="e">
        <f>SUM(J67:K74)</f>
        <v>#DIV/0!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 t="e">
        <f>SUM(G75:G79)</f>
        <v>#DIV/0!</v>
      </c>
      <c r="H80" s="80" t="e">
        <f>SUM(H75:H79)</f>
        <v>#DIV/0!</v>
      </c>
      <c r="I80" s="80" t="e">
        <f>SUM(I75:I79)</f>
        <v>#DIV/0!</v>
      </c>
      <c r="J80" s="80" t="e">
        <f>SUM(J75:J79)</f>
        <v>#DIV/0!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66" priority="5">
      <formula>$J$44&lt;0</formula>
    </cfRule>
  </conditionalFormatting>
  <conditionalFormatting sqref="K43">
    <cfRule type="expression" dxfId="65" priority="4">
      <formula>$J$43&lt;0</formula>
    </cfRule>
  </conditionalFormatting>
  <conditionalFormatting sqref="L16">
    <cfRule type="expression" dxfId="64" priority="3">
      <formula>$J$16&lt;0</formula>
    </cfRule>
  </conditionalFormatting>
  <conditionalFormatting sqref="K45">
    <cfRule type="expression" dxfId="63" priority="2">
      <formula>$J$44&lt;0</formula>
    </cfRule>
  </conditionalFormatting>
  <conditionalFormatting sqref="K43:N45">
    <cfRule type="containsText" dxfId="6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ECB7C72-E691-4E65-8C39-AB599B2EF443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A7D9A-C08C-476D-A65F-0D1C22F09A57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1591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1459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1351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1589</v>
      </c>
      <c r="J5" s="404"/>
      <c r="K5" s="404"/>
      <c r="L5" s="403"/>
      <c r="M5" s="352" t="s">
        <v>115</v>
      </c>
      <c r="N5" s="32" t="s">
        <v>1590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"&amp;'AGAO|0332-11'!FiscalYear-1&amp;" SALARY"</f>
        <v>FY 2022 SALARY</v>
      </c>
      <c r="H8" s="50" t="str">
        <f>"FY "&amp;'AGAO|0332-11'!FiscalYear-1&amp;" HEALTH BENEFITS"</f>
        <v>FY 2022 HEALTH BENEFITS</v>
      </c>
      <c r="I8" s="50" t="str">
        <f>"FY "&amp;'AGAO|0332-11'!FiscalYear-1&amp;" VAR BENEFITS"</f>
        <v>FY 2022 VAR BENEFITS</v>
      </c>
      <c r="J8" s="50" t="str">
        <f>"FY "&amp;'AGAO|0332-11'!FiscalYear-1&amp;" TOTAL"</f>
        <v>FY 2022 TOTAL</v>
      </c>
      <c r="K8" s="50" t="str">
        <f>"FY "&amp;'AGAO|0332-11'!FiscalYear&amp;" SALARY CHANGE"</f>
        <v>FY 2023 SALARY CHANGE</v>
      </c>
      <c r="L8" s="50" t="str">
        <f>"FY "&amp;'AGAO|0332-11'!FiscalYear&amp;" CHG HEALTH BENEFITS"</f>
        <v>FY 2023 CHG HEALTH BENEFITS</v>
      </c>
      <c r="M8" s="50" t="str">
        <f>"FY "&amp;'AGAO|0332-11'!FiscalYear&amp;"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[0]!AGAO033211col_INC_FTI</f>
        <v>0</v>
      </c>
      <c r="G10" s="218">
        <f>[0]!AGAO033211col_FTI_SALARY_PERM</f>
        <v>0</v>
      </c>
      <c r="H10" s="218">
        <f>[0]!AGAO033211col_HEALTH_PERM</f>
        <v>0</v>
      </c>
      <c r="I10" s="218">
        <f>[0]!AGAO033211col_TOT_VB_PERM</f>
        <v>0</v>
      </c>
      <c r="J10" s="219">
        <f>SUM(G10:I10)</f>
        <v>0</v>
      </c>
      <c r="K10" s="219">
        <f>[0]!AGAO033211col_1_27TH_PP</f>
        <v>0</v>
      </c>
      <c r="L10" s="218">
        <f>[0]!AGAO033211col_HEALTH_PERM_CHG</f>
        <v>0</v>
      </c>
      <c r="M10" s="218">
        <f>[0]!AGAO033211col_TOT_VB_PERM_CHG</f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[0]!AGAO033211col_Group_Salary</f>
        <v>0</v>
      </c>
      <c r="H11" s="218">
        <v>0</v>
      </c>
      <c r="I11" s="218">
        <f>[0]!AGAO033211col_Group_Ben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[0]!AGAO033211col_TOTAL_ELECT_PCN_FTI</f>
        <v>0</v>
      </c>
      <c r="G12" s="218">
        <f>[0]!AGAO033211col_FTI_SALARY_ELECT</f>
        <v>0</v>
      </c>
      <c r="H12" s="218">
        <f>[0]!AGAO033211col_HEALTH_ELECT</f>
        <v>0</v>
      </c>
      <c r="I12" s="218">
        <f>[0]!AGAO033211col_TOT_VB_ELECT</f>
        <v>0</v>
      </c>
      <c r="J12" s="219">
        <f>SUM(G12:I12)</f>
        <v>0</v>
      </c>
      <c r="K12" s="268"/>
      <c r="L12" s="218">
        <f>[0]!AGAO033211col_HEALTH_ELECT_CHG</f>
        <v>0</v>
      </c>
      <c r="M12" s="218">
        <f>[0]!AGAO033211col_TOT_VB_ELECT_CHG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"&amp;'AGAO|0332-11'!FiscalYear-1</f>
        <v>FY 2022</v>
      </c>
      <c r="D15" s="158" t="s">
        <v>31</v>
      </c>
      <c r="E15" s="355">
        <v>5700</v>
      </c>
      <c r="F15" s="55">
        <v>0</v>
      </c>
      <c r="G15" s="223" t="e">
        <f>IF(OrigApprop=0,0,(G13/$J$13)*OrigApprop)</f>
        <v>#DIV/0!</v>
      </c>
      <c r="H15" s="223" t="e">
        <f>IF(OrigApprop=0,0,(H13/$J$13)*OrigApprop)</f>
        <v>#DIV/0!</v>
      </c>
      <c r="I15" s="223" t="e">
        <f>IF(G15=0,0,(I13/$J$13)*OrigApprop)</f>
        <v>#DIV/0!</v>
      </c>
      <c r="J15" s="223" t="e">
        <f>SUM(G15:I15)</f>
        <v>#DIV/0!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0</v>
      </c>
      <c r="G16" s="162" t="e">
        <f>G15-G13</f>
        <v>#DIV/0!</v>
      </c>
      <c r="H16" s="162" t="e">
        <f>H15-H13</f>
        <v>#DIV/0!</v>
      </c>
      <c r="I16" s="162" t="e">
        <f>I15-I13</f>
        <v>#DIV/0!</v>
      </c>
      <c r="J16" s="162" t="e">
        <f>J15-J13</f>
        <v>#DIV/0!</v>
      </c>
      <c r="K16" s="269"/>
      <c r="L16" s="56" t="e">
        <f>IF('AGAO|0332-11'!OrigApprop=0,"ERROR! Enter Original Appropriation amount in DU 3.00!","Calculated "&amp;IF('AGAO|0332-11'!AdjustedTotal&gt;0,"overfunding ","underfunding ")&amp;"is "&amp;TEXT('AGAO|0332-11'!AdjustedTotal/'AGAO|0332-11'!AppropTotal,"#.0%;(#.0% );0% ;")&amp;" of Original Appropriation")</f>
        <v>#DIV/0!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0</v>
      </c>
      <c r="G43" s="206" t="e">
        <f>ROUND(G51-G41,-2)</f>
        <v>#DIV/0!</v>
      </c>
      <c r="H43" s="159" t="e">
        <f>ROUND(H51-H41,-2)</f>
        <v>#DIV/0!</v>
      </c>
      <c r="I43" s="159" t="e">
        <f>ROUND(I51-I41,-2)</f>
        <v>#DIV/0!</v>
      </c>
      <c r="J43" s="159" t="e">
        <f>SUM(G43:I43)</f>
        <v>#DIV/0!</v>
      </c>
      <c r="K43" s="413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0</v>
      </c>
      <c r="G44" s="206" t="e">
        <f>ROUND(G60-G41,-2)</f>
        <v>#DIV/0!</v>
      </c>
      <c r="H44" s="159" t="e">
        <f>ROUND(H60-H41,-2)</f>
        <v>#DIV/0!</v>
      </c>
      <c r="I44" s="159" t="e">
        <f>ROUND(I60-I41,-2)</f>
        <v>#DIV/0!</v>
      </c>
      <c r="J44" s="159" t="e">
        <f>SUM(G44:I44)</f>
        <v>#DIV/0!</v>
      </c>
      <c r="K44" s="413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 t="e">
        <f>ROUND(G67-G41-G63,-2)</f>
        <v>#DIV/0!</v>
      </c>
      <c r="H45" s="206" t="e">
        <f>ROUND(H67-H41-H63,-2)</f>
        <v>#DIV/0!</v>
      </c>
      <c r="I45" s="206" t="e">
        <f>ROUND(I67-I41-I63,-2)</f>
        <v>#DIV/0!</v>
      </c>
      <c r="J45" s="159" t="e">
        <f>SUM(G45:I45)</f>
        <v>#DIV/0!</v>
      </c>
      <c r="K45" s="413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e">
        <f>IF(OR(J45&lt;0,F45&lt;0),"You may not have sufficient funding or authorized FTP, and may need to make additional adjustments to finalize this form.  Please contact both your DFM and LSO analysts.","")</f>
        <v>#DIV/0!</v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5700</v>
      </c>
      <c r="F51" s="272">
        <f>AppropFTP</f>
        <v>0</v>
      </c>
      <c r="G51" s="274" t="e">
        <f>IF(E51=0,0,(G41/$J$41)*$E$51)</f>
        <v>#DIV/0!</v>
      </c>
      <c r="H51" s="274" t="e">
        <f>IF(E51=0,0,(H41/$J$41)*$E$51)</f>
        <v>#DIV/0!</v>
      </c>
      <c r="I51" s="275" t="e">
        <f>IF(E51=0,0,(I41/$J$41)*$E$51)</f>
        <v>#DIV/0!</v>
      </c>
      <c r="J51" s="90" t="e">
        <f>SUM(G51:I51)</f>
        <v>#DIV/0!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0</v>
      </c>
      <c r="G52" s="79" t="e">
        <f>ROUND(G51,-2)</f>
        <v>#DIV/0!</v>
      </c>
      <c r="H52" s="79" t="e">
        <f>ROUND(H51,-2)</f>
        <v>#DIV/0!</v>
      </c>
      <c r="I52" s="266" t="e">
        <f>ROUND(I51,-2)</f>
        <v>#DIV/0!</v>
      </c>
      <c r="J52" s="80" t="e">
        <f>ROUND(J51,-2)</f>
        <v>#DIV/0!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 t="e">
        <f>SUM(G52:G55)</f>
        <v>#DIV/0!</v>
      </c>
      <c r="H56" s="80" t="e">
        <f>SUM(H52:H55)</f>
        <v>#DIV/0!</v>
      </c>
      <c r="I56" s="260" t="e">
        <f>SUM(I52:I55)</f>
        <v>#DIV/0!</v>
      </c>
      <c r="J56" s="80" t="e">
        <f>SUM(J52:J55)</f>
        <v>#DIV/0!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 t="e">
        <f>SUM(G56:G59)</f>
        <v>#DIV/0!</v>
      </c>
      <c r="H60" s="80" t="e">
        <f>SUM(H56:H59)</f>
        <v>#DIV/0!</v>
      </c>
      <c r="I60" s="260" t="e">
        <f>SUM(I56:I59)</f>
        <v>#DIV/0!</v>
      </c>
      <c r="J60" s="80" t="e">
        <f>SUM(J56:J59)</f>
        <v>#DIV/0!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 t="e">
        <f>SUM(G60:G64)</f>
        <v>#DIV/0!</v>
      </c>
      <c r="H67" s="80" t="e">
        <f>SUM(H60:H64)</f>
        <v>#DIV/0!</v>
      </c>
      <c r="I67" s="80" t="e">
        <f>SUM(I60:I64)</f>
        <v>#DIV/0!</v>
      </c>
      <c r="J67" s="80" t="e">
        <f>SUM(J60:J64)</f>
        <v>#DIV/0!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 t="e">
        <f>IF(DUNine=0,0,ROUND(SUM(L41:L65),-2))</f>
        <v>#DIV/0!</v>
      </c>
      <c r="I68" s="113"/>
      <c r="J68" s="287" t="e">
        <f>SUM(G68:I68)</f>
        <v>#DIV/0!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 t="e">
        <f>IF(DUNine=0,0,ROUND(SUM(M41:M64),-2))</f>
        <v>#DIV/0!</v>
      </c>
      <c r="J69" s="287" t="e">
        <f>SUM(G69:I69)</f>
        <v>#DIV/0!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 t="e">
        <f>IF(DUNine=0,0,IF(DUNine&lt;0,0,ROUND(AdjPermSalary*CECPerm,-2)))</f>
        <v>#DIV/0!</v>
      </c>
      <c r="H72" s="287"/>
      <c r="I72" s="287" t="e">
        <f>ROUND(($G72*PermVBBY+$G72*Retire1BY),-2)</f>
        <v>#DIV/0!</v>
      </c>
      <c r="J72" s="113" t="e">
        <f>SUM(G72:I72)</f>
        <v>#DIV/0!</v>
      </c>
      <c r="K72" s="296"/>
      <c r="L72" s="298"/>
      <c r="M72" s="350" t="e">
        <f>IF(DUNine=0,0,IF(((#REF!-G39-G40)*E72)&lt;0,0,ROUND(((#REF!-G39-G40)*E72),-2)))</f>
        <v>#DIV/0!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#DIV/0!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 t="e">
        <f>IF(DUNine=0,0,IF(DUNine&lt;0,0,ROUND(AdjGroupSalary*CECGroup,-2)))</f>
        <v>#DIV/0!</v>
      </c>
      <c r="H73" s="287"/>
      <c r="I73" s="287" t="e">
        <f>ROUND(($G73*GroupVBBY),-2)</f>
        <v>#DIV/0!</v>
      </c>
      <c r="J73" s="113" t="e">
        <f t="shared" si="11"/>
        <v>#DIV/0!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 t="e">
        <f>SUM(G67:G74)</f>
        <v>#DIV/0!</v>
      </c>
      <c r="H75" s="80" t="e">
        <f>SUM(H67:H74)</f>
        <v>#DIV/0!</v>
      </c>
      <c r="I75" s="80" t="e">
        <f>SUM(I67:I74)</f>
        <v>#DIV/0!</v>
      </c>
      <c r="J75" s="80" t="e">
        <f>SUM(J67:K74)</f>
        <v>#DIV/0!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 t="e">
        <f>SUM(G75:G79)</f>
        <v>#DIV/0!</v>
      </c>
      <c r="H80" s="80" t="e">
        <f>SUM(H75:H79)</f>
        <v>#DIV/0!</v>
      </c>
      <c r="I80" s="80" t="e">
        <f>SUM(I75:I79)</f>
        <v>#DIV/0!</v>
      </c>
      <c r="J80" s="80" t="e">
        <f>SUM(J75:J79)</f>
        <v>#DIV/0!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61" priority="5">
      <formula>$J$44&lt;0</formula>
    </cfRule>
  </conditionalFormatting>
  <conditionalFormatting sqref="K43">
    <cfRule type="expression" dxfId="60" priority="4">
      <formula>$J$43&lt;0</formula>
    </cfRule>
  </conditionalFormatting>
  <conditionalFormatting sqref="L16">
    <cfRule type="expression" dxfId="59" priority="3">
      <formula>$J$16&lt;0</formula>
    </cfRule>
  </conditionalFormatting>
  <conditionalFormatting sqref="K45">
    <cfRule type="expression" dxfId="58" priority="2">
      <formula>$J$44&lt;0</formula>
    </cfRule>
  </conditionalFormatting>
  <conditionalFormatting sqref="K43:N45">
    <cfRule type="containsText" dxfId="5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C1B01D-E101-4D24-918B-25B2E4DBA1F6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DA90C-E896-4882-B3F6-7E3D54942931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1596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1459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1351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1594</v>
      </c>
      <c r="J5" s="404"/>
      <c r="K5" s="404"/>
      <c r="L5" s="403"/>
      <c r="M5" s="352" t="s">
        <v>115</v>
      </c>
      <c r="N5" s="32" t="s">
        <v>1595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"&amp;'AGAO|0332-12'!FiscalYear-1&amp;" SALARY"</f>
        <v>FY 2022 SALARY</v>
      </c>
      <c r="H8" s="50" t="str">
        <f>"FY "&amp;'AGAO|0332-12'!FiscalYear-1&amp;" HEALTH BENEFITS"</f>
        <v>FY 2022 HEALTH BENEFITS</v>
      </c>
      <c r="I8" s="50" t="str">
        <f>"FY "&amp;'AGAO|0332-12'!FiscalYear-1&amp;" VAR BENEFITS"</f>
        <v>FY 2022 VAR BENEFITS</v>
      </c>
      <c r="J8" s="50" t="str">
        <f>"FY "&amp;'AGAO|0332-12'!FiscalYear-1&amp;" TOTAL"</f>
        <v>FY 2022 TOTAL</v>
      </c>
      <c r="K8" s="50" t="str">
        <f>"FY "&amp;'AGAO|0332-12'!FiscalYear&amp;" SALARY CHANGE"</f>
        <v>FY 2023 SALARY CHANGE</v>
      </c>
      <c r="L8" s="50" t="str">
        <f>"FY "&amp;'AGAO|0332-12'!FiscalYear&amp;" CHG HEALTH BENEFITS"</f>
        <v>FY 2023 CHG HEALTH BENEFITS</v>
      </c>
      <c r="M8" s="50" t="str">
        <f>"FY "&amp;'AGAO|0332-12'!FiscalYear&amp;"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[0]!AGAO033212col_INC_FTI</f>
        <v>0</v>
      </c>
      <c r="G10" s="218">
        <f>[0]!AGAO033212col_FTI_SALARY_PERM</f>
        <v>0</v>
      </c>
      <c r="H10" s="218">
        <f>[0]!AGAO033212col_HEALTH_PERM</f>
        <v>0</v>
      </c>
      <c r="I10" s="218">
        <f>[0]!AGAO033212col_TOT_VB_PERM</f>
        <v>0</v>
      </c>
      <c r="J10" s="219">
        <f>SUM(G10:I10)</f>
        <v>0</v>
      </c>
      <c r="K10" s="219">
        <f>[0]!AGAO033212col_1_27TH_PP</f>
        <v>0</v>
      </c>
      <c r="L10" s="218">
        <f>[0]!AGAO033212col_HEALTH_PERM_CHG</f>
        <v>0</v>
      </c>
      <c r="M10" s="218">
        <f>[0]!AGAO033212col_TOT_VB_PERM_CHG</f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[0]!AGAO033212col_Group_Salary</f>
        <v>0</v>
      </c>
      <c r="H11" s="218">
        <v>0</v>
      </c>
      <c r="I11" s="218">
        <f>[0]!AGAO033212col_Group_Ben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[0]!AGAO033212col_TOTAL_ELECT_PCN_FTI</f>
        <v>0</v>
      </c>
      <c r="G12" s="218">
        <f>[0]!AGAO033212col_FTI_SALARY_ELECT</f>
        <v>0</v>
      </c>
      <c r="H12" s="218">
        <f>[0]!AGAO033212col_HEALTH_ELECT</f>
        <v>0</v>
      </c>
      <c r="I12" s="218">
        <f>[0]!AGAO033212col_TOT_VB_ELECT</f>
        <v>0</v>
      </c>
      <c r="J12" s="219">
        <f>SUM(G12:I12)</f>
        <v>0</v>
      </c>
      <c r="K12" s="268"/>
      <c r="L12" s="218">
        <f>[0]!AGAO033212col_HEALTH_ELECT_CHG</f>
        <v>0</v>
      </c>
      <c r="M12" s="218">
        <f>[0]!AGAO033212col_TOT_VB_ELECT_CHG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"&amp;'AGAO|0332-12'!FiscalYear-1</f>
        <v>FY 2022</v>
      </c>
      <c r="D15" s="158" t="s">
        <v>31</v>
      </c>
      <c r="E15" s="355">
        <v>36000</v>
      </c>
      <c r="F15" s="55">
        <v>0</v>
      </c>
      <c r="G15" s="223" t="e">
        <f>IF(OrigApprop=0,0,(G13/$J$13)*OrigApprop)</f>
        <v>#DIV/0!</v>
      </c>
      <c r="H15" s="223" t="e">
        <f>IF(OrigApprop=0,0,(H13/$J$13)*OrigApprop)</f>
        <v>#DIV/0!</v>
      </c>
      <c r="I15" s="223" t="e">
        <f>IF(G15=0,0,(I13/$J$13)*OrigApprop)</f>
        <v>#DIV/0!</v>
      </c>
      <c r="J15" s="223" t="e">
        <f>SUM(G15:I15)</f>
        <v>#DIV/0!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0</v>
      </c>
      <c r="G16" s="162" t="e">
        <f>G15-G13</f>
        <v>#DIV/0!</v>
      </c>
      <c r="H16" s="162" t="e">
        <f>H15-H13</f>
        <v>#DIV/0!</v>
      </c>
      <c r="I16" s="162" t="e">
        <f>I15-I13</f>
        <v>#DIV/0!</v>
      </c>
      <c r="J16" s="162" t="e">
        <f>J15-J13</f>
        <v>#DIV/0!</v>
      </c>
      <c r="K16" s="269"/>
      <c r="L16" s="56" t="e">
        <f>IF('AGAO|0332-12'!OrigApprop=0,"ERROR! Enter Original Appropriation amount in DU 3.00!","Calculated "&amp;IF('AGAO|0332-12'!AdjustedTotal&gt;0,"overfunding ","underfunding ")&amp;"is "&amp;TEXT('AGAO|0332-12'!AdjustedTotal/'AGAO|0332-12'!AppropTotal,"#.0%;(#.0% );0% ;")&amp;" of Original Appropriation")</f>
        <v>#DIV/0!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0</v>
      </c>
      <c r="G43" s="206" t="e">
        <f>ROUND(G51-G41,-2)</f>
        <v>#DIV/0!</v>
      </c>
      <c r="H43" s="159" t="e">
        <f>ROUND(H51-H41,-2)</f>
        <v>#DIV/0!</v>
      </c>
      <c r="I43" s="159" t="e">
        <f>ROUND(I51-I41,-2)</f>
        <v>#DIV/0!</v>
      </c>
      <c r="J43" s="159" t="e">
        <f>SUM(G43:I43)</f>
        <v>#DIV/0!</v>
      </c>
      <c r="K43" s="413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0</v>
      </c>
      <c r="G44" s="206" t="e">
        <f>ROUND(G60-G41,-2)</f>
        <v>#DIV/0!</v>
      </c>
      <c r="H44" s="159" t="e">
        <f>ROUND(H60-H41,-2)</f>
        <v>#DIV/0!</v>
      </c>
      <c r="I44" s="159" t="e">
        <f>ROUND(I60-I41,-2)</f>
        <v>#DIV/0!</v>
      </c>
      <c r="J44" s="159" t="e">
        <f>SUM(G44:I44)</f>
        <v>#DIV/0!</v>
      </c>
      <c r="K44" s="413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 t="e">
        <f>ROUND(G67-G41-G63,-2)</f>
        <v>#DIV/0!</v>
      </c>
      <c r="H45" s="206" t="e">
        <f>ROUND(H67-H41-H63,-2)</f>
        <v>#DIV/0!</v>
      </c>
      <c r="I45" s="206" t="e">
        <f>ROUND(I67-I41-I63,-2)</f>
        <v>#DIV/0!</v>
      </c>
      <c r="J45" s="159" t="e">
        <f>SUM(G45:I45)</f>
        <v>#DIV/0!</v>
      </c>
      <c r="K45" s="413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e">
        <f>IF(OR(J45&lt;0,F45&lt;0),"You may not have sufficient funding or authorized FTP, and may need to make additional adjustments to finalize this form.  Please contact both your DFM and LSO analysts.","")</f>
        <v>#DIV/0!</v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36000</v>
      </c>
      <c r="F51" s="272">
        <f>AppropFTP</f>
        <v>0</v>
      </c>
      <c r="G51" s="274" t="e">
        <f>IF(E51=0,0,(G41/$J$41)*$E$51)</f>
        <v>#DIV/0!</v>
      </c>
      <c r="H51" s="274" t="e">
        <f>IF(E51=0,0,(H41/$J$41)*$E$51)</f>
        <v>#DIV/0!</v>
      </c>
      <c r="I51" s="275" t="e">
        <f>IF(E51=0,0,(I41/$J$41)*$E$51)</f>
        <v>#DIV/0!</v>
      </c>
      <c r="J51" s="90" t="e">
        <f>SUM(G51:I51)</f>
        <v>#DIV/0!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0</v>
      </c>
      <c r="G52" s="79" t="e">
        <f>ROUND(G51,-2)</f>
        <v>#DIV/0!</v>
      </c>
      <c r="H52" s="79" t="e">
        <f>ROUND(H51,-2)</f>
        <v>#DIV/0!</v>
      </c>
      <c r="I52" s="266" t="e">
        <f>ROUND(I51,-2)</f>
        <v>#DIV/0!</v>
      </c>
      <c r="J52" s="80" t="e">
        <f>ROUND(J51,-2)</f>
        <v>#DIV/0!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 t="e">
        <f>SUM(G52:G55)</f>
        <v>#DIV/0!</v>
      </c>
      <c r="H56" s="80" t="e">
        <f>SUM(H52:H55)</f>
        <v>#DIV/0!</v>
      </c>
      <c r="I56" s="260" t="e">
        <f>SUM(I52:I55)</f>
        <v>#DIV/0!</v>
      </c>
      <c r="J56" s="80" t="e">
        <f>SUM(J52:J55)</f>
        <v>#DIV/0!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 t="e">
        <f>SUM(G56:G59)</f>
        <v>#DIV/0!</v>
      </c>
      <c r="H60" s="80" t="e">
        <f>SUM(H56:H59)</f>
        <v>#DIV/0!</v>
      </c>
      <c r="I60" s="260" t="e">
        <f>SUM(I56:I59)</f>
        <v>#DIV/0!</v>
      </c>
      <c r="J60" s="80" t="e">
        <f>SUM(J56:J59)</f>
        <v>#DIV/0!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 t="e">
        <f>SUM(G60:G64)</f>
        <v>#DIV/0!</v>
      </c>
      <c r="H67" s="80" t="e">
        <f>SUM(H60:H64)</f>
        <v>#DIV/0!</v>
      </c>
      <c r="I67" s="80" t="e">
        <f>SUM(I60:I64)</f>
        <v>#DIV/0!</v>
      </c>
      <c r="J67" s="80" t="e">
        <f>SUM(J60:J64)</f>
        <v>#DIV/0!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 t="e">
        <f>IF(DUNine=0,0,ROUND(SUM(L41:L65),-2))</f>
        <v>#DIV/0!</v>
      </c>
      <c r="I68" s="113"/>
      <c r="J68" s="287" t="e">
        <f>SUM(G68:I68)</f>
        <v>#DIV/0!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 t="e">
        <f>IF(DUNine=0,0,ROUND(SUM(M41:M64),-2))</f>
        <v>#DIV/0!</v>
      </c>
      <c r="J69" s="287" t="e">
        <f>SUM(G69:I69)</f>
        <v>#DIV/0!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 t="e">
        <f>IF(DUNine=0,0,IF(DUNine&lt;0,0,ROUND(AdjPermSalary*CECPerm,-2)))</f>
        <v>#DIV/0!</v>
      </c>
      <c r="H72" s="287"/>
      <c r="I72" s="287" t="e">
        <f>ROUND(($G72*PermVBBY+$G72*Retire1BY),-2)</f>
        <v>#DIV/0!</v>
      </c>
      <c r="J72" s="113" t="e">
        <f>SUM(G72:I72)</f>
        <v>#DIV/0!</v>
      </c>
      <c r="K72" s="296"/>
      <c r="L72" s="298"/>
      <c r="M72" s="350" t="e">
        <f>IF(DUNine=0,0,IF(((#REF!-G39-G40)*E72)&lt;0,0,ROUND(((#REF!-G39-G40)*E72),-2)))</f>
        <v>#DIV/0!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#DIV/0!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 t="e">
        <f>IF(DUNine=0,0,IF(DUNine&lt;0,0,ROUND(AdjGroupSalary*CECGroup,-2)))</f>
        <v>#DIV/0!</v>
      </c>
      <c r="H73" s="287"/>
      <c r="I73" s="287" t="e">
        <f>ROUND(($G73*GroupVBBY),-2)</f>
        <v>#DIV/0!</v>
      </c>
      <c r="J73" s="113" t="e">
        <f t="shared" si="11"/>
        <v>#DIV/0!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 t="e">
        <f>SUM(G67:G74)</f>
        <v>#DIV/0!</v>
      </c>
      <c r="H75" s="80" t="e">
        <f>SUM(H67:H74)</f>
        <v>#DIV/0!</v>
      </c>
      <c r="I75" s="80" t="e">
        <f>SUM(I67:I74)</f>
        <v>#DIV/0!</v>
      </c>
      <c r="J75" s="80" t="e">
        <f>SUM(J67:K74)</f>
        <v>#DIV/0!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 t="e">
        <f>SUM(G75:G79)</f>
        <v>#DIV/0!</v>
      </c>
      <c r="H80" s="80" t="e">
        <f>SUM(H75:H79)</f>
        <v>#DIV/0!</v>
      </c>
      <c r="I80" s="80" t="e">
        <f>SUM(I75:I79)</f>
        <v>#DIV/0!</v>
      </c>
      <c r="J80" s="80" t="e">
        <f>SUM(J75:J79)</f>
        <v>#DIV/0!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56" priority="5">
      <formula>$J$44&lt;0</formula>
    </cfRule>
  </conditionalFormatting>
  <conditionalFormatting sqref="K43">
    <cfRule type="expression" dxfId="55" priority="4">
      <formula>$J$43&lt;0</formula>
    </cfRule>
  </conditionalFormatting>
  <conditionalFormatting sqref="L16">
    <cfRule type="expression" dxfId="54" priority="3">
      <formula>$J$16&lt;0</formula>
    </cfRule>
  </conditionalFormatting>
  <conditionalFormatting sqref="K45">
    <cfRule type="expression" dxfId="53" priority="2">
      <formula>$J$44&lt;0</formula>
    </cfRule>
  </conditionalFormatting>
  <conditionalFormatting sqref="K43:N45">
    <cfRule type="containsText" dxfId="5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7FB0D02-CB61-435C-87D5-366CA01F6033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58A3B-FB0C-4AED-A225-26240C9F5C90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1455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1441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167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1453</v>
      </c>
      <c r="J5" s="404"/>
      <c r="K5" s="404"/>
      <c r="L5" s="403"/>
      <c r="M5" s="352" t="s">
        <v>115</v>
      </c>
      <c r="N5" s="32" t="s">
        <v>1454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"&amp;'AGAA|0125-02'!FiscalYear-1&amp;" SALARY"</f>
        <v>FY 2022 SALARY</v>
      </c>
      <c r="H8" s="50" t="str">
        <f>"FY "&amp;'AGAA|0125-02'!FiscalYear-1&amp;" HEALTH BENEFITS"</f>
        <v>FY 2022 HEALTH BENEFITS</v>
      </c>
      <c r="I8" s="50" t="str">
        <f>"FY "&amp;'AGAA|0125-02'!FiscalYear-1&amp;" VAR BENEFITS"</f>
        <v>FY 2022 VAR BENEFITS</v>
      </c>
      <c r="J8" s="50" t="str">
        <f>"FY "&amp;'AGAA|0125-02'!FiscalYear-1&amp;" TOTAL"</f>
        <v>FY 2022 TOTAL</v>
      </c>
      <c r="K8" s="50" t="str">
        <f>"FY "&amp;'AGAA|0125-02'!FiscalYear&amp;" SALARY CHANGE"</f>
        <v>FY 2023 SALARY CHANGE</v>
      </c>
      <c r="L8" s="50" t="str">
        <f>"FY "&amp;'AGAA|0125-02'!FiscalYear&amp;" CHG HEALTH BENEFITS"</f>
        <v>FY 2023 CHG HEALTH BENEFITS</v>
      </c>
      <c r="M8" s="50" t="str">
        <f>"FY "&amp;'AGAA|0125-02'!FiscalYear&amp;"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[0]!AGAA012502col_INC_FTI</f>
        <v>2</v>
      </c>
      <c r="G10" s="218">
        <f>[0]!AGAA012502col_FTI_SALARY_PERM</f>
        <v>76356.799999999988</v>
      </c>
      <c r="H10" s="218">
        <f>[0]!AGAA012502col_HEALTH_PERM</f>
        <v>23300</v>
      </c>
      <c r="I10" s="218">
        <f>[0]!AGAA012502col_TOT_VB_PERM</f>
        <v>17284.888815999999</v>
      </c>
      <c r="J10" s="219">
        <f>SUM(G10:I10)</f>
        <v>116941.68881599998</v>
      </c>
      <c r="K10" s="219">
        <f>[0]!AGAA012502col_1_27TH_PP</f>
        <v>0</v>
      </c>
      <c r="L10" s="218">
        <f>[0]!AGAA012502col_HEALTH_PERM_CHG</f>
        <v>0</v>
      </c>
      <c r="M10" s="218">
        <f>[0]!AGAA012502col_TOT_VB_PERM_CHG</f>
        <v>-198.52767999999986</v>
      </c>
      <c r="N10" s="218">
        <f>SUM(L10:M10)</f>
        <v>-198.52767999999986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800</v>
      </c>
      <c r="AB10" s="335">
        <f>ROUND(PermVarBen*CECPerm+(CECPerm*PermVarBenChg),-2)</f>
        <v>200</v>
      </c>
      <c r="AC10" s="335">
        <f>SUM(AA10:AB10)</f>
        <v>1000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[0]!AGAA012502col_Group_Salary</f>
        <v>40107.97</v>
      </c>
      <c r="H11" s="218">
        <v>0</v>
      </c>
      <c r="I11" s="218">
        <f>[0]!AGAA012502col_Group_Ben</f>
        <v>8669.81</v>
      </c>
      <c r="J11" s="219">
        <f>SUM(G11:I11)</f>
        <v>48777.78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400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[0]!AGAA012502col_TOTAL_ELECT_PCN_FTI</f>
        <v>0</v>
      </c>
      <c r="G12" s="218">
        <f>[0]!AGAA012502col_FTI_SALARY_ELECT</f>
        <v>0</v>
      </c>
      <c r="H12" s="218">
        <f>[0]!AGAA012502col_HEALTH_ELECT</f>
        <v>0</v>
      </c>
      <c r="I12" s="218">
        <f>[0]!AGAA012502col_TOT_VB_ELECT</f>
        <v>0</v>
      </c>
      <c r="J12" s="219">
        <f>SUM(G12:I12)</f>
        <v>0</v>
      </c>
      <c r="K12" s="268"/>
      <c r="L12" s="218">
        <f>[0]!AGAA012502col_HEALTH_ELECT_CHG</f>
        <v>0</v>
      </c>
      <c r="M12" s="218">
        <f>[0]!AGAA012502col_TOT_VB_ELECT_CHG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2</v>
      </c>
      <c r="G13" s="221">
        <f>SUM(G10:G12)</f>
        <v>116464.76999999999</v>
      </c>
      <c r="H13" s="221">
        <f>SUM(H10:H12)</f>
        <v>23300</v>
      </c>
      <c r="I13" s="221">
        <f>SUM(I10:I12)</f>
        <v>25954.698815999996</v>
      </c>
      <c r="J13" s="219">
        <f>SUM(G13:I13)</f>
        <v>165719.46881599998</v>
      </c>
      <c r="K13" s="268"/>
      <c r="L13" s="219">
        <f>SUM(L10:L12)</f>
        <v>0</v>
      </c>
      <c r="M13" s="219">
        <f>SUM(M10:M12)</f>
        <v>-198.52767999999986</v>
      </c>
      <c r="N13" s="219">
        <f>SUM(N10:N12)</f>
        <v>-198.52767999999986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"&amp;'AGAA|0125-02'!FiscalYear-1</f>
        <v>FY 2022</v>
      </c>
      <c r="D15" s="158" t="s">
        <v>31</v>
      </c>
      <c r="E15" s="355">
        <v>166900</v>
      </c>
      <c r="F15" s="55">
        <v>2</v>
      </c>
      <c r="G15" s="223">
        <f>IF(OrigApprop=0,0,(G13/$J$13)*OrigApprop)</f>
        <v>117294.4268520567</v>
      </c>
      <c r="H15" s="223">
        <f>IF(OrigApprop=0,0,(H13/$J$13)*OrigApprop)</f>
        <v>23465.98156380613</v>
      </c>
      <c r="I15" s="223">
        <f>IF(G15=0,0,(I13/$J$13)*OrigApprop)</f>
        <v>26139.591584137197</v>
      </c>
      <c r="J15" s="223">
        <f>SUM(G15:I15)</f>
        <v>166900.00000000003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0</v>
      </c>
      <c r="G16" s="162">
        <f>G15-G13</f>
        <v>829.65685205670889</v>
      </c>
      <c r="H16" s="162">
        <f>H15-H13</f>
        <v>165.98156380613</v>
      </c>
      <c r="I16" s="162">
        <f>I15-I13</f>
        <v>184.89276813720062</v>
      </c>
      <c r="J16" s="162">
        <f>J15-J13</f>
        <v>1180.5311840000504</v>
      </c>
      <c r="K16" s="269"/>
      <c r="L16" s="56" t="str">
        <f>IF('AGAA|0125-02'!OrigApprop=0,"ERROR! Enter Original Appropriation amount in DU 3.00!","Calculated "&amp;IF('AGAA|0125-02'!AdjustedTotal&gt;0,"overfunding ","underfunding ")&amp;"is "&amp;TEXT('AGAA|0125-02'!AdjustedTotal/'AGAA|0125-02'!AppropTotal,"#.0%;(#.0% );0% ;")&amp;" of Original Appropriation")</f>
        <v>Calculated overfunding is .7%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2</v>
      </c>
      <c r="G38" s="191">
        <f>SUMIF($E10:$E35,$E38,$G10:$G35)</f>
        <v>76356.799999999988</v>
      </c>
      <c r="H38" s="192">
        <f>SUMIF($E10:$E35,$E38,$H10:$H35)</f>
        <v>23300</v>
      </c>
      <c r="I38" s="192">
        <f>SUMIF($E10:$E35,$E38,$I10:$I35)</f>
        <v>17284.888815999999</v>
      </c>
      <c r="J38" s="192">
        <f>SUM(G38:I38)</f>
        <v>116941.68881599998</v>
      </c>
      <c r="K38" s="166"/>
      <c r="L38" s="191">
        <f>SUMIF($E10:$E35,$E38,$L10:$L35)</f>
        <v>0</v>
      </c>
      <c r="M38" s="192">
        <f>SUMIF($E10:$E35,$E38,$M10:$M35)</f>
        <v>-198.52767999999986</v>
      </c>
      <c r="N38" s="192">
        <f>SUM(L38:M38)</f>
        <v>-198.52767999999986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800</v>
      </c>
      <c r="AB38" s="338">
        <f>ROUND((AdjPermVB*CECPerm+AdjPermVBBY*CECPerm),-2)</f>
        <v>200</v>
      </c>
      <c r="AC38" s="338">
        <f>SUM(AA38:AB38)</f>
        <v>1000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40107.97</v>
      </c>
      <c r="H39" s="152">
        <f>SUMIF($E10:$E35,$E39,$H10:$H35)</f>
        <v>0</v>
      </c>
      <c r="I39" s="152">
        <f>SUMIF($E10:$E35,$E39,$I10:$I35)</f>
        <v>8669.81</v>
      </c>
      <c r="J39" s="152">
        <f>SUM(G39:I39)</f>
        <v>48777.78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400</v>
      </c>
      <c r="AB39" s="338">
        <f>ROUND(AdjGroupVB*CECGroup,-2)</f>
        <v>100</v>
      </c>
      <c r="AC39" s="338">
        <f>SUM(AA39:AB39)</f>
        <v>500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2</v>
      </c>
      <c r="G41" s="195">
        <f>SUM($G$38:$G$40)</f>
        <v>116464.76999999999</v>
      </c>
      <c r="H41" s="162">
        <f>SUM($H$38:$H$40)</f>
        <v>23300</v>
      </c>
      <c r="I41" s="162">
        <f>SUM($I$38:$I$40)</f>
        <v>25954.698815999996</v>
      </c>
      <c r="J41" s="162">
        <f>SUM($J$38:$J$40)</f>
        <v>165719.46881599998</v>
      </c>
      <c r="K41" s="259"/>
      <c r="L41" s="195">
        <f>SUM($L$38:$L$40)</f>
        <v>0</v>
      </c>
      <c r="M41" s="162">
        <f>SUM($M$38:$M$40)</f>
        <v>-198.52767999999986</v>
      </c>
      <c r="N41" s="162">
        <f>SUM(L41:M41)</f>
        <v>-198.52767999999986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0</v>
      </c>
      <c r="G43" s="206">
        <f>ROUND(G51-G41,-2)</f>
        <v>800</v>
      </c>
      <c r="H43" s="159">
        <f>ROUND(H51-H41,-2)</f>
        <v>200</v>
      </c>
      <c r="I43" s="159">
        <f>ROUND(I51-I41,-2)</f>
        <v>200</v>
      </c>
      <c r="J43" s="159">
        <f>SUM(G43:I43)</f>
        <v>1200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overfunding is .7%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0</v>
      </c>
      <c r="G44" s="206">
        <f>ROUND(G60-G41,-2)</f>
        <v>800</v>
      </c>
      <c r="H44" s="159">
        <f>ROUND(H60-H41,-2)</f>
        <v>200</v>
      </c>
      <c r="I44" s="159">
        <f>ROUND(I60-I41,-2)</f>
        <v>100</v>
      </c>
      <c r="J44" s="159">
        <f>SUM(G44:I44)</f>
        <v>1100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overfunding is .7%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>
        <f>ROUND(G67-G41-G63,-2)</f>
        <v>800</v>
      </c>
      <c r="H45" s="206">
        <f>ROUND(H67-H41-H63,-2)</f>
        <v>200</v>
      </c>
      <c r="I45" s="206">
        <f>ROUND(I67-I41-I63,-2)</f>
        <v>100</v>
      </c>
      <c r="J45" s="159">
        <f>SUM(G45:I45)</f>
        <v>1100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.7%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100</v>
      </c>
      <c r="AC45" s="338">
        <f>SUM(AA45:AB45)</f>
        <v>100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/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166900</v>
      </c>
      <c r="F51" s="272">
        <f>AppropFTP</f>
        <v>2</v>
      </c>
      <c r="G51" s="274">
        <f>IF(E51=0,0,(G41/$J$41)*$E$51)</f>
        <v>117294.4268520567</v>
      </c>
      <c r="H51" s="274">
        <f>IF(E51=0,0,(H41/$J$41)*$E$51)</f>
        <v>23465.98156380613</v>
      </c>
      <c r="I51" s="275">
        <f>IF(E51=0,0,(I41/$J$41)*$E$51)</f>
        <v>26139.591584137197</v>
      </c>
      <c r="J51" s="90">
        <f>SUM(G51:I51)</f>
        <v>166900.00000000003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2</v>
      </c>
      <c r="G52" s="79">
        <f>ROUND(G51,-2)</f>
        <v>117300</v>
      </c>
      <c r="H52" s="79">
        <f>ROUND(H51,-2)</f>
        <v>23500</v>
      </c>
      <c r="I52" s="266">
        <f>ROUND(I51,-2)</f>
        <v>26100</v>
      </c>
      <c r="J52" s="80">
        <f>ROUND(J51,-2)</f>
        <v>166900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2</v>
      </c>
      <c r="G56" s="80">
        <f>SUM(G52:G55)</f>
        <v>117300</v>
      </c>
      <c r="H56" s="80">
        <f>SUM(H52:H55)</f>
        <v>23500</v>
      </c>
      <c r="I56" s="260">
        <f>SUM(I52:I55)</f>
        <v>26100</v>
      </c>
      <c r="J56" s="80">
        <f>SUM(J52:J55)</f>
        <v>166900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2</v>
      </c>
      <c r="G60" s="80">
        <f>SUM(G56:G59)</f>
        <v>117300</v>
      </c>
      <c r="H60" s="80">
        <f>SUM(H56:H59)</f>
        <v>23500</v>
      </c>
      <c r="I60" s="260">
        <f>SUM(I56:I59)</f>
        <v>26100</v>
      </c>
      <c r="J60" s="80">
        <f>SUM(J56:J59)</f>
        <v>166900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2</v>
      </c>
      <c r="G67" s="80">
        <f>SUM(G60:G64)</f>
        <v>117300</v>
      </c>
      <c r="H67" s="80">
        <f>SUM(H60:H64)</f>
        <v>23500</v>
      </c>
      <c r="I67" s="80">
        <f>SUM(I60:I64)</f>
        <v>26100</v>
      </c>
      <c r="J67" s="80">
        <f>SUM(J60:J64)</f>
        <v>166900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-200</v>
      </c>
      <c r="J69" s="287">
        <f>SUM(G69:I69)</f>
        <v>-200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800</v>
      </c>
      <c r="H72" s="287"/>
      <c r="I72" s="287">
        <f>ROUND(($G72*PermVBBY+$G72*Retire1BY),-2)</f>
        <v>200</v>
      </c>
      <c r="J72" s="113">
        <f>SUM(G72:I72)</f>
        <v>1000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400</v>
      </c>
      <c r="H73" s="287"/>
      <c r="I73" s="287">
        <f>ROUND(($G73*GroupVBBY),-2)</f>
        <v>0</v>
      </c>
      <c r="J73" s="113">
        <f t="shared" si="11"/>
        <v>400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2</v>
      </c>
      <c r="G75" s="80">
        <f>SUM(G67:G74)</f>
        <v>118500</v>
      </c>
      <c r="H75" s="80">
        <f>SUM(H67:H74)</f>
        <v>23500</v>
      </c>
      <c r="I75" s="80">
        <f>SUM(I67:I74)</f>
        <v>26100</v>
      </c>
      <c r="J75" s="80">
        <f>SUM(J67:K74)</f>
        <v>168100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2</v>
      </c>
      <c r="G80" s="80">
        <f>SUM(G75:G79)</f>
        <v>118500</v>
      </c>
      <c r="H80" s="80">
        <f>SUM(H75:H79)</f>
        <v>23500</v>
      </c>
      <c r="I80" s="80">
        <f>SUM(I75:I79)</f>
        <v>26100</v>
      </c>
      <c r="J80" s="80">
        <f>SUM(J75:J79)</f>
        <v>168100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186" priority="5">
      <formula>$J$44&lt;0</formula>
    </cfRule>
  </conditionalFormatting>
  <conditionalFormatting sqref="K43">
    <cfRule type="expression" dxfId="185" priority="4">
      <formula>$J$43&lt;0</formula>
    </cfRule>
  </conditionalFormatting>
  <conditionalFormatting sqref="L16">
    <cfRule type="expression" dxfId="184" priority="3">
      <formula>$J$16&lt;0</formula>
    </cfRule>
  </conditionalFormatting>
  <conditionalFormatting sqref="K45">
    <cfRule type="expression" dxfId="183" priority="2">
      <formula>$J$44&lt;0</formula>
    </cfRule>
  </conditionalFormatting>
  <conditionalFormatting sqref="K43:N45">
    <cfRule type="containsText" dxfId="18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9A06531-73D3-4640-B7E7-B44B4D0BDDE5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CA054-2499-42A3-AF53-FF0E2E73F85B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1491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1459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1351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1489</v>
      </c>
      <c r="J5" s="404"/>
      <c r="K5" s="404"/>
      <c r="L5" s="403"/>
      <c r="M5" s="352" t="s">
        <v>115</v>
      </c>
      <c r="N5" s="32" t="s">
        <v>1490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"&amp;'AGAO|0348-00'!FiscalYear-1&amp;" SALARY"</f>
        <v>FY 2022 SALARY</v>
      </c>
      <c r="H8" s="50" t="str">
        <f>"FY "&amp;'AGAO|0348-00'!FiscalYear-1&amp;" HEALTH BENEFITS"</f>
        <v>FY 2022 HEALTH BENEFITS</v>
      </c>
      <c r="I8" s="50" t="str">
        <f>"FY "&amp;'AGAO|0348-00'!FiscalYear-1&amp;" VAR BENEFITS"</f>
        <v>FY 2022 VAR BENEFITS</v>
      </c>
      <c r="J8" s="50" t="str">
        <f>"FY "&amp;'AGAO|0348-00'!FiscalYear-1&amp;" TOTAL"</f>
        <v>FY 2022 TOTAL</v>
      </c>
      <c r="K8" s="50" t="str">
        <f>"FY "&amp;'AGAO|0348-00'!FiscalYear&amp;" SALARY CHANGE"</f>
        <v>FY 2023 SALARY CHANGE</v>
      </c>
      <c r="L8" s="50" t="str">
        <f>"FY "&amp;'AGAO|0348-00'!FiscalYear&amp;" CHG HEALTH BENEFITS"</f>
        <v>FY 2023 CHG HEALTH BENEFITS</v>
      </c>
      <c r="M8" s="50" t="str">
        <f>"FY "&amp;'AGAO|0348-00'!FiscalYear&amp;"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[0]!AGAO034800col_INC_FTI</f>
        <v>0.5</v>
      </c>
      <c r="G10" s="218">
        <f>[0]!AGAO034800col_FTI_SALARY_PERM</f>
        <v>30617.599999999999</v>
      </c>
      <c r="H10" s="218">
        <f>[0]!AGAO034800col_HEALTH_PERM</f>
        <v>5825</v>
      </c>
      <c r="I10" s="218">
        <f>[0]!AGAO034800col_TOT_VB_PERM</f>
        <v>6930.9061119999997</v>
      </c>
      <c r="J10" s="219">
        <f>SUM(G10:I10)</f>
        <v>43373.506111999995</v>
      </c>
      <c r="K10" s="219">
        <f>[0]!AGAO034800col_1_27TH_PP</f>
        <v>0</v>
      </c>
      <c r="L10" s="218">
        <f>[0]!AGAO034800col_HEALTH_PERM_CHG</f>
        <v>0</v>
      </c>
      <c r="M10" s="218">
        <f>[0]!AGAO034800col_TOT_VB_PERM_CHG</f>
        <v>-79.605759999999947</v>
      </c>
      <c r="N10" s="218">
        <f>SUM(L10:M10)</f>
        <v>-79.605759999999947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300</v>
      </c>
      <c r="AB10" s="335">
        <f>ROUND(PermVarBen*CECPerm+(CECPerm*PermVarBenChg),-2)</f>
        <v>100</v>
      </c>
      <c r="AC10" s="335">
        <f>SUM(AA10:AB10)</f>
        <v>400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[0]!AGAO034800col_Group_Salary</f>
        <v>33830.11</v>
      </c>
      <c r="H11" s="218">
        <v>0</v>
      </c>
      <c r="I11" s="218">
        <f>[0]!AGAO034800col_Group_Ben</f>
        <v>3685.08</v>
      </c>
      <c r="J11" s="219">
        <f>SUM(G11:I11)</f>
        <v>37515.19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300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[0]!AGAO034800col_TOTAL_ELECT_PCN_FTI</f>
        <v>0</v>
      </c>
      <c r="G12" s="218">
        <f>[0]!AGAO034800col_FTI_SALARY_ELECT</f>
        <v>0</v>
      </c>
      <c r="H12" s="218">
        <f>[0]!AGAO034800col_HEALTH_ELECT</f>
        <v>0</v>
      </c>
      <c r="I12" s="218">
        <f>[0]!AGAO034800col_TOT_VB_ELECT</f>
        <v>0</v>
      </c>
      <c r="J12" s="219">
        <f>SUM(G12:I12)</f>
        <v>0</v>
      </c>
      <c r="K12" s="268"/>
      <c r="L12" s="218">
        <f>[0]!AGAO034800col_HEALTH_ELECT_CHG</f>
        <v>0</v>
      </c>
      <c r="M12" s="218">
        <f>[0]!AGAO034800col_TOT_VB_ELECT_CHG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0.5</v>
      </c>
      <c r="G13" s="221">
        <f>SUM(G10:G12)</f>
        <v>64447.71</v>
      </c>
      <c r="H13" s="221">
        <f>SUM(H10:H12)</f>
        <v>5825</v>
      </c>
      <c r="I13" s="221">
        <f>SUM(I10:I12)</f>
        <v>10615.986111999999</v>
      </c>
      <c r="J13" s="219">
        <f>SUM(G13:I13)</f>
        <v>80888.696111999991</v>
      </c>
      <c r="K13" s="268"/>
      <c r="L13" s="219">
        <f>SUM(L10:L12)</f>
        <v>0</v>
      </c>
      <c r="M13" s="219">
        <f>SUM(M10:M12)</f>
        <v>-79.605759999999947</v>
      </c>
      <c r="N13" s="219">
        <f>SUM(N10:N12)</f>
        <v>-79.605759999999947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"&amp;'AGAO|0348-00'!FiscalYear-1</f>
        <v>FY 2022</v>
      </c>
      <c r="D15" s="158" t="s">
        <v>31</v>
      </c>
      <c r="E15" s="355">
        <v>362100</v>
      </c>
      <c r="F15" s="55">
        <v>4</v>
      </c>
      <c r="G15" s="223">
        <f>IF(OrigApprop=0,0,(G13/$J$13)*OrigApprop)</f>
        <v>288501.56959741109</v>
      </c>
      <c r="H15" s="223">
        <f>IF(OrigApprop=0,0,(H13/$J$13)*OrigApprop)</f>
        <v>26075.738655491707</v>
      </c>
      <c r="I15" s="223">
        <f>IF(G15=0,0,(I13/$J$13)*OrigApprop)</f>
        <v>47522.691747097248</v>
      </c>
      <c r="J15" s="223">
        <f>SUM(G15:I15)</f>
        <v>362100.00000000006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3.5</v>
      </c>
      <c r="G16" s="162">
        <f>G15-G13</f>
        <v>224053.85959741109</v>
      </c>
      <c r="H16" s="162">
        <f>H15-H13</f>
        <v>20250.738655491707</v>
      </c>
      <c r="I16" s="162">
        <f>I15-I13</f>
        <v>36906.705635097249</v>
      </c>
      <c r="J16" s="162">
        <f>J15-J13</f>
        <v>281211.30388800008</v>
      </c>
      <c r="K16" s="269"/>
      <c r="L16" s="56" t="str">
        <f>IF('AGAO|0348-00'!OrigApprop=0,"ERROR! Enter Original Appropriation amount in DU 3.00!","Calculated "&amp;IF('AGAO|0348-00'!AdjustedTotal&gt;0,"overfunding ","underfunding ")&amp;"is "&amp;TEXT('AGAO|0348-00'!AdjustedTotal/'AGAO|0348-00'!AppropTotal,"#.0%;(#.0% );0% ;")&amp;" of Original Appropriation")</f>
        <v>Calculated overfunding is 77.7%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0.5</v>
      </c>
      <c r="G38" s="191">
        <f>SUMIF($E10:$E35,$E38,$G10:$G35)</f>
        <v>30617.599999999999</v>
      </c>
      <c r="H38" s="192">
        <f>SUMIF($E10:$E35,$E38,$H10:$H35)</f>
        <v>5825</v>
      </c>
      <c r="I38" s="192">
        <f>SUMIF($E10:$E35,$E38,$I10:$I35)</f>
        <v>6930.9061119999997</v>
      </c>
      <c r="J38" s="192">
        <f>SUM(G38:I38)</f>
        <v>43373.506111999995</v>
      </c>
      <c r="K38" s="166"/>
      <c r="L38" s="191">
        <f>SUMIF($E10:$E35,$E38,$L10:$L35)</f>
        <v>0</v>
      </c>
      <c r="M38" s="192">
        <f>SUMIF($E10:$E35,$E38,$M10:$M35)</f>
        <v>-79.605759999999947</v>
      </c>
      <c r="N38" s="192">
        <f>SUM(L38:M38)</f>
        <v>-79.605759999999947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300</v>
      </c>
      <c r="AB38" s="338">
        <f>ROUND((AdjPermVB*CECPerm+AdjPermVBBY*CECPerm),-2)</f>
        <v>100</v>
      </c>
      <c r="AC38" s="338">
        <f>SUM(AA38:AB38)</f>
        <v>400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33830.11</v>
      </c>
      <c r="H39" s="152">
        <f>SUMIF($E10:$E35,$E39,$H10:$H35)</f>
        <v>0</v>
      </c>
      <c r="I39" s="152">
        <f>SUMIF($E10:$E35,$E39,$I10:$I35)</f>
        <v>3685.08</v>
      </c>
      <c r="J39" s="152">
        <f>SUM(G39:I39)</f>
        <v>37515.19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300</v>
      </c>
      <c r="AB39" s="338">
        <f>ROUND(AdjGroupVB*CECGroup,-2)</f>
        <v>0</v>
      </c>
      <c r="AC39" s="338">
        <f>SUM(AA39:AB39)</f>
        <v>300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0.5</v>
      </c>
      <c r="G41" s="195">
        <f>SUM($G$38:$G$40)</f>
        <v>64447.71</v>
      </c>
      <c r="H41" s="162">
        <f>SUM($H$38:$H$40)</f>
        <v>5825</v>
      </c>
      <c r="I41" s="162">
        <f>SUM($I$38:$I$40)</f>
        <v>10615.986111999999</v>
      </c>
      <c r="J41" s="162">
        <f>SUM($J$38:$J$40)</f>
        <v>80888.696112000005</v>
      </c>
      <c r="K41" s="259"/>
      <c r="L41" s="195">
        <f>SUM($L$38:$L$40)</f>
        <v>0</v>
      </c>
      <c r="M41" s="162">
        <f>SUM($M$38:$M$40)</f>
        <v>-79.605759999999947</v>
      </c>
      <c r="N41" s="162">
        <f>SUM(L41:M41)</f>
        <v>-79.605759999999947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3.5</v>
      </c>
      <c r="G43" s="206">
        <f>ROUND(G51-G41,-2)</f>
        <v>224100</v>
      </c>
      <c r="H43" s="159">
        <f>ROUND(H51-H41,-2)</f>
        <v>20300</v>
      </c>
      <c r="I43" s="159">
        <f>ROUND(I51-I41,-2)</f>
        <v>36900</v>
      </c>
      <c r="J43" s="159">
        <f>SUM(G43:I43)</f>
        <v>281300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overfunding is 77.7%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3.5</v>
      </c>
      <c r="G44" s="206">
        <f>ROUND(G60-G41,-2)</f>
        <v>224100</v>
      </c>
      <c r="H44" s="159">
        <f>ROUND(H60-H41,-2)</f>
        <v>20300</v>
      </c>
      <c r="I44" s="159">
        <f>ROUND(I60-I41,-2)</f>
        <v>36900</v>
      </c>
      <c r="J44" s="159">
        <f>SUM(G44:I44)</f>
        <v>281300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overfunding is 77.7%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3.5</v>
      </c>
      <c r="G45" s="206">
        <f>ROUND(G67-G41-G63,-2)</f>
        <v>224100</v>
      </c>
      <c r="H45" s="206">
        <f>ROUND(H67-H41-H63,-2)</f>
        <v>20300</v>
      </c>
      <c r="I45" s="206">
        <f>ROUND(I67-I41-I63,-2)</f>
        <v>36900</v>
      </c>
      <c r="J45" s="159">
        <f>SUM(G45:I45)</f>
        <v>281300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77.7%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/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362100</v>
      </c>
      <c r="F51" s="272">
        <f>AppropFTP</f>
        <v>4</v>
      </c>
      <c r="G51" s="274">
        <f>IF(E51=0,0,(G41/$J$41)*$E$51)</f>
        <v>288501.56959741103</v>
      </c>
      <c r="H51" s="274">
        <f>IF(E51=0,0,(H41/$J$41)*$E$51)</f>
        <v>26075.738655491703</v>
      </c>
      <c r="I51" s="275">
        <f>IF(E51=0,0,(I41/$J$41)*$E$51)</f>
        <v>47522.691747097248</v>
      </c>
      <c r="J51" s="90">
        <f>SUM(G51:I51)</f>
        <v>362099.99999999994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4</v>
      </c>
      <c r="G52" s="79">
        <f>ROUND(G51,-2)</f>
        <v>288500</v>
      </c>
      <c r="H52" s="79">
        <f>ROUND(H51,-2)</f>
        <v>26100</v>
      </c>
      <c r="I52" s="266">
        <f>ROUND(I51,-2)</f>
        <v>47500</v>
      </c>
      <c r="J52" s="80">
        <f>ROUND(J51,-2)</f>
        <v>362100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4</v>
      </c>
      <c r="G56" s="80">
        <f>SUM(G52:G55)</f>
        <v>288500</v>
      </c>
      <c r="H56" s="80">
        <f>SUM(H52:H55)</f>
        <v>26100</v>
      </c>
      <c r="I56" s="260">
        <f>SUM(I52:I55)</f>
        <v>47500</v>
      </c>
      <c r="J56" s="80">
        <f>SUM(J52:J55)</f>
        <v>362100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4</v>
      </c>
      <c r="G60" s="80">
        <f>SUM(G56:G59)</f>
        <v>288500</v>
      </c>
      <c r="H60" s="80">
        <f>SUM(H56:H59)</f>
        <v>26100</v>
      </c>
      <c r="I60" s="260">
        <f>SUM(I56:I59)</f>
        <v>47500</v>
      </c>
      <c r="J60" s="80">
        <f>SUM(J56:J59)</f>
        <v>362100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4</v>
      </c>
      <c r="G67" s="80">
        <f>SUM(G60:G64)</f>
        <v>288500</v>
      </c>
      <c r="H67" s="80">
        <f>SUM(H60:H64)</f>
        <v>26100</v>
      </c>
      <c r="I67" s="80">
        <f>SUM(I60:I64)</f>
        <v>47500</v>
      </c>
      <c r="J67" s="80">
        <f>SUM(J60:J64)</f>
        <v>362100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-100</v>
      </c>
      <c r="J69" s="287">
        <f>SUM(G69:I69)</f>
        <v>-100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300</v>
      </c>
      <c r="H72" s="287"/>
      <c r="I72" s="287">
        <f>ROUND(($G72*PermVBBY+$G72*Retire1BY),-2)</f>
        <v>100</v>
      </c>
      <c r="J72" s="113">
        <f>SUM(G72:I72)</f>
        <v>400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300</v>
      </c>
      <c r="H73" s="287"/>
      <c r="I73" s="287">
        <f>ROUND(($G73*GroupVBBY),-2)</f>
        <v>0</v>
      </c>
      <c r="J73" s="113">
        <f t="shared" si="11"/>
        <v>300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4</v>
      </c>
      <c r="G75" s="80">
        <f>SUM(G67:G74)</f>
        <v>289100</v>
      </c>
      <c r="H75" s="80">
        <f>SUM(H67:H74)</f>
        <v>26100</v>
      </c>
      <c r="I75" s="80">
        <f>SUM(I67:I74)</f>
        <v>47500</v>
      </c>
      <c r="J75" s="80">
        <f>SUM(J67:K74)</f>
        <v>362700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4</v>
      </c>
      <c r="G80" s="80">
        <f>SUM(G75:G79)</f>
        <v>289100</v>
      </c>
      <c r="H80" s="80">
        <f>SUM(H75:H79)</f>
        <v>26100</v>
      </c>
      <c r="I80" s="80">
        <f>SUM(I75:I79)</f>
        <v>47500</v>
      </c>
      <c r="J80" s="80">
        <f>SUM(J75:J79)</f>
        <v>362700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51" priority="5">
      <formula>$J$44&lt;0</formula>
    </cfRule>
  </conditionalFormatting>
  <conditionalFormatting sqref="K43">
    <cfRule type="expression" dxfId="50" priority="4">
      <formula>$J$43&lt;0</formula>
    </cfRule>
  </conditionalFormatting>
  <conditionalFormatting sqref="L16">
    <cfRule type="expression" dxfId="49" priority="3">
      <formula>$J$16&lt;0</formula>
    </cfRule>
  </conditionalFormatting>
  <conditionalFormatting sqref="K45">
    <cfRule type="expression" dxfId="48" priority="2">
      <formula>$J$44&lt;0</formula>
    </cfRule>
  </conditionalFormatting>
  <conditionalFormatting sqref="K43:N45">
    <cfRule type="containsText" dxfId="4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F39555C-31A7-4991-8FAE-E22D4E05A5D9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D71EF-F5F4-464A-82EB-7CF1165DF7D6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1491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1495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1352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1489</v>
      </c>
      <c r="J5" s="404"/>
      <c r="K5" s="404"/>
      <c r="L5" s="403"/>
      <c r="M5" s="352" t="s">
        <v>115</v>
      </c>
      <c r="N5" s="32" t="s">
        <v>1490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"&amp;'AGAP|0348-00'!FiscalYear-1&amp;" SALARY"</f>
        <v>FY 2022 SALARY</v>
      </c>
      <c r="H8" s="50" t="str">
        <f>"FY "&amp;'AGAP|0348-00'!FiscalYear-1&amp;" HEALTH BENEFITS"</f>
        <v>FY 2022 HEALTH BENEFITS</v>
      </c>
      <c r="I8" s="50" t="str">
        <f>"FY "&amp;'AGAP|0348-00'!FiscalYear-1&amp;" VAR BENEFITS"</f>
        <v>FY 2022 VAR BENEFITS</v>
      </c>
      <c r="J8" s="50" t="str">
        <f>"FY "&amp;'AGAP|0348-00'!FiscalYear-1&amp;" TOTAL"</f>
        <v>FY 2022 TOTAL</v>
      </c>
      <c r="K8" s="50" t="str">
        <f>"FY "&amp;'AGAP|0348-00'!FiscalYear&amp;" SALARY CHANGE"</f>
        <v>FY 2023 SALARY CHANGE</v>
      </c>
      <c r="L8" s="50" t="str">
        <f>"FY "&amp;'AGAP|0348-00'!FiscalYear&amp;" CHG HEALTH BENEFITS"</f>
        <v>FY 2023 CHG HEALTH BENEFITS</v>
      </c>
      <c r="M8" s="50" t="str">
        <f>"FY "&amp;'AGAP|0348-00'!FiscalYear&amp;"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[0]!AGAP034800col_INC_FTI</f>
        <v>4</v>
      </c>
      <c r="G10" s="218">
        <f>[0]!AGAP034800col_FTI_SALARY_PERM</f>
        <v>228924.79999999999</v>
      </c>
      <c r="H10" s="218">
        <f>[0]!AGAP034800col_HEALTH_PERM</f>
        <v>46600</v>
      </c>
      <c r="I10" s="218">
        <f>[0]!AGAP034800col_TOT_VB_PERM</f>
        <v>51821.706976000001</v>
      </c>
      <c r="J10" s="219">
        <f>SUM(G10:I10)</f>
        <v>327346.50697599998</v>
      </c>
      <c r="K10" s="219">
        <f>[0]!AGAP034800col_1_27TH_PP</f>
        <v>0</v>
      </c>
      <c r="L10" s="218">
        <f>[0]!AGAP034800col_HEALTH_PERM_CHG</f>
        <v>0</v>
      </c>
      <c r="M10" s="218">
        <f>[0]!AGAP034800col_TOT_VB_PERM_CHG</f>
        <v>-595.20447999999953</v>
      </c>
      <c r="N10" s="218">
        <f>SUM(L10:M10)</f>
        <v>-595.20447999999953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2300</v>
      </c>
      <c r="AB10" s="335">
        <f>ROUND(PermVarBen*CECPerm+(CECPerm*PermVarBenChg),-2)</f>
        <v>500</v>
      </c>
      <c r="AC10" s="335">
        <f>SUM(AA10:AB10)</f>
        <v>2800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[0]!AGAP034800col_Group_Salary</f>
        <v>20881.37</v>
      </c>
      <c r="H11" s="218">
        <v>0</v>
      </c>
      <c r="I11" s="218">
        <f>[0]!AGAP034800col_Group_Ben</f>
        <v>2599.4499999999998</v>
      </c>
      <c r="J11" s="219">
        <f>SUM(G11:I11)</f>
        <v>23480.82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200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[0]!AGAP034800col_TOTAL_ELECT_PCN_FTI</f>
        <v>0</v>
      </c>
      <c r="G12" s="218">
        <f>[0]!AGAP034800col_FTI_SALARY_ELECT</f>
        <v>0</v>
      </c>
      <c r="H12" s="218">
        <f>[0]!AGAP034800col_HEALTH_ELECT</f>
        <v>0</v>
      </c>
      <c r="I12" s="218">
        <f>[0]!AGAP034800col_TOT_VB_ELECT</f>
        <v>0</v>
      </c>
      <c r="J12" s="219">
        <f>SUM(G12:I12)</f>
        <v>0</v>
      </c>
      <c r="K12" s="268"/>
      <c r="L12" s="218">
        <f>[0]!AGAP034800col_HEALTH_ELECT_CHG</f>
        <v>0</v>
      </c>
      <c r="M12" s="218">
        <f>[0]!AGAP034800col_TOT_VB_ELECT_CHG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4</v>
      </c>
      <c r="G13" s="221">
        <f>SUM(G10:G12)</f>
        <v>249806.16999999998</v>
      </c>
      <c r="H13" s="221">
        <f>SUM(H10:H12)</f>
        <v>46600</v>
      </c>
      <c r="I13" s="221">
        <f>SUM(I10:I12)</f>
        <v>54421.156975999998</v>
      </c>
      <c r="J13" s="219">
        <f>SUM(G13:I13)</f>
        <v>350827.32697599998</v>
      </c>
      <c r="K13" s="268"/>
      <c r="L13" s="219">
        <f>SUM(L10:L12)</f>
        <v>0</v>
      </c>
      <c r="M13" s="219">
        <f>SUM(M10:M12)</f>
        <v>-595.20447999999953</v>
      </c>
      <c r="N13" s="219">
        <f>SUM(N10:N12)</f>
        <v>-595.20447999999953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"&amp;'AGAP|0348-00'!FiscalYear-1</f>
        <v>FY 2022</v>
      </c>
      <c r="D15" s="158" t="s">
        <v>31</v>
      </c>
      <c r="E15" s="355">
        <v>1234000</v>
      </c>
      <c r="F15" s="55">
        <v>7</v>
      </c>
      <c r="G15" s="223">
        <f>IF(OrigApprop=0,0,(G13/$J$13)*OrigApprop)</f>
        <v>878668.19394342124</v>
      </c>
      <c r="H15" s="223">
        <f>IF(OrigApprop=0,0,(H13/$J$13)*OrigApprop)</f>
        <v>163910.83469941284</v>
      </c>
      <c r="I15" s="223">
        <f>IF(G15=0,0,(I13/$J$13)*OrigApprop)</f>
        <v>191420.97135716598</v>
      </c>
      <c r="J15" s="223">
        <f>SUM(G15:I15)</f>
        <v>1234000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3</v>
      </c>
      <c r="G16" s="162">
        <f>G15-G13</f>
        <v>628862.0239434212</v>
      </c>
      <c r="H16" s="162">
        <f>H15-H13</f>
        <v>117310.83469941284</v>
      </c>
      <c r="I16" s="162">
        <f>I15-I13</f>
        <v>136999.81438116598</v>
      </c>
      <c r="J16" s="162">
        <f>J15-J13</f>
        <v>883172.67302400002</v>
      </c>
      <c r="K16" s="269"/>
      <c r="L16" s="56" t="str">
        <f>IF('AGAP|0348-00'!OrigApprop=0,"ERROR! Enter Original Appropriation amount in DU 3.00!","Calculated "&amp;IF('AGAP|0348-00'!AdjustedTotal&gt;0,"overfunding ","underfunding ")&amp;"is "&amp;TEXT('AGAP|0348-00'!AdjustedTotal/'AGAP|0348-00'!AppropTotal,"#.0%;(#.0% );0% ;")&amp;" of Original Appropriation")</f>
        <v>Calculated overfunding is 71.6%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4</v>
      </c>
      <c r="G38" s="191">
        <f>SUMIF($E10:$E35,$E38,$G10:$G35)</f>
        <v>228924.79999999999</v>
      </c>
      <c r="H38" s="192">
        <f>SUMIF($E10:$E35,$E38,$H10:$H35)</f>
        <v>46600</v>
      </c>
      <c r="I38" s="192">
        <f>SUMIF($E10:$E35,$E38,$I10:$I35)</f>
        <v>51821.706976000001</v>
      </c>
      <c r="J38" s="192">
        <f>SUM(G38:I38)</f>
        <v>327346.50697599998</v>
      </c>
      <c r="K38" s="166"/>
      <c r="L38" s="191">
        <f>SUMIF($E10:$E35,$E38,$L10:$L35)</f>
        <v>0</v>
      </c>
      <c r="M38" s="192">
        <f>SUMIF($E10:$E35,$E38,$M10:$M35)</f>
        <v>-595.20447999999953</v>
      </c>
      <c r="N38" s="192">
        <f>SUM(L38:M38)</f>
        <v>-595.20447999999953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2300</v>
      </c>
      <c r="AB38" s="338">
        <f>ROUND((AdjPermVB*CECPerm+AdjPermVBBY*CECPerm),-2)</f>
        <v>500</v>
      </c>
      <c r="AC38" s="338">
        <f>SUM(AA38:AB38)</f>
        <v>2800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20881.37</v>
      </c>
      <c r="H39" s="152">
        <f>SUMIF($E10:$E35,$E39,$H10:$H35)</f>
        <v>0</v>
      </c>
      <c r="I39" s="152">
        <f>SUMIF($E10:$E35,$E39,$I10:$I35)</f>
        <v>2599.4499999999998</v>
      </c>
      <c r="J39" s="152">
        <f>SUM(G39:I39)</f>
        <v>23480.82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200</v>
      </c>
      <c r="AB39" s="338">
        <f>ROUND(AdjGroupVB*CECGroup,-2)</f>
        <v>0</v>
      </c>
      <c r="AC39" s="338">
        <f>SUM(AA39:AB39)</f>
        <v>200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4</v>
      </c>
      <c r="G41" s="195">
        <f>SUM($G$38:$G$40)</f>
        <v>249806.16999999998</v>
      </c>
      <c r="H41" s="162">
        <f>SUM($H$38:$H$40)</f>
        <v>46600</v>
      </c>
      <c r="I41" s="162">
        <f>SUM($I$38:$I$40)</f>
        <v>54421.156975999998</v>
      </c>
      <c r="J41" s="162">
        <f>SUM($J$38:$J$40)</f>
        <v>350827.32697599998</v>
      </c>
      <c r="K41" s="259"/>
      <c r="L41" s="195">
        <f>SUM($L$38:$L$40)</f>
        <v>0</v>
      </c>
      <c r="M41" s="162">
        <f>SUM($M$38:$M$40)</f>
        <v>-595.20447999999953</v>
      </c>
      <c r="N41" s="162">
        <f>SUM(L41:M41)</f>
        <v>-595.20447999999953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3</v>
      </c>
      <c r="G43" s="206">
        <f>ROUND(G51-G41,-2)</f>
        <v>628900</v>
      </c>
      <c r="H43" s="159">
        <f>ROUND(H51-H41,-2)</f>
        <v>117300</v>
      </c>
      <c r="I43" s="159">
        <f>ROUND(I51-I41,-2)</f>
        <v>137000</v>
      </c>
      <c r="J43" s="159">
        <f>SUM(G43:I43)</f>
        <v>883200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overfunding is 71.6%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3</v>
      </c>
      <c r="G44" s="206">
        <f>ROUND(G60-G41,-2)</f>
        <v>628900</v>
      </c>
      <c r="H44" s="159">
        <f>ROUND(H60-H41,-2)</f>
        <v>117300</v>
      </c>
      <c r="I44" s="159">
        <f>ROUND(I60-I41,-2)</f>
        <v>137000</v>
      </c>
      <c r="J44" s="159">
        <f>SUM(G44:I44)</f>
        <v>883200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overfunding is 71.6%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3</v>
      </c>
      <c r="G45" s="206">
        <f>ROUND(G67-G41-G63,-2)</f>
        <v>628900</v>
      </c>
      <c r="H45" s="206">
        <f>ROUND(H67-H41-H63,-2)</f>
        <v>117300</v>
      </c>
      <c r="I45" s="206">
        <f>ROUND(I67-I41-I63,-2)</f>
        <v>137000</v>
      </c>
      <c r="J45" s="159">
        <f>SUM(G45:I45)</f>
        <v>883200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71.6%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/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1234000</v>
      </c>
      <c r="F51" s="272">
        <f>AppropFTP</f>
        <v>7</v>
      </c>
      <c r="G51" s="274">
        <f>IF(E51=0,0,(G41/$J$41)*$E$51)</f>
        <v>878668.19394342124</v>
      </c>
      <c r="H51" s="274">
        <f>IF(E51=0,0,(H41/$J$41)*$E$51)</f>
        <v>163910.83469941284</v>
      </c>
      <c r="I51" s="275">
        <f>IF(E51=0,0,(I41/$J$41)*$E$51)</f>
        <v>191420.97135716598</v>
      </c>
      <c r="J51" s="90">
        <f>SUM(G51:I51)</f>
        <v>1234000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7</v>
      </c>
      <c r="G52" s="79">
        <f>ROUND(G51,-2)</f>
        <v>878700</v>
      </c>
      <c r="H52" s="79">
        <f>ROUND(H51,-2)</f>
        <v>163900</v>
      </c>
      <c r="I52" s="266">
        <f>ROUND(I51,-2)</f>
        <v>191400</v>
      </c>
      <c r="J52" s="80">
        <f>ROUND(J51,-2)</f>
        <v>1234000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7</v>
      </c>
      <c r="G56" s="80">
        <f>SUM(G52:G55)</f>
        <v>878700</v>
      </c>
      <c r="H56" s="80">
        <f>SUM(H52:H55)</f>
        <v>163900</v>
      </c>
      <c r="I56" s="260">
        <f>SUM(I52:I55)</f>
        <v>191400</v>
      </c>
      <c r="J56" s="80">
        <f>SUM(J52:J55)</f>
        <v>1234000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7</v>
      </c>
      <c r="G60" s="80">
        <f>SUM(G56:G59)</f>
        <v>878700</v>
      </c>
      <c r="H60" s="80">
        <f>SUM(H56:H59)</f>
        <v>163900</v>
      </c>
      <c r="I60" s="260">
        <f>SUM(I56:I59)</f>
        <v>191400</v>
      </c>
      <c r="J60" s="80">
        <f>SUM(J56:J59)</f>
        <v>1234000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7</v>
      </c>
      <c r="G67" s="80">
        <f>SUM(G60:G64)</f>
        <v>878700</v>
      </c>
      <c r="H67" s="80">
        <f>SUM(H60:H64)</f>
        <v>163900</v>
      </c>
      <c r="I67" s="80">
        <f>SUM(I60:I64)</f>
        <v>191400</v>
      </c>
      <c r="J67" s="80">
        <f>SUM(J60:J64)</f>
        <v>1234000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-600</v>
      </c>
      <c r="J69" s="287">
        <f>SUM(G69:I69)</f>
        <v>-600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2300</v>
      </c>
      <c r="H72" s="287"/>
      <c r="I72" s="287">
        <f>ROUND(($G72*PermVBBY+$G72*Retire1BY),-2)</f>
        <v>500</v>
      </c>
      <c r="J72" s="113">
        <f>SUM(G72:I72)</f>
        <v>2800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200</v>
      </c>
      <c r="H73" s="287"/>
      <c r="I73" s="287">
        <f>ROUND(($G73*GroupVBBY),-2)</f>
        <v>0</v>
      </c>
      <c r="J73" s="113">
        <f t="shared" si="11"/>
        <v>200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7</v>
      </c>
      <c r="G75" s="80">
        <f>SUM(G67:G74)</f>
        <v>881200</v>
      </c>
      <c r="H75" s="80">
        <f>SUM(H67:H74)</f>
        <v>163900</v>
      </c>
      <c r="I75" s="80">
        <f>SUM(I67:I74)</f>
        <v>191300</v>
      </c>
      <c r="J75" s="80">
        <f>SUM(J67:K74)</f>
        <v>1236400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7</v>
      </c>
      <c r="G80" s="80">
        <f>SUM(G75:G79)</f>
        <v>881200</v>
      </c>
      <c r="H80" s="80">
        <f>SUM(H75:H79)</f>
        <v>163900</v>
      </c>
      <c r="I80" s="80">
        <f>SUM(I75:I79)</f>
        <v>191300</v>
      </c>
      <c r="J80" s="80">
        <f>SUM(J75:J79)</f>
        <v>1236400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46" priority="5">
      <formula>$J$44&lt;0</formula>
    </cfRule>
  </conditionalFormatting>
  <conditionalFormatting sqref="K43">
    <cfRule type="expression" dxfId="45" priority="4">
      <formula>$J$43&lt;0</formula>
    </cfRule>
  </conditionalFormatting>
  <conditionalFormatting sqref="L16">
    <cfRule type="expression" dxfId="44" priority="3">
      <formula>$J$16&lt;0</formula>
    </cfRule>
  </conditionalFormatting>
  <conditionalFormatting sqref="K45">
    <cfRule type="expression" dxfId="43" priority="2">
      <formula>$J$44&lt;0</formula>
    </cfRule>
  </conditionalFormatting>
  <conditionalFormatting sqref="K43:N45">
    <cfRule type="containsText" dxfId="4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5A7480C-152E-4D15-A8FB-F6398608AF0E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3AB5B-A4E9-4593-9C97-C1A65710B7CB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1608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1495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1352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1606</v>
      </c>
      <c r="J5" s="404"/>
      <c r="K5" s="404"/>
      <c r="L5" s="403"/>
      <c r="M5" s="352" t="s">
        <v>115</v>
      </c>
      <c r="N5" s="32" t="s">
        <v>1607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"&amp;'AGAP|0402-00'!FiscalYear-1&amp;" SALARY"</f>
        <v>FY 2022 SALARY</v>
      </c>
      <c r="H8" s="50" t="str">
        <f>"FY "&amp;'AGAP|0402-00'!FiscalYear-1&amp;" HEALTH BENEFITS"</f>
        <v>FY 2022 HEALTH BENEFITS</v>
      </c>
      <c r="I8" s="50" t="str">
        <f>"FY "&amp;'AGAP|0402-00'!FiscalYear-1&amp;" VAR BENEFITS"</f>
        <v>FY 2022 VAR BENEFITS</v>
      </c>
      <c r="J8" s="50" t="str">
        <f>"FY "&amp;'AGAP|0402-00'!FiscalYear-1&amp;" TOTAL"</f>
        <v>FY 2022 TOTAL</v>
      </c>
      <c r="K8" s="50" t="str">
        <f>"FY "&amp;'AGAP|0402-00'!FiscalYear&amp;" SALARY CHANGE"</f>
        <v>FY 2023 SALARY CHANGE</v>
      </c>
      <c r="L8" s="50" t="str">
        <f>"FY "&amp;'AGAP|0402-00'!FiscalYear&amp;" CHG HEALTH BENEFITS"</f>
        <v>FY 2023 CHG HEALTH BENEFITS</v>
      </c>
      <c r="M8" s="50" t="str">
        <f>"FY "&amp;'AGAP|0402-00'!FiscalYear&amp;"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[0]!AGAP040200col_INC_FTI</f>
        <v>3.35</v>
      </c>
      <c r="G10" s="218">
        <f>[0]!AGAP040200col_FTI_SALARY_PERM</f>
        <v>146718</v>
      </c>
      <c r="H10" s="218">
        <f>[0]!AGAP040200col_HEALTH_PERM</f>
        <v>41940</v>
      </c>
      <c r="I10" s="218">
        <f>[0]!AGAP040200col_TOT_VB_PERM</f>
        <v>33212.553659999998</v>
      </c>
      <c r="J10" s="219">
        <f>SUM(G10:I10)</f>
        <v>221870.55366000001</v>
      </c>
      <c r="K10" s="219">
        <f>[0]!AGAP040200col_1_27TH_PP</f>
        <v>0</v>
      </c>
      <c r="L10" s="218">
        <f>[0]!AGAP040200col_HEALTH_PERM_CHG</f>
        <v>0</v>
      </c>
      <c r="M10" s="218">
        <f>[0]!AGAP040200col_TOT_VB_PERM_CHG</f>
        <v>-381.46679999999975</v>
      </c>
      <c r="N10" s="218">
        <f>SUM(L10:M10)</f>
        <v>-381.46679999999975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1500</v>
      </c>
      <c r="AB10" s="335">
        <f>ROUND(PermVarBen*CECPerm+(CECPerm*PermVarBenChg),-2)</f>
        <v>300</v>
      </c>
      <c r="AC10" s="335">
        <f>SUM(AA10:AB10)</f>
        <v>1800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[0]!AGAP040200col_Group_Salary</f>
        <v>6149.25</v>
      </c>
      <c r="H11" s="218">
        <v>0</v>
      </c>
      <c r="I11" s="218">
        <f>[0]!AGAP040200col_Group_Ben</f>
        <v>723.41</v>
      </c>
      <c r="J11" s="219">
        <f>SUM(G11:I11)</f>
        <v>6872.66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100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[0]!AGAP040200col_TOTAL_ELECT_PCN_FTI</f>
        <v>0</v>
      </c>
      <c r="G12" s="218">
        <f>[0]!AGAP040200col_FTI_SALARY_ELECT</f>
        <v>0</v>
      </c>
      <c r="H12" s="218">
        <f>[0]!AGAP040200col_HEALTH_ELECT</f>
        <v>0</v>
      </c>
      <c r="I12" s="218">
        <f>[0]!AGAP040200col_TOT_VB_ELECT</f>
        <v>0</v>
      </c>
      <c r="J12" s="219">
        <f>SUM(G12:I12)</f>
        <v>0</v>
      </c>
      <c r="K12" s="268"/>
      <c r="L12" s="218">
        <f>[0]!AGAP040200col_HEALTH_ELECT_CHG</f>
        <v>0</v>
      </c>
      <c r="M12" s="218">
        <f>[0]!AGAP040200col_TOT_VB_ELECT_CHG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3.35</v>
      </c>
      <c r="G13" s="221">
        <f>SUM(G10:G12)</f>
        <v>152867.25</v>
      </c>
      <c r="H13" s="221">
        <f>SUM(H10:H12)</f>
        <v>41940</v>
      </c>
      <c r="I13" s="221">
        <f>SUM(I10:I12)</f>
        <v>33935.963660000001</v>
      </c>
      <c r="J13" s="219">
        <f>SUM(G13:I13)</f>
        <v>228743.21366000001</v>
      </c>
      <c r="K13" s="268"/>
      <c r="L13" s="219">
        <f>SUM(L10:L12)</f>
        <v>0</v>
      </c>
      <c r="M13" s="219">
        <f>SUM(M10:M12)</f>
        <v>-381.46679999999975</v>
      </c>
      <c r="N13" s="219">
        <f>SUM(N10:N12)</f>
        <v>-381.46679999999975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"&amp;'AGAP|0402-00'!FiscalYear-1</f>
        <v>FY 2022</v>
      </c>
      <c r="D15" s="158" t="s">
        <v>31</v>
      </c>
      <c r="E15" s="355">
        <v>369400</v>
      </c>
      <c r="F15" s="55">
        <v>4.4000000000000004</v>
      </c>
      <c r="G15" s="223">
        <f>IF(OrigApprop=0,0,(G13/$J$13)*OrigApprop)</f>
        <v>246867.04906548525</v>
      </c>
      <c r="H15" s="223">
        <f>IF(OrigApprop=0,0,(H13/$J$13)*OrigApprop)</f>
        <v>67729.379823385665</v>
      </c>
      <c r="I15" s="223">
        <f>IF(G15=0,0,(I13/$J$13)*OrigApprop)</f>
        <v>54803.571111129066</v>
      </c>
      <c r="J15" s="223">
        <f>SUM(G15:I15)</f>
        <v>369400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1.0500000000000003</v>
      </c>
      <c r="G16" s="162">
        <f>G15-G13</f>
        <v>93999.799065485247</v>
      </c>
      <c r="H16" s="162">
        <f>H15-H13</f>
        <v>25789.379823385665</v>
      </c>
      <c r="I16" s="162">
        <f>I15-I13</f>
        <v>20867.607451129064</v>
      </c>
      <c r="J16" s="162">
        <f>J15-J13</f>
        <v>140656.78633999999</v>
      </c>
      <c r="K16" s="269"/>
      <c r="L16" s="56" t="str">
        <f>IF('AGAP|0402-00'!OrigApprop=0,"ERROR! Enter Original Appropriation amount in DU 3.00!","Calculated "&amp;IF('AGAP|0402-00'!AdjustedTotal&gt;0,"overfunding ","underfunding ")&amp;"is "&amp;TEXT('AGAP|0402-00'!AdjustedTotal/'AGAP|0402-00'!AppropTotal,"#.0%;(#.0% );0% ;")&amp;" of Original Appropriation")</f>
        <v>Calculated overfunding is 38.1%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3.35</v>
      </c>
      <c r="G38" s="191">
        <f>SUMIF($E10:$E35,$E38,$G10:$G35)</f>
        <v>146718</v>
      </c>
      <c r="H38" s="192">
        <f>SUMIF($E10:$E35,$E38,$H10:$H35)</f>
        <v>41940</v>
      </c>
      <c r="I38" s="192">
        <f>SUMIF($E10:$E35,$E38,$I10:$I35)</f>
        <v>33212.553659999998</v>
      </c>
      <c r="J38" s="192">
        <f>SUM(G38:I38)</f>
        <v>221870.55366000001</v>
      </c>
      <c r="K38" s="166"/>
      <c r="L38" s="191">
        <f>SUMIF($E10:$E35,$E38,$L10:$L35)</f>
        <v>0</v>
      </c>
      <c r="M38" s="192">
        <f>SUMIF($E10:$E35,$E38,$M10:$M35)</f>
        <v>-381.46679999999975</v>
      </c>
      <c r="N38" s="192">
        <f>SUM(L38:M38)</f>
        <v>-381.46679999999975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1500</v>
      </c>
      <c r="AB38" s="338">
        <f>ROUND((AdjPermVB*CECPerm+AdjPermVBBY*CECPerm),-2)</f>
        <v>300</v>
      </c>
      <c r="AC38" s="338">
        <f>SUM(AA38:AB38)</f>
        <v>1800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6149.25</v>
      </c>
      <c r="H39" s="152">
        <f>SUMIF($E10:$E35,$E39,$H10:$H35)</f>
        <v>0</v>
      </c>
      <c r="I39" s="152">
        <f>SUMIF($E10:$E35,$E39,$I10:$I35)</f>
        <v>723.41</v>
      </c>
      <c r="J39" s="152">
        <f>SUM(G39:I39)</f>
        <v>6872.66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100</v>
      </c>
      <c r="AB39" s="338">
        <f>ROUND(AdjGroupVB*CECGroup,-2)</f>
        <v>0</v>
      </c>
      <c r="AC39" s="338">
        <f>SUM(AA39:AB39)</f>
        <v>100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3.35</v>
      </c>
      <c r="G41" s="195">
        <f>SUM($G$38:$G$40)</f>
        <v>152867.25</v>
      </c>
      <c r="H41" s="162">
        <f>SUM($H$38:$H$40)</f>
        <v>41940</v>
      </c>
      <c r="I41" s="162">
        <f>SUM($I$38:$I$40)</f>
        <v>33935.963660000001</v>
      </c>
      <c r="J41" s="162">
        <f>SUM($J$38:$J$40)</f>
        <v>228743.21366000001</v>
      </c>
      <c r="K41" s="259"/>
      <c r="L41" s="195">
        <f>SUM($L$38:$L$40)</f>
        <v>0</v>
      </c>
      <c r="M41" s="162">
        <f>SUM($M$38:$M$40)</f>
        <v>-381.46679999999975</v>
      </c>
      <c r="N41" s="162">
        <f>SUM(L41:M41)</f>
        <v>-381.46679999999975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1.05</v>
      </c>
      <c r="G43" s="206">
        <f>ROUND(G51-G41,-2)</f>
        <v>94000</v>
      </c>
      <c r="H43" s="159">
        <f>ROUND(H51-H41,-2)</f>
        <v>25800</v>
      </c>
      <c r="I43" s="159">
        <f>ROUND(I51-I41,-2)</f>
        <v>20900</v>
      </c>
      <c r="J43" s="159">
        <f>SUM(G43:I43)</f>
        <v>140700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overfunding is 38.1%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1.05</v>
      </c>
      <c r="G44" s="206">
        <f>ROUND(G60-G41,-2)</f>
        <v>94000</v>
      </c>
      <c r="H44" s="159">
        <f>ROUND(H60-H41,-2)</f>
        <v>25800</v>
      </c>
      <c r="I44" s="159">
        <f>ROUND(I60-I41,-2)</f>
        <v>20900</v>
      </c>
      <c r="J44" s="159">
        <f>SUM(G44:I44)</f>
        <v>140700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overfunding is 38.1%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1.05</v>
      </c>
      <c r="G45" s="206">
        <f>ROUND(G67-G41-G63,-2)</f>
        <v>94000</v>
      </c>
      <c r="H45" s="206">
        <f>ROUND(H67-H41-H63,-2)</f>
        <v>25800</v>
      </c>
      <c r="I45" s="206">
        <f>ROUND(I67-I41-I63,-2)</f>
        <v>20900</v>
      </c>
      <c r="J45" s="159">
        <f>SUM(G45:I45)</f>
        <v>140700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38.1%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/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369400</v>
      </c>
      <c r="F51" s="272">
        <f>AppropFTP</f>
        <v>4.4000000000000004</v>
      </c>
      <c r="G51" s="274">
        <f>IF(E51=0,0,(G41/$J$41)*$E$51)</f>
        <v>246867.04906548525</v>
      </c>
      <c r="H51" s="274">
        <f>IF(E51=0,0,(H41/$J$41)*$E$51)</f>
        <v>67729.379823385665</v>
      </c>
      <c r="I51" s="275">
        <f>IF(E51=0,0,(I41/$J$41)*$E$51)</f>
        <v>54803.571111129066</v>
      </c>
      <c r="J51" s="90">
        <f>SUM(G51:I51)</f>
        <v>369400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4.4000000000000004</v>
      </c>
      <c r="G52" s="79">
        <f>ROUND(G51,-2)</f>
        <v>246900</v>
      </c>
      <c r="H52" s="79">
        <f>ROUND(H51,-2)</f>
        <v>67700</v>
      </c>
      <c r="I52" s="266">
        <f>ROUND(I51,-2)</f>
        <v>54800</v>
      </c>
      <c r="J52" s="80">
        <f>ROUND(J51,-2)</f>
        <v>369400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4.4000000000000004</v>
      </c>
      <c r="G56" s="80">
        <f>SUM(G52:G55)</f>
        <v>246900</v>
      </c>
      <c r="H56" s="80">
        <f>SUM(H52:H55)</f>
        <v>67700</v>
      </c>
      <c r="I56" s="260">
        <f>SUM(I52:I55)</f>
        <v>54800</v>
      </c>
      <c r="J56" s="80">
        <f>SUM(J52:J55)</f>
        <v>369400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4.4000000000000004</v>
      </c>
      <c r="G60" s="80">
        <f>SUM(G56:G59)</f>
        <v>246900</v>
      </c>
      <c r="H60" s="80">
        <f>SUM(H56:H59)</f>
        <v>67700</v>
      </c>
      <c r="I60" s="260">
        <f>SUM(I56:I59)</f>
        <v>54800</v>
      </c>
      <c r="J60" s="80">
        <f>SUM(J56:J59)</f>
        <v>369400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4.4000000000000004</v>
      </c>
      <c r="G67" s="80">
        <f>SUM(G60:G64)</f>
        <v>246900</v>
      </c>
      <c r="H67" s="80">
        <f>SUM(H60:H64)</f>
        <v>67700</v>
      </c>
      <c r="I67" s="80">
        <f>SUM(I60:I64)</f>
        <v>54800</v>
      </c>
      <c r="J67" s="80">
        <f>SUM(J60:J64)</f>
        <v>369400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-400</v>
      </c>
      <c r="J69" s="287">
        <f>SUM(G69:I69)</f>
        <v>-400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1500</v>
      </c>
      <c r="H72" s="287"/>
      <c r="I72" s="287">
        <f>ROUND(($G72*PermVBBY+$G72*Retire1BY),-2)</f>
        <v>300</v>
      </c>
      <c r="J72" s="113">
        <f>SUM(G72:I72)</f>
        <v>1800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100</v>
      </c>
      <c r="H73" s="287"/>
      <c r="I73" s="287">
        <f>ROUND(($G73*GroupVBBY),-2)</f>
        <v>0</v>
      </c>
      <c r="J73" s="113">
        <f t="shared" si="11"/>
        <v>100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4.4000000000000004</v>
      </c>
      <c r="G75" s="80">
        <f>SUM(G67:G74)</f>
        <v>248500</v>
      </c>
      <c r="H75" s="80">
        <f>SUM(H67:H74)</f>
        <v>67700</v>
      </c>
      <c r="I75" s="80">
        <f>SUM(I67:I74)</f>
        <v>54700</v>
      </c>
      <c r="J75" s="80">
        <f>SUM(J67:K74)</f>
        <v>370900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4.4000000000000004</v>
      </c>
      <c r="G80" s="80">
        <f>SUM(G75:G79)</f>
        <v>248500</v>
      </c>
      <c r="H80" s="80">
        <f>SUM(H75:H79)</f>
        <v>67700</v>
      </c>
      <c r="I80" s="80">
        <f>SUM(I75:I79)</f>
        <v>54700</v>
      </c>
      <c r="J80" s="80">
        <f>SUM(J75:J79)</f>
        <v>370900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41" priority="5">
      <formula>$J$44&lt;0</formula>
    </cfRule>
  </conditionalFormatting>
  <conditionalFormatting sqref="K43">
    <cfRule type="expression" dxfId="40" priority="4">
      <formula>$J$43&lt;0</formula>
    </cfRule>
  </conditionalFormatting>
  <conditionalFormatting sqref="L16">
    <cfRule type="expression" dxfId="39" priority="3">
      <formula>$J$16&lt;0</formula>
    </cfRule>
  </conditionalFormatting>
  <conditionalFormatting sqref="K45">
    <cfRule type="expression" dxfId="38" priority="2">
      <formula>$J$44&lt;0</formula>
    </cfRule>
  </conditionalFormatting>
  <conditionalFormatting sqref="K43:N45">
    <cfRule type="containsText" dxfId="3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2C9C9EC-1BAB-4115-8CDC-7AAEAB0EF44C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:AHA842"/>
  <sheetViews>
    <sheetView workbookViewId="0">
      <pane xSplit="3" ySplit="1" topLeftCell="AM777" activePane="bottomRight" state="frozen"/>
      <selection pane="topRight" activeCell="D1" sqref="D1"/>
      <selection pane="bottomLeft" activeCell="A2" sqref="A2"/>
      <selection pane="bottomRight" activeCell="AS784" sqref="AS784:BA842"/>
    </sheetView>
  </sheetViews>
  <sheetFormatPr defaultRowHeight="14.4" x14ac:dyDescent="0.3"/>
  <cols>
    <col min="45" max="53" width="15.77734375" customWidth="1"/>
    <col min="54" max="54" width="12" bestFit="1" customWidth="1"/>
    <col min="55" max="55" width="9.33203125" bestFit="1" customWidth="1"/>
    <col min="56" max="56" width="10.88671875" bestFit="1" customWidth="1"/>
    <col min="57" max="57" width="10.77734375" bestFit="1" customWidth="1"/>
    <col min="58" max="58" width="11.88671875" bestFit="1" customWidth="1"/>
    <col min="59" max="61" width="9.77734375" bestFit="1" customWidth="1"/>
    <col min="62" max="62" width="10.88671875" bestFit="1" customWidth="1"/>
    <col min="63" max="63" width="9.33203125" bestFit="1" customWidth="1"/>
    <col min="64" max="64" width="12" bestFit="1" customWidth="1"/>
    <col min="65" max="65" width="9.33203125" bestFit="1" customWidth="1"/>
    <col min="66" max="66" width="12" bestFit="1" customWidth="1"/>
    <col min="67" max="67" width="9.33203125" bestFit="1" customWidth="1"/>
    <col min="68" max="68" width="10.88671875" bestFit="1" customWidth="1"/>
    <col min="69" max="69" width="10.77734375" bestFit="1" customWidth="1"/>
    <col min="70" max="70" width="11.88671875" bestFit="1" customWidth="1"/>
    <col min="71" max="71" width="9.77734375" bestFit="1" customWidth="1"/>
    <col min="72" max="72" width="9.33203125" bestFit="1" customWidth="1"/>
    <col min="73" max="73" width="9.77734375" bestFit="1" customWidth="1"/>
    <col min="74" max="74" width="10.88671875" bestFit="1" customWidth="1"/>
    <col min="75" max="75" width="9.33203125" bestFit="1" customWidth="1"/>
    <col min="76" max="76" width="12" bestFit="1" customWidth="1"/>
    <col min="77" max="83" width="9.33203125" bestFit="1" customWidth="1"/>
    <col min="84" max="84" width="10.44140625" bestFit="1" customWidth="1"/>
    <col min="85" max="85" width="9.33203125" bestFit="1" customWidth="1"/>
    <col min="86" max="86" width="9.77734375" bestFit="1" customWidth="1"/>
    <col min="87" max="87" width="9.33203125" bestFit="1" customWidth="1"/>
    <col min="88" max="88" width="10.44140625" bestFit="1" customWidth="1"/>
    <col min="89" max="89" width="9.33203125" bestFit="1" customWidth="1"/>
    <col min="90" max="91" width="13.44140625" bestFit="1" customWidth="1"/>
  </cols>
  <sheetData>
    <row r="1" spans="1:92" ht="12.75" customHeight="1" thickBot="1" x14ac:dyDescent="0.35">
      <c r="A1" s="374" t="s">
        <v>118</v>
      </c>
      <c r="B1" s="374" t="s">
        <v>119</v>
      </c>
      <c r="C1" s="374" t="s">
        <v>20</v>
      </c>
      <c r="D1" s="374" t="s">
        <v>120</v>
      </c>
      <c r="E1" s="374" t="s">
        <v>121</v>
      </c>
      <c r="F1" s="375" t="s">
        <v>122</v>
      </c>
      <c r="G1" s="374" t="s">
        <v>123</v>
      </c>
      <c r="H1" s="374" t="s">
        <v>124</v>
      </c>
      <c r="I1" s="374" t="s">
        <v>125</v>
      </c>
      <c r="J1" s="374" t="s">
        <v>126</v>
      </c>
      <c r="K1" s="374" t="s">
        <v>127</v>
      </c>
      <c r="L1" s="374" t="s">
        <v>128</v>
      </c>
      <c r="M1" s="374" t="s">
        <v>129</v>
      </c>
      <c r="N1" s="374" t="s">
        <v>130</v>
      </c>
      <c r="O1" s="374" t="s">
        <v>131</v>
      </c>
      <c r="P1" s="374" t="s">
        <v>132</v>
      </c>
      <c r="Q1" s="374" t="s">
        <v>133</v>
      </c>
      <c r="R1" s="374" t="s">
        <v>134</v>
      </c>
      <c r="S1" s="374" t="s">
        <v>135</v>
      </c>
      <c r="T1" s="374" t="s">
        <v>136</v>
      </c>
      <c r="U1" s="374" t="s">
        <v>137</v>
      </c>
      <c r="V1" s="374" t="s">
        <v>138</v>
      </c>
      <c r="W1" s="374" t="s">
        <v>139</v>
      </c>
      <c r="X1" s="374" t="s">
        <v>140</v>
      </c>
      <c r="Y1" s="374" t="s">
        <v>141</v>
      </c>
      <c r="Z1" s="374" t="s">
        <v>142</v>
      </c>
      <c r="AA1" s="374" t="s">
        <v>143</v>
      </c>
      <c r="AB1" s="374" t="s">
        <v>144</v>
      </c>
      <c r="AC1" s="374" t="s">
        <v>145</v>
      </c>
      <c r="AD1" s="374" t="s">
        <v>146</v>
      </c>
      <c r="AE1" s="374" t="s">
        <v>147</v>
      </c>
      <c r="AF1" s="374" t="s">
        <v>148</v>
      </c>
      <c r="AG1" s="374" t="s">
        <v>149</v>
      </c>
      <c r="AH1" s="374" t="s">
        <v>150</v>
      </c>
      <c r="AI1" s="374" t="s">
        <v>151</v>
      </c>
      <c r="AJ1" s="374" t="s">
        <v>152</v>
      </c>
      <c r="AK1" s="374" t="s">
        <v>153</v>
      </c>
      <c r="AL1" s="374" t="s">
        <v>154</v>
      </c>
      <c r="AM1" s="374" t="s">
        <v>155</v>
      </c>
      <c r="AN1" s="374" t="s">
        <v>156</v>
      </c>
      <c r="AO1" s="374" t="s">
        <v>157</v>
      </c>
      <c r="AP1" s="374" t="s">
        <v>158</v>
      </c>
      <c r="AQ1" s="374" t="s">
        <v>159</v>
      </c>
      <c r="AR1" s="374" t="s">
        <v>160</v>
      </c>
      <c r="AS1" s="461" t="s">
        <v>1390</v>
      </c>
      <c r="AT1" s="461" t="s">
        <v>1391</v>
      </c>
      <c r="AU1" s="461" t="s">
        <v>1392</v>
      </c>
      <c r="AV1" s="461" t="s">
        <v>1393</v>
      </c>
      <c r="AW1" s="461" t="s">
        <v>1394</v>
      </c>
      <c r="AX1" s="461" t="s">
        <v>1395</v>
      </c>
      <c r="AY1" s="461" t="s">
        <v>1396</v>
      </c>
      <c r="AZ1" s="461" t="s">
        <v>1397</v>
      </c>
      <c r="BA1" s="463" t="s">
        <v>1398</v>
      </c>
      <c r="BB1" s="464" t="s">
        <v>1399</v>
      </c>
      <c r="BC1" s="464" t="s">
        <v>1400</v>
      </c>
      <c r="BD1" s="464" t="s">
        <v>1401</v>
      </c>
      <c r="BE1" s="464" t="s">
        <v>1402</v>
      </c>
      <c r="BF1" s="464" t="s">
        <v>1403</v>
      </c>
      <c r="BG1" s="464" t="s">
        <v>1404</v>
      </c>
      <c r="BH1" s="464" t="s">
        <v>1405</v>
      </c>
      <c r="BI1" s="464" t="s">
        <v>1406</v>
      </c>
      <c r="BJ1" s="464" t="s">
        <v>1407</v>
      </c>
      <c r="BK1" s="464" t="s">
        <v>1408</v>
      </c>
      <c r="BL1" s="465" t="s">
        <v>1409</v>
      </c>
      <c r="BM1" s="465" t="s">
        <v>1410</v>
      </c>
      <c r="BN1" s="464" t="s">
        <v>1411</v>
      </c>
      <c r="BO1" s="464" t="s">
        <v>1412</v>
      </c>
      <c r="BP1" s="464" t="s">
        <v>1413</v>
      </c>
      <c r="BQ1" s="464" t="s">
        <v>1414</v>
      </c>
      <c r="BR1" s="464" t="s">
        <v>1415</v>
      </c>
      <c r="BS1" s="464" t="s">
        <v>1416</v>
      </c>
      <c r="BT1" s="464" t="s">
        <v>1417</v>
      </c>
      <c r="BU1" s="464" t="s">
        <v>1418</v>
      </c>
      <c r="BV1" s="464" t="s">
        <v>1419</v>
      </c>
      <c r="BW1" s="464" t="s">
        <v>1420</v>
      </c>
      <c r="BX1" s="465" t="s">
        <v>1421</v>
      </c>
      <c r="BY1" s="465" t="s">
        <v>1422</v>
      </c>
      <c r="BZ1" s="464" t="s">
        <v>1423</v>
      </c>
      <c r="CA1" s="464" t="s">
        <v>1424</v>
      </c>
      <c r="CB1" s="464" t="s">
        <v>1425</v>
      </c>
      <c r="CC1" s="464" t="s">
        <v>1426</v>
      </c>
      <c r="CD1" s="464" t="s">
        <v>1427</v>
      </c>
      <c r="CE1" s="464" t="s">
        <v>1428</v>
      </c>
      <c r="CF1" s="464" t="s">
        <v>1429</v>
      </c>
      <c r="CG1" s="464" t="s">
        <v>1430</v>
      </c>
      <c r="CH1" s="464" t="s">
        <v>1431</v>
      </c>
      <c r="CI1" s="464" t="s">
        <v>1432</v>
      </c>
      <c r="CJ1" s="465" t="s">
        <v>1433</v>
      </c>
      <c r="CK1" s="465" t="s">
        <v>1434</v>
      </c>
      <c r="CL1" s="466" t="s">
        <v>1435</v>
      </c>
      <c r="CM1" s="466" t="s">
        <v>1436</v>
      </c>
      <c r="CN1" s="466" t="s">
        <v>1437</v>
      </c>
    </row>
    <row r="2" spans="1:92" ht="15" thickBot="1" x14ac:dyDescent="0.35">
      <c r="A2" s="376" t="s">
        <v>161</v>
      </c>
      <c r="B2" s="376" t="s">
        <v>162</v>
      </c>
      <c r="C2" s="376" t="s">
        <v>163</v>
      </c>
      <c r="D2" s="376" t="s">
        <v>164</v>
      </c>
      <c r="E2" s="376" t="s">
        <v>165</v>
      </c>
      <c r="F2" s="377" t="s">
        <v>166</v>
      </c>
      <c r="G2" s="376" t="s">
        <v>167</v>
      </c>
      <c r="H2" s="378"/>
      <c r="I2" s="378"/>
      <c r="J2" s="376" t="s">
        <v>168</v>
      </c>
      <c r="K2" s="376" t="s">
        <v>169</v>
      </c>
      <c r="L2" s="376" t="s">
        <v>166</v>
      </c>
      <c r="M2" s="376" t="s">
        <v>170</v>
      </c>
      <c r="N2" s="376" t="s">
        <v>171</v>
      </c>
      <c r="O2" s="379">
        <v>1</v>
      </c>
      <c r="P2" s="460">
        <v>1</v>
      </c>
      <c r="Q2" s="460">
        <v>1</v>
      </c>
      <c r="R2" s="380">
        <v>80</v>
      </c>
      <c r="S2" s="460">
        <v>1</v>
      </c>
      <c r="T2" s="380">
        <v>133335.51999999999</v>
      </c>
      <c r="U2" s="380">
        <v>0</v>
      </c>
      <c r="V2" s="380">
        <v>34964.410000000003</v>
      </c>
      <c r="W2" s="380">
        <v>118747.2</v>
      </c>
      <c r="X2" s="380">
        <v>38167.410000000003</v>
      </c>
      <c r="Y2" s="380">
        <v>118747.2</v>
      </c>
      <c r="Z2" s="380">
        <v>37858.67</v>
      </c>
      <c r="AA2" s="376" t="s">
        <v>172</v>
      </c>
      <c r="AB2" s="376" t="s">
        <v>173</v>
      </c>
      <c r="AC2" s="376" t="s">
        <v>174</v>
      </c>
      <c r="AD2" s="376" t="s">
        <v>175</v>
      </c>
      <c r="AE2" s="376" t="s">
        <v>169</v>
      </c>
      <c r="AF2" s="376" t="s">
        <v>176</v>
      </c>
      <c r="AG2" s="376" t="s">
        <v>177</v>
      </c>
      <c r="AH2" s="381">
        <v>57.09</v>
      </c>
      <c r="AI2" s="379">
        <v>27573</v>
      </c>
      <c r="AJ2" s="376" t="s">
        <v>178</v>
      </c>
      <c r="AK2" s="376" t="s">
        <v>179</v>
      </c>
      <c r="AL2" s="376" t="s">
        <v>180</v>
      </c>
      <c r="AM2" s="376" t="s">
        <v>181</v>
      </c>
      <c r="AN2" s="376" t="s">
        <v>68</v>
      </c>
      <c r="AO2" s="379">
        <v>80</v>
      </c>
      <c r="AP2" s="460">
        <v>1</v>
      </c>
      <c r="AQ2" s="460">
        <v>1</v>
      </c>
      <c r="AR2" s="458" t="s">
        <v>182</v>
      </c>
      <c r="AS2" s="462">
        <f>IF(((AO2/80)*AP2*P2)&gt;1,AQ2,((AO2/80)*AP2*P2))</f>
        <v>1</v>
      </c>
      <c r="AT2">
        <f>IF(AND(M2="F",N2&lt;&gt;"NG",AS2&lt;&gt;0,AND(AR2&lt;&gt;6,AR2&lt;&gt;36,AR2&lt;&gt;56),AG2&lt;&gt;"A",OR(AG2="H",AJ2="FS")),1,IF(AND(M2="F",N2&lt;&gt;"NG",AS2&lt;&gt;0,AG2="A"),3,0))</f>
        <v>1</v>
      </c>
      <c r="AU2" s="462">
        <f>IF(AT2=0,"",IF(AND(AT2=1,M2="F",SUMIF(C2:C698,C2,AS2:AS698)&lt;=1),SUMIF(C2:C698,C2,AS2:AS698),IF(AND(AT2=1,M2="F",SUMIF(C2:C698,C2,AS2:AS698)&gt;1),1,"")))</f>
        <v>1</v>
      </c>
      <c r="AV2" s="462" t="str">
        <f>IF(AT2=0,"",IF(AND(AT2=3,M2="F",SUMIF(C2:C698,C2,AS2:AS698)&lt;=1),SUMIF(C2:C698,C2,AS2:AS698),IF(AND(AT2=3,M2="F",SUMIF(C2:C698,C2,AS2:AS698)&gt;1),1,"")))</f>
        <v/>
      </c>
      <c r="AW2" s="462">
        <f>SUMIF(C2:C698,C2,O2:O698)</f>
        <v>1</v>
      </c>
      <c r="AX2" s="462">
        <f>IF(AND(M2="F",AS2&lt;&gt;0),SUMIF(C2:C698,C2,W2:W698),0)</f>
        <v>118747.2</v>
      </c>
      <c r="AY2" s="462">
        <f>IF(AT2=1,W2,"")</f>
        <v>118747.2</v>
      </c>
      <c r="AZ2" s="462" t="str">
        <f>IF(AT2=3,W2,"")</f>
        <v/>
      </c>
      <c r="BA2" s="462">
        <f>IF(AT2=1,Y2-W2,0)</f>
        <v>0</v>
      </c>
      <c r="BB2" s="462">
        <f>IF(AND(AT2=1,AK2="E",AU2&gt;=0.75,AW2=1),Health,IF(AND(AT2=1,AK2="E",AU2&gt;=0.75),Health*P2,IF(AND(AT2=1,AK2="E",AU2&gt;=0.5,AW2=1),PTHealth,IF(AND(AT2=1,AK2="E",AU2&gt;=0.5),PTHealth*P2,0))))</f>
        <v>11650</v>
      </c>
      <c r="BC2" s="462">
        <f>IF(AND(AT2=3,AK2="E",AV2&gt;=0.75,AW2=1),Health,IF(AND(AT2=3,AK2="E",AV2&gt;=0.75),Health*P2,IF(AND(AT2=3,AK2="E",AV2&gt;=0.5,AW2=1),PTHealth,IF(AND(AT2=3,AK2="E",AV2&gt;=0.5),PTHealth*P2,0))))</f>
        <v>0</v>
      </c>
      <c r="BD2" s="462">
        <f>IF(AND(AT2&lt;&gt;0,AX2&gt;=MAXSSDI),SSDI*MAXSSDI*P2,IF(AT2&lt;&gt;0,SSDI*W2,0))</f>
        <v>7362.3263999999999</v>
      </c>
      <c r="BE2" s="462">
        <f>IF(AT2&lt;&gt;0,SSHI*W2,0)</f>
        <v>1721.8344</v>
      </c>
      <c r="BF2" s="462">
        <f>IF(AND(AT2&lt;&gt;0,AN2&lt;&gt;"NE"),VLOOKUP(AN2,Retirement_Rates,3,FALSE)*W2,0)</f>
        <v>14178.41568</v>
      </c>
      <c r="BG2" s="462">
        <f>IF(AND(AT2&lt;&gt;0,AJ2&lt;&gt;"PF"),Life*W2,0)</f>
        <v>856.16731200000004</v>
      </c>
      <c r="BH2" s="462">
        <f>IF(AND(AT2&lt;&gt;0,AM2="Y"),UI*W2,0)</f>
        <v>581.86127999999997</v>
      </c>
      <c r="BI2" s="462">
        <f>IF(AND(AT2&lt;&gt;0,N2&lt;&gt;"NR"),DHR*W2,0)</f>
        <v>0</v>
      </c>
      <c r="BJ2" s="462">
        <f>IF(AT2&lt;&gt;0,WC*W2,0)</f>
        <v>1816.8321599999999</v>
      </c>
      <c r="BK2" s="462">
        <f>IF(OR(AND(AT2&lt;&gt;0,AJ2&lt;&gt;"PF",AN2&lt;&gt;"NE",AG2&lt;&gt;"A"),AND(AL2="E",OR(AT2=1,AT2=3))),Sick*W2,0)</f>
        <v>0</v>
      </c>
      <c r="BL2" s="462">
        <f>IF(AT2=1,SUM(BD2:BK2),0)</f>
        <v>26517.437232000004</v>
      </c>
      <c r="BM2" s="462">
        <f>IF(AT2=3,SUM(BD2:BK2),0)</f>
        <v>0</v>
      </c>
      <c r="BN2" s="462">
        <f>IF(AND(AT2=1,AK2="E",AU2&gt;=0.75,AW2=1),HealthBY,IF(AND(AT2=1,AK2="E",AU2&gt;=0.75),HealthBY*P2,IF(AND(AT2=1,AK2="E",AU2&gt;=0.5,AW2=1),PTHealthBY,IF(AND(AT2=1,AK2="E",AU2&gt;=0.5),PTHealthBY*P2,0))))</f>
        <v>11650</v>
      </c>
      <c r="BO2" s="462">
        <f>IF(AND(AT2=3,AK2="E",AV2&gt;=0.75,AW2=1),HealthBY,IF(AND(AT2=3,AK2="E",AV2&gt;=0.75),HealthBY*P2,IF(AND(AT2=3,AK2="E",AV2&gt;=0.5,AW2=1),PTHealthBY,IF(AND(AT2=3,AK2="E",AV2&gt;=0.5),PTHealthBY*P2,0))))</f>
        <v>0</v>
      </c>
      <c r="BP2" s="462">
        <f>IF(AND(AT2&lt;&gt;0,(AX2+BA2)&gt;=MAXSSDIBY),SSDIBY*MAXSSDIBY*P2,IF(AT2&lt;&gt;0,SSDIBY*W2,0))</f>
        <v>7362.3263999999999</v>
      </c>
      <c r="BQ2" s="462">
        <f>IF(AT2&lt;&gt;0,SSHIBY*W2,0)</f>
        <v>1721.8344</v>
      </c>
      <c r="BR2" s="462">
        <f>IF(AND(AT2&lt;&gt;0,AN2&lt;&gt;"NE"),VLOOKUP(AN2,Retirement_Rates,4,FALSE)*W2,0)</f>
        <v>14178.41568</v>
      </c>
      <c r="BS2" s="462">
        <f>IF(AND(AT2&lt;&gt;0,AJ2&lt;&gt;"PF"),LifeBY*W2,0)</f>
        <v>856.16731200000004</v>
      </c>
      <c r="BT2" s="462">
        <f>IF(AND(AT2&lt;&gt;0,AM2="Y"),UIBY*W2,0)</f>
        <v>0</v>
      </c>
      <c r="BU2" s="462">
        <f>IF(AND(AT2&lt;&gt;0,N2&lt;&gt;"NR"),DHRBY*W2,0)</f>
        <v>0</v>
      </c>
      <c r="BV2" s="462">
        <f>IF(AT2&lt;&gt;0,WCBY*W2,0)</f>
        <v>2089.9507200000003</v>
      </c>
      <c r="BW2" s="462">
        <f>IF(OR(AND(AT2&lt;&gt;0,AJ2&lt;&gt;"PF",AN2&lt;&gt;"NE",AG2&lt;&gt;"A"),AND(AL2="E",OR(AT2=1,AT2=3))),SickBY*W2,0)</f>
        <v>0</v>
      </c>
      <c r="BX2" s="462">
        <f>IF(AT2=1,SUM(BP2:BW2),0)</f>
        <v>26208.694512000002</v>
      </c>
      <c r="BY2" s="462">
        <f>IF(AT2=3,SUM(BP2:BW2),0)</f>
        <v>0</v>
      </c>
      <c r="BZ2" s="462">
        <f>IF(AT2=1,BN2-BB2,0)</f>
        <v>0</v>
      </c>
      <c r="CA2" s="462">
        <f>IF(AT2=3,BO2-BC2,0)</f>
        <v>0</v>
      </c>
      <c r="CB2" s="462">
        <f>BP2-BD2</f>
        <v>0</v>
      </c>
      <c r="CC2" s="462">
        <f>IF(AT2&lt;&gt;0,SSHICHG*Y2,0)</f>
        <v>0</v>
      </c>
      <c r="CD2" s="462">
        <f>IF(AND(AT2&lt;&gt;0,AN2&lt;&gt;"NE"),VLOOKUP(AN2,Retirement_Rates,5,FALSE)*Y2,0)</f>
        <v>0</v>
      </c>
      <c r="CE2" s="462">
        <f>IF(AND(AT2&lt;&gt;0,AJ2&lt;&gt;"PF"),LifeCHG*Y2,0)</f>
        <v>0</v>
      </c>
      <c r="CF2" s="462">
        <f>IF(AND(AT2&lt;&gt;0,AM2="Y"),UICHG*Y2,0)</f>
        <v>-581.86127999999997</v>
      </c>
      <c r="CG2" s="462">
        <f>IF(AND(AT2&lt;&gt;0,N2&lt;&gt;"NR"),DHRCHG*Y2,0)</f>
        <v>0</v>
      </c>
      <c r="CH2" s="462">
        <f>IF(AT2&lt;&gt;0,WCCHG*Y2,0)</f>
        <v>273.11856000000017</v>
      </c>
      <c r="CI2" s="462">
        <f>IF(OR(AND(AT2&lt;&gt;0,AJ2&lt;&gt;"PF",AN2&lt;&gt;"NE",AG2&lt;&gt;"A"),AND(AL2="E",OR(AT2=1,AT2=3))),SickCHG*Y2,0)</f>
        <v>0</v>
      </c>
      <c r="CJ2" s="462">
        <f>IF(AT2=1,SUM(CB2:CI2),0)</f>
        <v>-308.74271999999979</v>
      </c>
      <c r="CK2" s="462" t="str">
        <f>IF(AT2=3,SUM(CB2:CI2),"")</f>
        <v/>
      </c>
      <c r="CL2" s="462" t="str">
        <f>IF(OR(N2="NG",AG2="D"),(T2+U2),"")</f>
        <v/>
      </c>
      <c r="CM2" s="462" t="str">
        <f>IF(OR(N2="NG",AG2="D"),V2,"")</f>
        <v/>
      </c>
      <c r="CN2" s="462" t="str">
        <f>E2 &amp; "-" &amp; F2</f>
        <v>0001-00</v>
      </c>
    </row>
    <row r="3" spans="1:92" ht="15" thickBot="1" x14ac:dyDescent="0.35">
      <c r="A3" s="376" t="s">
        <v>161</v>
      </c>
      <c r="B3" s="376" t="s">
        <v>162</v>
      </c>
      <c r="C3" s="376" t="s">
        <v>183</v>
      </c>
      <c r="D3" s="376" t="s">
        <v>184</v>
      </c>
      <c r="E3" s="376" t="s">
        <v>165</v>
      </c>
      <c r="F3" s="377" t="s">
        <v>166</v>
      </c>
      <c r="G3" s="376" t="s">
        <v>167</v>
      </c>
      <c r="H3" s="378"/>
      <c r="I3" s="378"/>
      <c r="J3" s="376" t="s">
        <v>185</v>
      </c>
      <c r="K3" s="376" t="s">
        <v>186</v>
      </c>
      <c r="L3" s="376" t="s">
        <v>166</v>
      </c>
      <c r="M3" s="376" t="s">
        <v>170</v>
      </c>
      <c r="N3" s="376" t="s">
        <v>171</v>
      </c>
      <c r="O3" s="379">
        <v>1</v>
      </c>
      <c r="P3" s="460">
        <v>0.33</v>
      </c>
      <c r="Q3" s="460">
        <v>0.33</v>
      </c>
      <c r="R3" s="380">
        <v>80</v>
      </c>
      <c r="S3" s="460">
        <v>0.33</v>
      </c>
      <c r="T3" s="380">
        <v>90573.37</v>
      </c>
      <c r="U3" s="380">
        <v>0</v>
      </c>
      <c r="V3" s="380">
        <v>16909.34</v>
      </c>
      <c r="W3" s="380">
        <v>38163.839999999997</v>
      </c>
      <c r="X3" s="380">
        <v>12366.85</v>
      </c>
      <c r="Y3" s="380">
        <v>38163.839999999997</v>
      </c>
      <c r="Z3" s="380">
        <v>12267.63</v>
      </c>
      <c r="AA3" s="376" t="s">
        <v>187</v>
      </c>
      <c r="AB3" s="376" t="s">
        <v>188</v>
      </c>
      <c r="AC3" s="376" t="s">
        <v>189</v>
      </c>
      <c r="AD3" s="376" t="s">
        <v>190</v>
      </c>
      <c r="AE3" s="376" t="s">
        <v>186</v>
      </c>
      <c r="AF3" s="376" t="s">
        <v>176</v>
      </c>
      <c r="AG3" s="376" t="s">
        <v>177</v>
      </c>
      <c r="AH3" s="381">
        <v>55.6</v>
      </c>
      <c r="AI3" s="381">
        <v>51910.5</v>
      </c>
      <c r="AJ3" s="376" t="s">
        <v>178</v>
      </c>
      <c r="AK3" s="376" t="s">
        <v>179</v>
      </c>
      <c r="AL3" s="376" t="s">
        <v>180</v>
      </c>
      <c r="AM3" s="376" t="s">
        <v>181</v>
      </c>
      <c r="AN3" s="376" t="s">
        <v>68</v>
      </c>
      <c r="AO3" s="379">
        <v>80</v>
      </c>
      <c r="AP3" s="460">
        <v>1</v>
      </c>
      <c r="AQ3" s="460">
        <v>0.33</v>
      </c>
      <c r="AR3" s="458" t="s">
        <v>182</v>
      </c>
      <c r="AS3" s="462">
        <f t="shared" ref="AS3:AS66" si="0">IF(((AO3/80)*AP3*P3)&gt;1,AQ3,((AO3/80)*AP3*P3))</f>
        <v>0.33</v>
      </c>
      <c r="AT3">
        <f t="shared" ref="AT3:AT66" si="1">IF(AND(M3="F",N3&lt;&gt;"NG",AS3&lt;&gt;0,AND(AR3&lt;&gt;6,AR3&lt;&gt;36,AR3&lt;&gt;56),AG3&lt;&gt;"A",OR(AG3="H",AJ3="FS")),1,IF(AND(M3="F",N3&lt;&gt;"NG",AS3&lt;&gt;0,AG3="A"),3,0))</f>
        <v>1</v>
      </c>
      <c r="AU3" s="462">
        <f>IF(AT3=0,"",IF(AND(AT3=1,M3="F",SUMIF(C2:C698,C3,AS2:AS698)&lt;=1),SUMIF(C2:C698,C3,AS2:AS698),IF(AND(AT3=1,M3="F",SUMIF(C2:C698,C3,AS2:AS698)&gt;1),1,"")))</f>
        <v>1</v>
      </c>
      <c r="AV3" s="462" t="str">
        <f>IF(AT3=0,"",IF(AND(AT3=3,M3="F",SUMIF(C2:C698,C3,AS2:AS698)&lt;=1),SUMIF(C2:C698,C3,AS2:AS698),IF(AND(AT3=3,M3="F",SUMIF(C2:C698,C3,AS2:AS698)&gt;1),1,"")))</f>
        <v/>
      </c>
      <c r="AW3" s="462">
        <f>SUMIF(C2:C698,C3,O2:O698)</f>
        <v>2</v>
      </c>
      <c r="AX3" s="462">
        <f>IF(AND(M3="F",AS3&lt;&gt;0),SUMIF(C2:C698,C3,W2:W698),0)</f>
        <v>115648</v>
      </c>
      <c r="AY3" s="462">
        <f t="shared" ref="AY3:AY66" si="2">IF(AT3=1,W3,"")</f>
        <v>38163.839999999997</v>
      </c>
      <c r="AZ3" s="462" t="str">
        <f t="shared" ref="AZ3:AZ66" si="3">IF(AT3=3,W3,"")</f>
        <v/>
      </c>
      <c r="BA3" s="462">
        <f t="shared" ref="BA3:BA66" si="4">IF(AT3=1,Y3-W3,0)</f>
        <v>0</v>
      </c>
      <c r="BB3" s="462">
        <f>IF(AND(AT3=1,AK3="E",AU3&gt;=0.75,AW3=1),Health,IF(AND(AT3=1,AK3="E",AU3&gt;=0.75),Health*P3,IF(AND(AT3=1,AK3="E",AU3&gt;=0.5,AW3=1),PTHealth,IF(AND(AT3=1,AK3="E",AU3&gt;=0.5),PTHealth*P3,0))))</f>
        <v>3844.5</v>
      </c>
      <c r="BC3" s="462">
        <f>IF(AND(AT3=3,AK3="E",AV3&gt;=0.75,AW3=1),Health,IF(AND(AT3=3,AK3="E",AV3&gt;=0.75),Health*P3,IF(AND(AT3=3,AK3="E",AV3&gt;=0.5,AW3=1),PTHealth,IF(AND(AT3=3,AK3="E",AV3&gt;=0.5),PTHealth*P3,0))))</f>
        <v>0</v>
      </c>
      <c r="BD3" s="462">
        <f>IF(AND(AT3&lt;&gt;0,AX3&gt;=MAXSSDI),SSDI*MAXSSDI*P3,IF(AT3&lt;&gt;0,SSDI*W3,0))</f>
        <v>2366.1580799999997</v>
      </c>
      <c r="BE3" s="462">
        <f>IF(AT3&lt;&gt;0,SSHI*W3,0)</f>
        <v>553.37567999999999</v>
      </c>
      <c r="BF3" s="462">
        <f>IF(AND(AT3&lt;&gt;0,AN3&lt;&gt;"NE"),VLOOKUP(AN3,Retirement_Rates,3,FALSE)*W3,0)</f>
        <v>4556.7624959999994</v>
      </c>
      <c r="BG3" s="462">
        <f>IF(AND(AT3&lt;&gt;0,AJ3&lt;&gt;"PF"),Life*W3,0)</f>
        <v>275.16128639999999</v>
      </c>
      <c r="BH3" s="462">
        <f>IF(AND(AT3&lt;&gt;0,AM3="Y"),UI*W3,0)</f>
        <v>187.00281599999997</v>
      </c>
      <c r="BI3" s="462">
        <f>IF(AND(AT3&lt;&gt;0,N3&lt;&gt;"NR"),DHR*W3,0)</f>
        <v>0</v>
      </c>
      <c r="BJ3" s="462">
        <f>IF(AT3&lt;&gt;0,WC*W3,0)</f>
        <v>583.90675199999987</v>
      </c>
      <c r="BK3" s="462">
        <f>IF(OR(AND(AT3&lt;&gt;0,AJ3&lt;&gt;"PF",AN3&lt;&gt;"NE",AG3&lt;&gt;"A"),AND(AL3="E",OR(AT3=1,AT3=3))),Sick*W3,0)</f>
        <v>0</v>
      </c>
      <c r="BL3" s="462">
        <f t="shared" ref="BL3:BL66" si="5">IF(AT3=1,SUM(BD3:BK3),0)</f>
        <v>8522.3671103999986</v>
      </c>
      <c r="BM3" s="462">
        <f t="shared" ref="BM3:BM66" si="6">IF(AT3=3,SUM(BD3:BK3),0)</f>
        <v>0</v>
      </c>
      <c r="BN3" s="462">
        <f>IF(AND(AT3=1,AK3="E",AU3&gt;=0.75,AW3=1),HealthBY,IF(AND(AT3=1,AK3="E",AU3&gt;=0.75),HealthBY*P3,IF(AND(AT3=1,AK3="E",AU3&gt;=0.5,AW3=1),PTHealthBY,IF(AND(AT3=1,AK3="E",AU3&gt;=0.5),PTHealthBY*P3,0))))</f>
        <v>3844.5</v>
      </c>
      <c r="BO3" s="462">
        <f>IF(AND(AT3=3,AK3="E",AV3&gt;=0.75,AW3=1),HealthBY,IF(AND(AT3=3,AK3="E",AV3&gt;=0.75),HealthBY*P3,IF(AND(AT3=3,AK3="E",AV3&gt;=0.5,AW3=1),PTHealthBY,IF(AND(AT3=3,AK3="E",AV3&gt;=0.5),PTHealthBY*P3,0))))</f>
        <v>0</v>
      </c>
      <c r="BP3" s="462">
        <f>IF(AND(AT3&lt;&gt;0,(AX3+BA3)&gt;=MAXSSDIBY),SSDIBY*MAXSSDIBY*P3,IF(AT3&lt;&gt;0,SSDIBY*W3,0))</f>
        <v>2366.1580799999997</v>
      </c>
      <c r="BQ3" s="462">
        <f>IF(AT3&lt;&gt;0,SSHIBY*W3,0)</f>
        <v>553.37567999999999</v>
      </c>
      <c r="BR3" s="462">
        <f>IF(AND(AT3&lt;&gt;0,AN3&lt;&gt;"NE"),VLOOKUP(AN3,Retirement_Rates,4,FALSE)*W3,0)</f>
        <v>4556.7624959999994</v>
      </c>
      <c r="BS3" s="462">
        <f>IF(AND(AT3&lt;&gt;0,AJ3&lt;&gt;"PF"),LifeBY*W3,0)</f>
        <v>275.16128639999999</v>
      </c>
      <c r="BT3" s="462">
        <f>IF(AND(AT3&lt;&gt;0,AM3="Y"),UIBY*W3,0)</f>
        <v>0</v>
      </c>
      <c r="BU3" s="462">
        <f>IF(AND(AT3&lt;&gt;0,N3&lt;&gt;"NR"),DHRBY*W3,0)</f>
        <v>0</v>
      </c>
      <c r="BV3" s="462">
        <f>IF(AT3&lt;&gt;0,WCBY*W3,0)</f>
        <v>671.683584</v>
      </c>
      <c r="BW3" s="462">
        <f>IF(OR(AND(AT3&lt;&gt;0,AJ3&lt;&gt;"PF",AN3&lt;&gt;"NE",AG3&lt;&gt;"A"),AND(AL3="E",OR(AT3=1,AT3=3))),SickBY*W3,0)</f>
        <v>0</v>
      </c>
      <c r="BX3" s="462">
        <f t="shared" ref="BX3:BX66" si="7">IF(AT3=1,SUM(BP3:BW3),0)</f>
        <v>8423.1411263999998</v>
      </c>
      <c r="BY3" s="462">
        <f t="shared" ref="BY3:BY66" si="8">IF(AT3=3,SUM(BP3:BW3),0)</f>
        <v>0</v>
      </c>
      <c r="BZ3" s="462">
        <f t="shared" ref="BZ3:BZ66" si="9">IF(AT3=1,BN3-BB3,0)</f>
        <v>0</v>
      </c>
      <c r="CA3" s="462">
        <f t="shared" ref="CA3:CA66" si="10">IF(AT3=3,BO3-BC3,0)</f>
        <v>0</v>
      </c>
      <c r="CB3" s="462">
        <f t="shared" ref="CB3:CB66" si="11">BP3-BD3</f>
        <v>0</v>
      </c>
      <c r="CC3" s="462">
        <f>IF(AT3&lt;&gt;0,SSHICHG*Y3,0)</f>
        <v>0</v>
      </c>
      <c r="CD3" s="462">
        <f>IF(AND(AT3&lt;&gt;0,AN3&lt;&gt;"NE"),VLOOKUP(AN3,Retirement_Rates,5,FALSE)*Y3,0)</f>
        <v>0</v>
      </c>
      <c r="CE3" s="462">
        <f>IF(AND(AT3&lt;&gt;0,AJ3&lt;&gt;"PF"),LifeCHG*Y3,0)</f>
        <v>0</v>
      </c>
      <c r="CF3" s="462">
        <f>IF(AND(AT3&lt;&gt;0,AM3="Y"),UICHG*Y3,0)</f>
        <v>-187.00281599999997</v>
      </c>
      <c r="CG3" s="462">
        <f>IF(AND(AT3&lt;&gt;0,N3&lt;&gt;"NR"),DHRCHG*Y3,0)</f>
        <v>0</v>
      </c>
      <c r="CH3" s="462">
        <f>IF(AT3&lt;&gt;0,WCCHG*Y3,0)</f>
        <v>87.776832000000056</v>
      </c>
      <c r="CI3" s="462">
        <f>IF(OR(AND(AT3&lt;&gt;0,AJ3&lt;&gt;"PF",AN3&lt;&gt;"NE",AG3&lt;&gt;"A"),AND(AL3="E",OR(AT3=1,AT3=3))),SickCHG*Y3,0)</f>
        <v>0</v>
      </c>
      <c r="CJ3" s="462">
        <f t="shared" ref="CJ3:CJ66" si="12">IF(AT3=1,SUM(CB3:CI3),0)</f>
        <v>-99.225983999999912</v>
      </c>
      <c r="CK3" s="462" t="str">
        <f t="shared" ref="CK3:CK66" si="13">IF(AT3=3,SUM(CB3:CI3),"")</f>
        <v/>
      </c>
      <c r="CL3" s="462" t="str">
        <f t="shared" ref="CL3:CL66" si="14">IF(OR(N3="NG",AG3="D"),(T3+U3),"")</f>
        <v/>
      </c>
      <c r="CM3" s="462" t="str">
        <f t="shared" ref="CM3:CM66" si="15">IF(OR(N3="NG",AG3="D"),V3,"")</f>
        <v/>
      </c>
      <c r="CN3" s="462" t="str">
        <f t="shared" ref="CN3:CN66" si="16">E3 &amp; "-" &amp; F3</f>
        <v>0001-00</v>
      </c>
    </row>
    <row r="4" spans="1:92" ht="15" thickBot="1" x14ac:dyDescent="0.35">
      <c r="A4" s="376" t="s">
        <v>161</v>
      </c>
      <c r="B4" s="376" t="s">
        <v>162</v>
      </c>
      <c r="C4" s="376" t="s">
        <v>165</v>
      </c>
      <c r="D4" s="376" t="s">
        <v>191</v>
      </c>
      <c r="E4" s="376" t="s">
        <v>165</v>
      </c>
      <c r="F4" s="377" t="s">
        <v>166</v>
      </c>
      <c r="G4" s="376" t="s">
        <v>167</v>
      </c>
      <c r="H4" s="378"/>
      <c r="I4" s="378"/>
      <c r="J4" s="376" t="s">
        <v>168</v>
      </c>
      <c r="K4" s="376" t="s">
        <v>192</v>
      </c>
      <c r="L4" s="376" t="s">
        <v>166</v>
      </c>
      <c r="M4" s="376" t="s">
        <v>170</v>
      </c>
      <c r="N4" s="376" t="s">
        <v>171</v>
      </c>
      <c r="O4" s="379">
        <v>1</v>
      </c>
      <c r="P4" s="460">
        <v>1</v>
      </c>
      <c r="Q4" s="460">
        <v>1</v>
      </c>
      <c r="R4" s="380">
        <v>80</v>
      </c>
      <c r="S4" s="460">
        <v>1</v>
      </c>
      <c r="T4" s="380">
        <v>109385.60000000001</v>
      </c>
      <c r="U4" s="380">
        <v>0</v>
      </c>
      <c r="V4" s="380">
        <v>33200.9</v>
      </c>
      <c r="W4" s="380">
        <v>158350.39999999999</v>
      </c>
      <c r="X4" s="380">
        <v>45271.17</v>
      </c>
      <c r="Y4" s="380">
        <v>158350.39999999999</v>
      </c>
      <c r="Z4" s="380">
        <v>45635.37</v>
      </c>
      <c r="AA4" s="376" t="s">
        <v>193</v>
      </c>
      <c r="AB4" s="376" t="s">
        <v>194</v>
      </c>
      <c r="AC4" s="376" t="s">
        <v>195</v>
      </c>
      <c r="AD4" s="376" t="s">
        <v>196</v>
      </c>
      <c r="AE4" s="376" t="s">
        <v>192</v>
      </c>
      <c r="AF4" s="376" t="s">
        <v>176</v>
      </c>
      <c r="AG4" s="376" t="s">
        <v>177</v>
      </c>
      <c r="AH4" s="381">
        <v>76.13</v>
      </c>
      <c r="AI4" s="381">
        <v>63776.9</v>
      </c>
      <c r="AJ4" s="376" t="s">
        <v>178</v>
      </c>
      <c r="AK4" s="376" t="s">
        <v>179</v>
      </c>
      <c r="AL4" s="376" t="s">
        <v>180</v>
      </c>
      <c r="AM4" s="376" t="s">
        <v>180</v>
      </c>
      <c r="AN4" s="376" t="s">
        <v>68</v>
      </c>
      <c r="AO4" s="379">
        <v>80</v>
      </c>
      <c r="AP4" s="460">
        <v>1</v>
      </c>
      <c r="AQ4" s="460">
        <v>1</v>
      </c>
      <c r="AR4" s="458" t="s">
        <v>182</v>
      </c>
      <c r="AS4" s="462">
        <f t="shared" si="0"/>
        <v>1</v>
      </c>
      <c r="AT4">
        <f t="shared" si="1"/>
        <v>1</v>
      </c>
      <c r="AU4" s="462">
        <f>IF(AT4=0,"",IF(AND(AT4=1,M4="F",SUMIF(C2:C698,C4,AS2:AS698)&lt;=1),SUMIF(C2:C698,C4,AS2:AS698),IF(AND(AT4=1,M4="F",SUMIF(C2:C698,C4,AS2:AS698)&gt;1),1,"")))</f>
        <v>1</v>
      </c>
      <c r="AV4" s="462" t="str">
        <f>IF(AT4=0,"",IF(AND(AT4=3,M4="F",SUMIF(C2:C698,C4,AS2:AS698)&lt;=1),SUMIF(C2:C698,C4,AS2:AS698),IF(AND(AT4=3,M4="F",SUMIF(C2:C698,C4,AS2:AS698)&gt;1),1,"")))</f>
        <v/>
      </c>
      <c r="AW4" s="462">
        <f>SUMIF(C2:C698,C4,O2:O698)</f>
        <v>2</v>
      </c>
      <c r="AX4" s="462">
        <f>IF(AND(M4="F",AS4&lt;&gt;0),SUMIF(C2:C698,C4,W2:W698),0)</f>
        <v>158350.39999999999</v>
      </c>
      <c r="AY4" s="462">
        <f t="shared" si="2"/>
        <v>158350.39999999999</v>
      </c>
      <c r="AZ4" s="462" t="str">
        <f t="shared" si="3"/>
        <v/>
      </c>
      <c r="BA4" s="462">
        <f t="shared" si="4"/>
        <v>0</v>
      </c>
      <c r="BB4" s="462">
        <f>IF(AND(AT4=1,AK4="E",AU4&gt;=0.75,AW4=1),Health,IF(AND(AT4=1,AK4="E",AU4&gt;=0.75),Health*P4,IF(AND(AT4=1,AK4="E",AU4&gt;=0.5,AW4=1),PTHealth,IF(AND(AT4=1,AK4="E",AU4&gt;=0.5),PTHealth*P4,0))))</f>
        <v>11650</v>
      </c>
      <c r="BC4" s="462">
        <f>IF(AND(AT4=3,AK4="E",AV4&gt;=0.75,AW4=1),Health,IF(AND(AT4=3,AK4="E",AV4&gt;=0.75),Health*P4,IF(AND(AT4=3,AK4="E",AV4&gt;=0.5,AW4=1),PTHealth,IF(AND(AT4=3,AK4="E",AV4&gt;=0.5),PTHealth*P4,0))))</f>
        <v>0</v>
      </c>
      <c r="BD4" s="462">
        <f>IF(AND(AT4&lt;&gt;0,AX4&gt;=MAXSSDI),SSDI*MAXSSDI*P4,IF(AT4&lt;&gt;0,SSDI*W4,0))</f>
        <v>8537.4</v>
      </c>
      <c r="BE4" s="462">
        <f>IF(AT4&lt;&gt;0,SSHI*W4,0)</f>
        <v>2296.0808000000002</v>
      </c>
      <c r="BF4" s="462">
        <f>IF(AND(AT4&lt;&gt;0,AN4&lt;&gt;"NE"),VLOOKUP(AN4,Retirement_Rates,3,FALSE)*W4,0)</f>
        <v>18907.037759999999</v>
      </c>
      <c r="BG4" s="462">
        <f>IF(AND(AT4&lt;&gt;0,AJ4&lt;&gt;"PF"),Life*W4,0)</f>
        <v>1141.7063840000001</v>
      </c>
      <c r="BH4" s="462">
        <f>IF(AND(AT4&lt;&gt;0,AM4="Y"),UI*W4,0)</f>
        <v>0</v>
      </c>
      <c r="BI4" s="462">
        <f>IF(AND(AT4&lt;&gt;0,N4&lt;&gt;"NR"),DHR*W4,0)</f>
        <v>0</v>
      </c>
      <c r="BJ4" s="462">
        <f>IF(AT4&lt;&gt;0,WC*W4,0)</f>
        <v>2422.7611199999997</v>
      </c>
      <c r="BK4" s="462">
        <f>IF(OR(AND(AT4&lt;&gt;0,AJ4&lt;&gt;"PF",AN4&lt;&gt;"NE",AG4&lt;&gt;"A"),AND(AL4="E",OR(AT4=1,AT4=3))),Sick*W4,0)</f>
        <v>0</v>
      </c>
      <c r="BL4" s="462">
        <f t="shared" si="5"/>
        <v>33304.986063999997</v>
      </c>
      <c r="BM4" s="462">
        <f t="shared" si="6"/>
        <v>0</v>
      </c>
      <c r="BN4" s="462">
        <f>IF(AND(AT4=1,AK4="E",AU4&gt;=0.75,AW4=1),HealthBY,IF(AND(AT4=1,AK4="E",AU4&gt;=0.75),HealthBY*P4,IF(AND(AT4=1,AK4="E",AU4&gt;=0.5,AW4=1),PTHealthBY,IF(AND(AT4=1,AK4="E",AU4&gt;=0.5),PTHealthBY*P4,0))))</f>
        <v>11650</v>
      </c>
      <c r="BO4" s="462">
        <f>IF(AND(AT4=3,AK4="E",AV4&gt;=0.75,AW4=1),HealthBY,IF(AND(AT4=3,AK4="E",AV4&gt;=0.75),HealthBY*P4,IF(AND(AT4=3,AK4="E",AV4&gt;=0.5,AW4=1),PTHealthBY,IF(AND(AT4=3,AK4="E",AV4&gt;=0.5),PTHealthBY*P4,0))))</f>
        <v>0</v>
      </c>
      <c r="BP4" s="462">
        <f>IF(AND(AT4&lt;&gt;0,(AX4+BA4)&gt;=MAXSSDIBY),SSDIBY*MAXSSDIBY*P4,IF(AT4&lt;&gt;0,SSDIBY*W4,0))</f>
        <v>8853.6</v>
      </c>
      <c r="BQ4" s="462">
        <f>IF(AT4&lt;&gt;0,SSHIBY*W4,0)</f>
        <v>2296.0808000000002</v>
      </c>
      <c r="BR4" s="462">
        <f>IF(AND(AT4&lt;&gt;0,AN4&lt;&gt;"NE"),VLOOKUP(AN4,Retirement_Rates,4,FALSE)*W4,0)</f>
        <v>18907.037759999999</v>
      </c>
      <c r="BS4" s="462">
        <f>IF(AND(AT4&lt;&gt;0,AJ4&lt;&gt;"PF"),LifeBY*W4,0)</f>
        <v>1141.7063840000001</v>
      </c>
      <c r="BT4" s="462">
        <f>IF(AND(AT4&lt;&gt;0,AM4="Y"),UIBY*W4,0)</f>
        <v>0</v>
      </c>
      <c r="BU4" s="462">
        <f>IF(AND(AT4&lt;&gt;0,N4&lt;&gt;"NR"),DHRBY*W4,0)</f>
        <v>0</v>
      </c>
      <c r="BV4" s="462">
        <f>IF(AT4&lt;&gt;0,WCBY*W4,0)</f>
        <v>2786.96704</v>
      </c>
      <c r="BW4" s="462">
        <f>IF(OR(AND(AT4&lt;&gt;0,AJ4&lt;&gt;"PF",AN4&lt;&gt;"NE",AG4&lt;&gt;"A"),AND(AL4="E",OR(AT4=1,AT4=3))),SickBY*W4,0)</f>
        <v>0</v>
      </c>
      <c r="BX4" s="462">
        <f t="shared" si="7"/>
        <v>33985.391984000002</v>
      </c>
      <c r="BY4" s="462">
        <f t="shared" si="8"/>
        <v>0</v>
      </c>
      <c r="BZ4" s="462">
        <f t="shared" si="9"/>
        <v>0</v>
      </c>
      <c r="CA4" s="462">
        <f t="shared" si="10"/>
        <v>0</v>
      </c>
      <c r="CB4" s="462">
        <f t="shared" si="11"/>
        <v>316.20000000000073</v>
      </c>
      <c r="CC4" s="462">
        <f>IF(AT4&lt;&gt;0,SSHICHG*Y4,0)</f>
        <v>0</v>
      </c>
      <c r="CD4" s="462">
        <f>IF(AND(AT4&lt;&gt;0,AN4&lt;&gt;"NE"),VLOOKUP(AN4,Retirement_Rates,5,FALSE)*Y4,0)</f>
        <v>0</v>
      </c>
      <c r="CE4" s="462">
        <f>IF(AND(AT4&lt;&gt;0,AJ4&lt;&gt;"PF"),LifeCHG*Y4,0)</f>
        <v>0</v>
      </c>
      <c r="CF4" s="462">
        <f>IF(AND(AT4&lt;&gt;0,AM4="Y"),UICHG*Y4,0)</f>
        <v>0</v>
      </c>
      <c r="CG4" s="462">
        <f>IF(AND(AT4&lt;&gt;0,N4&lt;&gt;"NR"),DHRCHG*Y4,0)</f>
        <v>0</v>
      </c>
      <c r="CH4" s="462">
        <f>IF(AT4&lt;&gt;0,WCCHG*Y4,0)</f>
        <v>364.20592000000028</v>
      </c>
      <c r="CI4" s="462">
        <f>IF(OR(AND(AT4&lt;&gt;0,AJ4&lt;&gt;"PF",AN4&lt;&gt;"NE",AG4&lt;&gt;"A"),AND(AL4="E",OR(AT4=1,AT4=3))),SickCHG*Y4,0)</f>
        <v>0</v>
      </c>
      <c r="CJ4" s="462">
        <f t="shared" si="12"/>
        <v>680.40592000000106</v>
      </c>
      <c r="CK4" s="462" t="str">
        <f t="shared" si="13"/>
        <v/>
      </c>
      <c r="CL4" s="462" t="str">
        <f t="shared" si="14"/>
        <v/>
      </c>
      <c r="CM4" s="462" t="str">
        <f t="shared" si="15"/>
        <v/>
      </c>
      <c r="CN4" s="462" t="str">
        <f t="shared" si="16"/>
        <v>0001-00</v>
      </c>
    </row>
    <row r="5" spans="1:92" ht="15" thickBot="1" x14ac:dyDescent="0.35">
      <c r="A5" s="376" t="s">
        <v>161</v>
      </c>
      <c r="B5" s="376" t="s">
        <v>162</v>
      </c>
      <c r="C5" s="376" t="s">
        <v>197</v>
      </c>
      <c r="D5" s="376" t="s">
        <v>198</v>
      </c>
      <c r="E5" s="376" t="s">
        <v>165</v>
      </c>
      <c r="F5" s="377" t="s">
        <v>166</v>
      </c>
      <c r="G5" s="376" t="s">
        <v>167</v>
      </c>
      <c r="H5" s="378"/>
      <c r="I5" s="378"/>
      <c r="J5" s="376" t="s">
        <v>185</v>
      </c>
      <c r="K5" s="376" t="s">
        <v>199</v>
      </c>
      <c r="L5" s="376" t="s">
        <v>200</v>
      </c>
      <c r="M5" s="376" t="s">
        <v>201</v>
      </c>
      <c r="N5" s="376" t="s">
        <v>202</v>
      </c>
      <c r="O5" s="379">
        <v>0</v>
      </c>
      <c r="P5" s="460">
        <v>0.33</v>
      </c>
      <c r="Q5" s="460">
        <v>0.33</v>
      </c>
      <c r="R5" s="380">
        <v>80</v>
      </c>
      <c r="S5" s="460">
        <v>0.33</v>
      </c>
      <c r="T5" s="380">
        <v>13617.63</v>
      </c>
      <c r="U5" s="380">
        <v>0</v>
      </c>
      <c r="V5" s="380">
        <v>6173.89</v>
      </c>
      <c r="W5" s="380">
        <v>15643.05</v>
      </c>
      <c r="X5" s="380">
        <v>6851.65</v>
      </c>
      <c r="Y5" s="380">
        <v>15643.05</v>
      </c>
      <c r="Z5" s="380">
        <v>6773.44</v>
      </c>
      <c r="AA5" s="378"/>
      <c r="AB5" s="376" t="s">
        <v>45</v>
      </c>
      <c r="AC5" s="376" t="s">
        <v>45</v>
      </c>
      <c r="AD5" s="378"/>
      <c r="AE5" s="378"/>
      <c r="AF5" s="378"/>
      <c r="AG5" s="378"/>
      <c r="AH5" s="379">
        <v>0</v>
      </c>
      <c r="AI5" s="379">
        <v>0</v>
      </c>
      <c r="AJ5" s="378"/>
      <c r="AK5" s="378"/>
      <c r="AL5" s="376" t="s">
        <v>180</v>
      </c>
      <c r="AM5" s="378"/>
      <c r="AN5" s="378"/>
      <c r="AO5" s="379">
        <v>0</v>
      </c>
      <c r="AP5" s="460">
        <v>0</v>
      </c>
      <c r="AQ5" s="460">
        <v>0</v>
      </c>
      <c r="AR5" s="459"/>
      <c r="AS5" s="462">
        <f t="shared" si="0"/>
        <v>0</v>
      </c>
      <c r="AT5">
        <f t="shared" si="1"/>
        <v>0</v>
      </c>
      <c r="AU5" s="462" t="str">
        <f>IF(AT5=0,"",IF(AND(AT5=1,M5="F",SUMIF(C2:C698,C5,AS2:AS698)&lt;=1),SUMIF(C2:C698,C5,AS2:AS698),IF(AND(AT5=1,M5="F",SUMIF(C2:C698,C5,AS2:AS698)&gt;1),1,"")))</f>
        <v/>
      </c>
      <c r="AV5" s="462" t="str">
        <f>IF(AT5=0,"",IF(AND(AT5=3,M5="F",SUMIF(C2:C698,C5,AS2:AS698)&lt;=1),SUMIF(C2:C698,C5,AS2:AS698),IF(AND(AT5=3,M5="F",SUMIF(C2:C698,C5,AS2:AS698)&gt;1),1,"")))</f>
        <v/>
      </c>
      <c r="AW5" s="462">
        <f>SUMIF(C2:C698,C5,O2:O698)</f>
        <v>0</v>
      </c>
      <c r="AX5" s="462">
        <f>IF(AND(M5="F",AS5&lt;&gt;0),SUMIF(C2:C698,C5,W2:W698),0)</f>
        <v>0</v>
      </c>
      <c r="AY5" s="462" t="str">
        <f t="shared" si="2"/>
        <v/>
      </c>
      <c r="AZ5" s="462" t="str">
        <f t="shared" si="3"/>
        <v/>
      </c>
      <c r="BA5" s="462">
        <f t="shared" si="4"/>
        <v>0</v>
      </c>
      <c r="BB5" s="462">
        <f>IF(AND(AT5=1,AK5="E",AU5&gt;=0.75,AW5=1),Health,IF(AND(AT5=1,AK5="E",AU5&gt;=0.75),Health*P5,IF(AND(AT5=1,AK5="E",AU5&gt;=0.5,AW5=1),PTHealth,IF(AND(AT5=1,AK5="E",AU5&gt;=0.5),PTHealth*P5,0))))</f>
        <v>0</v>
      </c>
      <c r="BC5" s="462">
        <f>IF(AND(AT5=3,AK5="E",AV5&gt;=0.75,AW5=1),Health,IF(AND(AT5=3,AK5="E",AV5&gt;=0.75),Health*P5,IF(AND(AT5=3,AK5="E",AV5&gt;=0.5,AW5=1),PTHealth,IF(AND(AT5=3,AK5="E",AV5&gt;=0.5),PTHealth*P5,0))))</f>
        <v>0</v>
      </c>
      <c r="BD5" s="462">
        <f>IF(AND(AT5&lt;&gt;0,AX5&gt;=MAXSSDI),SSDI*MAXSSDI*P5,IF(AT5&lt;&gt;0,SSDI*W5,0))</f>
        <v>0</v>
      </c>
      <c r="BE5" s="462">
        <f>IF(AT5&lt;&gt;0,SSHI*W5,0)</f>
        <v>0</v>
      </c>
      <c r="BF5" s="462">
        <f>IF(AND(AT5&lt;&gt;0,AN5&lt;&gt;"NE"),VLOOKUP(AN5,Retirement_Rates,3,FALSE)*W5,0)</f>
        <v>0</v>
      </c>
      <c r="BG5" s="462">
        <f>IF(AND(AT5&lt;&gt;0,AJ5&lt;&gt;"PF"),Life*W5,0)</f>
        <v>0</v>
      </c>
      <c r="BH5" s="462">
        <f>IF(AND(AT5&lt;&gt;0,AM5="Y"),UI*W5,0)</f>
        <v>0</v>
      </c>
      <c r="BI5" s="462">
        <f>IF(AND(AT5&lt;&gt;0,N5&lt;&gt;"NR"),DHR*W5,0)</f>
        <v>0</v>
      </c>
      <c r="BJ5" s="462">
        <f>IF(AT5&lt;&gt;0,WC*W5,0)</f>
        <v>0</v>
      </c>
      <c r="BK5" s="462">
        <f>IF(OR(AND(AT5&lt;&gt;0,AJ5&lt;&gt;"PF",AN5&lt;&gt;"NE",AG5&lt;&gt;"A"),AND(AL5="E",OR(AT5=1,AT5=3))),Sick*W5,0)</f>
        <v>0</v>
      </c>
      <c r="BL5" s="462">
        <f t="shared" si="5"/>
        <v>0</v>
      </c>
      <c r="BM5" s="462">
        <f t="shared" si="6"/>
        <v>0</v>
      </c>
      <c r="BN5" s="462">
        <f>IF(AND(AT5=1,AK5="E",AU5&gt;=0.75,AW5=1),HealthBY,IF(AND(AT5=1,AK5="E",AU5&gt;=0.75),HealthBY*P5,IF(AND(AT5=1,AK5="E",AU5&gt;=0.5,AW5=1),PTHealthBY,IF(AND(AT5=1,AK5="E",AU5&gt;=0.5),PTHealthBY*P5,0))))</f>
        <v>0</v>
      </c>
      <c r="BO5" s="462">
        <f>IF(AND(AT5=3,AK5="E",AV5&gt;=0.75,AW5=1),HealthBY,IF(AND(AT5=3,AK5="E",AV5&gt;=0.75),HealthBY*P5,IF(AND(AT5=3,AK5="E",AV5&gt;=0.5,AW5=1),PTHealthBY,IF(AND(AT5=3,AK5="E",AV5&gt;=0.5),PTHealthBY*P5,0))))</f>
        <v>0</v>
      </c>
      <c r="BP5" s="462">
        <f>IF(AND(AT5&lt;&gt;0,(AX5+BA5)&gt;=MAXSSDIBY),SSDIBY*MAXSSDIBY*P5,IF(AT5&lt;&gt;0,SSDIBY*W5,0))</f>
        <v>0</v>
      </c>
      <c r="BQ5" s="462">
        <f>IF(AT5&lt;&gt;0,SSHIBY*W5,0)</f>
        <v>0</v>
      </c>
      <c r="BR5" s="462">
        <f>IF(AND(AT5&lt;&gt;0,AN5&lt;&gt;"NE"),VLOOKUP(AN5,Retirement_Rates,4,FALSE)*W5,0)</f>
        <v>0</v>
      </c>
      <c r="BS5" s="462">
        <f>IF(AND(AT5&lt;&gt;0,AJ5&lt;&gt;"PF"),LifeBY*W5,0)</f>
        <v>0</v>
      </c>
      <c r="BT5" s="462">
        <f>IF(AND(AT5&lt;&gt;0,AM5="Y"),UIBY*W5,0)</f>
        <v>0</v>
      </c>
      <c r="BU5" s="462">
        <f>IF(AND(AT5&lt;&gt;0,N5&lt;&gt;"NR"),DHRBY*W5,0)</f>
        <v>0</v>
      </c>
      <c r="BV5" s="462">
        <f>IF(AT5&lt;&gt;0,WCBY*W5,0)</f>
        <v>0</v>
      </c>
      <c r="BW5" s="462">
        <f>IF(OR(AND(AT5&lt;&gt;0,AJ5&lt;&gt;"PF",AN5&lt;&gt;"NE",AG5&lt;&gt;"A"),AND(AL5="E",OR(AT5=1,AT5=3))),SickBY*W5,0)</f>
        <v>0</v>
      </c>
      <c r="BX5" s="462">
        <f t="shared" si="7"/>
        <v>0</v>
      </c>
      <c r="BY5" s="462">
        <f t="shared" si="8"/>
        <v>0</v>
      </c>
      <c r="BZ5" s="462">
        <f t="shared" si="9"/>
        <v>0</v>
      </c>
      <c r="CA5" s="462">
        <f t="shared" si="10"/>
        <v>0</v>
      </c>
      <c r="CB5" s="462">
        <f t="shared" si="11"/>
        <v>0</v>
      </c>
      <c r="CC5" s="462">
        <f>IF(AT5&lt;&gt;0,SSHICHG*Y5,0)</f>
        <v>0</v>
      </c>
      <c r="CD5" s="462">
        <f>IF(AND(AT5&lt;&gt;0,AN5&lt;&gt;"NE"),VLOOKUP(AN5,Retirement_Rates,5,FALSE)*Y5,0)</f>
        <v>0</v>
      </c>
      <c r="CE5" s="462">
        <f>IF(AND(AT5&lt;&gt;0,AJ5&lt;&gt;"PF"),LifeCHG*Y5,0)</f>
        <v>0</v>
      </c>
      <c r="CF5" s="462">
        <f>IF(AND(AT5&lt;&gt;0,AM5="Y"),UICHG*Y5,0)</f>
        <v>0</v>
      </c>
      <c r="CG5" s="462">
        <f>IF(AND(AT5&lt;&gt;0,N5&lt;&gt;"NR"),DHRCHG*Y5,0)</f>
        <v>0</v>
      </c>
      <c r="CH5" s="462">
        <f>IF(AT5&lt;&gt;0,WCCHG*Y5,0)</f>
        <v>0</v>
      </c>
      <c r="CI5" s="462">
        <f>IF(OR(AND(AT5&lt;&gt;0,AJ5&lt;&gt;"PF",AN5&lt;&gt;"NE",AG5&lt;&gt;"A"),AND(AL5="E",OR(AT5=1,AT5=3))),SickCHG*Y5,0)</f>
        <v>0</v>
      </c>
      <c r="CJ5" s="462">
        <f t="shared" si="12"/>
        <v>0</v>
      </c>
      <c r="CK5" s="462" t="str">
        <f t="shared" si="13"/>
        <v/>
      </c>
      <c r="CL5" s="462" t="str">
        <f t="shared" si="14"/>
        <v/>
      </c>
      <c r="CM5" s="462" t="str">
        <f t="shared" si="15"/>
        <v/>
      </c>
      <c r="CN5" s="462" t="str">
        <f t="shared" si="16"/>
        <v>0001-00</v>
      </c>
    </row>
    <row r="6" spans="1:92" ht="15" thickBot="1" x14ac:dyDescent="0.35">
      <c r="A6" s="376" t="s">
        <v>161</v>
      </c>
      <c r="B6" s="376" t="s">
        <v>162</v>
      </c>
      <c r="C6" s="376" t="s">
        <v>203</v>
      </c>
      <c r="D6" s="376" t="s">
        <v>204</v>
      </c>
      <c r="E6" s="376" t="s">
        <v>165</v>
      </c>
      <c r="F6" s="377" t="s">
        <v>166</v>
      </c>
      <c r="G6" s="376" t="s">
        <v>167</v>
      </c>
      <c r="H6" s="378"/>
      <c r="I6" s="378"/>
      <c r="J6" s="376" t="s">
        <v>185</v>
      </c>
      <c r="K6" s="376" t="s">
        <v>205</v>
      </c>
      <c r="L6" s="376" t="s">
        <v>200</v>
      </c>
      <c r="M6" s="376" t="s">
        <v>170</v>
      </c>
      <c r="N6" s="376" t="s">
        <v>202</v>
      </c>
      <c r="O6" s="379">
        <v>1</v>
      </c>
      <c r="P6" s="460">
        <v>0.33</v>
      </c>
      <c r="Q6" s="460">
        <v>0.33</v>
      </c>
      <c r="R6" s="380">
        <v>80</v>
      </c>
      <c r="S6" s="460">
        <v>0.33</v>
      </c>
      <c r="T6" s="380">
        <v>12038.38</v>
      </c>
      <c r="U6" s="380">
        <v>0</v>
      </c>
      <c r="V6" s="380">
        <v>5873.14</v>
      </c>
      <c r="W6" s="380">
        <v>15444</v>
      </c>
      <c r="X6" s="380">
        <v>7340.55</v>
      </c>
      <c r="Y6" s="380">
        <v>15444</v>
      </c>
      <c r="Z6" s="380">
        <v>7300.39</v>
      </c>
      <c r="AA6" s="376" t="s">
        <v>206</v>
      </c>
      <c r="AB6" s="376" t="s">
        <v>207</v>
      </c>
      <c r="AC6" s="376" t="s">
        <v>208</v>
      </c>
      <c r="AD6" s="376" t="s">
        <v>209</v>
      </c>
      <c r="AE6" s="376" t="s">
        <v>205</v>
      </c>
      <c r="AF6" s="376" t="s">
        <v>210</v>
      </c>
      <c r="AG6" s="376" t="s">
        <v>177</v>
      </c>
      <c r="AH6" s="381">
        <v>22.5</v>
      </c>
      <c r="AI6" s="381">
        <v>2494.5</v>
      </c>
      <c r="AJ6" s="376" t="s">
        <v>178</v>
      </c>
      <c r="AK6" s="376" t="s">
        <v>179</v>
      </c>
      <c r="AL6" s="376" t="s">
        <v>180</v>
      </c>
      <c r="AM6" s="376" t="s">
        <v>181</v>
      </c>
      <c r="AN6" s="376" t="s">
        <v>68</v>
      </c>
      <c r="AO6" s="379">
        <v>80</v>
      </c>
      <c r="AP6" s="460">
        <v>1</v>
      </c>
      <c r="AQ6" s="460">
        <v>0.33</v>
      </c>
      <c r="AR6" s="458" t="s">
        <v>182</v>
      </c>
      <c r="AS6" s="462">
        <f t="shared" si="0"/>
        <v>0.33</v>
      </c>
      <c r="AT6">
        <f t="shared" si="1"/>
        <v>1</v>
      </c>
      <c r="AU6" s="462">
        <f>IF(AT6=0,"",IF(AND(AT6=1,M6="F",SUMIF(C2:C698,C6,AS2:AS698)&lt;=1),SUMIF(C2:C698,C6,AS2:AS698),IF(AND(AT6=1,M6="F",SUMIF(C2:C698,C6,AS2:AS698)&gt;1),1,"")))</f>
        <v>1</v>
      </c>
      <c r="AV6" s="462" t="str">
        <f>IF(AT6=0,"",IF(AND(AT6=3,M6="F",SUMIF(C2:C698,C6,AS2:AS698)&lt;=1),SUMIF(C2:C698,C6,AS2:AS698),IF(AND(AT6=3,M6="F",SUMIF(C2:C698,C6,AS2:AS698)&gt;1),1,"")))</f>
        <v/>
      </c>
      <c r="AW6" s="462">
        <f>SUMIF(C2:C698,C6,O2:O698)</f>
        <v>2</v>
      </c>
      <c r="AX6" s="462">
        <f>IF(AND(M6="F",AS6&lt;&gt;0),SUMIF(C2:C698,C6,W2:W698),0)</f>
        <v>46800</v>
      </c>
      <c r="AY6" s="462">
        <f t="shared" si="2"/>
        <v>15444</v>
      </c>
      <c r="AZ6" s="462" t="str">
        <f t="shared" si="3"/>
        <v/>
      </c>
      <c r="BA6" s="462">
        <f t="shared" si="4"/>
        <v>0</v>
      </c>
      <c r="BB6" s="462">
        <f>IF(AND(AT6=1,AK6="E",AU6&gt;=0.75,AW6=1),Health,IF(AND(AT6=1,AK6="E",AU6&gt;=0.75),Health*P6,IF(AND(AT6=1,AK6="E",AU6&gt;=0.5,AW6=1),PTHealth,IF(AND(AT6=1,AK6="E",AU6&gt;=0.5),PTHealth*P6,0))))</f>
        <v>3844.5</v>
      </c>
      <c r="BC6" s="462">
        <f>IF(AND(AT6=3,AK6="E",AV6&gt;=0.75,AW6=1),Health,IF(AND(AT6=3,AK6="E",AV6&gt;=0.75),Health*P6,IF(AND(AT6=3,AK6="E",AV6&gt;=0.5,AW6=1),PTHealth,IF(AND(AT6=3,AK6="E",AV6&gt;=0.5),PTHealth*P6,0))))</f>
        <v>0</v>
      </c>
      <c r="BD6" s="462">
        <f>IF(AND(AT6&lt;&gt;0,AX6&gt;=MAXSSDI),SSDI*MAXSSDI*P6,IF(AT6&lt;&gt;0,SSDI*W6,0))</f>
        <v>957.52800000000002</v>
      </c>
      <c r="BE6" s="462">
        <f>IF(AT6&lt;&gt;0,SSHI*W6,0)</f>
        <v>223.93800000000002</v>
      </c>
      <c r="BF6" s="462">
        <f>IF(AND(AT6&lt;&gt;0,AN6&lt;&gt;"NE"),VLOOKUP(AN6,Retirement_Rates,3,FALSE)*W6,0)</f>
        <v>1844.0136</v>
      </c>
      <c r="BG6" s="462">
        <f>IF(AND(AT6&lt;&gt;0,AJ6&lt;&gt;"PF"),Life*W6,0)</f>
        <v>111.35124</v>
      </c>
      <c r="BH6" s="462">
        <f>IF(AND(AT6&lt;&gt;0,AM6="Y"),UI*W6,0)</f>
        <v>75.675600000000003</v>
      </c>
      <c r="BI6" s="462">
        <f>IF(AND(AT6&lt;&gt;0,N6&lt;&gt;"NR"),DHR*W6,0)</f>
        <v>47.25864</v>
      </c>
      <c r="BJ6" s="462">
        <f>IF(AT6&lt;&gt;0,WC*W6,0)</f>
        <v>236.29319999999998</v>
      </c>
      <c r="BK6" s="462">
        <f>IF(OR(AND(AT6&lt;&gt;0,AJ6&lt;&gt;"PF",AN6&lt;&gt;"NE",AG6&lt;&gt;"A"),AND(AL6="E",OR(AT6=1,AT6=3))),Sick*W6,0)</f>
        <v>0</v>
      </c>
      <c r="BL6" s="462">
        <f t="shared" si="5"/>
        <v>3496.0582800000002</v>
      </c>
      <c r="BM6" s="462">
        <f t="shared" si="6"/>
        <v>0</v>
      </c>
      <c r="BN6" s="462">
        <f>IF(AND(AT6=1,AK6="E",AU6&gt;=0.75,AW6=1),HealthBY,IF(AND(AT6=1,AK6="E",AU6&gt;=0.75),HealthBY*P6,IF(AND(AT6=1,AK6="E",AU6&gt;=0.5,AW6=1),PTHealthBY,IF(AND(AT6=1,AK6="E",AU6&gt;=0.5),PTHealthBY*P6,0))))</f>
        <v>3844.5</v>
      </c>
      <c r="BO6" s="462">
        <f>IF(AND(AT6=3,AK6="E",AV6&gt;=0.75,AW6=1),HealthBY,IF(AND(AT6=3,AK6="E",AV6&gt;=0.75),HealthBY*P6,IF(AND(AT6=3,AK6="E",AV6&gt;=0.5,AW6=1),PTHealthBY,IF(AND(AT6=3,AK6="E",AV6&gt;=0.5),PTHealthBY*P6,0))))</f>
        <v>0</v>
      </c>
      <c r="BP6" s="462">
        <f>IF(AND(AT6&lt;&gt;0,(AX6+BA6)&gt;=MAXSSDIBY),SSDIBY*MAXSSDIBY*P6,IF(AT6&lt;&gt;0,SSDIBY*W6,0))</f>
        <v>957.52800000000002</v>
      </c>
      <c r="BQ6" s="462">
        <f>IF(AT6&lt;&gt;0,SSHIBY*W6,0)</f>
        <v>223.93800000000002</v>
      </c>
      <c r="BR6" s="462">
        <f>IF(AND(AT6&lt;&gt;0,AN6&lt;&gt;"NE"),VLOOKUP(AN6,Retirement_Rates,4,FALSE)*W6,0)</f>
        <v>1844.0136</v>
      </c>
      <c r="BS6" s="462">
        <f>IF(AND(AT6&lt;&gt;0,AJ6&lt;&gt;"PF"),LifeBY*W6,0)</f>
        <v>111.35124</v>
      </c>
      <c r="BT6" s="462">
        <f>IF(AND(AT6&lt;&gt;0,AM6="Y"),UIBY*W6,0)</f>
        <v>0</v>
      </c>
      <c r="BU6" s="462">
        <f>IF(AND(AT6&lt;&gt;0,N6&lt;&gt;"NR"),DHRBY*W6,0)</f>
        <v>47.25864</v>
      </c>
      <c r="BV6" s="462">
        <f>IF(AT6&lt;&gt;0,WCBY*W6,0)</f>
        <v>271.81440000000003</v>
      </c>
      <c r="BW6" s="462">
        <f>IF(OR(AND(AT6&lt;&gt;0,AJ6&lt;&gt;"PF",AN6&lt;&gt;"NE",AG6&lt;&gt;"A"),AND(AL6="E",OR(AT6=1,AT6=3))),SickBY*W6,0)</f>
        <v>0</v>
      </c>
      <c r="BX6" s="462">
        <f t="shared" si="7"/>
        <v>3455.9038800000003</v>
      </c>
      <c r="BY6" s="462">
        <f t="shared" si="8"/>
        <v>0</v>
      </c>
      <c r="BZ6" s="462">
        <f t="shared" si="9"/>
        <v>0</v>
      </c>
      <c r="CA6" s="462">
        <f t="shared" si="10"/>
        <v>0</v>
      </c>
      <c r="CB6" s="462">
        <f t="shared" si="11"/>
        <v>0</v>
      </c>
      <c r="CC6" s="462">
        <f>IF(AT6&lt;&gt;0,SSHICHG*Y6,0)</f>
        <v>0</v>
      </c>
      <c r="CD6" s="462">
        <f>IF(AND(AT6&lt;&gt;0,AN6&lt;&gt;"NE"),VLOOKUP(AN6,Retirement_Rates,5,FALSE)*Y6,0)</f>
        <v>0</v>
      </c>
      <c r="CE6" s="462">
        <f>IF(AND(AT6&lt;&gt;0,AJ6&lt;&gt;"PF"),LifeCHG*Y6,0)</f>
        <v>0</v>
      </c>
      <c r="CF6" s="462">
        <f>IF(AND(AT6&lt;&gt;0,AM6="Y"),UICHG*Y6,0)</f>
        <v>-75.675600000000003</v>
      </c>
      <c r="CG6" s="462">
        <f>IF(AND(AT6&lt;&gt;0,N6&lt;&gt;"NR"),DHRCHG*Y6,0)</f>
        <v>0</v>
      </c>
      <c r="CH6" s="462">
        <f>IF(AT6&lt;&gt;0,WCCHG*Y6,0)</f>
        <v>35.521200000000029</v>
      </c>
      <c r="CI6" s="462">
        <f>IF(OR(AND(AT6&lt;&gt;0,AJ6&lt;&gt;"PF",AN6&lt;&gt;"NE",AG6&lt;&gt;"A"),AND(AL6="E",OR(AT6=1,AT6=3))),SickCHG*Y6,0)</f>
        <v>0</v>
      </c>
      <c r="CJ6" s="462">
        <f t="shared" si="12"/>
        <v>-40.154399999999974</v>
      </c>
      <c r="CK6" s="462" t="str">
        <f t="shared" si="13"/>
        <v/>
      </c>
      <c r="CL6" s="462" t="str">
        <f t="shared" si="14"/>
        <v/>
      </c>
      <c r="CM6" s="462" t="str">
        <f t="shared" si="15"/>
        <v/>
      </c>
      <c r="CN6" s="462" t="str">
        <f t="shared" si="16"/>
        <v>0001-00</v>
      </c>
    </row>
    <row r="7" spans="1:92" ht="15" thickBot="1" x14ac:dyDescent="0.35">
      <c r="A7" s="376" t="s">
        <v>161</v>
      </c>
      <c r="B7" s="376" t="s">
        <v>162</v>
      </c>
      <c r="C7" s="376" t="s">
        <v>211</v>
      </c>
      <c r="D7" s="376" t="s">
        <v>198</v>
      </c>
      <c r="E7" s="376" t="s">
        <v>165</v>
      </c>
      <c r="F7" s="377" t="s">
        <v>166</v>
      </c>
      <c r="G7" s="376" t="s">
        <v>167</v>
      </c>
      <c r="H7" s="378"/>
      <c r="I7" s="378"/>
      <c r="J7" s="376" t="s">
        <v>185</v>
      </c>
      <c r="K7" s="376" t="s">
        <v>199</v>
      </c>
      <c r="L7" s="376" t="s">
        <v>200</v>
      </c>
      <c r="M7" s="376" t="s">
        <v>170</v>
      </c>
      <c r="N7" s="376" t="s">
        <v>202</v>
      </c>
      <c r="O7" s="379">
        <v>1</v>
      </c>
      <c r="P7" s="460">
        <v>0.33</v>
      </c>
      <c r="Q7" s="460">
        <v>0.33</v>
      </c>
      <c r="R7" s="380">
        <v>80</v>
      </c>
      <c r="S7" s="460">
        <v>0.33</v>
      </c>
      <c r="T7" s="380">
        <v>14533.26</v>
      </c>
      <c r="U7" s="380">
        <v>0</v>
      </c>
      <c r="V7" s="380">
        <v>6826.51</v>
      </c>
      <c r="W7" s="380">
        <v>15444</v>
      </c>
      <c r="X7" s="380">
        <v>7340.55</v>
      </c>
      <c r="Y7" s="380">
        <v>15444</v>
      </c>
      <c r="Z7" s="380">
        <v>7300.39</v>
      </c>
      <c r="AA7" s="376" t="s">
        <v>212</v>
      </c>
      <c r="AB7" s="376" t="s">
        <v>213</v>
      </c>
      <c r="AC7" s="376" t="s">
        <v>214</v>
      </c>
      <c r="AD7" s="376" t="s">
        <v>215</v>
      </c>
      <c r="AE7" s="376" t="s">
        <v>199</v>
      </c>
      <c r="AF7" s="376" t="s">
        <v>210</v>
      </c>
      <c r="AG7" s="376" t="s">
        <v>177</v>
      </c>
      <c r="AH7" s="381">
        <v>22.5</v>
      </c>
      <c r="AI7" s="379">
        <v>3768</v>
      </c>
      <c r="AJ7" s="376" t="s">
        <v>178</v>
      </c>
      <c r="AK7" s="376" t="s">
        <v>179</v>
      </c>
      <c r="AL7" s="376" t="s">
        <v>180</v>
      </c>
      <c r="AM7" s="376" t="s">
        <v>181</v>
      </c>
      <c r="AN7" s="376" t="s">
        <v>68</v>
      </c>
      <c r="AO7" s="379">
        <v>80</v>
      </c>
      <c r="AP7" s="460">
        <v>1</v>
      </c>
      <c r="AQ7" s="460">
        <v>0.33</v>
      </c>
      <c r="AR7" s="458" t="s">
        <v>182</v>
      </c>
      <c r="AS7" s="462">
        <f t="shared" si="0"/>
        <v>0.33</v>
      </c>
      <c r="AT7">
        <f t="shared" si="1"/>
        <v>1</v>
      </c>
      <c r="AU7" s="462">
        <f>IF(AT7=0,"",IF(AND(AT7=1,M7="F",SUMIF(C2:C698,C7,AS2:AS698)&lt;=1),SUMIF(C2:C698,C7,AS2:AS698),IF(AND(AT7=1,M7="F",SUMIF(C2:C698,C7,AS2:AS698)&gt;1),1,"")))</f>
        <v>1</v>
      </c>
      <c r="AV7" s="462" t="str">
        <f>IF(AT7=0,"",IF(AND(AT7=3,M7="F",SUMIF(C2:C698,C7,AS2:AS698)&lt;=1),SUMIF(C2:C698,C7,AS2:AS698),IF(AND(AT7=3,M7="F",SUMIF(C2:C698,C7,AS2:AS698)&gt;1),1,"")))</f>
        <v/>
      </c>
      <c r="AW7" s="462">
        <f>SUMIF(C2:C698,C7,O2:O698)</f>
        <v>2</v>
      </c>
      <c r="AX7" s="462">
        <f>IF(AND(M7="F",AS7&lt;&gt;0),SUMIF(C2:C698,C7,W2:W698),0)</f>
        <v>46800</v>
      </c>
      <c r="AY7" s="462">
        <f t="shared" si="2"/>
        <v>15444</v>
      </c>
      <c r="AZ7" s="462" t="str">
        <f t="shared" si="3"/>
        <v/>
      </c>
      <c r="BA7" s="462">
        <f t="shared" si="4"/>
        <v>0</v>
      </c>
      <c r="BB7" s="462">
        <f>IF(AND(AT7=1,AK7="E",AU7&gt;=0.75,AW7=1),Health,IF(AND(AT7=1,AK7="E",AU7&gt;=0.75),Health*P7,IF(AND(AT7=1,AK7="E",AU7&gt;=0.5,AW7=1),PTHealth,IF(AND(AT7=1,AK7="E",AU7&gt;=0.5),PTHealth*P7,0))))</f>
        <v>3844.5</v>
      </c>
      <c r="BC7" s="462">
        <f>IF(AND(AT7=3,AK7="E",AV7&gt;=0.75,AW7=1),Health,IF(AND(AT7=3,AK7="E",AV7&gt;=0.75),Health*P7,IF(AND(AT7=3,AK7="E",AV7&gt;=0.5,AW7=1),PTHealth,IF(AND(AT7=3,AK7="E",AV7&gt;=0.5),PTHealth*P7,0))))</f>
        <v>0</v>
      </c>
      <c r="BD7" s="462">
        <f>IF(AND(AT7&lt;&gt;0,AX7&gt;=MAXSSDI),SSDI*MAXSSDI*P7,IF(AT7&lt;&gt;0,SSDI*W7,0))</f>
        <v>957.52800000000002</v>
      </c>
      <c r="BE7" s="462">
        <f>IF(AT7&lt;&gt;0,SSHI*W7,0)</f>
        <v>223.93800000000002</v>
      </c>
      <c r="BF7" s="462">
        <f>IF(AND(AT7&lt;&gt;0,AN7&lt;&gt;"NE"),VLOOKUP(AN7,Retirement_Rates,3,FALSE)*W7,0)</f>
        <v>1844.0136</v>
      </c>
      <c r="BG7" s="462">
        <f>IF(AND(AT7&lt;&gt;0,AJ7&lt;&gt;"PF"),Life*W7,0)</f>
        <v>111.35124</v>
      </c>
      <c r="BH7" s="462">
        <f>IF(AND(AT7&lt;&gt;0,AM7="Y"),UI*W7,0)</f>
        <v>75.675600000000003</v>
      </c>
      <c r="BI7" s="462">
        <f>IF(AND(AT7&lt;&gt;0,N7&lt;&gt;"NR"),DHR*W7,0)</f>
        <v>47.25864</v>
      </c>
      <c r="BJ7" s="462">
        <f>IF(AT7&lt;&gt;0,WC*W7,0)</f>
        <v>236.29319999999998</v>
      </c>
      <c r="BK7" s="462">
        <f>IF(OR(AND(AT7&lt;&gt;0,AJ7&lt;&gt;"PF",AN7&lt;&gt;"NE",AG7&lt;&gt;"A"),AND(AL7="E",OR(AT7=1,AT7=3))),Sick*W7,0)</f>
        <v>0</v>
      </c>
      <c r="BL7" s="462">
        <f t="shared" si="5"/>
        <v>3496.0582800000002</v>
      </c>
      <c r="BM7" s="462">
        <f t="shared" si="6"/>
        <v>0</v>
      </c>
      <c r="BN7" s="462">
        <f>IF(AND(AT7=1,AK7="E",AU7&gt;=0.75,AW7=1),HealthBY,IF(AND(AT7=1,AK7="E",AU7&gt;=0.75),HealthBY*P7,IF(AND(AT7=1,AK7="E",AU7&gt;=0.5,AW7=1),PTHealthBY,IF(AND(AT7=1,AK7="E",AU7&gt;=0.5),PTHealthBY*P7,0))))</f>
        <v>3844.5</v>
      </c>
      <c r="BO7" s="462">
        <f>IF(AND(AT7=3,AK7="E",AV7&gt;=0.75,AW7=1),HealthBY,IF(AND(AT7=3,AK7="E",AV7&gt;=0.75),HealthBY*P7,IF(AND(AT7=3,AK7="E",AV7&gt;=0.5,AW7=1),PTHealthBY,IF(AND(AT7=3,AK7="E",AV7&gt;=0.5),PTHealthBY*P7,0))))</f>
        <v>0</v>
      </c>
      <c r="BP7" s="462">
        <f>IF(AND(AT7&lt;&gt;0,(AX7+BA7)&gt;=MAXSSDIBY),SSDIBY*MAXSSDIBY*P7,IF(AT7&lt;&gt;0,SSDIBY*W7,0))</f>
        <v>957.52800000000002</v>
      </c>
      <c r="BQ7" s="462">
        <f>IF(AT7&lt;&gt;0,SSHIBY*W7,0)</f>
        <v>223.93800000000002</v>
      </c>
      <c r="BR7" s="462">
        <f>IF(AND(AT7&lt;&gt;0,AN7&lt;&gt;"NE"),VLOOKUP(AN7,Retirement_Rates,4,FALSE)*W7,0)</f>
        <v>1844.0136</v>
      </c>
      <c r="BS7" s="462">
        <f>IF(AND(AT7&lt;&gt;0,AJ7&lt;&gt;"PF"),LifeBY*W7,0)</f>
        <v>111.35124</v>
      </c>
      <c r="BT7" s="462">
        <f>IF(AND(AT7&lt;&gt;0,AM7="Y"),UIBY*W7,0)</f>
        <v>0</v>
      </c>
      <c r="BU7" s="462">
        <f>IF(AND(AT7&lt;&gt;0,N7&lt;&gt;"NR"),DHRBY*W7,0)</f>
        <v>47.25864</v>
      </c>
      <c r="BV7" s="462">
        <f>IF(AT7&lt;&gt;0,WCBY*W7,0)</f>
        <v>271.81440000000003</v>
      </c>
      <c r="BW7" s="462">
        <f>IF(OR(AND(AT7&lt;&gt;0,AJ7&lt;&gt;"PF",AN7&lt;&gt;"NE",AG7&lt;&gt;"A"),AND(AL7="E",OR(AT7=1,AT7=3))),SickBY*W7,0)</f>
        <v>0</v>
      </c>
      <c r="BX7" s="462">
        <f t="shared" si="7"/>
        <v>3455.9038800000003</v>
      </c>
      <c r="BY7" s="462">
        <f t="shared" si="8"/>
        <v>0</v>
      </c>
      <c r="BZ7" s="462">
        <f t="shared" si="9"/>
        <v>0</v>
      </c>
      <c r="CA7" s="462">
        <f t="shared" si="10"/>
        <v>0</v>
      </c>
      <c r="CB7" s="462">
        <f t="shared" si="11"/>
        <v>0</v>
      </c>
      <c r="CC7" s="462">
        <f>IF(AT7&lt;&gt;0,SSHICHG*Y7,0)</f>
        <v>0</v>
      </c>
      <c r="CD7" s="462">
        <f>IF(AND(AT7&lt;&gt;0,AN7&lt;&gt;"NE"),VLOOKUP(AN7,Retirement_Rates,5,FALSE)*Y7,0)</f>
        <v>0</v>
      </c>
      <c r="CE7" s="462">
        <f>IF(AND(AT7&lt;&gt;0,AJ7&lt;&gt;"PF"),LifeCHG*Y7,0)</f>
        <v>0</v>
      </c>
      <c r="CF7" s="462">
        <f>IF(AND(AT7&lt;&gt;0,AM7="Y"),UICHG*Y7,0)</f>
        <v>-75.675600000000003</v>
      </c>
      <c r="CG7" s="462">
        <f>IF(AND(AT7&lt;&gt;0,N7&lt;&gt;"NR"),DHRCHG*Y7,0)</f>
        <v>0</v>
      </c>
      <c r="CH7" s="462">
        <f>IF(AT7&lt;&gt;0,WCCHG*Y7,0)</f>
        <v>35.521200000000029</v>
      </c>
      <c r="CI7" s="462">
        <f>IF(OR(AND(AT7&lt;&gt;0,AJ7&lt;&gt;"PF",AN7&lt;&gt;"NE",AG7&lt;&gt;"A"),AND(AL7="E",OR(AT7=1,AT7=3))),SickCHG*Y7,0)</f>
        <v>0</v>
      </c>
      <c r="CJ7" s="462">
        <f t="shared" si="12"/>
        <v>-40.154399999999974</v>
      </c>
      <c r="CK7" s="462" t="str">
        <f t="shared" si="13"/>
        <v/>
      </c>
      <c r="CL7" s="462" t="str">
        <f t="shared" si="14"/>
        <v/>
      </c>
      <c r="CM7" s="462" t="str">
        <f t="shared" si="15"/>
        <v/>
      </c>
      <c r="CN7" s="462" t="str">
        <f t="shared" si="16"/>
        <v>0001-00</v>
      </c>
    </row>
    <row r="8" spans="1:92" ht="15" thickBot="1" x14ac:dyDescent="0.35">
      <c r="A8" s="376" t="s">
        <v>161</v>
      </c>
      <c r="B8" s="376" t="s">
        <v>162</v>
      </c>
      <c r="C8" s="376" t="s">
        <v>216</v>
      </c>
      <c r="D8" s="376" t="s">
        <v>204</v>
      </c>
      <c r="E8" s="376" t="s">
        <v>165</v>
      </c>
      <c r="F8" s="377" t="s">
        <v>166</v>
      </c>
      <c r="G8" s="376" t="s">
        <v>167</v>
      </c>
      <c r="H8" s="378"/>
      <c r="I8" s="378"/>
      <c r="J8" s="376" t="s">
        <v>185</v>
      </c>
      <c r="K8" s="376" t="s">
        <v>205</v>
      </c>
      <c r="L8" s="376" t="s">
        <v>200</v>
      </c>
      <c r="M8" s="376" t="s">
        <v>170</v>
      </c>
      <c r="N8" s="376" t="s">
        <v>202</v>
      </c>
      <c r="O8" s="379">
        <v>1</v>
      </c>
      <c r="P8" s="460">
        <v>0.33</v>
      </c>
      <c r="Q8" s="460">
        <v>0.33</v>
      </c>
      <c r="R8" s="380">
        <v>80</v>
      </c>
      <c r="S8" s="460">
        <v>0.33</v>
      </c>
      <c r="T8" s="380">
        <v>16963.55</v>
      </c>
      <c r="U8" s="380">
        <v>0</v>
      </c>
      <c r="V8" s="380">
        <v>7288.09</v>
      </c>
      <c r="W8" s="380">
        <v>17667.93</v>
      </c>
      <c r="X8" s="380">
        <v>7843.97</v>
      </c>
      <c r="Y8" s="380">
        <v>17667.93</v>
      </c>
      <c r="Z8" s="380">
        <v>7798.04</v>
      </c>
      <c r="AA8" s="376" t="s">
        <v>217</v>
      </c>
      <c r="AB8" s="376" t="s">
        <v>218</v>
      </c>
      <c r="AC8" s="376" t="s">
        <v>219</v>
      </c>
      <c r="AD8" s="376" t="s">
        <v>220</v>
      </c>
      <c r="AE8" s="376" t="s">
        <v>205</v>
      </c>
      <c r="AF8" s="376" t="s">
        <v>210</v>
      </c>
      <c r="AG8" s="376" t="s">
        <v>177</v>
      </c>
      <c r="AH8" s="381">
        <v>25.74</v>
      </c>
      <c r="AI8" s="381">
        <v>69993.899999999994</v>
      </c>
      <c r="AJ8" s="376" t="s">
        <v>178</v>
      </c>
      <c r="AK8" s="376" t="s">
        <v>179</v>
      </c>
      <c r="AL8" s="376" t="s">
        <v>180</v>
      </c>
      <c r="AM8" s="376" t="s">
        <v>181</v>
      </c>
      <c r="AN8" s="376" t="s">
        <v>68</v>
      </c>
      <c r="AO8" s="379">
        <v>80</v>
      </c>
      <c r="AP8" s="460">
        <v>1</v>
      </c>
      <c r="AQ8" s="460">
        <v>0.33</v>
      </c>
      <c r="AR8" s="458" t="s">
        <v>182</v>
      </c>
      <c r="AS8" s="462">
        <f t="shared" si="0"/>
        <v>0.33</v>
      </c>
      <c r="AT8">
        <f t="shared" si="1"/>
        <v>1</v>
      </c>
      <c r="AU8" s="462">
        <f>IF(AT8=0,"",IF(AND(AT8=1,M8="F",SUMIF(C2:C698,C8,AS2:AS698)&lt;=1),SUMIF(C2:C698,C8,AS2:AS698),IF(AND(AT8=1,M8="F",SUMIF(C2:C698,C8,AS2:AS698)&gt;1),1,"")))</f>
        <v>1</v>
      </c>
      <c r="AV8" s="462" t="str">
        <f>IF(AT8=0,"",IF(AND(AT8=3,M8="F",SUMIF(C2:C698,C8,AS2:AS698)&lt;=1),SUMIF(C2:C698,C8,AS2:AS698),IF(AND(AT8=3,M8="F",SUMIF(C2:C698,C8,AS2:AS698)&gt;1),1,"")))</f>
        <v/>
      </c>
      <c r="AW8" s="462">
        <f>SUMIF(C2:C698,C8,O2:O698)</f>
        <v>2</v>
      </c>
      <c r="AX8" s="462">
        <f>IF(AND(M8="F",AS8&lt;&gt;0),SUMIF(C2:C698,C8,W2:W698),0)</f>
        <v>53539.19</v>
      </c>
      <c r="AY8" s="462">
        <f t="shared" si="2"/>
        <v>17667.93</v>
      </c>
      <c r="AZ8" s="462" t="str">
        <f t="shared" si="3"/>
        <v/>
      </c>
      <c r="BA8" s="462">
        <f t="shared" si="4"/>
        <v>0</v>
      </c>
      <c r="BB8" s="462">
        <f>IF(AND(AT8=1,AK8="E",AU8&gt;=0.75,AW8=1),Health,IF(AND(AT8=1,AK8="E",AU8&gt;=0.75),Health*P8,IF(AND(AT8=1,AK8="E",AU8&gt;=0.5,AW8=1),PTHealth,IF(AND(AT8=1,AK8="E",AU8&gt;=0.5),PTHealth*P8,0))))</f>
        <v>3844.5</v>
      </c>
      <c r="BC8" s="462">
        <f>IF(AND(AT8=3,AK8="E",AV8&gt;=0.75,AW8=1),Health,IF(AND(AT8=3,AK8="E",AV8&gt;=0.75),Health*P8,IF(AND(AT8=3,AK8="E",AV8&gt;=0.5,AW8=1),PTHealth,IF(AND(AT8=3,AK8="E",AV8&gt;=0.5),PTHealth*P8,0))))</f>
        <v>0</v>
      </c>
      <c r="BD8" s="462">
        <f>IF(AND(AT8&lt;&gt;0,AX8&gt;=MAXSSDI),SSDI*MAXSSDI*P8,IF(AT8&lt;&gt;0,SSDI*W8,0))</f>
        <v>1095.41166</v>
      </c>
      <c r="BE8" s="462">
        <f>IF(AT8&lt;&gt;0,SSHI*W8,0)</f>
        <v>256.18498500000004</v>
      </c>
      <c r="BF8" s="462">
        <f>IF(AND(AT8&lt;&gt;0,AN8&lt;&gt;"NE"),VLOOKUP(AN8,Retirement_Rates,3,FALSE)*W8,0)</f>
        <v>2109.5508420000001</v>
      </c>
      <c r="BG8" s="462">
        <f>IF(AND(AT8&lt;&gt;0,AJ8&lt;&gt;"PF"),Life*W8,0)</f>
        <v>127.38577530000001</v>
      </c>
      <c r="BH8" s="462">
        <f>IF(AND(AT8&lt;&gt;0,AM8="Y"),UI*W8,0)</f>
        <v>86.572856999999999</v>
      </c>
      <c r="BI8" s="462">
        <f>IF(AND(AT8&lt;&gt;0,N8&lt;&gt;"NR"),DHR*W8,0)</f>
        <v>54.063865799999995</v>
      </c>
      <c r="BJ8" s="462">
        <f>IF(AT8&lt;&gt;0,WC*W8,0)</f>
        <v>270.31932899999998</v>
      </c>
      <c r="BK8" s="462">
        <f>IF(OR(AND(AT8&lt;&gt;0,AJ8&lt;&gt;"PF",AN8&lt;&gt;"NE",AG8&lt;&gt;"A"),AND(AL8="E",OR(AT8=1,AT8=3))),Sick*W8,0)</f>
        <v>0</v>
      </c>
      <c r="BL8" s="462">
        <f t="shared" si="5"/>
        <v>3999.4893141000002</v>
      </c>
      <c r="BM8" s="462">
        <f t="shared" si="6"/>
        <v>0</v>
      </c>
      <c r="BN8" s="462">
        <f>IF(AND(AT8=1,AK8="E",AU8&gt;=0.75,AW8=1),HealthBY,IF(AND(AT8=1,AK8="E",AU8&gt;=0.75),HealthBY*P8,IF(AND(AT8=1,AK8="E",AU8&gt;=0.5,AW8=1),PTHealthBY,IF(AND(AT8=1,AK8="E",AU8&gt;=0.5),PTHealthBY*P8,0))))</f>
        <v>3844.5</v>
      </c>
      <c r="BO8" s="462">
        <f>IF(AND(AT8=3,AK8="E",AV8&gt;=0.75,AW8=1),HealthBY,IF(AND(AT8=3,AK8="E",AV8&gt;=0.75),HealthBY*P8,IF(AND(AT8=3,AK8="E",AV8&gt;=0.5,AW8=1),PTHealthBY,IF(AND(AT8=3,AK8="E",AV8&gt;=0.5),PTHealthBY*P8,0))))</f>
        <v>0</v>
      </c>
      <c r="BP8" s="462">
        <f>IF(AND(AT8&lt;&gt;0,(AX8+BA8)&gt;=MAXSSDIBY),SSDIBY*MAXSSDIBY*P8,IF(AT8&lt;&gt;0,SSDIBY*W8,0))</f>
        <v>1095.41166</v>
      </c>
      <c r="BQ8" s="462">
        <f>IF(AT8&lt;&gt;0,SSHIBY*W8,0)</f>
        <v>256.18498500000004</v>
      </c>
      <c r="BR8" s="462">
        <f>IF(AND(AT8&lt;&gt;0,AN8&lt;&gt;"NE"),VLOOKUP(AN8,Retirement_Rates,4,FALSE)*W8,0)</f>
        <v>2109.5508420000001</v>
      </c>
      <c r="BS8" s="462">
        <f>IF(AND(AT8&lt;&gt;0,AJ8&lt;&gt;"PF"),LifeBY*W8,0)</f>
        <v>127.38577530000001</v>
      </c>
      <c r="BT8" s="462">
        <f>IF(AND(AT8&lt;&gt;0,AM8="Y"),UIBY*W8,0)</f>
        <v>0</v>
      </c>
      <c r="BU8" s="462">
        <f>IF(AND(AT8&lt;&gt;0,N8&lt;&gt;"NR"),DHRBY*W8,0)</f>
        <v>54.063865799999995</v>
      </c>
      <c r="BV8" s="462">
        <f>IF(AT8&lt;&gt;0,WCBY*W8,0)</f>
        <v>310.95556800000003</v>
      </c>
      <c r="BW8" s="462">
        <f>IF(OR(AND(AT8&lt;&gt;0,AJ8&lt;&gt;"PF",AN8&lt;&gt;"NE",AG8&lt;&gt;"A"),AND(AL8="E",OR(AT8=1,AT8=3))),SickBY*W8,0)</f>
        <v>0</v>
      </c>
      <c r="BX8" s="462">
        <f t="shared" si="7"/>
        <v>3953.5526961</v>
      </c>
      <c r="BY8" s="462">
        <f t="shared" si="8"/>
        <v>0</v>
      </c>
      <c r="BZ8" s="462">
        <f t="shared" si="9"/>
        <v>0</v>
      </c>
      <c r="CA8" s="462">
        <f t="shared" si="10"/>
        <v>0</v>
      </c>
      <c r="CB8" s="462">
        <f t="shared" si="11"/>
        <v>0</v>
      </c>
      <c r="CC8" s="462">
        <f>IF(AT8&lt;&gt;0,SSHICHG*Y8,0)</f>
        <v>0</v>
      </c>
      <c r="CD8" s="462">
        <f>IF(AND(AT8&lt;&gt;0,AN8&lt;&gt;"NE"),VLOOKUP(AN8,Retirement_Rates,5,FALSE)*Y8,0)</f>
        <v>0</v>
      </c>
      <c r="CE8" s="462">
        <f>IF(AND(AT8&lt;&gt;0,AJ8&lt;&gt;"PF"),LifeCHG*Y8,0)</f>
        <v>0</v>
      </c>
      <c r="CF8" s="462">
        <f>IF(AND(AT8&lt;&gt;0,AM8="Y"),UICHG*Y8,0)</f>
        <v>-86.572856999999999</v>
      </c>
      <c r="CG8" s="462">
        <f>IF(AND(AT8&lt;&gt;0,N8&lt;&gt;"NR"),DHRCHG*Y8,0)</f>
        <v>0</v>
      </c>
      <c r="CH8" s="462">
        <f>IF(AT8&lt;&gt;0,WCCHG*Y8,0)</f>
        <v>40.636239000000032</v>
      </c>
      <c r="CI8" s="462">
        <f>IF(OR(AND(AT8&lt;&gt;0,AJ8&lt;&gt;"PF",AN8&lt;&gt;"NE",AG8&lt;&gt;"A"),AND(AL8="E",OR(AT8=1,AT8=3))),SickCHG*Y8,0)</f>
        <v>0</v>
      </c>
      <c r="CJ8" s="462">
        <f t="shared" si="12"/>
        <v>-45.936617999999967</v>
      </c>
      <c r="CK8" s="462" t="str">
        <f t="shared" si="13"/>
        <v/>
      </c>
      <c r="CL8" s="462" t="str">
        <f t="shared" si="14"/>
        <v/>
      </c>
      <c r="CM8" s="462" t="str">
        <f t="shared" si="15"/>
        <v/>
      </c>
      <c r="CN8" s="462" t="str">
        <f t="shared" si="16"/>
        <v>0001-00</v>
      </c>
    </row>
    <row r="9" spans="1:92" ht="15" thickBot="1" x14ac:dyDescent="0.35">
      <c r="A9" s="376" t="s">
        <v>161</v>
      </c>
      <c r="B9" s="376" t="s">
        <v>162</v>
      </c>
      <c r="C9" s="376" t="s">
        <v>221</v>
      </c>
      <c r="D9" s="376" t="s">
        <v>222</v>
      </c>
      <c r="E9" s="376" t="s">
        <v>165</v>
      </c>
      <c r="F9" s="377" t="s">
        <v>166</v>
      </c>
      <c r="G9" s="376" t="s">
        <v>167</v>
      </c>
      <c r="H9" s="378"/>
      <c r="I9" s="378"/>
      <c r="J9" s="376" t="s">
        <v>185</v>
      </c>
      <c r="K9" s="376" t="s">
        <v>223</v>
      </c>
      <c r="L9" s="376" t="s">
        <v>224</v>
      </c>
      <c r="M9" s="376" t="s">
        <v>225</v>
      </c>
      <c r="N9" s="376" t="s">
        <v>202</v>
      </c>
      <c r="O9" s="379">
        <v>0</v>
      </c>
      <c r="P9" s="460">
        <v>0</v>
      </c>
      <c r="Q9" s="460">
        <v>0</v>
      </c>
      <c r="R9" s="380">
        <v>80</v>
      </c>
      <c r="S9" s="460">
        <v>0</v>
      </c>
      <c r="T9" s="380">
        <v>0</v>
      </c>
      <c r="U9" s="380">
        <v>0</v>
      </c>
      <c r="V9" s="380">
        <v>-160.19</v>
      </c>
      <c r="W9" s="380">
        <v>0</v>
      </c>
      <c r="X9" s="380">
        <v>0</v>
      </c>
      <c r="Y9" s="380">
        <v>0</v>
      </c>
      <c r="Z9" s="380">
        <v>0</v>
      </c>
      <c r="AA9" s="378"/>
      <c r="AB9" s="376" t="s">
        <v>45</v>
      </c>
      <c r="AC9" s="376" t="s">
        <v>45</v>
      </c>
      <c r="AD9" s="378"/>
      <c r="AE9" s="378"/>
      <c r="AF9" s="378"/>
      <c r="AG9" s="378"/>
      <c r="AH9" s="379">
        <v>0</v>
      </c>
      <c r="AI9" s="379">
        <v>0</v>
      </c>
      <c r="AJ9" s="378"/>
      <c r="AK9" s="378"/>
      <c r="AL9" s="376" t="s">
        <v>180</v>
      </c>
      <c r="AM9" s="378"/>
      <c r="AN9" s="378"/>
      <c r="AO9" s="379">
        <v>0</v>
      </c>
      <c r="AP9" s="460">
        <v>0</v>
      </c>
      <c r="AQ9" s="460">
        <v>0</v>
      </c>
      <c r="AR9" s="459"/>
      <c r="AS9" s="462">
        <f t="shared" si="0"/>
        <v>0</v>
      </c>
      <c r="AT9">
        <f t="shared" si="1"/>
        <v>0</v>
      </c>
      <c r="AU9" s="462" t="str">
        <f>IF(AT9=0,"",IF(AND(AT9=1,M9="F",SUMIF(C2:C698,C9,AS2:AS698)&lt;=1),SUMIF(C2:C698,C9,AS2:AS698),IF(AND(AT9=1,M9="F",SUMIF(C2:C698,C9,AS2:AS698)&gt;1),1,"")))</f>
        <v/>
      </c>
      <c r="AV9" s="462" t="str">
        <f>IF(AT9=0,"",IF(AND(AT9=3,M9="F",SUMIF(C2:C698,C9,AS2:AS698)&lt;=1),SUMIF(C2:C698,C9,AS2:AS698),IF(AND(AT9=3,M9="F",SUMIF(C2:C698,C9,AS2:AS698)&gt;1),1,"")))</f>
        <v/>
      </c>
      <c r="AW9" s="462">
        <f>SUMIF(C2:C698,C9,O2:O698)</f>
        <v>0</v>
      </c>
      <c r="AX9" s="462">
        <f>IF(AND(M9="F",AS9&lt;&gt;0),SUMIF(C2:C698,C9,W2:W698),0)</f>
        <v>0</v>
      </c>
      <c r="AY9" s="462" t="str">
        <f t="shared" si="2"/>
        <v/>
      </c>
      <c r="AZ9" s="462" t="str">
        <f t="shared" si="3"/>
        <v/>
      </c>
      <c r="BA9" s="462">
        <f t="shared" si="4"/>
        <v>0</v>
      </c>
      <c r="BB9" s="462">
        <f>IF(AND(AT9=1,AK9="E",AU9&gt;=0.75,AW9=1),Health,IF(AND(AT9=1,AK9="E",AU9&gt;=0.75),Health*P9,IF(AND(AT9=1,AK9="E",AU9&gt;=0.5,AW9=1),PTHealth,IF(AND(AT9=1,AK9="E",AU9&gt;=0.5),PTHealth*P9,0))))</f>
        <v>0</v>
      </c>
      <c r="BC9" s="462">
        <f>IF(AND(AT9=3,AK9="E",AV9&gt;=0.75,AW9=1),Health,IF(AND(AT9=3,AK9="E",AV9&gt;=0.75),Health*P9,IF(AND(AT9=3,AK9="E",AV9&gt;=0.5,AW9=1),PTHealth,IF(AND(AT9=3,AK9="E",AV9&gt;=0.5),PTHealth*P9,0))))</f>
        <v>0</v>
      </c>
      <c r="BD9" s="462">
        <f>IF(AND(AT9&lt;&gt;0,AX9&gt;=MAXSSDI),SSDI*MAXSSDI*P9,IF(AT9&lt;&gt;0,SSDI*W9,0))</f>
        <v>0</v>
      </c>
      <c r="BE9" s="462">
        <f>IF(AT9&lt;&gt;0,SSHI*W9,0)</f>
        <v>0</v>
      </c>
      <c r="BF9" s="462">
        <f>IF(AND(AT9&lt;&gt;0,AN9&lt;&gt;"NE"),VLOOKUP(AN9,Retirement_Rates,3,FALSE)*W9,0)</f>
        <v>0</v>
      </c>
      <c r="BG9" s="462">
        <f>IF(AND(AT9&lt;&gt;0,AJ9&lt;&gt;"PF"),Life*W9,0)</f>
        <v>0</v>
      </c>
      <c r="BH9" s="462">
        <f>IF(AND(AT9&lt;&gt;0,AM9="Y"),UI*W9,0)</f>
        <v>0</v>
      </c>
      <c r="BI9" s="462">
        <f>IF(AND(AT9&lt;&gt;0,N9&lt;&gt;"NR"),DHR*W9,0)</f>
        <v>0</v>
      </c>
      <c r="BJ9" s="462">
        <f>IF(AT9&lt;&gt;0,WC*W9,0)</f>
        <v>0</v>
      </c>
      <c r="BK9" s="462">
        <f>IF(OR(AND(AT9&lt;&gt;0,AJ9&lt;&gt;"PF",AN9&lt;&gt;"NE",AG9&lt;&gt;"A"),AND(AL9="E",OR(AT9=1,AT9=3))),Sick*W9,0)</f>
        <v>0</v>
      </c>
      <c r="BL9" s="462">
        <f t="shared" si="5"/>
        <v>0</v>
      </c>
      <c r="BM9" s="462">
        <f t="shared" si="6"/>
        <v>0</v>
      </c>
      <c r="BN9" s="462">
        <f>IF(AND(AT9=1,AK9="E",AU9&gt;=0.75,AW9=1),HealthBY,IF(AND(AT9=1,AK9="E",AU9&gt;=0.75),HealthBY*P9,IF(AND(AT9=1,AK9="E",AU9&gt;=0.5,AW9=1),PTHealthBY,IF(AND(AT9=1,AK9="E",AU9&gt;=0.5),PTHealthBY*P9,0))))</f>
        <v>0</v>
      </c>
      <c r="BO9" s="462">
        <f>IF(AND(AT9=3,AK9="E",AV9&gt;=0.75,AW9=1),HealthBY,IF(AND(AT9=3,AK9="E",AV9&gt;=0.75),HealthBY*P9,IF(AND(AT9=3,AK9="E",AV9&gt;=0.5,AW9=1),PTHealthBY,IF(AND(AT9=3,AK9="E",AV9&gt;=0.5),PTHealthBY*P9,0))))</f>
        <v>0</v>
      </c>
      <c r="BP9" s="462">
        <f>IF(AND(AT9&lt;&gt;0,(AX9+BA9)&gt;=MAXSSDIBY),SSDIBY*MAXSSDIBY*P9,IF(AT9&lt;&gt;0,SSDIBY*W9,0))</f>
        <v>0</v>
      </c>
      <c r="BQ9" s="462">
        <f>IF(AT9&lt;&gt;0,SSHIBY*W9,0)</f>
        <v>0</v>
      </c>
      <c r="BR9" s="462">
        <f>IF(AND(AT9&lt;&gt;0,AN9&lt;&gt;"NE"),VLOOKUP(AN9,Retirement_Rates,4,FALSE)*W9,0)</f>
        <v>0</v>
      </c>
      <c r="BS9" s="462">
        <f>IF(AND(AT9&lt;&gt;0,AJ9&lt;&gt;"PF"),LifeBY*W9,0)</f>
        <v>0</v>
      </c>
      <c r="BT9" s="462">
        <f>IF(AND(AT9&lt;&gt;0,AM9="Y"),UIBY*W9,0)</f>
        <v>0</v>
      </c>
      <c r="BU9" s="462">
        <f>IF(AND(AT9&lt;&gt;0,N9&lt;&gt;"NR"),DHRBY*W9,0)</f>
        <v>0</v>
      </c>
      <c r="BV9" s="462">
        <f>IF(AT9&lt;&gt;0,WCBY*W9,0)</f>
        <v>0</v>
      </c>
      <c r="BW9" s="462">
        <f>IF(OR(AND(AT9&lt;&gt;0,AJ9&lt;&gt;"PF",AN9&lt;&gt;"NE",AG9&lt;&gt;"A"),AND(AL9="E",OR(AT9=1,AT9=3))),SickBY*W9,0)</f>
        <v>0</v>
      </c>
      <c r="BX9" s="462">
        <f t="shared" si="7"/>
        <v>0</v>
      </c>
      <c r="BY9" s="462">
        <f t="shared" si="8"/>
        <v>0</v>
      </c>
      <c r="BZ9" s="462">
        <f t="shared" si="9"/>
        <v>0</v>
      </c>
      <c r="CA9" s="462">
        <f t="shared" si="10"/>
        <v>0</v>
      </c>
      <c r="CB9" s="462">
        <f t="shared" si="11"/>
        <v>0</v>
      </c>
      <c r="CC9" s="462">
        <f>IF(AT9&lt;&gt;0,SSHICHG*Y9,0)</f>
        <v>0</v>
      </c>
      <c r="CD9" s="462">
        <f>IF(AND(AT9&lt;&gt;0,AN9&lt;&gt;"NE"),VLOOKUP(AN9,Retirement_Rates,5,FALSE)*Y9,0)</f>
        <v>0</v>
      </c>
      <c r="CE9" s="462">
        <f>IF(AND(AT9&lt;&gt;0,AJ9&lt;&gt;"PF"),LifeCHG*Y9,0)</f>
        <v>0</v>
      </c>
      <c r="CF9" s="462">
        <f>IF(AND(AT9&lt;&gt;0,AM9="Y"),UICHG*Y9,0)</f>
        <v>0</v>
      </c>
      <c r="CG9" s="462">
        <f>IF(AND(AT9&lt;&gt;0,N9&lt;&gt;"NR"),DHRCHG*Y9,0)</f>
        <v>0</v>
      </c>
      <c r="CH9" s="462">
        <f>IF(AT9&lt;&gt;0,WCCHG*Y9,0)</f>
        <v>0</v>
      </c>
      <c r="CI9" s="462">
        <f>IF(OR(AND(AT9&lt;&gt;0,AJ9&lt;&gt;"PF",AN9&lt;&gt;"NE",AG9&lt;&gt;"A"),AND(AL9="E",OR(AT9=1,AT9=3))),SickCHG*Y9,0)</f>
        <v>0</v>
      </c>
      <c r="CJ9" s="462">
        <f t="shared" si="12"/>
        <v>0</v>
      </c>
      <c r="CK9" s="462" t="str">
        <f t="shared" si="13"/>
        <v/>
      </c>
      <c r="CL9" s="462" t="str">
        <f t="shared" si="14"/>
        <v/>
      </c>
      <c r="CM9" s="462" t="str">
        <f t="shared" si="15"/>
        <v/>
      </c>
      <c r="CN9" s="462" t="str">
        <f t="shared" si="16"/>
        <v>0001-00</v>
      </c>
    </row>
    <row r="10" spans="1:92" ht="15" thickBot="1" x14ac:dyDescent="0.35">
      <c r="A10" s="376" t="s">
        <v>161</v>
      </c>
      <c r="B10" s="376" t="s">
        <v>162</v>
      </c>
      <c r="C10" s="376" t="s">
        <v>226</v>
      </c>
      <c r="D10" s="376" t="s">
        <v>227</v>
      </c>
      <c r="E10" s="376" t="s">
        <v>165</v>
      </c>
      <c r="F10" s="377" t="s">
        <v>166</v>
      </c>
      <c r="G10" s="376" t="s">
        <v>167</v>
      </c>
      <c r="H10" s="378"/>
      <c r="I10" s="378"/>
      <c r="J10" s="376" t="s">
        <v>185</v>
      </c>
      <c r="K10" s="376" t="s">
        <v>228</v>
      </c>
      <c r="L10" s="376" t="s">
        <v>224</v>
      </c>
      <c r="M10" s="376" t="s">
        <v>170</v>
      </c>
      <c r="N10" s="376" t="s">
        <v>202</v>
      </c>
      <c r="O10" s="379">
        <v>1</v>
      </c>
      <c r="P10" s="460">
        <v>0.33</v>
      </c>
      <c r="Q10" s="460">
        <v>0.33</v>
      </c>
      <c r="R10" s="380">
        <v>80</v>
      </c>
      <c r="S10" s="460">
        <v>0.33</v>
      </c>
      <c r="T10" s="380">
        <v>11557.48</v>
      </c>
      <c r="U10" s="380">
        <v>0</v>
      </c>
      <c r="V10" s="380">
        <v>5268.89</v>
      </c>
      <c r="W10" s="380">
        <v>17160</v>
      </c>
      <c r="X10" s="380">
        <v>7729</v>
      </c>
      <c r="Y10" s="380">
        <v>17160</v>
      </c>
      <c r="Z10" s="380">
        <v>7684.39</v>
      </c>
      <c r="AA10" s="376" t="s">
        <v>229</v>
      </c>
      <c r="AB10" s="376" t="s">
        <v>230</v>
      </c>
      <c r="AC10" s="376" t="s">
        <v>231</v>
      </c>
      <c r="AD10" s="376" t="s">
        <v>179</v>
      </c>
      <c r="AE10" s="376" t="s">
        <v>228</v>
      </c>
      <c r="AF10" s="376" t="s">
        <v>232</v>
      </c>
      <c r="AG10" s="376" t="s">
        <v>177</v>
      </c>
      <c r="AH10" s="379">
        <v>25</v>
      </c>
      <c r="AI10" s="381">
        <v>258.3</v>
      </c>
      <c r="AJ10" s="376" t="s">
        <v>178</v>
      </c>
      <c r="AK10" s="376" t="s">
        <v>179</v>
      </c>
      <c r="AL10" s="376" t="s">
        <v>180</v>
      </c>
      <c r="AM10" s="376" t="s">
        <v>181</v>
      </c>
      <c r="AN10" s="376" t="s">
        <v>68</v>
      </c>
      <c r="AO10" s="379">
        <v>80</v>
      </c>
      <c r="AP10" s="460">
        <v>1</v>
      </c>
      <c r="AQ10" s="460">
        <v>0.33</v>
      </c>
      <c r="AR10" s="458" t="s">
        <v>182</v>
      </c>
      <c r="AS10" s="462">
        <f t="shared" si="0"/>
        <v>0.33</v>
      </c>
      <c r="AT10">
        <f t="shared" si="1"/>
        <v>1</v>
      </c>
      <c r="AU10" s="462">
        <f>IF(AT10=0,"",IF(AND(AT10=1,M10="F",SUMIF(C2:C698,C10,AS2:AS698)&lt;=1),SUMIF(C2:C698,C10,AS2:AS698),IF(AND(AT10=1,M10="F",SUMIF(C2:C698,C10,AS2:AS698)&gt;1),1,"")))</f>
        <v>1</v>
      </c>
      <c r="AV10" s="462" t="str">
        <f>IF(AT10=0,"",IF(AND(AT10=3,M10="F",SUMIF(C2:C698,C10,AS2:AS698)&lt;=1),SUMIF(C2:C698,C10,AS2:AS698),IF(AND(AT10=3,M10="F",SUMIF(C2:C698,C10,AS2:AS698)&gt;1),1,"")))</f>
        <v/>
      </c>
      <c r="AW10" s="462">
        <f>SUMIF(C2:C698,C10,O2:O698)</f>
        <v>2</v>
      </c>
      <c r="AX10" s="462">
        <f>IF(AND(M10="F",AS10&lt;&gt;0),SUMIF(C2:C698,C10,W2:W698),0)</f>
        <v>52000</v>
      </c>
      <c r="AY10" s="462">
        <f t="shared" si="2"/>
        <v>17160</v>
      </c>
      <c r="AZ10" s="462" t="str">
        <f t="shared" si="3"/>
        <v/>
      </c>
      <c r="BA10" s="462">
        <f t="shared" si="4"/>
        <v>0</v>
      </c>
      <c r="BB10" s="462">
        <f>IF(AND(AT10=1,AK10="E",AU10&gt;=0.75,AW10=1),Health,IF(AND(AT10=1,AK10="E",AU10&gt;=0.75),Health*P10,IF(AND(AT10=1,AK10="E",AU10&gt;=0.5,AW10=1),PTHealth,IF(AND(AT10=1,AK10="E",AU10&gt;=0.5),PTHealth*P10,0))))</f>
        <v>3844.5</v>
      </c>
      <c r="BC10" s="462">
        <f>IF(AND(AT10=3,AK10="E",AV10&gt;=0.75,AW10=1),Health,IF(AND(AT10=3,AK10="E",AV10&gt;=0.75),Health*P10,IF(AND(AT10=3,AK10="E",AV10&gt;=0.5,AW10=1),PTHealth,IF(AND(AT10=3,AK10="E",AV10&gt;=0.5),PTHealth*P10,0))))</f>
        <v>0</v>
      </c>
      <c r="BD10" s="462">
        <f>IF(AND(AT10&lt;&gt;0,AX10&gt;=MAXSSDI),SSDI*MAXSSDI*P10,IF(AT10&lt;&gt;0,SSDI*W10,0))</f>
        <v>1063.92</v>
      </c>
      <c r="BE10" s="462">
        <f>IF(AT10&lt;&gt;0,SSHI*W10,0)</f>
        <v>248.82000000000002</v>
      </c>
      <c r="BF10" s="462">
        <f>IF(AND(AT10&lt;&gt;0,AN10&lt;&gt;"NE"),VLOOKUP(AN10,Retirement_Rates,3,FALSE)*W10,0)</f>
        <v>2048.904</v>
      </c>
      <c r="BG10" s="462">
        <f>IF(AND(AT10&lt;&gt;0,AJ10&lt;&gt;"PF"),Life*W10,0)</f>
        <v>123.7236</v>
      </c>
      <c r="BH10" s="462">
        <f>IF(AND(AT10&lt;&gt;0,AM10="Y"),UI*W10,0)</f>
        <v>84.084000000000003</v>
      </c>
      <c r="BI10" s="462">
        <f>IF(AND(AT10&lt;&gt;0,N10&lt;&gt;"NR"),DHR*W10,0)</f>
        <v>52.509599999999999</v>
      </c>
      <c r="BJ10" s="462">
        <f>IF(AT10&lt;&gt;0,WC*W10,0)</f>
        <v>262.548</v>
      </c>
      <c r="BK10" s="462">
        <f>IF(OR(AND(AT10&lt;&gt;0,AJ10&lt;&gt;"PF",AN10&lt;&gt;"NE",AG10&lt;&gt;"A"),AND(AL10="E",OR(AT10=1,AT10=3))),Sick*W10,0)</f>
        <v>0</v>
      </c>
      <c r="BL10" s="462">
        <f t="shared" si="5"/>
        <v>3884.5091999999995</v>
      </c>
      <c r="BM10" s="462">
        <f t="shared" si="6"/>
        <v>0</v>
      </c>
      <c r="BN10" s="462">
        <f>IF(AND(AT10=1,AK10="E",AU10&gt;=0.75,AW10=1),HealthBY,IF(AND(AT10=1,AK10="E",AU10&gt;=0.75),HealthBY*P10,IF(AND(AT10=1,AK10="E",AU10&gt;=0.5,AW10=1),PTHealthBY,IF(AND(AT10=1,AK10="E",AU10&gt;=0.5),PTHealthBY*P10,0))))</f>
        <v>3844.5</v>
      </c>
      <c r="BO10" s="462">
        <f>IF(AND(AT10=3,AK10="E",AV10&gt;=0.75,AW10=1),HealthBY,IF(AND(AT10=3,AK10="E",AV10&gt;=0.75),HealthBY*P10,IF(AND(AT10=3,AK10="E",AV10&gt;=0.5,AW10=1),PTHealthBY,IF(AND(AT10=3,AK10="E",AV10&gt;=0.5),PTHealthBY*P10,0))))</f>
        <v>0</v>
      </c>
      <c r="BP10" s="462">
        <f>IF(AND(AT10&lt;&gt;0,(AX10+BA10)&gt;=MAXSSDIBY),SSDIBY*MAXSSDIBY*P10,IF(AT10&lt;&gt;0,SSDIBY*W10,0))</f>
        <v>1063.92</v>
      </c>
      <c r="BQ10" s="462">
        <f>IF(AT10&lt;&gt;0,SSHIBY*W10,0)</f>
        <v>248.82000000000002</v>
      </c>
      <c r="BR10" s="462">
        <f>IF(AND(AT10&lt;&gt;0,AN10&lt;&gt;"NE"),VLOOKUP(AN10,Retirement_Rates,4,FALSE)*W10,0)</f>
        <v>2048.904</v>
      </c>
      <c r="BS10" s="462">
        <f>IF(AND(AT10&lt;&gt;0,AJ10&lt;&gt;"PF"),LifeBY*W10,0)</f>
        <v>123.7236</v>
      </c>
      <c r="BT10" s="462">
        <f>IF(AND(AT10&lt;&gt;0,AM10="Y"),UIBY*W10,0)</f>
        <v>0</v>
      </c>
      <c r="BU10" s="462">
        <f>IF(AND(AT10&lt;&gt;0,N10&lt;&gt;"NR"),DHRBY*W10,0)</f>
        <v>52.509599999999999</v>
      </c>
      <c r="BV10" s="462">
        <f>IF(AT10&lt;&gt;0,WCBY*W10,0)</f>
        <v>302.01600000000002</v>
      </c>
      <c r="BW10" s="462">
        <f>IF(OR(AND(AT10&lt;&gt;0,AJ10&lt;&gt;"PF",AN10&lt;&gt;"NE",AG10&lt;&gt;"A"),AND(AL10="E",OR(AT10=1,AT10=3))),SickBY*W10,0)</f>
        <v>0</v>
      </c>
      <c r="BX10" s="462">
        <f t="shared" si="7"/>
        <v>3839.8932</v>
      </c>
      <c r="BY10" s="462">
        <f t="shared" si="8"/>
        <v>0</v>
      </c>
      <c r="BZ10" s="462">
        <f t="shared" si="9"/>
        <v>0</v>
      </c>
      <c r="CA10" s="462">
        <f t="shared" si="10"/>
        <v>0</v>
      </c>
      <c r="CB10" s="462">
        <f t="shared" si="11"/>
        <v>0</v>
      </c>
      <c r="CC10" s="462">
        <f>IF(AT10&lt;&gt;0,SSHICHG*Y10,0)</f>
        <v>0</v>
      </c>
      <c r="CD10" s="462">
        <f>IF(AND(AT10&lt;&gt;0,AN10&lt;&gt;"NE"),VLOOKUP(AN10,Retirement_Rates,5,FALSE)*Y10,0)</f>
        <v>0</v>
      </c>
      <c r="CE10" s="462">
        <f>IF(AND(AT10&lt;&gt;0,AJ10&lt;&gt;"PF"),LifeCHG*Y10,0)</f>
        <v>0</v>
      </c>
      <c r="CF10" s="462">
        <f>IF(AND(AT10&lt;&gt;0,AM10="Y"),UICHG*Y10,0)</f>
        <v>-84.084000000000003</v>
      </c>
      <c r="CG10" s="462">
        <f>IF(AND(AT10&lt;&gt;0,N10&lt;&gt;"NR"),DHRCHG*Y10,0)</f>
        <v>0</v>
      </c>
      <c r="CH10" s="462">
        <f>IF(AT10&lt;&gt;0,WCCHG*Y10,0)</f>
        <v>39.468000000000032</v>
      </c>
      <c r="CI10" s="462">
        <f>IF(OR(AND(AT10&lt;&gt;0,AJ10&lt;&gt;"PF",AN10&lt;&gt;"NE",AG10&lt;&gt;"A"),AND(AL10="E",OR(AT10=1,AT10=3))),SickCHG*Y10,0)</f>
        <v>0</v>
      </c>
      <c r="CJ10" s="462">
        <f t="shared" si="12"/>
        <v>-44.615999999999971</v>
      </c>
      <c r="CK10" s="462" t="str">
        <f t="shared" si="13"/>
        <v/>
      </c>
      <c r="CL10" s="462" t="str">
        <f t="shared" si="14"/>
        <v/>
      </c>
      <c r="CM10" s="462" t="str">
        <f t="shared" si="15"/>
        <v/>
      </c>
      <c r="CN10" s="462" t="str">
        <f t="shared" si="16"/>
        <v>0001-00</v>
      </c>
    </row>
    <row r="11" spans="1:92" ht="15" thickBot="1" x14ac:dyDescent="0.35">
      <c r="A11" s="376" t="s">
        <v>161</v>
      </c>
      <c r="B11" s="376" t="s">
        <v>162</v>
      </c>
      <c r="C11" s="376" t="s">
        <v>233</v>
      </c>
      <c r="D11" s="376" t="s">
        <v>234</v>
      </c>
      <c r="E11" s="376" t="s">
        <v>165</v>
      </c>
      <c r="F11" s="377" t="s">
        <v>166</v>
      </c>
      <c r="G11" s="376" t="s">
        <v>167</v>
      </c>
      <c r="H11" s="378"/>
      <c r="I11" s="378"/>
      <c r="J11" s="376" t="s">
        <v>185</v>
      </c>
      <c r="K11" s="376" t="s">
        <v>235</v>
      </c>
      <c r="L11" s="376" t="s">
        <v>224</v>
      </c>
      <c r="M11" s="376" t="s">
        <v>170</v>
      </c>
      <c r="N11" s="376" t="s">
        <v>202</v>
      </c>
      <c r="O11" s="379">
        <v>1</v>
      </c>
      <c r="P11" s="460">
        <v>0.5</v>
      </c>
      <c r="Q11" s="460">
        <v>0.5</v>
      </c>
      <c r="R11" s="380">
        <v>80</v>
      </c>
      <c r="S11" s="460">
        <v>0.5</v>
      </c>
      <c r="T11" s="380">
        <v>20470.59</v>
      </c>
      <c r="U11" s="380">
        <v>0</v>
      </c>
      <c r="V11" s="380">
        <v>9075.36</v>
      </c>
      <c r="W11" s="380">
        <v>26000</v>
      </c>
      <c r="X11" s="380">
        <v>11710.62</v>
      </c>
      <c r="Y11" s="380">
        <v>26000</v>
      </c>
      <c r="Z11" s="380">
        <v>11643.02</v>
      </c>
      <c r="AA11" s="376" t="s">
        <v>236</v>
      </c>
      <c r="AB11" s="376" t="s">
        <v>237</v>
      </c>
      <c r="AC11" s="376" t="s">
        <v>238</v>
      </c>
      <c r="AD11" s="376" t="s">
        <v>239</v>
      </c>
      <c r="AE11" s="376" t="s">
        <v>235</v>
      </c>
      <c r="AF11" s="376" t="s">
        <v>232</v>
      </c>
      <c r="AG11" s="376" t="s">
        <v>177</v>
      </c>
      <c r="AH11" s="379">
        <v>25</v>
      </c>
      <c r="AI11" s="379">
        <v>848</v>
      </c>
      <c r="AJ11" s="376" t="s">
        <v>178</v>
      </c>
      <c r="AK11" s="376" t="s">
        <v>179</v>
      </c>
      <c r="AL11" s="376" t="s">
        <v>180</v>
      </c>
      <c r="AM11" s="376" t="s">
        <v>181</v>
      </c>
      <c r="AN11" s="376" t="s">
        <v>68</v>
      </c>
      <c r="AO11" s="379">
        <v>80</v>
      </c>
      <c r="AP11" s="460">
        <v>1</v>
      </c>
      <c r="AQ11" s="460">
        <v>0.5</v>
      </c>
      <c r="AR11" s="458" t="s">
        <v>182</v>
      </c>
      <c r="AS11" s="462">
        <f t="shared" si="0"/>
        <v>0.5</v>
      </c>
      <c r="AT11">
        <f t="shared" si="1"/>
        <v>1</v>
      </c>
      <c r="AU11" s="462">
        <f>IF(AT11=0,"",IF(AND(AT11=1,M11="F",SUMIF(C2:C698,C11,AS2:AS698)&lt;=1),SUMIF(C2:C698,C11,AS2:AS698),IF(AND(AT11=1,M11="F",SUMIF(C2:C698,C11,AS2:AS698)&gt;1),1,"")))</f>
        <v>1</v>
      </c>
      <c r="AV11" s="462" t="str">
        <f>IF(AT11=0,"",IF(AND(AT11=3,M11="F",SUMIF(C2:C698,C11,AS2:AS698)&lt;=1),SUMIF(C2:C698,C11,AS2:AS698),IF(AND(AT11=3,M11="F",SUMIF(C2:C698,C11,AS2:AS698)&gt;1),1,"")))</f>
        <v/>
      </c>
      <c r="AW11" s="462">
        <f>SUMIF(C2:C698,C11,O2:O698)</f>
        <v>2</v>
      </c>
      <c r="AX11" s="462">
        <f>IF(AND(M11="F",AS11&lt;&gt;0),SUMIF(C2:C698,C11,W2:W698),0)</f>
        <v>52000</v>
      </c>
      <c r="AY11" s="462">
        <f t="shared" si="2"/>
        <v>26000</v>
      </c>
      <c r="AZ11" s="462" t="str">
        <f t="shared" si="3"/>
        <v/>
      </c>
      <c r="BA11" s="462">
        <f t="shared" si="4"/>
        <v>0</v>
      </c>
      <c r="BB11" s="462">
        <f>IF(AND(AT11=1,AK11="E",AU11&gt;=0.75,AW11=1),Health,IF(AND(AT11=1,AK11="E",AU11&gt;=0.75),Health*P11,IF(AND(AT11=1,AK11="E",AU11&gt;=0.5,AW11=1),PTHealth,IF(AND(AT11=1,AK11="E",AU11&gt;=0.5),PTHealth*P11,0))))</f>
        <v>5825</v>
      </c>
      <c r="BC11" s="462">
        <f>IF(AND(AT11=3,AK11="E",AV11&gt;=0.75,AW11=1),Health,IF(AND(AT11=3,AK11="E",AV11&gt;=0.75),Health*P11,IF(AND(AT11=3,AK11="E",AV11&gt;=0.5,AW11=1),PTHealth,IF(AND(AT11=3,AK11="E",AV11&gt;=0.5),PTHealth*P11,0))))</f>
        <v>0</v>
      </c>
      <c r="BD11" s="462">
        <f>IF(AND(AT11&lt;&gt;0,AX11&gt;=MAXSSDI),SSDI*MAXSSDI*P11,IF(AT11&lt;&gt;0,SSDI*W11,0))</f>
        <v>1612</v>
      </c>
      <c r="BE11" s="462">
        <f>IF(AT11&lt;&gt;0,SSHI*W11,0)</f>
        <v>377</v>
      </c>
      <c r="BF11" s="462">
        <f>IF(AND(AT11&lt;&gt;0,AN11&lt;&gt;"NE"),VLOOKUP(AN11,Retirement_Rates,3,FALSE)*W11,0)</f>
        <v>3104.4</v>
      </c>
      <c r="BG11" s="462">
        <f>IF(AND(AT11&lt;&gt;0,AJ11&lt;&gt;"PF"),Life*W11,0)</f>
        <v>187.46</v>
      </c>
      <c r="BH11" s="462">
        <f>IF(AND(AT11&lt;&gt;0,AM11="Y"),UI*W11,0)</f>
        <v>127.39999999999999</v>
      </c>
      <c r="BI11" s="462">
        <f>IF(AND(AT11&lt;&gt;0,N11&lt;&gt;"NR"),DHR*W11,0)</f>
        <v>79.559999999999988</v>
      </c>
      <c r="BJ11" s="462">
        <f>IF(AT11&lt;&gt;0,WC*W11,0)</f>
        <v>397.8</v>
      </c>
      <c r="BK11" s="462">
        <f>IF(OR(AND(AT11&lt;&gt;0,AJ11&lt;&gt;"PF",AN11&lt;&gt;"NE",AG11&lt;&gt;"A"),AND(AL11="E",OR(AT11=1,AT11=3))),Sick*W11,0)</f>
        <v>0</v>
      </c>
      <c r="BL11" s="462">
        <f t="shared" si="5"/>
        <v>5885.62</v>
      </c>
      <c r="BM11" s="462">
        <f t="shared" si="6"/>
        <v>0</v>
      </c>
      <c r="BN11" s="462">
        <f>IF(AND(AT11=1,AK11="E",AU11&gt;=0.75,AW11=1),HealthBY,IF(AND(AT11=1,AK11="E",AU11&gt;=0.75),HealthBY*P11,IF(AND(AT11=1,AK11="E",AU11&gt;=0.5,AW11=1),PTHealthBY,IF(AND(AT11=1,AK11="E",AU11&gt;=0.5),PTHealthBY*P11,0))))</f>
        <v>5825</v>
      </c>
      <c r="BO11" s="462">
        <f>IF(AND(AT11=3,AK11="E",AV11&gt;=0.75,AW11=1),HealthBY,IF(AND(AT11=3,AK11="E",AV11&gt;=0.75),HealthBY*P11,IF(AND(AT11=3,AK11="E",AV11&gt;=0.5,AW11=1),PTHealthBY,IF(AND(AT11=3,AK11="E",AV11&gt;=0.5),PTHealthBY*P11,0))))</f>
        <v>0</v>
      </c>
      <c r="BP11" s="462">
        <f>IF(AND(AT11&lt;&gt;0,(AX11+BA11)&gt;=MAXSSDIBY),SSDIBY*MAXSSDIBY*P11,IF(AT11&lt;&gt;0,SSDIBY*W11,0))</f>
        <v>1612</v>
      </c>
      <c r="BQ11" s="462">
        <f>IF(AT11&lt;&gt;0,SSHIBY*W11,0)</f>
        <v>377</v>
      </c>
      <c r="BR11" s="462">
        <f>IF(AND(AT11&lt;&gt;0,AN11&lt;&gt;"NE"),VLOOKUP(AN11,Retirement_Rates,4,FALSE)*W11,0)</f>
        <v>3104.4</v>
      </c>
      <c r="BS11" s="462">
        <f>IF(AND(AT11&lt;&gt;0,AJ11&lt;&gt;"PF"),LifeBY*W11,0)</f>
        <v>187.46</v>
      </c>
      <c r="BT11" s="462">
        <f>IF(AND(AT11&lt;&gt;0,AM11="Y"),UIBY*W11,0)</f>
        <v>0</v>
      </c>
      <c r="BU11" s="462">
        <f>IF(AND(AT11&lt;&gt;0,N11&lt;&gt;"NR"),DHRBY*W11,0)</f>
        <v>79.559999999999988</v>
      </c>
      <c r="BV11" s="462">
        <f>IF(AT11&lt;&gt;0,WCBY*W11,0)</f>
        <v>457.6</v>
      </c>
      <c r="BW11" s="462">
        <f>IF(OR(AND(AT11&lt;&gt;0,AJ11&lt;&gt;"PF",AN11&lt;&gt;"NE",AG11&lt;&gt;"A"),AND(AL11="E",OR(AT11=1,AT11=3))),SickBY*W11,0)</f>
        <v>0</v>
      </c>
      <c r="BX11" s="462">
        <f t="shared" si="7"/>
        <v>5818.02</v>
      </c>
      <c r="BY11" s="462">
        <f t="shared" si="8"/>
        <v>0</v>
      </c>
      <c r="BZ11" s="462">
        <f t="shared" si="9"/>
        <v>0</v>
      </c>
      <c r="CA11" s="462">
        <f t="shared" si="10"/>
        <v>0</v>
      </c>
      <c r="CB11" s="462">
        <f t="shared" si="11"/>
        <v>0</v>
      </c>
      <c r="CC11" s="462">
        <f>IF(AT11&lt;&gt;0,SSHICHG*Y11,0)</f>
        <v>0</v>
      </c>
      <c r="CD11" s="462">
        <f>IF(AND(AT11&lt;&gt;0,AN11&lt;&gt;"NE"),VLOOKUP(AN11,Retirement_Rates,5,FALSE)*Y11,0)</f>
        <v>0</v>
      </c>
      <c r="CE11" s="462">
        <f>IF(AND(AT11&lt;&gt;0,AJ11&lt;&gt;"PF"),LifeCHG*Y11,0)</f>
        <v>0</v>
      </c>
      <c r="CF11" s="462">
        <f>IF(AND(AT11&lt;&gt;0,AM11="Y"),UICHG*Y11,0)</f>
        <v>-127.39999999999999</v>
      </c>
      <c r="CG11" s="462">
        <f>IF(AND(AT11&lt;&gt;0,N11&lt;&gt;"NR"),DHRCHG*Y11,0)</f>
        <v>0</v>
      </c>
      <c r="CH11" s="462">
        <f>IF(AT11&lt;&gt;0,WCCHG*Y11,0)</f>
        <v>59.800000000000047</v>
      </c>
      <c r="CI11" s="462">
        <f>IF(OR(AND(AT11&lt;&gt;0,AJ11&lt;&gt;"PF",AN11&lt;&gt;"NE",AG11&lt;&gt;"A"),AND(AL11="E",OR(AT11=1,AT11=3))),SickCHG*Y11,0)</f>
        <v>0</v>
      </c>
      <c r="CJ11" s="462">
        <f t="shared" si="12"/>
        <v>-67.599999999999937</v>
      </c>
      <c r="CK11" s="462" t="str">
        <f t="shared" si="13"/>
        <v/>
      </c>
      <c r="CL11" s="462" t="str">
        <f t="shared" si="14"/>
        <v/>
      </c>
      <c r="CM11" s="462" t="str">
        <f t="shared" si="15"/>
        <v/>
      </c>
      <c r="CN11" s="462" t="str">
        <f t="shared" si="16"/>
        <v>0001-00</v>
      </c>
    </row>
    <row r="12" spans="1:92" ht="15" thickBot="1" x14ac:dyDescent="0.35">
      <c r="A12" s="376" t="s">
        <v>161</v>
      </c>
      <c r="B12" s="376" t="s">
        <v>162</v>
      </c>
      <c r="C12" s="376" t="s">
        <v>240</v>
      </c>
      <c r="D12" s="376" t="s">
        <v>241</v>
      </c>
      <c r="E12" s="376" t="s">
        <v>165</v>
      </c>
      <c r="F12" s="377" t="s">
        <v>166</v>
      </c>
      <c r="G12" s="376" t="s">
        <v>167</v>
      </c>
      <c r="H12" s="378"/>
      <c r="I12" s="378"/>
      <c r="J12" s="376" t="s">
        <v>185</v>
      </c>
      <c r="K12" s="376" t="s">
        <v>242</v>
      </c>
      <c r="L12" s="376" t="s">
        <v>243</v>
      </c>
      <c r="M12" s="376" t="s">
        <v>170</v>
      </c>
      <c r="N12" s="376" t="s">
        <v>202</v>
      </c>
      <c r="O12" s="379">
        <v>1</v>
      </c>
      <c r="P12" s="460">
        <v>0.33</v>
      </c>
      <c r="Q12" s="460">
        <v>0.33</v>
      </c>
      <c r="R12" s="380">
        <v>80</v>
      </c>
      <c r="S12" s="460">
        <v>0.33</v>
      </c>
      <c r="T12" s="380">
        <v>25002.59</v>
      </c>
      <c r="U12" s="380">
        <v>0</v>
      </c>
      <c r="V12" s="380">
        <v>9002.32</v>
      </c>
      <c r="W12" s="380">
        <v>25884.14</v>
      </c>
      <c r="X12" s="380">
        <v>9703.8799999999992</v>
      </c>
      <c r="Y12" s="380">
        <v>25884.14</v>
      </c>
      <c r="Z12" s="380">
        <v>9636.58</v>
      </c>
      <c r="AA12" s="376" t="s">
        <v>244</v>
      </c>
      <c r="AB12" s="376" t="s">
        <v>245</v>
      </c>
      <c r="AC12" s="376" t="s">
        <v>246</v>
      </c>
      <c r="AD12" s="376" t="s">
        <v>247</v>
      </c>
      <c r="AE12" s="376" t="s">
        <v>242</v>
      </c>
      <c r="AF12" s="376" t="s">
        <v>248</v>
      </c>
      <c r="AG12" s="376" t="s">
        <v>177</v>
      </c>
      <c r="AH12" s="381">
        <v>37.71</v>
      </c>
      <c r="AI12" s="381">
        <v>34009.699999999997</v>
      </c>
      <c r="AJ12" s="376" t="s">
        <v>178</v>
      </c>
      <c r="AK12" s="376" t="s">
        <v>179</v>
      </c>
      <c r="AL12" s="376" t="s">
        <v>180</v>
      </c>
      <c r="AM12" s="376" t="s">
        <v>181</v>
      </c>
      <c r="AN12" s="376" t="s">
        <v>68</v>
      </c>
      <c r="AO12" s="379">
        <v>80</v>
      </c>
      <c r="AP12" s="460">
        <v>1</v>
      </c>
      <c r="AQ12" s="460">
        <v>0.33</v>
      </c>
      <c r="AR12" s="458" t="s">
        <v>182</v>
      </c>
      <c r="AS12" s="462">
        <f t="shared" si="0"/>
        <v>0.33</v>
      </c>
      <c r="AT12">
        <f t="shared" si="1"/>
        <v>1</v>
      </c>
      <c r="AU12" s="462">
        <f>IF(AT12=0,"",IF(AND(AT12=1,M12="F",SUMIF(C2:C698,C12,AS2:AS698)&lt;=1),SUMIF(C2:C698,C12,AS2:AS698),IF(AND(AT12=1,M12="F",SUMIF(C2:C698,C12,AS2:AS698)&gt;1),1,"")))</f>
        <v>1</v>
      </c>
      <c r="AV12" s="462" t="str">
        <f>IF(AT12=0,"",IF(AND(AT12=3,M12="F",SUMIF(C2:C698,C12,AS2:AS698)&lt;=1),SUMIF(C2:C698,C12,AS2:AS698),IF(AND(AT12=3,M12="F",SUMIF(C2:C698,C12,AS2:AS698)&gt;1),1,"")))</f>
        <v/>
      </c>
      <c r="AW12" s="462">
        <f>SUMIF(C2:C698,C12,O2:O698)</f>
        <v>2</v>
      </c>
      <c r="AX12" s="462">
        <f>IF(AND(M12="F",AS12&lt;&gt;0),SUMIF(C2:C698,C12,W2:W698),0)</f>
        <v>78436.790000000008</v>
      </c>
      <c r="AY12" s="462">
        <f t="shared" si="2"/>
        <v>25884.14</v>
      </c>
      <c r="AZ12" s="462" t="str">
        <f t="shared" si="3"/>
        <v/>
      </c>
      <c r="BA12" s="462">
        <f t="shared" si="4"/>
        <v>0</v>
      </c>
      <c r="BB12" s="462">
        <f>IF(AND(AT12=1,AK12="E",AU12&gt;=0.75,AW12=1),Health,IF(AND(AT12=1,AK12="E",AU12&gt;=0.75),Health*P12,IF(AND(AT12=1,AK12="E",AU12&gt;=0.5,AW12=1),PTHealth,IF(AND(AT12=1,AK12="E",AU12&gt;=0.5),PTHealth*P12,0))))</f>
        <v>3844.5</v>
      </c>
      <c r="BC12" s="462">
        <f>IF(AND(AT12=3,AK12="E",AV12&gt;=0.75,AW12=1),Health,IF(AND(AT12=3,AK12="E",AV12&gt;=0.75),Health*P12,IF(AND(AT12=3,AK12="E",AV12&gt;=0.5,AW12=1),PTHealth,IF(AND(AT12=3,AK12="E",AV12&gt;=0.5),PTHealth*P12,0))))</f>
        <v>0</v>
      </c>
      <c r="BD12" s="462">
        <f>IF(AND(AT12&lt;&gt;0,AX12&gt;=MAXSSDI),SSDI*MAXSSDI*P12,IF(AT12&lt;&gt;0,SSDI*W12,0))</f>
        <v>1604.8166799999999</v>
      </c>
      <c r="BE12" s="462">
        <f>IF(AT12&lt;&gt;0,SSHI*W12,0)</f>
        <v>375.32003000000003</v>
      </c>
      <c r="BF12" s="462">
        <f>IF(AND(AT12&lt;&gt;0,AN12&lt;&gt;"NE"),VLOOKUP(AN12,Retirement_Rates,3,FALSE)*W12,0)</f>
        <v>3090.5663159999999</v>
      </c>
      <c r="BG12" s="462">
        <f>IF(AND(AT12&lt;&gt;0,AJ12&lt;&gt;"PF"),Life*W12,0)</f>
        <v>186.62464940000001</v>
      </c>
      <c r="BH12" s="462">
        <f>IF(AND(AT12&lt;&gt;0,AM12="Y"),UI*W12,0)</f>
        <v>126.832286</v>
      </c>
      <c r="BI12" s="462">
        <f>IF(AND(AT12&lt;&gt;0,N12&lt;&gt;"NR"),DHR*W12,0)</f>
        <v>79.205468399999987</v>
      </c>
      <c r="BJ12" s="462">
        <f>IF(AT12&lt;&gt;0,WC*W12,0)</f>
        <v>396.02734199999998</v>
      </c>
      <c r="BK12" s="462">
        <f>IF(OR(AND(AT12&lt;&gt;0,AJ12&lt;&gt;"PF",AN12&lt;&gt;"NE",AG12&lt;&gt;"A"),AND(AL12="E",OR(AT12=1,AT12=3))),Sick*W12,0)</f>
        <v>0</v>
      </c>
      <c r="BL12" s="462">
        <f t="shared" si="5"/>
        <v>5859.3927718000004</v>
      </c>
      <c r="BM12" s="462">
        <f t="shared" si="6"/>
        <v>0</v>
      </c>
      <c r="BN12" s="462">
        <f>IF(AND(AT12=1,AK12="E",AU12&gt;=0.75,AW12=1),HealthBY,IF(AND(AT12=1,AK12="E",AU12&gt;=0.75),HealthBY*P12,IF(AND(AT12=1,AK12="E",AU12&gt;=0.5,AW12=1),PTHealthBY,IF(AND(AT12=1,AK12="E",AU12&gt;=0.5),PTHealthBY*P12,0))))</f>
        <v>3844.5</v>
      </c>
      <c r="BO12" s="462">
        <f>IF(AND(AT12=3,AK12="E",AV12&gt;=0.75,AW12=1),HealthBY,IF(AND(AT12=3,AK12="E",AV12&gt;=0.75),HealthBY*P12,IF(AND(AT12=3,AK12="E",AV12&gt;=0.5,AW12=1),PTHealthBY,IF(AND(AT12=3,AK12="E",AV12&gt;=0.5),PTHealthBY*P12,0))))</f>
        <v>0</v>
      </c>
      <c r="BP12" s="462">
        <f>IF(AND(AT12&lt;&gt;0,(AX12+BA12)&gt;=MAXSSDIBY),SSDIBY*MAXSSDIBY*P12,IF(AT12&lt;&gt;0,SSDIBY*W12,0))</f>
        <v>1604.8166799999999</v>
      </c>
      <c r="BQ12" s="462">
        <f>IF(AT12&lt;&gt;0,SSHIBY*W12,0)</f>
        <v>375.32003000000003</v>
      </c>
      <c r="BR12" s="462">
        <f>IF(AND(AT12&lt;&gt;0,AN12&lt;&gt;"NE"),VLOOKUP(AN12,Retirement_Rates,4,FALSE)*W12,0)</f>
        <v>3090.5663159999999</v>
      </c>
      <c r="BS12" s="462">
        <f>IF(AND(AT12&lt;&gt;0,AJ12&lt;&gt;"PF"),LifeBY*W12,0)</f>
        <v>186.62464940000001</v>
      </c>
      <c r="BT12" s="462">
        <f>IF(AND(AT12&lt;&gt;0,AM12="Y"),UIBY*W12,0)</f>
        <v>0</v>
      </c>
      <c r="BU12" s="462">
        <f>IF(AND(AT12&lt;&gt;0,N12&lt;&gt;"NR"),DHRBY*W12,0)</f>
        <v>79.205468399999987</v>
      </c>
      <c r="BV12" s="462">
        <f>IF(AT12&lt;&gt;0,WCBY*W12,0)</f>
        <v>455.56086400000004</v>
      </c>
      <c r="BW12" s="462">
        <f>IF(OR(AND(AT12&lt;&gt;0,AJ12&lt;&gt;"PF",AN12&lt;&gt;"NE",AG12&lt;&gt;"A"),AND(AL12="E",OR(AT12=1,AT12=3))),SickBY*W12,0)</f>
        <v>0</v>
      </c>
      <c r="BX12" s="462">
        <f t="shared" si="7"/>
        <v>5792.0940078000003</v>
      </c>
      <c r="BY12" s="462">
        <f t="shared" si="8"/>
        <v>0</v>
      </c>
      <c r="BZ12" s="462">
        <f t="shared" si="9"/>
        <v>0</v>
      </c>
      <c r="CA12" s="462">
        <f t="shared" si="10"/>
        <v>0</v>
      </c>
      <c r="CB12" s="462">
        <f t="shared" si="11"/>
        <v>0</v>
      </c>
      <c r="CC12" s="462">
        <f>IF(AT12&lt;&gt;0,SSHICHG*Y12,0)</f>
        <v>0</v>
      </c>
      <c r="CD12" s="462">
        <f>IF(AND(AT12&lt;&gt;0,AN12&lt;&gt;"NE"),VLOOKUP(AN12,Retirement_Rates,5,FALSE)*Y12,0)</f>
        <v>0</v>
      </c>
      <c r="CE12" s="462">
        <f>IF(AND(AT12&lt;&gt;0,AJ12&lt;&gt;"PF"),LifeCHG*Y12,0)</f>
        <v>0</v>
      </c>
      <c r="CF12" s="462">
        <f>IF(AND(AT12&lt;&gt;0,AM12="Y"),UICHG*Y12,0)</f>
        <v>-126.832286</v>
      </c>
      <c r="CG12" s="462">
        <f>IF(AND(AT12&lt;&gt;0,N12&lt;&gt;"NR"),DHRCHG*Y12,0)</f>
        <v>0</v>
      </c>
      <c r="CH12" s="462">
        <f>IF(AT12&lt;&gt;0,WCCHG*Y12,0)</f>
        <v>59.53352200000004</v>
      </c>
      <c r="CI12" s="462">
        <f>IF(OR(AND(AT12&lt;&gt;0,AJ12&lt;&gt;"PF",AN12&lt;&gt;"NE",AG12&lt;&gt;"A"),AND(AL12="E",OR(AT12=1,AT12=3))),SickCHG*Y12,0)</f>
        <v>0</v>
      </c>
      <c r="CJ12" s="462">
        <f t="shared" si="12"/>
        <v>-67.298763999999949</v>
      </c>
      <c r="CK12" s="462" t="str">
        <f t="shared" si="13"/>
        <v/>
      </c>
      <c r="CL12" s="462" t="str">
        <f t="shared" si="14"/>
        <v/>
      </c>
      <c r="CM12" s="462" t="str">
        <f t="shared" si="15"/>
        <v/>
      </c>
      <c r="CN12" s="462" t="str">
        <f t="shared" si="16"/>
        <v>0001-00</v>
      </c>
    </row>
    <row r="13" spans="1:92" ht="15" thickBot="1" x14ac:dyDescent="0.35">
      <c r="A13" s="376" t="s">
        <v>161</v>
      </c>
      <c r="B13" s="376" t="s">
        <v>162</v>
      </c>
      <c r="C13" s="376" t="s">
        <v>249</v>
      </c>
      <c r="D13" s="376" t="s">
        <v>250</v>
      </c>
      <c r="E13" s="376" t="s">
        <v>165</v>
      </c>
      <c r="F13" s="377" t="s">
        <v>166</v>
      </c>
      <c r="G13" s="376" t="s">
        <v>167</v>
      </c>
      <c r="H13" s="378"/>
      <c r="I13" s="378"/>
      <c r="J13" s="376" t="s">
        <v>168</v>
      </c>
      <c r="K13" s="376" t="s">
        <v>251</v>
      </c>
      <c r="L13" s="376" t="s">
        <v>180</v>
      </c>
      <c r="M13" s="376" t="s">
        <v>170</v>
      </c>
      <c r="N13" s="376" t="s">
        <v>202</v>
      </c>
      <c r="O13" s="379">
        <v>1</v>
      </c>
      <c r="P13" s="460">
        <v>1</v>
      </c>
      <c r="Q13" s="460">
        <v>1</v>
      </c>
      <c r="R13" s="380">
        <v>80</v>
      </c>
      <c r="S13" s="460">
        <v>1</v>
      </c>
      <c r="T13" s="380">
        <v>62289.599999999999</v>
      </c>
      <c r="U13" s="380">
        <v>0</v>
      </c>
      <c r="V13" s="380">
        <v>25532.71</v>
      </c>
      <c r="W13" s="380">
        <v>65083.199999999997</v>
      </c>
      <c r="X13" s="380">
        <v>26382.84</v>
      </c>
      <c r="Y13" s="380">
        <v>65083.199999999997</v>
      </c>
      <c r="Z13" s="380">
        <v>26213.63</v>
      </c>
      <c r="AA13" s="376" t="s">
        <v>252</v>
      </c>
      <c r="AB13" s="376" t="s">
        <v>253</v>
      </c>
      <c r="AC13" s="376" t="s">
        <v>254</v>
      </c>
      <c r="AD13" s="376" t="s">
        <v>255</v>
      </c>
      <c r="AE13" s="376" t="s">
        <v>251</v>
      </c>
      <c r="AF13" s="376" t="s">
        <v>256</v>
      </c>
      <c r="AG13" s="376" t="s">
        <v>177</v>
      </c>
      <c r="AH13" s="381">
        <v>31.29</v>
      </c>
      <c r="AI13" s="381">
        <v>4636.7</v>
      </c>
      <c r="AJ13" s="376" t="s">
        <v>178</v>
      </c>
      <c r="AK13" s="376" t="s">
        <v>179</v>
      </c>
      <c r="AL13" s="376" t="s">
        <v>180</v>
      </c>
      <c r="AM13" s="376" t="s">
        <v>181</v>
      </c>
      <c r="AN13" s="376" t="s">
        <v>68</v>
      </c>
      <c r="AO13" s="379">
        <v>80</v>
      </c>
      <c r="AP13" s="460">
        <v>1</v>
      </c>
      <c r="AQ13" s="460">
        <v>1</v>
      </c>
      <c r="AR13" s="458" t="s">
        <v>182</v>
      </c>
      <c r="AS13" s="462">
        <f t="shared" si="0"/>
        <v>1</v>
      </c>
      <c r="AT13">
        <f t="shared" si="1"/>
        <v>1</v>
      </c>
      <c r="AU13" s="462">
        <f>IF(AT13=0,"",IF(AND(AT13=1,M13="F",SUMIF(C2:C698,C13,AS2:AS698)&lt;=1),SUMIF(C2:C698,C13,AS2:AS698),IF(AND(AT13=1,M13="F",SUMIF(C2:C698,C13,AS2:AS698)&gt;1),1,"")))</f>
        <v>1</v>
      </c>
      <c r="AV13" s="462" t="str">
        <f>IF(AT13=0,"",IF(AND(AT13=3,M13="F",SUMIF(C2:C698,C13,AS2:AS698)&lt;=1),SUMIF(C2:C698,C13,AS2:AS698),IF(AND(AT13=3,M13="F",SUMIF(C2:C698,C13,AS2:AS698)&gt;1),1,"")))</f>
        <v/>
      </c>
      <c r="AW13" s="462">
        <f>SUMIF(C2:C698,C13,O2:O698)</f>
        <v>1</v>
      </c>
      <c r="AX13" s="462">
        <f>IF(AND(M13="F",AS13&lt;&gt;0),SUMIF(C2:C698,C13,W2:W698),0)</f>
        <v>65083.199999999997</v>
      </c>
      <c r="AY13" s="462">
        <f t="shared" si="2"/>
        <v>65083.199999999997</v>
      </c>
      <c r="AZ13" s="462" t="str">
        <f t="shared" si="3"/>
        <v/>
      </c>
      <c r="BA13" s="462">
        <f t="shared" si="4"/>
        <v>0</v>
      </c>
      <c r="BB13" s="462">
        <f>IF(AND(AT13=1,AK13="E",AU13&gt;=0.75,AW13=1),Health,IF(AND(AT13=1,AK13="E",AU13&gt;=0.75),Health*P13,IF(AND(AT13=1,AK13="E",AU13&gt;=0.5,AW13=1),PTHealth,IF(AND(AT13=1,AK13="E",AU13&gt;=0.5),PTHealth*P13,0))))</f>
        <v>11650</v>
      </c>
      <c r="BC13" s="462">
        <f>IF(AND(AT13=3,AK13="E",AV13&gt;=0.75,AW13=1),Health,IF(AND(AT13=3,AK13="E",AV13&gt;=0.75),Health*P13,IF(AND(AT13=3,AK13="E",AV13&gt;=0.5,AW13=1),PTHealth,IF(AND(AT13=3,AK13="E",AV13&gt;=0.5),PTHealth*P13,0))))</f>
        <v>0</v>
      </c>
      <c r="BD13" s="462">
        <f>IF(AND(AT13&lt;&gt;0,AX13&gt;=MAXSSDI),SSDI*MAXSSDI*P13,IF(AT13&lt;&gt;0,SSDI*W13,0))</f>
        <v>4035.1583999999998</v>
      </c>
      <c r="BE13" s="462">
        <f>IF(AT13&lt;&gt;0,SSHI*W13,0)</f>
        <v>943.70640000000003</v>
      </c>
      <c r="BF13" s="462">
        <f>IF(AND(AT13&lt;&gt;0,AN13&lt;&gt;"NE"),VLOOKUP(AN13,Retirement_Rates,3,FALSE)*W13,0)</f>
        <v>7770.93408</v>
      </c>
      <c r="BG13" s="462">
        <f>IF(AND(AT13&lt;&gt;0,AJ13&lt;&gt;"PF"),Life*W13,0)</f>
        <v>469.24987199999998</v>
      </c>
      <c r="BH13" s="462">
        <f>IF(AND(AT13&lt;&gt;0,AM13="Y"),UI*W13,0)</f>
        <v>318.90767999999997</v>
      </c>
      <c r="BI13" s="462">
        <f>IF(AND(AT13&lt;&gt;0,N13&lt;&gt;"NR"),DHR*W13,0)</f>
        <v>199.15459199999998</v>
      </c>
      <c r="BJ13" s="462">
        <f>IF(AT13&lt;&gt;0,WC*W13,0)</f>
        <v>995.7729599999999</v>
      </c>
      <c r="BK13" s="462">
        <f>IF(OR(AND(AT13&lt;&gt;0,AJ13&lt;&gt;"PF",AN13&lt;&gt;"NE",AG13&lt;&gt;"A"),AND(AL13="E",OR(AT13=1,AT13=3))),Sick*W13,0)</f>
        <v>0</v>
      </c>
      <c r="BL13" s="462">
        <f t="shared" si="5"/>
        <v>14732.883984</v>
      </c>
      <c r="BM13" s="462">
        <f t="shared" si="6"/>
        <v>0</v>
      </c>
      <c r="BN13" s="462">
        <f>IF(AND(AT13=1,AK13="E",AU13&gt;=0.75,AW13=1),HealthBY,IF(AND(AT13=1,AK13="E",AU13&gt;=0.75),HealthBY*P13,IF(AND(AT13=1,AK13="E",AU13&gt;=0.5,AW13=1),PTHealthBY,IF(AND(AT13=1,AK13="E",AU13&gt;=0.5),PTHealthBY*P13,0))))</f>
        <v>11650</v>
      </c>
      <c r="BO13" s="462">
        <f>IF(AND(AT13=3,AK13="E",AV13&gt;=0.75,AW13=1),HealthBY,IF(AND(AT13=3,AK13="E",AV13&gt;=0.75),HealthBY*P13,IF(AND(AT13=3,AK13="E",AV13&gt;=0.5,AW13=1),PTHealthBY,IF(AND(AT13=3,AK13="E",AV13&gt;=0.5),PTHealthBY*P13,0))))</f>
        <v>0</v>
      </c>
      <c r="BP13" s="462">
        <f>IF(AND(AT13&lt;&gt;0,(AX13+BA13)&gt;=MAXSSDIBY),SSDIBY*MAXSSDIBY*P13,IF(AT13&lt;&gt;0,SSDIBY*W13,0))</f>
        <v>4035.1583999999998</v>
      </c>
      <c r="BQ13" s="462">
        <f>IF(AT13&lt;&gt;0,SSHIBY*W13,0)</f>
        <v>943.70640000000003</v>
      </c>
      <c r="BR13" s="462">
        <f>IF(AND(AT13&lt;&gt;0,AN13&lt;&gt;"NE"),VLOOKUP(AN13,Retirement_Rates,4,FALSE)*W13,0)</f>
        <v>7770.93408</v>
      </c>
      <c r="BS13" s="462">
        <f>IF(AND(AT13&lt;&gt;0,AJ13&lt;&gt;"PF"),LifeBY*W13,0)</f>
        <v>469.24987199999998</v>
      </c>
      <c r="BT13" s="462">
        <f>IF(AND(AT13&lt;&gt;0,AM13="Y"),UIBY*W13,0)</f>
        <v>0</v>
      </c>
      <c r="BU13" s="462">
        <f>IF(AND(AT13&lt;&gt;0,N13&lt;&gt;"NR"),DHRBY*W13,0)</f>
        <v>199.15459199999998</v>
      </c>
      <c r="BV13" s="462">
        <f>IF(AT13&lt;&gt;0,WCBY*W13,0)</f>
        <v>1145.46432</v>
      </c>
      <c r="BW13" s="462">
        <f>IF(OR(AND(AT13&lt;&gt;0,AJ13&lt;&gt;"PF",AN13&lt;&gt;"NE",AG13&lt;&gt;"A"),AND(AL13="E",OR(AT13=1,AT13=3))),SickBY*W13,0)</f>
        <v>0</v>
      </c>
      <c r="BX13" s="462">
        <f t="shared" si="7"/>
        <v>14563.667664000001</v>
      </c>
      <c r="BY13" s="462">
        <f t="shared" si="8"/>
        <v>0</v>
      </c>
      <c r="BZ13" s="462">
        <f t="shared" si="9"/>
        <v>0</v>
      </c>
      <c r="CA13" s="462">
        <f t="shared" si="10"/>
        <v>0</v>
      </c>
      <c r="CB13" s="462">
        <f t="shared" si="11"/>
        <v>0</v>
      </c>
      <c r="CC13" s="462">
        <f>IF(AT13&lt;&gt;0,SSHICHG*Y13,0)</f>
        <v>0</v>
      </c>
      <c r="CD13" s="462">
        <f>IF(AND(AT13&lt;&gt;0,AN13&lt;&gt;"NE"),VLOOKUP(AN13,Retirement_Rates,5,FALSE)*Y13,0)</f>
        <v>0</v>
      </c>
      <c r="CE13" s="462">
        <f>IF(AND(AT13&lt;&gt;0,AJ13&lt;&gt;"PF"),LifeCHG*Y13,0)</f>
        <v>0</v>
      </c>
      <c r="CF13" s="462">
        <f>IF(AND(AT13&lt;&gt;0,AM13="Y"),UICHG*Y13,0)</f>
        <v>-318.90767999999997</v>
      </c>
      <c r="CG13" s="462">
        <f>IF(AND(AT13&lt;&gt;0,N13&lt;&gt;"NR"),DHRCHG*Y13,0)</f>
        <v>0</v>
      </c>
      <c r="CH13" s="462">
        <f>IF(AT13&lt;&gt;0,WCCHG*Y13,0)</f>
        <v>149.69136000000012</v>
      </c>
      <c r="CI13" s="462">
        <f>IF(OR(AND(AT13&lt;&gt;0,AJ13&lt;&gt;"PF",AN13&lt;&gt;"NE",AG13&lt;&gt;"A"),AND(AL13="E",OR(AT13=1,AT13=3))),SickCHG*Y13,0)</f>
        <v>0</v>
      </c>
      <c r="CJ13" s="462">
        <f t="shared" si="12"/>
        <v>-169.21631999999985</v>
      </c>
      <c r="CK13" s="462" t="str">
        <f t="shared" si="13"/>
        <v/>
      </c>
      <c r="CL13" s="462" t="str">
        <f t="shared" si="14"/>
        <v/>
      </c>
      <c r="CM13" s="462" t="str">
        <f t="shared" si="15"/>
        <v/>
      </c>
      <c r="CN13" s="462" t="str">
        <f t="shared" si="16"/>
        <v>0001-00</v>
      </c>
    </row>
    <row r="14" spans="1:92" ht="15" thickBot="1" x14ac:dyDescent="0.35">
      <c r="A14" s="376" t="s">
        <v>161</v>
      </c>
      <c r="B14" s="376" t="s">
        <v>162</v>
      </c>
      <c r="C14" s="376" t="s">
        <v>257</v>
      </c>
      <c r="D14" s="376" t="s">
        <v>258</v>
      </c>
      <c r="E14" s="376" t="s">
        <v>165</v>
      </c>
      <c r="F14" s="377" t="s">
        <v>166</v>
      </c>
      <c r="G14" s="376" t="s">
        <v>167</v>
      </c>
      <c r="H14" s="378"/>
      <c r="I14" s="378"/>
      <c r="J14" s="376" t="s">
        <v>168</v>
      </c>
      <c r="K14" s="376" t="s">
        <v>259</v>
      </c>
      <c r="L14" s="376" t="s">
        <v>220</v>
      </c>
      <c r="M14" s="376" t="s">
        <v>170</v>
      </c>
      <c r="N14" s="376" t="s">
        <v>202</v>
      </c>
      <c r="O14" s="379">
        <v>1</v>
      </c>
      <c r="P14" s="460">
        <v>0</v>
      </c>
      <c r="Q14" s="460">
        <v>0</v>
      </c>
      <c r="R14" s="380">
        <v>80</v>
      </c>
      <c r="S14" s="460">
        <v>0</v>
      </c>
      <c r="T14" s="380">
        <v>1000</v>
      </c>
      <c r="U14" s="380">
        <v>0</v>
      </c>
      <c r="V14" s="380">
        <v>451.56</v>
      </c>
      <c r="W14" s="380">
        <v>0</v>
      </c>
      <c r="X14" s="380">
        <v>0</v>
      </c>
      <c r="Y14" s="380">
        <v>0</v>
      </c>
      <c r="Z14" s="380">
        <v>0</v>
      </c>
      <c r="AA14" s="376" t="s">
        <v>260</v>
      </c>
      <c r="AB14" s="376" t="s">
        <v>261</v>
      </c>
      <c r="AC14" s="376" t="s">
        <v>262</v>
      </c>
      <c r="AD14" s="376" t="s">
        <v>263</v>
      </c>
      <c r="AE14" s="376" t="s">
        <v>259</v>
      </c>
      <c r="AF14" s="376" t="s">
        <v>264</v>
      </c>
      <c r="AG14" s="376" t="s">
        <v>177</v>
      </c>
      <c r="AH14" s="381">
        <v>20.77</v>
      </c>
      <c r="AI14" s="379">
        <v>25192</v>
      </c>
      <c r="AJ14" s="376" t="s">
        <v>178</v>
      </c>
      <c r="AK14" s="376" t="s">
        <v>179</v>
      </c>
      <c r="AL14" s="376" t="s">
        <v>180</v>
      </c>
      <c r="AM14" s="376" t="s">
        <v>181</v>
      </c>
      <c r="AN14" s="376" t="s">
        <v>68</v>
      </c>
      <c r="AO14" s="379">
        <v>80</v>
      </c>
      <c r="AP14" s="460">
        <v>1</v>
      </c>
      <c r="AQ14" s="460">
        <v>0</v>
      </c>
      <c r="AR14" s="458" t="s">
        <v>182</v>
      </c>
      <c r="AS14" s="462">
        <f t="shared" si="0"/>
        <v>0</v>
      </c>
      <c r="AT14">
        <f t="shared" si="1"/>
        <v>0</v>
      </c>
      <c r="AU14" s="462" t="str">
        <f>IF(AT14=0,"",IF(AND(AT14=1,M14="F",SUMIF(C2:C698,C14,AS2:AS698)&lt;=1),SUMIF(C2:C698,C14,AS2:AS698),IF(AND(AT14=1,M14="F",SUMIF(C2:C698,C14,AS2:AS698)&gt;1),1,"")))</f>
        <v/>
      </c>
      <c r="AV14" s="462" t="str">
        <f>IF(AT14=0,"",IF(AND(AT14=3,M14="F",SUMIF(C2:C698,C14,AS2:AS698)&lt;=1),SUMIF(C2:C698,C14,AS2:AS698),IF(AND(AT14=3,M14="F",SUMIF(C2:C698,C14,AS2:AS698)&gt;1),1,"")))</f>
        <v/>
      </c>
      <c r="AW14" s="462">
        <f>SUMIF(C2:C698,C14,O2:O698)</f>
        <v>2</v>
      </c>
      <c r="AX14" s="462">
        <f>IF(AND(M14="F",AS14&lt;&gt;0),SUMIF(C2:C698,C14,W2:W698),0)</f>
        <v>0</v>
      </c>
      <c r="AY14" s="462" t="str">
        <f t="shared" si="2"/>
        <v/>
      </c>
      <c r="AZ14" s="462" t="str">
        <f t="shared" si="3"/>
        <v/>
      </c>
      <c r="BA14" s="462">
        <f t="shared" si="4"/>
        <v>0</v>
      </c>
      <c r="BB14" s="462">
        <f>IF(AND(AT14=1,AK14="E",AU14&gt;=0.75,AW14=1),Health,IF(AND(AT14=1,AK14="E",AU14&gt;=0.75),Health*P14,IF(AND(AT14=1,AK14="E",AU14&gt;=0.5,AW14=1),PTHealth,IF(AND(AT14=1,AK14="E",AU14&gt;=0.5),PTHealth*P14,0))))</f>
        <v>0</v>
      </c>
      <c r="BC14" s="462">
        <f>IF(AND(AT14=3,AK14="E",AV14&gt;=0.75,AW14=1),Health,IF(AND(AT14=3,AK14="E",AV14&gt;=0.75),Health*P14,IF(AND(AT14=3,AK14="E",AV14&gt;=0.5,AW14=1),PTHealth,IF(AND(AT14=3,AK14="E",AV14&gt;=0.5),PTHealth*P14,0))))</f>
        <v>0</v>
      </c>
      <c r="BD14" s="462">
        <f>IF(AND(AT14&lt;&gt;0,AX14&gt;=MAXSSDI),SSDI*MAXSSDI*P14,IF(AT14&lt;&gt;0,SSDI*W14,0))</f>
        <v>0</v>
      </c>
      <c r="BE14" s="462">
        <f>IF(AT14&lt;&gt;0,SSHI*W14,0)</f>
        <v>0</v>
      </c>
      <c r="BF14" s="462">
        <f>IF(AND(AT14&lt;&gt;0,AN14&lt;&gt;"NE"),VLOOKUP(AN14,Retirement_Rates,3,FALSE)*W14,0)</f>
        <v>0</v>
      </c>
      <c r="BG14" s="462">
        <f>IF(AND(AT14&lt;&gt;0,AJ14&lt;&gt;"PF"),Life*W14,0)</f>
        <v>0</v>
      </c>
      <c r="BH14" s="462">
        <f>IF(AND(AT14&lt;&gt;0,AM14="Y"),UI*W14,0)</f>
        <v>0</v>
      </c>
      <c r="BI14" s="462">
        <f>IF(AND(AT14&lt;&gt;0,N14&lt;&gt;"NR"),DHR*W14,0)</f>
        <v>0</v>
      </c>
      <c r="BJ14" s="462">
        <f>IF(AT14&lt;&gt;0,WC*W14,0)</f>
        <v>0</v>
      </c>
      <c r="BK14" s="462">
        <f>IF(OR(AND(AT14&lt;&gt;0,AJ14&lt;&gt;"PF",AN14&lt;&gt;"NE",AG14&lt;&gt;"A"),AND(AL14="E",OR(AT14=1,AT14=3))),Sick*W14,0)</f>
        <v>0</v>
      </c>
      <c r="BL14" s="462">
        <f t="shared" si="5"/>
        <v>0</v>
      </c>
      <c r="BM14" s="462">
        <f t="shared" si="6"/>
        <v>0</v>
      </c>
      <c r="BN14" s="462">
        <f>IF(AND(AT14=1,AK14="E",AU14&gt;=0.75,AW14=1),HealthBY,IF(AND(AT14=1,AK14="E",AU14&gt;=0.75),HealthBY*P14,IF(AND(AT14=1,AK14="E",AU14&gt;=0.5,AW14=1),PTHealthBY,IF(AND(AT14=1,AK14="E",AU14&gt;=0.5),PTHealthBY*P14,0))))</f>
        <v>0</v>
      </c>
      <c r="BO14" s="462">
        <f>IF(AND(AT14=3,AK14="E",AV14&gt;=0.75,AW14=1),HealthBY,IF(AND(AT14=3,AK14="E",AV14&gt;=0.75),HealthBY*P14,IF(AND(AT14=3,AK14="E",AV14&gt;=0.5,AW14=1),PTHealthBY,IF(AND(AT14=3,AK14="E",AV14&gt;=0.5),PTHealthBY*P14,0))))</f>
        <v>0</v>
      </c>
      <c r="BP14" s="462">
        <f>IF(AND(AT14&lt;&gt;0,(AX14+BA14)&gt;=MAXSSDIBY),SSDIBY*MAXSSDIBY*P14,IF(AT14&lt;&gt;0,SSDIBY*W14,0))</f>
        <v>0</v>
      </c>
      <c r="BQ14" s="462">
        <f>IF(AT14&lt;&gt;0,SSHIBY*W14,0)</f>
        <v>0</v>
      </c>
      <c r="BR14" s="462">
        <f>IF(AND(AT14&lt;&gt;0,AN14&lt;&gt;"NE"),VLOOKUP(AN14,Retirement_Rates,4,FALSE)*W14,0)</f>
        <v>0</v>
      </c>
      <c r="BS14" s="462">
        <f>IF(AND(AT14&lt;&gt;0,AJ14&lt;&gt;"PF"),LifeBY*W14,0)</f>
        <v>0</v>
      </c>
      <c r="BT14" s="462">
        <f>IF(AND(AT14&lt;&gt;0,AM14="Y"),UIBY*W14,0)</f>
        <v>0</v>
      </c>
      <c r="BU14" s="462">
        <f>IF(AND(AT14&lt;&gt;0,N14&lt;&gt;"NR"),DHRBY*W14,0)</f>
        <v>0</v>
      </c>
      <c r="BV14" s="462">
        <f>IF(AT14&lt;&gt;0,WCBY*W14,0)</f>
        <v>0</v>
      </c>
      <c r="BW14" s="462">
        <f>IF(OR(AND(AT14&lt;&gt;0,AJ14&lt;&gt;"PF",AN14&lt;&gt;"NE",AG14&lt;&gt;"A"),AND(AL14="E",OR(AT14=1,AT14=3))),SickBY*W14,0)</f>
        <v>0</v>
      </c>
      <c r="BX14" s="462">
        <f t="shared" si="7"/>
        <v>0</v>
      </c>
      <c r="BY14" s="462">
        <f t="shared" si="8"/>
        <v>0</v>
      </c>
      <c r="BZ14" s="462">
        <f t="shared" si="9"/>
        <v>0</v>
      </c>
      <c r="CA14" s="462">
        <f t="shared" si="10"/>
        <v>0</v>
      </c>
      <c r="CB14" s="462">
        <f t="shared" si="11"/>
        <v>0</v>
      </c>
      <c r="CC14" s="462">
        <f>IF(AT14&lt;&gt;0,SSHICHG*Y14,0)</f>
        <v>0</v>
      </c>
      <c r="CD14" s="462">
        <f>IF(AND(AT14&lt;&gt;0,AN14&lt;&gt;"NE"),VLOOKUP(AN14,Retirement_Rates,5,FALSE)*Y14,0)</f>
        <v>0</v>
      </c>
      <c r="CE14" s="462">
        <f>IF(AND(AT14&lt;&gt;0,AJ14&lt;&gt;"PF"),LifeCHG*Y14,0)</f>
        <v>0</v>
      </c>
      <c r="CF14" s="462">
        <f>IF(AND(AT14&lt;&gt;0,AM14="Y"),UICHG*Y14,0)</f>
        <v>0</v>
      </c>
      <c r="CG14" s="462">
        <f>IF(AND(AT14&lt;&gt;0,N14&lt;&gt;"NR"),DHRCHG*Y14,0)</f>
        <v>0</v>
      </c>
      <c r="CH14" s="462">
        <f>IF(AT14&lt;&gt;0,WCCHG*Y14,0)</f>
        <v>0</v>
      </c>
      <c r="CI14" s="462">
        <f>IF(OR(AND(AT14&lt;&gt;0,AJ14&lt;&gt;"PF",AN14&lt;&gt;"NE",AG14&lt;&gt;"A"),AND(AL14="E",OR(AT14=1,AT14=3))),SickCHG*Y14,0)</f>
        <v>0</v>
      </c>
      <c r="CJ14" s="462">
        <f t="shared" si="12"/>
        <v>0</v>
      </c>
      <c r="CK14" s="462" t="str">
        <f t="shared" si="13"/>
        <v/>
      </c>
      <c r="CL14" s="462" t="str">
        <f t="shared" si="14"/>
        <v/>
      </c>
      <c r="CM14" s="462" t="str">
        <f t="shared" si="15"/>
        <v/>
      </c>
      <c r="CN14" s="462" t="str">
        <f t="shared" si="16"/>
        <v>0001-00</v>
      </c>
    </row>
    <row r="15" spans="1:92" ht="15" thickBot="1" x14ac:dyDescent="0.35">
      <c r="A15" s="376" t="s">
        <v>161</v>
      </c>
      <c r="B15" s="376" t="s">
        <v>162</v>
      </c>
      <c r="C15" s="376" t="s">
        <v>265</v>
      </c>
      <c r="D15" s="376" t="s">
        <v>266</v>
      </c>
      <c r="E15" s="376" t="s">
        <v>165</v>
      </c>
      <c r="F15" s="377" t="s">
        <v>166</v>
      </c>
      <c r="G15" s="376" t="s">
        <v>167</v>
      </c>
      <c r="H15" s="378"/>
      <c r="I15" s="378"/>
      <c r="J15" s="376" t="s">
        <v>168</v>
      </c>
      <c r="K15" s="376" t="s">
        <v>267</v>
      </c>
      <c r="L15" s="376" t="s">
        <v>166</v>
      </c>
      <c r="M15" s="376" t="s">
        <v>170</v>
      </c>
      <c r="N15" s="376" t="s">
        <v>171</v>
      </c>
      <c r="O15" s="379">
        <v>1</v>
      </c>
      <c r="P15" s="460">
        <v>1</v>
      </c>
      <c r="Q15" s="460">
        <v>1</v>
      </c>
      <c r="R15" s="380">
        <v>80</v>
      </c>
      <c r="S15" s="460">
        <v>1</v>
      </c>
      <c r="T15" s="380">
        <v>118318.48</v>
      </c>
      <c r="U15" s="380">
        <v>0</v>
      </c>
      <c r="V15" s="380">
        <v>35845.03</v>
      </c>
      <c r="W15" s="380">
        <v>123323.2</v>
      </c>
      <c r="X15" s="380">
        <v>39189.279999999999</v>
      </c>
      <c r="Y15" s="380">
        <v>123323.2</v>
      </c>
      <c r="Z15" s="380">
        <v>38868.639999999999</v>
      </c>
      <c r="AA15" s="376" t="s">
        <v>268</v>
      </c>
      <c r="AB15" s="376" t="s">
        <v>269</v>
      </c>
      <c r="AC15" s="376" t="s">
        <v>270</v>
      </c>
      <c r="AD15" s="376" t="s">
        <v>224</v>
      </c>
      <c r="AE15" s="376" t="s">
        <v>267</v>
      </c>
      <c r="AF15" s="376" t="s">
        <v>176</v>
      </c>
      <c r="AG15" s="376" t="s">
        <v>177</v>
      </c>
      <c r="AH15" s="381">
        <v>59.29</v>
      </c>
      <c r="AI15" s="381">
        <v>51809.2</v>
      </c>
      <c r="AJ15" s="376" t="s">
        <v>178</v>
      </c>
      <c r="AK15" s="376" t="s">
        <v>179</v>
      </c>
      <c r="AL15" s="376" t="s">
        <v>180</v>
      </c>
      <c r="AM15" s="376" t="s">
        <v>181</v>
      </c>
      <c r="AN15" s="376" t="s">
        <v>68</v>
      </c>
      <c r="AO15" s="379">
        <v>80</v>
      </c>
      <c r="AP15" s="460">
        <v>1</v>
      </c>
      <c r="AQ15" s="460">
        <v>1</v>
      </c>
      <c r="AR15" s="458" t="s">
        <v>182</v>
      </c>
      <c r="AS15" s="462">
        <f t="shared" si="0"/>
        <v>1</v>
      </c>
      <c r="AT15">
        <f t="shared" si="1"/>
        <v>1</v>
      </c>
      <c r="AU15" s="462">
        <f>IF(AT15=0,"",IF(AND(AT15=1,M15="F",SUMIF(C2:C698,C15,AS2:AS698)&lt;=1),SUMIF(C2:C698,C15,AS2:AS698),IF(AND(AT15=1,M15="F",SUMIF(C2:C698,C15,AS2:AS698)&gt;1),1,"")))</f>
        <v>1</v>
      </c>
      <c r="AV15" s="462" t="str">
        <f>IF(AT15=0,"",IF(AND(AT15=3,M15="F",SUMIF(C2:C698,C15,AS2:AS698)&lt;=1),SUMIF(C2:C698,C15,AS2:AS698),IF(AND(AT15=3,M15="F",SUMIF(C2:C698,C15,AS2:AS698)&gt;1),1,"")))</f>
        <v/>
      </c>
      <c r="AW15" s="462">
        <f>SUMIF(C2:C698,C15,O2:O698)</f>
        <v>1</v>
      </c>
      <c r="AX15" s="462">
        <f>IF(AND(M15="F",AS15&lt;&gt;0),SUMIF(C2:C698,C15,W2:W698),0)</f>
        <v>123323.2</v>
      </c>
      <c r="AY15" s="462">
        <f t="shared" si="2"/>
        <v>123323.2</v>
      </c>
      <c r="AZ15" s="462" t="str">
        <f t="shared" si="3"/>
        <v/>
      </c>
      <c r="BA15" s="462">
        <f t="shared" si="4"/>
        <v>0</v>
      </c>
      <c r="BB15" s="462">
        <f>IF(AND(AT15=1,AK15="E",AU15&gt;=0.75,AW15=1),Health,IF(AND(AT15=1,AK15="E",AU15&gt;=0.75),Health*P15,IF(AND(AT15=1,AK15="E",AU15&gt;=0.5,AW15=1),PTHealth,IF(AND(AT15=1,AK15="E",AU15&gt;=0.5),PTHealth*P15,0))))</f>
        <v>11650</v>
      </c>
      <c r="BC15" s="462">
        <f>IF(AND(AT15=3,AK15="E",AV15&gt;=0.75,AW15=1),Health,IF(AND(AT15=3,AK15="E",AV15&gt;=0.75),Health*P15,IF(AND(AT15=3,AK15="E",AV15&gt;=0.5,AW15=1),PTHealth,IF(AND(AT15=3,AK15="E",AV15&gt;=0.5),PTHealth*P15,0))))</f>
        <v>0</v>
      </c>
      <c r="BD15" s="462">
        <f>IF(AND(AT15&lt;&gt;0,AX15&gt;=MAXSSDI),SSDI*MAXSSDI*P15,IF(AT15&lt;&gt;0,SSDI*W15,0))</f>
        <v>7646.0383999999995</v>
      </c>
      <c r="BE15" s="462">
        <f>IF(AT15&lt;&gt;0,SSHI*W15,0)</f>
        <v>1788.1864</v>
      </c>
      <c r="BF15" s="462">
        <f>IF(AND(AT15&lt;&gt;0,AN15&lt;&gt;"NE"),VLOOKUP(AN15,Retirement_Rates,3,FALSE)*W15,0)</f>
        <v>14724.790080000001</v>
      </c>
      <c r="BG15" s="462">
        <f>IF(AND(AT15&lt;&gt;0,AJ15&lt;&gt;"PF"),Life*W15,0)</f>
        <v>889.16027199999996</v>
      </c>
      <c r="BH15" s="462">
        <f>IF(AND(AT15&lt;&gt;0,AM15="Y"),UI*W15,0)</f>
        <v>604.28368</v>
      </c>
      <c r="BI15" s="462">
        <f>IF(AND(AT15&lt;&gt;0,N15&lt;&gt;"NR"),DHR*W15,0)</f>
        <v>0</v>
      </c>
      <c r="BJ15" s="462">
        <f>IF(AT15&lt;&gt;0,WC*W15,0)</f>
        <v>1886.8449599999999</v>
      </c>
      <c r="BK15" s="462">
        <f>IF(OR(AND(AT15&lt;&gt;0,AJ15&lt;&gt;"PF",AN15&lt;&gt;"NE",AG15&lt;&gt;"A"),AND(AL15="E",OR(AT15=1,AT15=3))),Sick*W15,0)</f>
        <v>0</v>
      </c>
      <c r="BL15" s="462">
        <f t="shared" si="5"/>
        <v>27539.303792000002</v>
      </c>
      <c r="BM15" s="462">
        <f t="shared" si="6"/>
        <v>0</v>
      </c>
      <c r="BN15" s="462">
        <f>IF(AND(AT15=1,AK15="E",AU15&gt;=0.75,AW15=1),HealthBY,IF(AND(AT15=1,AK15="E",AU15&gt;=0.75),HealthBY*P15,IF(AND(AT15=1,AK15="E",AU15&gt;=0.5,AW15=1),PTHealthBY,IF(AND(AT15=1,AK15="E",AU15&gt;=0.5),PTHealthBY*P15,0))))</f>
        <v>11650</v>
      </c>
      <c r="BO15" s="462">
        <f>IF(AND(AT15=3,AK15="E",AV15&gt;=0.75,AW15=1),HealthBY,IF(AND(AT15=3,AK15="E",AV15&gt;=0.75),HealthBY*P15,IF(AND(AT15=3,AK15="E",AV15&gt;=0.5,AW15=1),PTHealthBY,IF(AND(AT15=3,AK15="E",AV15&gt;=0.5),PTHealthBY*P15,0))))</f>
        <v>0</v>
      </c>
      <c r="BP15" s="462">
        <f>IF(AND(AT15&lt;&gt;0,(AX15+BA15)&gt;=MAXSSDIBY),SSDIBY*MAXSSDIBY*P15,IF(AT15&lt;&gt;0,SSDIBY*W15,0))</f>
        <v>7646.0383999999995</v>
      </c>
      <c r="BQ15" s="462">
        <f>IF(AT15&lt;&gt;0,SSHIBY*W15,0)</f>
        <v>1788.1864</v>
      </c>
      <c r="BR15" s="462">
        <f>IF(AND(AT15&lt;&gt;0,AN15&lt;&gt;"NE"),VLOOKUP(AN15,Retirement_Rates,4,FALSE)*W15,0)</f>
        <v>14724.790080000001</v>
      </c>
      <c r="BS15" s="462">
        <f>IF(AND(AT15&lt;&gt;0,AJ15&lt;&gt;"PF"),LifeBY*W15,0)</f>
        <v>889.16027199999996</v>
      </c>
      <c r="BT15" s="462">
        <f>IF(AND(AT15&lt;&gt;0,AM15="Y"),UIBY*W15,0)</f>
        <v>0</v>
      </c>
      <c r="BU15" s="462">
        <f>IF(AND(AT15&lt;&gt;0,N15&lt;&gt;"NR"),DHRBY*W15,0)</f>
        <v>0</v>
      </c>
      <c r="BV15" s="462">
        <f>IF(AT15&lt;&gt;0,WCBY*W15,0)</f>
        <v>2170.4883199999999</v>
      </c>
      <c r="BW15" s="462">
        <f>IF(OR(AND(AT15&lt;&gt;0,AJ15&lt;&gt;"PF",AN15&lt;&gt;"NE",AG15&lt;&gt;"A"),AND(AL15="E",OR(AT15=1,AT15=3))),SickBY*W15,0)</f>
        <v>0</v>
      </c>
      <c r="BX15" s="462">
        <f t="shared" si="7"/>
        <v>27218.663472000004</v>
      </c>
      <c r="BY15" s="462">
        <f t="shared" si="8"/>
        <v>0</v>
      </c>
      <c r="BZ15" s="462">
        <f t="shared" si="9"/>
        <v>0</v>
      </c>
      <c r="CA15" s="462">
        <f t="shared" si="10"/>
        <v>0</v>
      </c>
      <c r="CB15" s="462">
        <f t="shared" si="11"/>
        <v>0</v>
      </c>
      <c r="CC15" s="462">
        <f>IF(AT15&lt;&gt;0,SSHICHG*Y15,0)</f>
        <v>0</v>
      </c>
      <c r="CD15" s="462">
        <f>IF(AND(AT15&lt;&gt;0,AN15&lt;&gt;"NE"),VLOOKUP(AN15,Retirement_Rates,5,FALSE)*Y15,0)</f>
        <v>0</v>
      </c>
      <c r="CE15" s="462">
        <f>IF(AND(AT15&lt;&gt;0,AJ15&lt;&gt;"PF"),LifeCHG*Y15,0)</f>
        <v>0</v>
      </c>
      <c r="CF15" s="462">
        <f>IF(AND(AT15&lt;&gt;0,AM15="Y"),UICHG*Y15,0)</f>
        <v>-604.28368</v>
      </c>
      <c r="CG15" s="462">
        <f>IF(AND(AT15&lt;&gt;0,N15&lt;&gt;"NR"),DHRCHG*Y15,0)</f>
        <v>0</v>
      </c>
      <c r="CH15" s="462">
        <f>IF(AT15&lt;&gt;0,WCCHG*Y15,0)</f>
        <v>283.6433600000002</v>
      </c>
      <c r="CI15" s="462">
        <f>IF(OR(AND(AT15&lt;&gt;0,AJ15&lt;&gt;"PF",AN15&lt;&gt;"NE",AG15&lt;&gt;"A"),AND(AL15="E",OR(AT15=1,AT15=3))),SickCHG*Y15,0)</f>
        <v>0</v>
      </c>
      <c r="CJ15" s="462">
        <f t="shared" si="12"/>
        <v>-320.6403199999998</v>
      </c>
      <c r="CK15" s="462" t="str">
        <f t="shared" si="13"/>
        <v/>
      </c>
      <c r="CL15" s="462" t="str">
        <f t="shared" si="14"/>
        <v/>
      </c>
      <c r="CM15" s="462" t="str">
        <f t="shared" si="15"/>
        <v/>
      </c>
      <c r="CN15" s="462" t="str">
        <f t="shared" si="16"/>
        <v>0001-00</v>
      </c>
    </row>
    <row r="16" spans="1:92" ht="15" thickBot="1" x14ac:dyDescent="0.35">
      <c r="A16" s="376" t="s">
        <v>161</v>
      </c>
      <c r="B16" s="376" t="s">
        <v>162</v>
      </c>
      <c r="C16" s="376" t="s">
        <v>271</v>
      </c>
      <c r="D16" s="376" t="s">
        <v>272</v>
      </c>
      <c r="E16" s="376" t="s">
        <v>165</v>
      </c>
      <c r="F16" s="377" t="s">
        <v>166</v>
      </c>
      <c r="G16" s="376" t="s">
        <v>167</v>
      </c>
      <c r="H16" s="378"/>
      <c r="I16" s="378"/>
      <c r="J16" s="376" t="s">
        <v>168</v>
      </c>
      <c r="K16" s="376" t="s">
        <v>273</v>
      </c>
      <c r="L16" s="376" t="s">
        <v>274</v>
      </c>
      <c r="M16" s="376" t="s">
        <v>170</v>
      </c>
      <c r="N16" s="376" t="s">
        <v>202</v>
      </c>
      <c r="O16" s="379">
        <v>1</v>
      </c>
      <c r="P16" s="460">
        <v>1</v>
      </c>
      <c r="Q16" s="460">
        <v>1</v>
      </c>
      <c r="R16" s="380">
        <v>80</v>
      </c>
      <c r="S16" s="460">
        <v>1</v>
      </c>
      <c r="T16" s="380">
        <v>30244.07</v>
      </c>
      <c r="U16" s="380">
        <v>0</v>
      </c>
      <c r="V16" s="380">
        <v>16569.939999999999</v>
      </c>
      <c r="W16" s="380">
        <v>36400</v>
      </c>
      <c r="X16" s="380">
        <v>19889.86</v>
      </c>
      <c r="Y16" s="380">
        <v>36400</v>
      </c>
      <c r="Z16" s="380">
        <v>19795.22</v>
      </c>
      <c r="AA16" s="376" t="s">
        <v>275</v>
      </c>
      <c r="AB16" s="376" t="s">
        <v>276</v>
      </c>
      <c r="AC16" s="376" t="s">
        <v>277</v>
      </c>
      <c r="AD16" s="376" t="s">
        <v>278</v>
      </c>
      <c r="AE16" s="376" t="s">
        <v>273</v>
      </c>
      <c r="AF16" s="376" t="s">
        <v>279</v>
      </c>
      <c r="AG16" s="376" t="s">
        <v>177</v>
      </c>
      <c r="AH16" s="381">
        <v>17.5</v>
      </c>
      <c r="AI16" s="381">
        <v>9882.2000000000007</v>
      </c>
      <c r="AJ16" s="376" t="s">
        <v>178</v>
      </c>
      <c r="AK16" s="376" t="s">
        <v>179</v>
      </c>
      <c r="AL16" s="376" t="s">
        <v>180</v>
      </c>
      <c r="AM16" s="376" t="s">
        <v>181</v>
      </c>
      <c r="AN16" s="376" t="s">
        <v>68</v>
      </c>
      <c r="AO16" s="379">
        <v>80</v>
      </c>
      <c r="AP16" s="460">
        <v>1</v>
      </c>
      <c r="AQ16" s="460">
        <v>1</v>
      </c>
      <c r="AR16" s="458" t="s">
        <v>182</v>
      </c>
      <c r="AS16" s="462">
        <f t="shared" si="0"/>
        <v>1</v>
      </c>
      <c r="AT16">
        <f t="shared" si="1"/>
        <v>1</v>
      </c>
      <c r="AU16" s="462">
        <f>IF(AT16=0,"",IF(AND(AT16=1,M16="F",SUMIF(C2:C698,C16,AS2:AS698)&lt;=1),SUMIF(C2:C698,C16,AS2:AS698),IF(AND(AT16=1,M16="F",SUMIF(C2:C698,C16,AS2:AS698)&gt;1),1,"")))</f>
        <v>1</v>
      </c>
      <c r="AV16" s="462" t="str">
        <f>IF(AT16=0,"",IF(AND(AT16=3,M16="F",SUMIF(C2:C698,C16,AS2:AS698)&lt;=1),SUMIF(C2:C698,C16,AS2:AS698),IF(AND(AT16=3,M16="F",SUMIF(C2:C698,C16,AS2:AS698)&gt;1),1,"")))</f>
        <v/>
      </c>
      <c r="AW16" s="462">
        <f>SUMIF(C2:C698,C16,O2:O698)</f>
        <v>1</v>
      </c>
      <c r="AX16" s="462">
        <f>IF(AND(M16="F",AS16&lt;&gt;0),SUMIF(C2:C698,C16,W2:W698),0)</f>
        <v>36400</v>
      </c>
      <c r="AY16" s="462">
        <f t="shared" si="2"/>
        <v>36400</v>
      </c>
      <c r="AZ16" s="462" t="str">
        <f t="shared" si="3"/>
        <v/>
      </c>
      <c r="BA16" s="462">
        <f t="shared" si="4"/>
        <v>0</v>
      </c>
      <c r="BB16" s="462">
        <f>IF(AND(AT16=1,AK16="E",AU16&gt;=0.75,AW16=1),Health,IF(AND(AT16=1,AK16="E",AU16&gt;=0.75),Health*P16,IF(AND(AT16=1,AK16="E",AU16&gt;=0.5,AW16=1),PTHealth,IF(AND(AT16=1,AK16="E",AU16&gt;=0.5),PTHealth*P16,0))))</f>
        <v>11650</v>
      </c>
      <c r="BC16" s="462">
        <f>IF(AND(AT16=3,AK16="E",AV16&gt;=0.75,AW16=1),Health,IF(AND(AT16=3,AK16="E",AV16&gt;=0.75),Health*P16,IF(AND(AT16=3,AK16="E",AV16&gt;=0.5,AW16=1),PTHealth,IF(AND(AT16=3,AK16="E",AV16&gt;=0.5),PTHealth*P16,0))))</f>
        <v>0</v>
      </c>
      <c r="BD16" s="462">
        <f>IF(AND(AT16&lt;&gt;0,AX16&gt;=MAXSSDI),SSDI*MAXSSDI*P16,IF(AT16&lt;&gt;0,SSDI*W16,0))</f>
        <v>2256.8000000000002</v>
      </c>
      <c r="BE16" s="462">
        <f>IF(AT16&lt;&gt;0,SSHI*W16,0)</f>
        <v>527.80000000000007</v>
      </c>
      <c r="BF16" s="462">
        <f>IF(AND(AT16&lt;&gt;0,AN16&lt;&gt;"NE"),VLOOKUP(AN16,Retirement_Rates,3,FALSE)*W16,0)</f>
        <v>4346.16</v>
      </c>
      <c r="BG16" s="462">
        <f>IF(AND(AT16&lt;&gt;0,AJ16&lt;&gt;"PF"),Life*W16,0)</f>
        <v>262.44400000000002</v>
      </c>
      <c r="BH16" s="462">
        <f>IF(AND(AT16&lt;&gt;0,AM16="Y"),UI*W16,0)</f>
        <v>178.35999999999999</v>
      </c>
      <c r="BI16" s="462">
        <f>IF(AND(AT16&lt;&gt;0,N16&lt;&gt;"NR"),DHR*W16,0)</f>
        <v>111.38399999999999</v>
      </c>
      <c r="BJ16" s="462">
        <f>IF(AT16&lt;&gt;0,WC*W16,0)</f>
        <v>556.91999999999996</v>
      </c>
      <c r="BK16" s="462">
        <f>IF(OR(AND(AT16&lt;&gt;0,AJ16&lt;&gt;"PF",AN16&lt;&gt;"NE",AG16&lt;&gt;"A"),AND(AL16="E",OR(AT16=1,AT16=3))),Sick*W16,0)</f>
        <v>0</v>
      </c>
      <c r="BL16" s="462">
        <f t="shared" si="5"/>
        <v>8239.8680000000004</v>
      </c>
      <c r="BM16" s="462">
        <f t="shared" si="6"/>
        <v>0</v>
      </c>
      <c r="BN16" s="462">
        <f>IF(AND(AT16=1,AK16="E",AU16&gt;=0.75,AW16=1),HealthBY,IF(AND(AT16=1,AK16="E",AU16&gt;=0.75),HealthBY*P16,IF(AND(AT16=1,AK16="E",AU16&gt;=0.5,AW16=1),PTHealthBY,IF(AND(AT16=1,AK16="E",AU16&gt;=0.5),PTHealthBY*P16,0))))</f>
        <v>11650</v>
      </c>
      <c r="BO16" s="462">
        <f>IF(AND(AT16=3,AK16="E",AV16&gt;=0.75,AW16=1),HealthBY,IF(AND(AT16=3,AK16="E",AV16&gt;=0.75),HealthBY*P16,IF(AND(AT16=3,AK16="E",AV16&gt;=0.5,AW16=1),PTHealthBY,IF(AND(AT16=3,AK16="E",AV16&gt;=0.5),PTHealthBY*P16,0))))</f>
        <v>0</v>
      </c>
      <c r="BP16" s="462">
        <f>IF(AND(AT16&lt;&gt;0,(AX16+BA16)&gt;=MAXSSDIBY),SSDIBY*MAXSSDIBY*P16,IF(AT16&lt;&gt;0,SSDIBY*W16,0))</f>
        <v>2256.8000000000002</v>
      </c>
      <c r="BQ16" s="462">
        <f>IF(AT16&lt;&gt;0,SSHIBY*W16,0)</f>
        <v>527.80000000000007</v>
      </c>
      <c r="BR16" s="462">
        <f>IF(AND(AT16&lt;&gt;0,AN16&lt;&gt;"NE"),VLOOKUP(AN16,Retirement_Rates,4,FALSE)*W16,0)</f>
        <v>4346.16</v>
      </c>
      <c r="BS16" s="462">
        <f>IF(AND(AT16&lt;&gt;0,AJ16&lt;&gt;"PF"),LifeBY*W16,0)</f>
        <v>262.44400000000002</v>
      </c>
      <c r="BT16" s="462">
        <f>IF(AND(AT16&lt;&gt;0,AM16="Y"),UIBY*W16,0)</f>
        <v>0</v>
      </c>
      <c r="BU16" s="462">
        <f>IF(AND(AT16&lt;&gt;0,N16&lt;&gt;"NR"),DHRBY*W16,0)</f>
        <v>111.38399999999999</v>
      </c>
      <c r="BV16" s="462">
        <f>IF(AT16&lt;&gt;0,WCBY*W16,0)</f>
        <v>640.64</v>
      </c>
      <c r="BW16" s="462">
        <f>IF(OR(AND(AT16&lt;&gt;0,AJ16&lt;&gt;"PF",AN16&lt;&gt;"NE",AG16&lt;&gt;"A"),AND(AL16="E",OR(AT16=1,AT16=3))),SickBY*W16,0)</f>
        <v>0</v>
      </c>
      <c r="BX16" s="462">
        <f t="shared" si="7"/>
        <v>8145.228000000001</v>
      </c>
      <c r="BY16" s="462">
        <f t="shared" si="8"/>
        <v>0</v>
      </c>
      <c r="BZ16" s="462">
        <f t="shared" si="9"/>
        <v>0</v>
      </c>
      <c r="CA16" s="462">
        <f t="shared" si="10"/>
        <v>0</v>
      </c>
      <c r="CB16" s="462">
        <f t="shared" si="11"/>
        <v>0</v>
      </c>
      <c r="CC16" s="462">
        <f>IF(AT16&lt;&gt;0,SSHICHG*Y16,0)</f>
        <v>0</v>
      </c>
      <c r="CD16" s="462">
        <f>IF(AND(AT16&lt;&gt;0,AN16&lt;&gt;"NE"),VLOOKUP(AN16,Retirement_Rates,5,FALSE)*Y16,0)</f>
        <v>0</v>
      </c>
      <c r="CE16" s="462">
        <f>IF(AND(AT16&lt;&gt;0,AJ16&lt;&gt;"PF"),LifeCHG*Y16,0)</f>
        <v>0</v>
      </c>
      <c r="CF16" s="462">
        <f>IF(AND(AT16&lt;&gt;0,AM16="Y"),UICHG*Y16,0)</f>
        <v>-178.35999999999999</v>
      </c>
      <c r="CG16" s="462">
        <f>IF(AND(AT16&lt;&gt;0,N16&lt;&gt;"NR"),DHRCHG*Y16,0)</f>
        <v>0</v>
      </c>
      <c r="CH16" s="462">
        <f>IF(AT16&lt;&gt;0,WCCHG*Y16,0)</f>
        <v>83.720000000000056</v>
      </c>
      <c r="CI16" s="462">
        <f>IF(OR(AND(AT16&lt;&gt;0,AJ16&lt;&gt;"PF",AN16&lt;&gt;"NE",AG16&lt;&gt;"A"),AND(AL16="E",OR(AT16=1,AT16=3))),SickCHG*Y16,0)</f>
        <v>0</v>
      </c>
      <c r="CJ16" s="462">
        <f t="shared" si="12"/>
        <v>-94.63999999999993</v>
      </c>
      <c r="CK16" s="462" t="str">
        <f t="shared" si="13"/>
        <v/>
      </c>
      <c r="CL16" s="462" t="str">
        <f t="shared" si="14"/>
        <v/>
      </c>
      <c r="CM16" s="462" t="str">
        <f t="shared" si="15"/>
        <v/>
      </c>
      <c r="CN16" s="462" t="str">
        <f t="shared" si="16"/>
        <v>0001-00</v>
      </c>
    </row>
    <row r="17" spans="1:92" ht="15" thickBot="1" x14ac:dyDescent="0.35">
      <c r="A17" s="376" t="s">
        <v>161</v>
      </c>
      <c r="B17" s="376" t="s">
        <v>162</v>
      </c>
      <c r="C17" s="376" t="s">
        <v>280</v>
      </c>
      <c r="D17" s="376" t="s">
        <v>281</v>
      </c>
      <c r="E17" s="376" t="s">
        <v>165</v>
      </c>
      <c r="F17" s="377" t="s">
        <v>166</v>
      </c>
      <c r="G17" s="376" t="s">
        <v>167</v>
      </c>
      <c r="H17" s="378"/>
      <c r="I17" s="378"/>
      <c r="J17" s="376" t="s">
        <v>185</v>
      </c>
      <c r="K17" s="376" t="s">
        <v>282</v>
      </c>
      <c r="L17" s="376" t="s">
        <v>243</v>
      </c>
      <c r="M17" s="376" t="s">
        <v>170</v>
      </c>
      <c r="N17" s="376" t="s">
        <v>202</v>
      </c>
      <c r="O17" s="379">
        <v>1</v>
      </c>
      <c r="P17" s="460">
        <v>0.33</v>
      </c>
      <c r="Q17" s="460">
        <v>0.33</v>
      </c>
      <c r="R17" s="380">
        <v>80</v>
      </c>
      <c r="S17" s="460">
        <v>0.33</v>
      </c>
      <c r="T17" s="380">
        <v>24942.880000000001</v>
      </c>
      <c r="U17" s="380">
        <v>0</v>
      </c>
      <c r="V17" s="380">
        <v>8745.42</v>
      </c>
      <c r="W17" s="380">
        <v>25884.14</v>
      </c>
      <c r="X17" s="380">
        <v>9703.8799999999992</v>
      </c>
      <c r="Y17" s="380">
        <v>25884.14</v>
      </c>
      <c r="Z17" s="380">
        <v>9636.58</v>
      </c>
      <c r="AA17" s="376" t="s">
        <v>283</v>
      </c>
      <c r="AB17" s="376" t="s">
        <v>284</v>
      </c>
      <c r="AC17" s="376" t="s">
        <v>285</v>
      </c>
      <c r="AD17" s="376" t="s">
        <v>247</v>
      </c>
      <c r="AE17" s="376" t="s">
        <v>282</v>
      </c>
      <c r="AF17" s="376" t="s">
        <v>248</v>
      </c>
      <c r="AG17" s="376" t="s">
        <v>177</v>
      </c>
      <c r="AH17" s="381">
        <v>37.71</v>
      </c>
      <c r="AI17" s="379">
        <v>20220</v>
      </c>
      <c r="AJ17" s="376" t="s">
        <v>178</v>
      </c>
      <c r="AK17" s="376" t="s">
        <v>179</v>
      </c>
      <c r="AL17" s="376" t="s">
        <v>180</v>
      </c>
      <c r="AM17" s="376" t="s">
        <v>181</v>
      </c>
      <c r="AN17" s="376" t="s">
        <v>68</v>
      </c>
      <c r="AO17" s="379">
        <v>80</v>
      </c>
      <c r="AP17" s="460">
        <v>1</v>
      </c>
      <c r="AQ17" s="460">
        <v>0.33</v>
      </c>
      <c r="AR17" s="458" t="s">
        <v>182</v>
      </c>
      <c r="AS17" s="462">
        <f t="shared" si="0"/>
        <v>0.33</v>
      </c>
      <c r="AT17">
        <f t="shared" si="1"/>
        <v>1</v>
      </c>
      <c r="AU17" s="462">
        <f>IF(AT17=0,"",IF(AND(AT17=1,M17="F",SUMIF(C2:C698,C17,AS2:AS698)&lt;=1),SUMIF(C2:C698,C17,AS2:AS698),IF(AND(AT17=1,M17="F",SUMIF(C2:C698,C17,AS2:AS698)&gt;1),1,"")))</f>
        <v>1</v>
      </c>
      <c r="AV17" s="462" t="str">
        <f>IF(AT17=0,"",IF(AND(AT17=3,M17="F",SUMIF(C2:C698,C17,AS2:AS698)&lt;=1),SUMIF(C2:C698,C17,AS2:AS698),IF(AND(AT17=3,M17="F",SUMIF(C2:C698,C17,AS2:AS698)&gt;1),1,"")))</f>
        <v/>
      </c>
      <c r="AW17" s="462">
        <f>SUMIF(C2:C698,C17,O2:O698)</f>
        <v>2</v>
      </c>
      <c r="AX17" s="462">
        <f>IF(AND(M17="F",AS17&lt;&gt;0),SUMIF(C2:C698,C17,W2:W698),0)</f>
        <v>78436.790000000008</v>
      </c>
      <c r="AY17" s="462">
        <f t="shared" si="2"/>
        <v>25884.14</v>
      </c>
      <c r="AZ17" s="462" t="str">
        <f t="shared" si="3"/>
        <v/>
      </c>
      <c r="BA17" s="462">
        <f t="shared" si="4"/>
        <v>0</v>
      </c>
      <c r="BB17" s="462">
        <f>IF(AND(AT17=1,AK17="E",AU17&gt;=0.75,AW17=1),Health,IF(AND(AT17=1,AK17="E",AU17&gt;=0.75),Health*P17,IF(AND(AT17=1,AK17="E",AU17&gt;=0.5,AW17=1),PTHealth,IF(AND(AT17=1,AK17="E",AU17&gt;=0.5),PTHealth*P17,0))))</f>
        <v>3844.5</v>
      </c>
      <c r="BC17" s="462">
        <f>IF(AND(AT17=3,AK17="E",AV17&gt;=0.75,AW17=1),Health,IF(AND(AT17=3,AK17="E",AV17&gt;=0.75),Health*P17,IF(AND(AT17=3,AK17="E",AV17&gt;=0.5,AW17=1),PTHealth,IF(AND(AT17=3,AK17="E",AV17&gt;=0.5),PTHealth*P17,0))))</f>
        <v>0</v>
      </c>
      <c r="BD17" s="462">
        <f>IF(AND(AT17&lt;&gt;0,AX17&gt;=MAXSSDI),SSDI*MAXSSDI*P17,IF(AT17&lt;&gt;0,SSDI*W17,0))</f>
        <v>1604.8166799999999</v>
      </c>
      <c r="BE17" s="462">
        <f>IF(AT17&lt;&gt;0,SSHI*W17,0)</f>
        <v>375.32003000000003</v>
      </c>
      <c r="BF17" s="462">
        <f>IF(AND(AT17&lt;&gt;0,AN17&lt;&gt;"NE"),VLOOKUP(AN17,Retirement_Rates,3,FALSE)*W17,0)</f>
        <v>3090.5663159999999</v>
      </c>
      <c r="BG17" s="462">
        <f>IF(AND(AT17&lt;&gt;0,AJ17&lt;&gt;"PF"),Life*W17,0)</f>
        <v>186.62464940000001</v>
      </c>
      <c r="BH17" s="462">
        <f>IF(AND(AT17&lt;&gt;0,AM17="Y"),UI*W17,0)</f>
        <v>126.832286</v>
      </c>
      <c r="BI17" s="462">
        <f>IF(AND(AT17&lt;&gt;0,N17&lt;&gt;"NR"),DHR*W17,0)</f>
        <v>79.205468399999987</v>
      </c>
      <c r="BJ17" s="462">
        <f>IF(AT17&lt;&gt;0,WC*W17,0)</f>
        <v>396.02734199999998</v>
      </c>
      <c r="BK17" s="462">
        <f>IF(OR(AND(AT17&lt;&gt;0,AJ17&lt;&gt;"PF",AN17&lt;&gt;"NE",AG17&lt;&gt;"A"),AND(AL17="E",OR(AT17=1,AT17=3))),Sick*W17,0)</f>
        <v>0</v>
      </c>
      <c r="BL17" s="462">
        <f t="shared" si="5"/>
        <v>5859.3927718000004</v>
      </c>
      <c r="BM17" s="462">
        <f t="shared" si="6"/>
        <v>0</v>
      </c>
      <c r="BN17" s="462">
        <f>IF(AND(AT17=1,AK17="E",AU17&gt;=0.75,AW17=1),HealthBY,IF(AND(AT17=1,AK17="E",AU17&gt;=0.75),HealthBY*P17,IF(AND(AT17=1,AK17="E",AU17&gt;=0.5,AW17=1),PTHealthBY,IF(AND(AT17=1,AK17="E",AU17&gt;=0.5),PTHealthBY*P17,0))))</f>
        <v>3844.5</v>
      </c>
      <c r="BO17" s="462">
        <f>IF(AND(AT17=3,AK17="E",AV17&gt;=0.75,AW17=1),HealthBY,IF(AND(AT17=3,AK17="E",AV17&gt;=0.75),HealthBY*P17,IF(AND(AT17=3,AK17="E",AV17&gt;=0.5,AW17=1),PTHealthBY,IF(AND(AT17=3,AK17="E",AV17&gt;=0.5),PTHealthBY*P17,0))))</f>
        <v>0</v>
      </c>
      <c r="BP17" s="462">
        <f>IF(AND(AT17&lt;&gt;0,(AX17+BA17)&gt;=MAXSSDIBY),SSDIBY*MAXSSDIBY*P17,IF(AT17&lt;&gt;0,SSDIBY*W17,0))</f>
        <v>1604.8166799999999</v>
      </c>
      <c r="BQ17" s="462">
        <f>IF(AT17&lt;&gt;0,SSHIBY*W17,0)</f>
        <v>375.32003000000003</v>
      </c>
      <c r="BR17" s="462">
        <f>IF(AND(AT17&lt;&gt;0,AN17&lt;&gt;"NE"),VLOOKUP(AN17,Retirement_Rates,4,FALSE)*W17,0)</f>
        <v>3090.5663159999999</v>
      </c>
      <c r="BS17" s="462">
        <f>IF(AND(AT17&lt;&gt;0,AJ17&lt;&gt;"PF"),LifeBY*W17,0)</f>
        <v>186.62464940000001</v>
      </c>
      <c r="BT17" s="462">
        <f>IF(AND(AT17&lt;&gt;0,AM17="Y"),UIBY*W17,0)</f>
        <v>0</v>
      </c>
      <c r="BU17" s="462">
        <f>IF(AND(AT17&lt;&gt;0,N17&lt;&gt;"NR"),DHRBY*W17,0)</f>
        <v>79.205468399999987</v>
      </c>
      <c r="BV17" s="462">
        <f>IF(AT17&lt;&gt;0,WCBY*W17,0)</f>
        <v>455.56086400000004</v>
      </c>
      <c r="BW17" s="462">
        <f>IF(OR(AND(AT17&lt;&gt;0,AJ17&lt;&gt;"PF",AN17&lt;&gt;"NE",AG17&lt;&gt;"A"),AND(AL17="E",OR(AT17=1,AT17=3))),SickBY*W17,0)</f>
        <v>0</v>
      </c>
      <c r="BX17" s="462">
        <f t="shared" si="7"/>
        <v>5792.0940078000003</v>
      </c>
      <c r="BY17" s="462">
        <f t="shared" si="8"/>
        <v>0</v>
      </c>
      <c r="BZ17" s="462">
        <f t="shared" si="9"/>
        <v>0</v>
      </c>
      <c r="CA17" s="462">
        <f t="shared" si="10"/>
        <v>0</v>
      </c>
      <c r="CB17" s="462">
        <f t="shared" si="11"/>
        <v>0</v>
      </c>
      <c r="CC17" s="462">
        <f>IF(AT17&lt;&gt;0,SSHICHG*Y17,0)</f>
        <v>0</v>
      </c>
      <c r="CD17" s="462">
        <f>IF(AND(AT17&lt;&gt;0,AN17&lt;&gt;"NE"),VLOOKUP(AN17,Retirement_Rates,5,FALSE)*Y17,0)</f>
        <v>0</v>
      </c>
      <c r="CE17" s="462">
        <f>IF(AND(AT17&lt;&gt;0,AJ17&lt;&gt;"PF"),LifeCHG*Y17,0)</f>
        <v>0</v>
      </c>
      <c r="CF17" s="462">
        <f>IF(AND(AT17&lt;&gt;0,AM17="Y"),UICHG*Y17,0)</f>
        <v>-126.832286</v>
      </c>
      <c r="CG17" s="462">
        <f>IF(AND(AT17&lt;&gt;0,N17&lt;&gt;"NR"),DHRCHG*Y17,0)</f>
        <v>0</v>
      </c>
      <c r="CH17" s="462">
        <f>IF(AT17&lt;&gt;0,WCCHG*Y17,0)</f>
        <v>59.53352200000004</v>
      </c>
      <c r="CI17" s="462">
        <f>IF(OR(AND(AT17&lt;&gt;0,AJ17&lt;&gt;"PF",AN17&lt;&gt;"NE",AG17&lt;&gt;"A"),AND(AL17="E",OR(AT17=1,AT17=3))),SickCHG*Y17,0)</f>
        <v>0</v>
      </c>
      <c r="CJ17" s="462">
        <f t="shared" si="12"/>
        <v>-67.298763999999949</v>
      </c>
      <c r="CK17" s="462" t="str">
        <f t="shared" si="13"/>
        <v/>
      </c>
      <c r="CL17" s="462" t="str">
        <f t="shared" si="14"/>
        <v/>
      </c>
      <c r="CM17" s="462" t="str">
        <f t="shared" si="15"/>
        <v/>
      </c>
      <c r="CN17" s="462" t="str">
        <f t="shared" si="16"/>
        <v>0001-00</v>
      </c>
    </row>
    <row r="18" spans="1:92" ht="15" thickBot="1" x14ac:dyDescent="0.35">
      <c r="A18" s="376" t="s">
        <v>161</v>
      </c>
      <c r="B18" s="376" t="s">
        <v>162</v>
      </c>
      <c r="C18" s="376" t="s">
        <v>286</v>
      </c>
      <c r="D18" s="376" t="s">
        <v>287</v>
      </c>
      <c r="E18" s="376" t="s">
        <v>288</v>
      </c>
      <c r="F18" s="382" t="s">
        <v>289</v>
      </c>
      <c r="G18" s="376" t="s">
        <v>167</v>
      </c>
      <c r="H18" s="378"/>
      <c r="I18" s="378"/>
      <c r="J18" s="376" t="s">
        <v>168</v>
      </c>
      <c r="K18" s="376" t="s">
        <v>290</v>
      </c>
      <c r="L18" s="376" t="s">
        <v>166</v>
      </c>
      <c r="M18" s="376" t="s">
        <v>201</v>
      </c>
      <c r="N18" s="376" t="s">
        <v>291</v>
      </c>
      <c r="O18" s="379">
        <v>0</v>
      </c>
      <c r="P18" s="460">
        <v>1</v>
      </c>
      <c r="Q18" s="460">
        <v>0</v>
      </c>
      <c r="R18" s="380">
        <v>0</v>
      </c>
      <c r="S18" s="460">
        <v>0</v>
      </c>
      <c r="T18" s="380">
        <v>0</v>
      </c>
      <c r="U18" s="380">
        <v>0</v>
      </c>
      <c r="V18" s="380">
        <v>0</v>
      </c>
      <c r="W18" s="380">
        <v>0</v>
      </c>
      <c r="X18" s="380">
        <v>0</v>
      </c>
      <c r="Y18" s="380">
        <v>0</v>
      </c>
      <c r="Z18" s="380">
        <v>0</v>
      </c>
      <c r="AA18" s="378"/>
      <c r="AB18" s="376" t="s">
        <v>45</v>
      </c>
      <c r="AC18" s="376" t="s">
        <v>45</v>
      </c>
      <c r="AD18" s="378"/>
      <c r="AE18" s="378"/>
      <c r="AF18" s="378"/>
      <c r="AG18" s="378"/>
      <c r="AH18" s="379">
        <v>0</v>
      </c>
      <c r="AI18" s="379">
        <v>0</v>
      </c>
      <c r="AJ18" s="378"/>
      <c r="AK18" s="378"/>
      <c r="AL18" s="376" t="s">
        <v>180</v>
      </c>
      <c r="AM18" s="378"/>
      <c r="AN18" s="378"/>
      <c r="AO18" s="379">
        <v>0</v>
      </c>
      <c r="AP18" s="460">
        <v>0</v>
      </c>
      <c r="AQ18" s="460">
        <v>0</v>
      </c>
      <c r="AR18" s="459"/>
      <c r="AS18" s="462">
        <f t="shared" si="0"/>
        <v>0</v>
      </c>
      <c r="AT18">
        <f t="shared" si="1"/>
        <v>0</v>
      </c>
      <c r="AU18" s="462" t="str">
        <f>IF(AT18=0,"",IF(AND(AT18=1,M18="F",SUMIF(C2:C698,C18,AS2:AS698)&lt;=1),SUMIF(C2:C698,C18,AS2:AS698),IF(AND(AT18=1,M18="F",SUMIF(C2:C698,C18,AS2:AS698)&gt;1),1,"")))</f>
        <v/>
      </c>
      <c r="AV18" s="462" t="str">
        <f>IF(AT18=0,"",IF(AND(AT18=3,M18="F",SUMIF(C2:C698,C18,AS2:AS698)&lt;=1),SUMIF(C2:C698,C18,AS2:AS698),IF(AND(AT18=3,M18="F",SUMIF(C2:C698,C18,AS2:AS698)&gt;1),1,"")))</f>
        <v/>
      </c>
      <c r="AW18" s="462">
        <f>SUMIF(C2:C698,C18,O2:O698)</f>
        <v>0</v>
      </c>
      <c r="AX18" s="462">
        <f>IF(AND(M18="F",AS18&lt;&gt;0),SUMIF(C2:C698,C18,W2:W698),0)</f>
        <v>0</v>
      </c>
      <c r="AY18" s="462" t="str">
        <f t="shared" si="2"/>
        <v/>
      </c>
      <c r="AZ18" s="462" t="str">
        <f t="shared" si="3"/>
        <v/>
      </c>
      <c r="BA18" s="462">
        <f t="shared" si="4"/>
        <v>0</v>
      </c>
      <c r="BB18" s="462">
        <f>IF(AND(AT18=1,AK18="E",AU18&gt;=0.75,AW18=1),Health,IF(AND(AT18=1,AK18="E",AU18&gt;=0.75),Health*P18,IF(AND(AT18=1,AK18="E",AU18&gt;=0.5,AW18=1),PTHealth,IF(AND(AT18=1,AK18="E",AU18&gt;=0.5),PTHealth*P18,0))))</f>
        <v>0</v>
      </c>
      <c r="BC18" s="462">
        <f>IF(AND(AT18=3,AK18="E",AV18&gt;=0.75,AW18=1),Health,IF(AND(AT18=3,AK18="E",AV18&gt;=0.75),Health*P18,IF(AND(AT18=3,AK18="E",AV18&gt;=0.5,AW18=1),PTHealth,IF(AND(AT18=3,AK18="E",AV18&gt;=0.5),PTHealth*P18,0))))</f>
        <v>0</v>
      </c>
      <c r="BD18" s="462">
        <f>IF(AND(AT18&lt;&gt;0,AX18&gt;=MAXSSDI),SSDI*MAXSSDI*P18,IF(AT18&lt;&gt;0,SSDI*W18,0))</f>
        <v>0</v>
      </c>
      <c r="BE18" s="462">
        <f>IF(AT18&lt;&gt;0,SSHI*W18,0)</f>
        <v>0</v>
      </c>
      <c r="BF18" s="462">
        <f>IF(AND(AT18&lt;&gt;0,AN18&lt;&gt;"NE"),VLOOKUP(AN18,Retirement_Rates,3,FALSE)*W18,0)</f>
        <v>0</v>
      </c>
      <c r="BG18" s="462">
        <f>IF(AND(AT18&lt;&gt;0,AJ18&lt;&gt;"PF"),Life*W18,0)</f>
        <v>0</v>
      </c>
      <c r="BH18" s="462">
        <f>IF(AND(AT18&lt;&gt;0,AM18="Y"),UI*W18,0)</f>
        <v>0</v>
      </c>
      <c r="BI18" s="462">
        <f>IF(AND(AT18&lt;&gt;0,N18&lt;&gt;"NR"),DHR*W18,0)</f>
        <v>0</v>
      </c>
      <c r="BJ18" s="462">
        <f>IF(AT18&lt;&gt;0,WC*W18,0)</f>
        <v>0</v>
      </c>
      <c r="BK18" s="462">
        <f>IF(OR(AND(AT18&lt;&gt;0,AJ18&lt;&gt;"PF",AN18&lt;&gt;"NE",AG18&lt;&gt;"A"),AND(AL18="E",OR(AT18=1,AT18=3))),Sick*W18,0)</f>
        <v>0</v>
      </c>
      <c r="BL18" s="462">
        <f t="shared" si="5"/>
        <v>0</v>
      </c>
      <c r="BM18" s="462">
        <f t="shared" si="6"/>
        <v>0</v>
      </c>
      <c r="BN18" s="462">
        <f>IF(AND(AT18=1,AK18="E",AU18&gt;=0.75,AW18=1),HealthBY,IF(AND(AT18=1,AK18="E",AU18&gt;=0.75),HealthBY*P18,IF(AND(AT18=1,AK18="E",AU18&gt;=0.5,AW18=1),PTHealthBY,IF(AND(AT18=1,AK18="E",AU18&gt;=0.5),PTHealthBY*P18,0))))</f>
        <v>0</v>
      </c>
      <c r="BO18" s="462">
        <f>IF(AND(AT18=3,AK18="E",AV18&gt;=0.75,AW18=1),HealthBY,IF(AND(AT18=3,AK18="E",AV18&gt;=0.75),HealthBY*P18,IF(AND(AT18=3,AK18="E",AV18&gt;=0.5,AW18=1),PTHealthBY,IF(AND(AT18=3,AK18="E",AV18&gt;=0.5),PTHealthBY*P18,0))))</f>
        <v>0</v>
      </c>
      <c r="BP18" s="462">
        <f>IF(AND(AT18&lt;&gt;0,(AX18+BA18)&gt;=MAXSSDIBY),SSDIBY*MAXSSDIBY*P18,IF(AT18&lt;&gt;0,SSDIBY*W18,0))</f>
        <v>0</v>
      </c>
      <c r="BQ18" s="462">
        <f>IF(AT18&lt;&gt;0,SSHIBY*W18,0)</f>
        <v>0</v>
      </c>
      <c r="BR18" s="462">
        <f>IF(AND(AT18&lt;&gt;0,AN18&lt;&gt;"NE"),VLOOKUP(AN18,Retirement_Rates,4,FALSE)*W18,0)</f>
        <v>0</v>
      </c>
      <c r="BS18" s="462">
        <f>IF(AND(AT18&lt;&gt;0,AJ18&lt;&gt;"PF"),LifeBY*W18,0)</f>
        <v>0</v>
      </c>
      <c r="BT18" s="462">
        <f>IF(AND(AT18&lt;&gt;0,AM18="Y"),UIBY*W18,0)</f>
        <v>0</v>
      </c>
      <c r="BU18" s="462">
        <f>IF(AND(AT18&lt;&gt;0,N18&lt;&gt;"NR"),DHRBY*W18,0)</f>
        <v>0</v>
      </c>
      <c r="BV18" s="462">
        <f>IF(AT18&lt;&gt;0,WCBY*W18,0)</f>
        <v>0</v>
      </c>
      <c r="BW18" s="462">
        <f>IF(OR(AND(AT18&lt;&gt;0,AJ18&lt;&gt;"PF",AN18&lt;&gt;"NE",AG18&lt;&gt;"A"),AND(AL18="E",OR(AT18=1,AT18=3))),SickBY*W18,0)</f>
        <v>0</v>
      </c>
      <c r="BX18" s="462">
        <f t="shared" si="7"/>
        <v>0</v>
      </c>
      <c r="BY18" s="462">
        <f t="shared" si="8"/>
        <v>0</v>
      </c>
      <c r="BZ18" s="462">
        <f t="shared" si="9"/>
        <v>0</v>
      </c>
      <c r="CA18" s="462">
        <f t="shared" si="10"/>
        <v>0</v>
      </c>
      <c r="CB18" s="462">
        <f t="shared" si="11"/>
        <v>0</v>
      </c>
      <c r="CC18" s="462">
        <f>IF(AT18&lt;&gt;0,SSHICHG*Y18,0)</f>
        <v>0</v>
      </c>
      <c r="CD18" s="462">
        <f>IF(AND(AT18&lt;&gt;0,AN18&lt;&gt;"NE"),VLOOKUP(AN18,Retirement_Rates,5,FALSE)*Y18,0)</f>
        <v>0</v>
      </c>
      <c r="CE18" s="462">
        <f>IF(AND(AT18&lt;&gt;0,AJ18&lt;&gt;"PF"),LifeCHG*Y18,0)</f>
        <v>0</v>
      </c>
      <c r="CF18" s="462">
        <f>IF(AND(AT18&lt;&gt;0,AM18="Y"),UICHG*Y18,0)</f>
        <v>0</v>
      </c>
      <c r="CG18" s="462">
        <f>IF(AND(AT18&lt;&gt;0,N18&lt;&gt;"NR"),DHRCHG*Y18,0)</f>
        <v>0</v>
      </c>
      <c r="CH18" s="462">
        <f>IF(AT18&lt;&gt;0,WCCHG*Y18,0)</f>
        <v>0</v>
      </c>
      <c r="CI18" s="462">
        <f>IF(OR(AND(AT18&lt;&gt;0,AJ18&lt;&gt;"PF",AN18&lt;&gt;"NE",AG18&lt;&gt;"A"),AND(AL18="E",OR(AT18=1,AT18=3))),SickCHG*Y18,0)</f>
        <v>0</v>
      </c>
      <c r="CJ18" s="462">
        <f t="shared" si="12"/>
        <v>0</v>
      </c>
      <c r="CK18" s="462" t="str">
        <f t="shared" si="13"/>
        <v/>
      </c>
      <c r="CL18" s="462">
        <f t="shared" si="14"/>
        <v>0</v>
      </c>
      <c r="CM18" s="462">
        <f t="shared" si="15"/>
        <v>0</v>
      </c>
      <c r="CN18" s="462" t="str">
        <f t="shared" si="16"/>
        <v>0125-01</v>
      </c>
    </row>
    <row r="19" spans="1:92" ht="15" thickBot="1" x14ac:dyDescent="0.35">
      <c r="A19" s="376" t="s">
        <v>161</v>
      </c>
      <c r="B19" s="376" t="s">
        <v>162</v>
      </c>
      <c r="C19" s="376" t="s">
        <v>203</v>
      </c>
      <c r="D19" s="376" t="s">
        <v>204</v>
      </c>
      <c r="E19" s="376" t="s">
        <v>288</v>
      </c>
      <c r="F19" s="382" t="s">
        <v>289</v>
      </c>
      <c r="G19" s="376" t="s">
        <v>167</v>
      </c>
      <c r="H19" s="378"/>
      <c r="I19" s="378"/>
      <c r="J19" s="376" t="s">
        <v>185</v>
      </c>
      <c r="K19" s="376" t="s">
        <v>205</v>
      </c>
      <c r="L19" s="376" t="s">
        <v>200</v>
      </c>
      <c r="M19" s="376" t="s">
        <v>170</v>
      </c>
      <c r="N19" s="376" t="s">
        <v>202</v>
      </c>
      <c r="O19" s="379">
        <v>1</v>
      </c>
      <c r="P19" s="460">
        <v>0.67</v>
      </c>
      <c r="Q19" s="460">
        <v>0.67</v>
      </c>
      <c r="R19" s="380">
        <v>80</v>
      </c>
      <c r="S19" s="460">
        <v>0.67</v>
      </c>
      <c r="T19" s="380">
        <v>24441.62</v>
      </c>
      <c r="U19" s="380">
        <v>0</v>
      </c>
      <c r="V19" s="380">
        <v>11924.66</v>
      </c>
      <c r="W19" s="380">
        <v>31356</v>
      </c>
      <c r="X19" s="380">
        <v>14903.54</v>
      </c>
      <c r="Y19" s="380">
        <v>31356</v>
      </c>
      <c r="Z19" s="380">
        <v>14822.02</v>
      </c>
      <c r="AA19" s="376" t="s">
        <v>206</v>
      </c>
      <c r="AB19" s="376" t="s">
        <v>207</v>
      </c>
      <c r="AC19" s="376" t="s">
        <v>208</v>
      </c>
      <c r="AD19" s="376" t="s">
        <v>209</v>
      </c>
      <c r="AE19" s="376" t="s">
        <v>205</v>
      </c>
      <c r="AF19" s="376" t="s">
        <v>210</v>
      </c>
      <c r="AG19" s="376" t="s">
        <v>177</v>
      </c>
      <c r="AH19" s="381">
        <v>22.5</v>
      </c>
      <c r="AI19" s="381">
        <v>2494.5</v>
      </c>
      <c r="AJ19" s="376" t="s">
        <v>178</v>
      </c>
      <c r="AK19" s="376" t="s">
        <v>179</v>
      </c>
      <c r="AL19" s="376" t="s">
        <v>180</v>
      </c>
      <c r="AM19" s="376" t="s">
        <v>181</v>
      </c>
      <c r="AN19" s="376" t="s">
        <v>68</v>
      </c>
      <c r="AO19" s="379">
        <v>80</v>
      </c>
      <c r="AP19" s="460">
        <v>1</v>
      </c>
      <c r="AQ19" s="460">
        <v>0.67</v>
      </c>
      <c r="AR19" s="458" t="s">
        <v>182</v>
      </c>
      <c r="AS19" s="462">
        <f t="shared" si="0"/>
        <v>0.67</v>
      </c>
      <c r="AT19">
        <f t="shared" si="1"/>
        <v>1</v>
      </c>
      <c r="AU19" s="462">
        <f>IF(AT19=0,"",IF(AND(AT19=1,M19="F",SUMIF(C2:C698,C19,AS2:AS698)&lt;=1),SUMIF(C2:C698,C19,AS2:AS698),IF(AND(AT19=1,M19="F",SUMIF(C2:C698,C19,AS2:AS698)&gt;1),1,"")))</f>
        <v>1</v>
      </c>
      <c r="AV19" s="462" t="str">
        <f>IF(AT19=0,"",IF(AND(AT19=3,M19="F",SUMIF(C2:C698,C19,AS2:AS698)&lt;=1),SUMIF(C2:C698,C19,AS2:AS698),IF(AND(AT19=3,M19="F",SUMIF(C2:C698,C19,AS2:AS698)&gt;1),1,"")))</f>
        <v/>
      </c>
      <c r="AW19" s="462">
        <f>SUMIF(C2:C698,C19,O2:O698)</f>
        <v>2</v>
      </c>
      <c r="AX19" s="462">
        <f>IF(AND(M19="F",AS19&lt;&gt;0),SUMIF(C2:C698,C19,W2:W698),0)</f>
        <v>46800</v>
      </c>
      <c r="AY19" s="462">
        <f t="shared" si="2"/>
        <v>31356</v>
      </c>
      <c r="AZ19" s="462" t="str">
        <f t="shared" si="3"/>
        <v/>
      </c>
      <c r="BA19" s="462">
        <f t="shared" si="4"/>
        <v>0</v>
      </c>
      <c r="BB19" s="462">
        <f>IF(AND(AT19=1,AK19="E",AU19&gt;=0.75,AW19=1),Health,IF(AND(AT19=1,AK19="E",AU19&gt;=0.75),Health*P19,IF(AND(AT19=1,AK19="E",AU19&gt;=0.5,AW19=1),PTHealth,IF(AND(AT19=1,AK19="E",AU19&gt;=0.5),PTHealth*P19,0))))</f>
        <v>7805.5000000000009</v>
      </c>
      <c r="BC19" s="462">
        <f>IF(AND(AT19=3,AK19="E",AV19&gt;=0.75,AW19=1),Health,IF(AND(AT19=3,AK19="E",AV19&gt;=0.75),Health*P19,IF(AND(AT19=3,AK19="E",AV19&gt;=0.5,AW19=1),PTHealth,IF(AND(AT19=3,AK19="E",AV19&gt;=0.5),PTHealth*P19,0))))</f>
        <v>0</v>
      </c>
      <c r="BD19" s="462">
        <f>IF(AND(AT19&lt;&gt;0,AX19&gt;=MAXSSDI),SSDI*MAXSSDI*P19,IF(AT19&lt;&gt;0,SSDI*W19,0))</f>
        <v>1944.0719999999999</v>
      </c>
      <c r="BE19" s="462">
        <f>IF(AT19&lt;&gt;0,SSHI*W19,0)</f>
        <v>454.66200000000003</v>
      </c>
      <c r="BF19" s="462">
        <f>IF(AND(AT19&lt;&gt;0,AN19&lt;&gt;"NE"),VLOOKUP(AN19,Retirement_Rates,3,FALSE)*W19,0)</f>
        <v>3743.9064000000003</v>
      </c>
      <c r="BG19" s="462">
        <f>IF(AND(AT19&lt;&gt;0,AJ19&lt;&gt;"PF"),Life*W19,0)</f>
        <v>226.07676000000001</v>
      </c>
      <c r="BH19" s="462">
        <f>IF(AND(AT19&lt;&gt;0,AM19="Y"),UI*W19,0)</f>
        <v>153.64439999999999</v>
      </c>
      <c r="BI19" s="462">
        <f>IF(AND(AT19&lt;&gt;0,N19&lt;&gt;"NR"),DHR*W19,0)</f>
        <v>95.949359999999999</v>
      </c>
      <c r="BJ19" s="462">
        <f>IF(AT19&lt;&gt;0,WC*W19,0)</f>
        <v>479.74680000000001</v>
      </c>
      <c r="BK19" s="462">
        <f>IF(OR(AND(AT19&lt;&gt;0,AJ19&lt;&gt;"PF",AN19&lt;&gt;"NE",AG19&lt;&gt;"A"),AND(AL19="E",OR(AT19=1,AT19=3))),Sick*W19,0)</f>
        <v>0</v>
      </c>
      <c r="BL19" s="462">
        <f t="shared" si="5"/>
        <v>7098.0577199999998</v>
      </c>
      <c r="BM19" s="462">
        <f t="shared" si="6"/>
        <v>0</v>
      </c>
      <c r="BN19" s="462">
        <f>IF(AND(AT19=1,AK19="E",AU19&gt;=0.75,AW19=1),HealthBY,IF(AND(AT19=1,AK19="E",AU19&gt;=0.75),HealthBY*P19,IF(AND(AT19=1,AK19="E",AU19&gt;=0.5,AW19=1),PTHealthBY,IF(AND(AT19=1,AK19="E",AU19&gt;=0.5),PTHealthBY*P19,0))))</f>
        <v>7805.5000000000009</v>
      </c>
      <c r="BO19" s="462">
        <f>IF(AND(AT19=3,AK19="E",AV19&gt;=0.75,AW19=1),HealthBY,IF(AND(AT19=3,AK19="E",AV19&gt;=0.75),HealthBY*P19,IF(AND(AT19=3,AK19="E",AV19&gt;=0.5,AW19=1),PTHealthBY,IF(AND(AT19=3,AK19="E",AV19&gt;=0.5),PTHealthBY*P19,0))))</f>
        <v>0</v>
      </c>
      <c r="BP19" s="462">
        <f>IF(AND(AT19&lt;&gt;0,(AX19+BA19)&gt;=MAXSSDIBY),SSDIBY*MAXSSDIBY*P19,IF(AT19&lt;&gt;0,SSDIBY*W19,0))</f>
        <v>1944.0719999999999</v>
      </c>
      <c r="BQ19" s="462">
        <f>IF(AT19&lt;&gt;0,SSHIBY*W19,0)</f>
        <v>454.66200000000003</v>
      </c>
      <c r="BR19" s="462">
        <f>IF(AND(AT19&lt;&gt;0,AN19&lt;&gt;"NE"),VLOOKUP(AN19,Retirement_Rates,4,FALSE)*W19,0)</f>
        <v>3743.9064000000003</v>
      </c>
      <c r="BS19" s="462">
        <f>IF(AND(AT19&lt;&gt;0,AJ19&lt;&gt;"PF"),LifeBY*W19,0)</f>
        <v>226.07676000000001</v>
      </c>
      <c r="BT19" s="462">
        <f>IF(AND(AT19&lt;&gt;0,AM19="Y"),UIBY*W19,0)</f>
        <v>0</v>
      </c>
      <c r="BU19" s="462">
        <f>IF(AND(AT19&lt;&gt;0,N19&lt;&gt;"NR"),DHRBY*W19,0)</f>
        <v>95.949359999999999</v>
      </c>
      <c r="BV19" s="462">
        <f>IF(AT19&lt;&gt;0,WCBY*W19,0)</f>
        <v>551.86560000000009</v>
      </c>
      <c r="BW19" s="462">
        <f>IF(OR(AND(AT19&lt;&gt;0,AJ19&lt;&gt;"PF",AN19&lt;&gt;"NE",AG19&lt;&gt;"A"),AND(AL19="E",OR(AT19=1,AT19=3))),SickBY*W19,0)</f>
        <v>0</v>
      </c>
      <c r="BX19" s="462">
        <f t="shared" si="7"/>
        <v>7016.5321199999998</v>
      </c>
      <c r="BY19" s="462">
        <f t="shared" si="8"/>
        <v>0</v>
      </c>
      <c r="BZ19" s="462">
        <f t="shared" si="9"/>
        <v>0</v>
      </c>
      <c r="CA19" s="462">
        <f t="shared" si="10"/>
        <v>0</v>
      </c>
      <c r="CB19" s="462">
        <f t="shared" si="11"/>
        <v>0</v>
      </c>
      <c r="CC19" s="462">
        <f>IF(AT19&lt;&gt;0,SSHICHG*Y19,0)</f>
        <v>0</v>
      </c>
      <c r="CD19" s="462">
        <f>IF(AND(AT19&lt;&gt;0,AN19&lt;&gt;"NE"),VLOOKUP(AN19,Retirement_Rates,5,FALSE)*Y19,0)</f>
        <v>0</v>
      </c>
      <c r="CE19" s="462">
        <f>IF(AND(AT19&lt;&gt;0,AJ19&lt;&gt;"PF"),LifeCHG*Y19,0)</f>
        <v>0</v>
      </c>
      <c r="CF19" s="462">
        <f>IF(AND(AT19&lt;&gt;0,AM19="Y"),UICHG*Y19,0)</f>
        <v>-153.64439999999999</v>
      </c>
      <c r="CG19" s="462">
        <f>IF(AND(AT19&lt;&gt;0,N19&lt;&gt;"NR"),DHRCHG*Y19,0)</f>
        <v>0</v>
      </c>
      <c r="CH19" s="462">
        <f>IF(AT19&lt;&gt;0,WCCHG*Y19,0)</f>
        <v>72.11880000000005</v>
      </c>
      <c r="CI19" s="462">
        <f>IF(OR(AND(AT19&lt;&gt;0,AJ19&lt;&gt;"PF",AN19&lt;&gt;"NE",AG19&lt;&gt;"A"),AND(AL19="E",OR(AT19=1,AT19=3))),SickCHG*Y19,0)</f>
        <v>0</v>
      </c>
      <c r="CJ19" s="462">
        <f t="shared" si="12"/>
        <v>-81.52559999999994</v>
      </c>
      <c r="CK19" s="462" t="str">
        <f t="shared" si="13"/>
        <v/>
      </c>
      <c r="CL19" s="462" t="str">
        <f t="shared" si="14"/>
        <v/>
      </c>
      <c r="CM19" s="462" t="str">
        <f t="shared" si="15"/>
        <v/>
      </c>
      <c r="CN19" s="462" t="str">
        <f t="shared" si="16"/>
        <v>0125-01</v>
      </c>
    </row>
    <row r="20" spans="1:92" ht="15" thickBot="1" x14ac:dyDescent="0.35">
      <c r="A20" s="376" t="s">
        <v>161</v>
      </c>
      <c r="B20" s="376" t="s">
        <v>162</v>
      </c>
      <c r="C20" s="376" t="s">
        <v>211</v>
      </c>
      <c r="D20" s="376" t="s">
        <v>198</v>
      </c>
      <c r="E20" s="376" t="s">
        <v>288</v>
      </c>
      <c r="F20" s="382" t="s">
        <v>289</v>
      </c>
      <c r="G20" s="376" t="s">
        <v>167</v>
      </c>
      <c r="H20" s="378"/>
      <c r="I20" s="378"/>
      <c r="J20" s="376" t="s">
        <v>185</v>
      </c>
      <c r="K20" s="376" t="s">
        <v>199</v>
      </c>
      <c r="L20" s="376" t="s">
        <v>200</v>
      </c>
      <c r="M20" s="376" t="s">
        <v>170</v>
      </c>
      <c r="N20" s="376" t="s">
        <v>202</v>
      </c>
      <c r="O20" s="379">
        <v>1</v>
      </c>
      <c r="P20" s="460">
        <v>0.67</v>
      </c>
      <c r="Q20" s="460">
        <v>0.67</v>
      </c>
      <c r="R20" s="380">
        <v>80</v>
      </c>
      <c r="S20" s="460">
        <v>0.67</v>
      </c>
      <c r="T20" s="380">
        <v>29506.74</v>
      </c>
      <c r="U20" s="380">
        <v>0</v>
      </c>
      <c r="V20" s="380">
        <v>13859.32</v>
      </c>
      <c r="W20" s="380">
        <v>31356</v>
      </c>
      <c r="X20" s="380">
        <v>14903.54</v>
      </c>
      <c r="Y20" s="380">
        <v>31356</v>
      </c>
      <c r="Z20" s="380">
        <v>14822.02</v>
      </c>
      <c r="AA20" s="376" t="s">
        <v>212</v>
      </c>
      <c r="AB20" s="376" t="s">
        <v>213</v>
      </c>
      <c r="AC20" s="376" t="s">
        <v>214</v>
      </c>
      <c r="AD20" s="376" t="s">
        <v>215</v>
      </c>
      <c r="AE20" s="376" t="s">
        <v>199</v>
      </c>
      <c r="AF20" s="376" t="s">
        <v>210</v>
      </c>
      <c r="AG20" s="376" t="s">
        <v>177</v>
      </c>
      <c r="AH20" s="381">
        <v>22.5</v>
      </c>
      <c r="AI20" s="379">
        <v>3768</v>
      </c>
      <c r="AJ20" s="376" t="s">
        <v>178</v>
      </c>
      <c r="AK20" s="376" t="s">
        <v>179</v>
      </c>
      <c r="AL20" s="376" t="s">
        <v>180</v>
      </c>
      <c r="AM20" s="376" t="s">
        <v>181</v>
      </c>
      <c r="AN20" s="376" t="s">
        <v>68</v>
      </c>
      <c r="AO20" s="379">
        <v>80</v>
      </c>
      <c r="AP20" s="460">
        <v>1</v>
      </c>
      <c r="AQ20" s="460">
        <v>0.67</v>
      </c>
      <c r="AR20" s="458" t="s">
        <v>182</v>
      </c>
      <c r="AS20" s="462">
        <f t="shared" si="0"/>
        <v>0.67</v>
      </c>
      <c r="AT20">
        <f t="shared" si="1"/>
        <v>1</v>
      </c>
      <c r="AU20" s="462">
        <f>IF(AT20=0,"",IF(AND(AT20=1,M20="F",SUMIF(C2:C698,C20,AS2:AS698)&lt;=1),SUMIF(C2:C698,C20,AS2:AS698),IF(AND(AT20=1,M20="F",SUMIF(C2:C698,C20,AS2:AS698)&gt;1),1,"")))</f>
        <v>1</v>
      </c>
      <c r="AV20" s="462" t="str">
        <f>IF(AT20=0,"",IF(AND(AT20=3,M20="F",SUMIF(C2:C698,C20,AS2:AS698)&lt;=1),SUMIF(C2:C698,C20,AS2:AS698),IF(AND(AT20=3,M20="F",SUMIF(C2:C698,C20,AS2:AS698)&gt;1),1,"")))</f>
        <v/>
      </c>
      <c r="AW20" s="462">
        <f>SUMIF(C2:C698,C20,O2:O698)</f>
        <v>2</v>
      </c>
      <c r="AX20" s="462">
        <f>IF(AND(M20="F",AS20&lt;&gt;0),SUMIF(C2:C698,C20,W2:W698),0)</f>
        <v>46800</v>
      </c>
      <c r="AY20" s="462">
        <f t="shared" si="2"/>
        <v>31356</v>
      </c>
      <c r="AZ20" s="462" t="str">
        <f t="shared" si="3"/>
        <v/>
      </c>
      <c r="BA20" s="462">
        <f t="shared" si="4"/>
        <v>0</v>
      </c>
      <c r="BB20" s="462">
        <f>IF(AND(AT20=1,AK20="E",AU20&gt;=0.75,AW20=1),Health,IF(AND(AT20=1,AK20="E",AU20&gt;=0.75),Health*P20,IF(AND(AT20=1,AK20="E",AU20&gt;=0.5,AW20=1),PTHealth,IF(AND(AT20=1,AK20="E",AU20&gt;=0.5),PTHealth*P20,0))))</f>
        <v>7805.5000000000009</v>
      </c>
      <c r="BC20" s="462">
        <f>IF(AND(AT20=3,AK20="E",AV20&gt;=0.75,AW20=1),Health,IF(AND(AT20=3,AK20="E",AV20&gt;=0.75),Health*P20,IF(AND(AT20=3,AK20="E",AV20&gt;=0.5,AW20=1),PTHealth,IF(AND(AT20=3,AK20="E",AV20&gt;=0.5),PTHealth*P20,0))))</f>
        <v>0</v>
      </c>
      <c r="BD20" s="462">
        <f>IF(AND(AT20&lt;&gt;0,AX20&gt;=MAXSSDI),SSDI*MAXSSDI*P20,IF(AT20&lt;&gt;0,SSDI*W20,0))</f>
        <v>1944.0719999999999</v>
      </c>
      <c r="BE20" s="462">
        <f>IF(AT20&lt;&gt;0,SSHI*W20,0)</f>
        <v>454.66200000000003</v>
      </c>
      <c r="BF20" s="462">
        <f>IF(AND(AT20&lt;&gt;0,AN20&lt;&gt;"NE"),VLOOKUP(AN20,Retirement_Rates,3,FALSE)*W20,0)</f>
        <v>3743.9064000000003</v>
      </c>
      <c r="BG20" s="462">
        <f>IF(AND(AT20&lt;&gt;0,AJ20&lt;&gt;"PF"),Life*W20,0)</f>
        <v>226.07676000000001</v>
      </c>
      <c r="BH20" s="462">
        <f>IF(AND(AT20&lt;&gt;0,AM20="Y"),UI*W20,0)</f>
        <v>153.64439999999999</v>
      </c>
      <c r="BI20" s="462">
        <f>IF(AND(AT20&lt;&gt;0,N20&lt;&gt;"NR"),DHR*W20,0)</f>
        <v>95.949359999999999</v>
      </c>
      <c r="BJ20" s="462">
        <f>IF(AT20&lt;&gt;0,WC*W20,0)</f>
        <v>479.74680000000001</v>
      </c>
      <c r="BK20" s="462">
        <f>IF(OR(AND(AT20&lt;&gt;0,AJ20&lt;&gt;"PF",AN20&lt;&gt;"NE",AG20&lt;&gt;"A"),AND(AL20="E",OR(AT20=1,AT20=3))),Sick*W20,0)</f>
        <v>0</v>
      </c>
      <c r="BL20" s="462">
        <f t="shared" si="5"/>
        <v>7098.0577199999998</v>
      </c>
      <c r="BM20" s="462">
        <f t="shared" si="6"/>
        <v>0</v>
      </c>
      <c r="BN20" s="462">
        <f>IF(AND(AT20=1,AK20="E",AU20&gt;=0.75,AW20=1),HealthBY,IF(AND(AT20=1,AK20="E",AU20&gt;=0.75),HealthBY*P20,IF(AND(AT20=1,AK20="E",AU20&gt;=0.5,AW20=1),PTHealthBY,IF(AND(AT20=1,AK20="E",AU20&gt;=0.5),PTHealthBY*P20,0))))</f>
        <v>7805.5000000000009</v>
      </c>
      <c r="BO20" s="462">
        <f>IF(AND(AT20=3,AK20="E",AV20&gt;=0.75,AW20=1),HealthBY,IF(AND(AT20=3,AK20="E",AV20&gt;=0.75),HealthBY*P20,IF(AND(AT20=3,AK20="E",AV20&gt;=0.5,AW20=1),PTHealthBY,IF(AND(AT20=3,AK20="E",AV20&gt;=0.5),PTHealthBY*P20,0))))</f>
        <v>0</v>
      </c>
      <c r="BP20" s="462">
        <f>IF(AND(AT20&lt;&gt;0,(AX20+BA20)&gt;=MAXSSDIBY),SSDIBY*MAXSSDIBY*P20,IF(AT20&lt;&gt;0,SSDIBY*W20,0))</f>
        <v>1944.0719999999999</v>
      </c>
      <c r="BQ20" s="462">
        <f>IF(AT20&lt;&gt;0,SSHIBY*W20,0)</f>
        <v>454.66200000000003</v>
      </c>
      <c r="BR20" s="462">
        <f>IF(AND(AT20&lt;&gt;0,AN20&lt;&gt;"NE"),VLOOKUP(AN20,Retirement_Rates,4,FALSE)*W20,0)</f>
        <v>3743.9064000000003</v>
      </c>
      <c r="BS20" s="462">
        <f>IF(AND(AT20&lt;&gt;0,AJ20&lt;&gt;"PF"),LifeBY*W20,0)</f>
        <v>226.07676000000001</v>
      </c>
      <c r="BT20" s="462">
        <f>IF(AND(AT20&lt;&gt;0,AM20="Y"),UIBY*W20,0)</f>
        <v>0</v>
      </c>
      <c r="BU20" s="462">
        <f>IF(AND(AT20&lt;&gt;0,N20&lt;&gt;"NR"),DHRBY*W20,0)</f>
        <v>95.949359999999999</v>
      </c>
      <c r="BV20" s="462">
        <f>IF(AT20&lt;&gt;0,WCBY*W20,0)</f>
        <v>551.86560000000009</v>
      </c>
      <c r="BW20" s="462">
        <f>IF(OR(AND(AT20&lt;&gt;0,AJ20&lt;&gt;"PF",AN20&lt;&gt;"NE",AG20&lt;&gt;"A"),AND(AL20="E",OR(AT20=1,AT20=3))),SickBY*W20,0)</f>
        <v>0</v>
      </c>
      <c r="BX20" s="462">
        <f t="shared" si="7"/>
        <v>7016.5321199999998</v>
      </c>
      <c r="BY20" s="462">
        <f t="shared" si="8"/>
        <v>0</v>
      </c>
      <c r="BZ20" s="462">
        <f t="shared" si="9"/>
        <v>0</v>
      </c>
      <c r="CA20" s="462">
        <f t="shared" si="10"/>
        <v>0</v>
      </c>
      <c r="CB20" s="462">
        <f t="shared" si="11"/>
        <v>0</v>
      </c>
      <c r="CC20" s="462">
        <f>IF(AT20&lt;&gt;0,SSHICHG*Y20,0)</f>
        <v>0</v>
      </c>
      <c r="CD20" s="462">
        <f>IF(AND(AT20&lt;&gt;0,AN20&lt;&gt;"NE"),VLOOKUP(AN20,Retirement_Rates,5,FALSE)*Y20,0)</f>
        <v>0</v>
      </c>
      <c r="CE20" s="462">
        <f>IF(AND(AT20&lt;&gt;0,AJ20&lt;&gt;"PF"),LifeCHG*Y20,0)</f>
        <v>0</v>
      </c>
      <c r="CF20" s="462">
        <f>IF(AND(AT20&lt;&gt;0,AM20="Y"),UICHG*Y20,0)</f>
        <v>-153.64439999999999</v>
      </c>
      <c r="CG20" s="462">
        <f>IF(AND(AT20&lt;&gt;0,N20&lt;&gt;"NR"),DHRCHG*Y20,0)</f>
        <v>0</v>
      </c>
      <c r="CH20" s="462">
        <f>IF(AT20&lt;&gt;0,WCCHG*Y20,0)</f>
        <v>72.11880000000005</v>
      </c>
      <c r="CI20" s="462">
        <f>IF(OR(AND(AT20&lt;&gt;0,AJ20&lt;&gt;"PF",AN20&lt;&gt;"NE",AG20&lt;&gt;"A"),AND(AL20="E",OR(AT20=1,AT20=3))),SickCHG*Y20,0)</f>
        <v>0</v>
      </c>
      <c r="CJ20" s="462">
        <f t="shared" si="12"/>
        <v>-81.52559999999994</v>
      </c>
      <c r="CK20" s="462" t="str">
        <f t="shared" si="13"/>
        <v/>
      </c>
      <c r="CL20" s="462" t="str">
        <f t="shared" si="14"/>
        <v/>
      </c>
      <c r="CM20" s="462" t="str">
        <f t="shared" si="15"/>
        <v/>
      </c>
      <c r="CN20" s="462" t="str">
        <f t="shared" si="16"/>
        <v>0125-01</v>
      </c>
    </row>
    <row r="21" spans="1:92" ht="15" thickBot="1" x14ac:dyDescent="0.35">
      <c r="A21" s="376" t="s">
        <v>161</v>
      </c>
      <c r="B21" s="376" t="s">
        <v>162</v>
      </c>
      <c r="C21" s="376" t="s">
        <v>216</v>
      </c>
      <c r="D21" s="376" t="s">
        <v>204</v>
      </c>
      <c r="E21" s="376" t="s">
        <v>288</v>
      </c>
      <c r="F21" s="382" t="s">
        <v>289</v>
      </c>
      <c r="G21" s="376" t="s">
        <v>167</v>
      </c>
      <c r="H21" s="378"/>
      <c r="I21" s="378"/>
      <c r="J21" s="376" t="s">
        <v>185</v>
      </c>
      <c r="K21" s="376" t="s">
        <v>205</v>
      </c>
      <c r="L21" s="376" t="s">
        <v>200</v>
      </c>
      <c r="M21" s="376" t="s">
        <v>170</v>
      </c>
      <c r="N21" s="376" t="s">
        <v>202</v>
      </c>
      <c r="O21" s="379">
        <v>1</v>
      </c>
      <c r="P21" s="460">
        <v>0.67</v>
      </c>
      <c r="Q21" s="460">
        <v>0.67</v>
      </c>
      <c r="R21" s="380">
        <v>80</v>
      </c>
      <c r="S21" s="460">
        <v>0.67</v>
      </c>
      <c r="T21" s="380">
        <v>34441.25</v>
      </c>
      <c r="U21" s="380">
        <v>0</v>
      </c>
      <c r="V21" s="380">
        <v>14796.91</v>
      </c>
      <c r="W21" s="380">
        <v>35871.26</v>
      </c>
      <c r="X21" s="380">
        <v>15925.65</v>
      </c>
      <c r="Y21" s="380">
        <v>35871.26</v>
      </c>
      <c r="Z21" s="380">
        <v>15832.38</v>
      </c>
      <c r="AA21" s="376" t="s">
        <v>217</v>
      </c>
      <c r="AB21" s="376" t="s">
        <v>218</v>
      </c>
      <c r="AC21" s="376" t="s">
        <v>219</v>
      </c>
      <c r="AD21" s="376" t="s">
        <v>220</v>
      </c>
      <c r="AE21" s="376" t="s">
        <v>205</v>
      </c>
      <c r="AF21" s="376" t="s">
        <v>210</v>
      </c>
      <c r="AG21" s="376" t="s">
        <v>177</v>
      </c>
      <c r="AH21" s="381">
        <v>25.74</v>
      </c>
      <c r="AI21" s="381">
        <v>69993.899999999994</v>
      </c>
      <c r="AJ21" s="376" t="s">
        <v>178</v>
      </c>
      <c r="AK21" s="376" t="s">
        <v>179</v>
      </c>
      <c r="AL21" s="376" t="s">
        <v>180</v>
      </c>
      <c r="AM21" s="376" t="s">
        <v>181</v>
      </c>
      <c r="AN21" s="376" t="s">
        <v>68</v>
      </c>
      <c r="AO21" s="379">
        <v>80</v>
      </c>
      <c r="AP21" s="460">
        <v>1</v>
      </c>
      <c r="AQ21" s="460">
        <v>0.67</v>
      </c>
      <c r="AR21" s="458" t="s">
        <v>182</v>
      </c>
      <c r="AS21" s="462">
        <f t="shared" si="0"/>
        <v>0.67</v>
      </c>
      <c r="AT21">
        <f t="shared" si="1"/>
        <v>1</v>
      </c>
      <c r="AU21" s="462">
        <f>IF(AT21=0,"",IF(AND(AT21=1,M21="F",SUMIF(C2:C698,C21,AS2:AS698)&lt;=1),SUMIF(C2:C698,C21,AS2:AS698),IF(AND(AT21=1,M21="F",SUMIF(C2:C698,C21,AS2:AS698)&gt;1),1,"")))</f>
        <v>1</v>
      </c>
      <c r="AV21" s="462" t="str">
        <f>IF(AT21=0,"",IF(AND(AT21=3,M21="F",SUMIF(C2:C698,C21,AS2:AS698)&lt;=1),SUMIF(C2:C698,C21,AS2:AS698),IF(AND(AT21=3,M21="F",SUMIF(C2:C698,C21,AS2:AS698)&gt;1),1,"")))</f>
        <v/>
      </c>
      <c r="AW21" s="462">
        <f>SUMIF(C2:C698,C21,O2:O698)</f>
        <v>2</v>
      </c>
      <c r="AX21" s="462">
        <f>IF(AND(M21="F",AS21&lt;&gt;0),SUMIF(C2:C698,C21,W2:W698),0)</f>
        <v>53539.19</v>
      </c>
      <c r="AY21" s="462">
        <f t="shared" si="2"/>
        <v>35871.26</v>
      </c>
      <c r="AZ21" s="462" t="str">
        <f t="shared" si="3"/>
        <v/>
      </c>
      <c r="BA21" s="462">
        <f t="shared" si="4"/>
        <v>0</v>
      </c>
      <c r="BB21" s="462">
        <f>IF(AND(AT21=1,AK21="E",AU21&gt;=0.75,AW21=1),Health,IF(AND(AT21=1,AK21="E",AU21&gt;=0.75),Health*P21,IF(AND(AT21=1,AK21="E",AU21&gt;=0.5,AW21=1),PTHealth,IF(AND(AT21=1,AK21="E",AU21&gt;=0.5),PTHealth*P21,0))))</f>
        <v>7805.5000000000009</v>
      </c>
      <c r="BC21" s="462">
        <f>IF(AND(AT21=3,AK21="E",AV21&gt;=0.75,AW21=1),Health,IF(AND(AT21=3,AK21="E",AV21&gt;=0.75),Health*P21,IF(AND(AT21=3,AK21="E",AV21&gt;=0.5,AW21=1),PTHealth,IF(AND(AT21=3,AK21="E",AV21&gt;=0.5),PTHealth*P21,0))))</f>
        <v>0</v>
      </c>
      <c r="BD21" s="462">
        <f>IF(AND(AT21&lt;&gt;0,AX21&gt;=MAXSSDI),SSDI*MAXSSDI*P21,IF(AT21&lt;&gt;0,SSDI*W21,0))</f>
        <v>2224.0181200000002</v>
      </c>
      <c r="BE21" s="462">
        <f>IF(AT21&lt;&gt;0,SSHI*W21,0)</f>
        <v>520.13327000000004</v>
      </c>
      <c r="BF21" s="462">
        <f>IF(AND(AT21&lt;&gt;0,AN21&lt;&gt;"NE"),VLOOKUP(AN21,Retirement_Rates,3,FALSE)*W21,0)</f>
        <v>4283.0284440000005</v>
      </c>
      <c r="BG21" s="462">
        <f>IF(AND(AT21&lt;&gt;0,AJ21&lt;&gt;"PF"),Life*W21,0)</f>
        <v>258.6317846</v>
      </c>
      <c r="BH21" s="462">
        <f>IF(AND(AT21&lt;&gt;0,AM21="Y"),UI*W21,0)</f>
        <v>175.76917399999999</v>
      </c>
      <c r="BI21" s="462">
        <f>IF(AND(AT21&lt;&gt;0,N21&lt;&gt;"NR"),DHR*W21,0)</f>
        <v>109.7660556</v>
      </c>
      <c r="BJ21" s="462">
        <f>IF(AT21&lt;&gt;0,WC*W21,0)</f>
        <v>548.83027800000002</v>
      </c>
      <c r="BK21" s="462">
        <f>IF(OR(AND(AT21&lt;&gt;0,AJ21&lt;&gt;"PF",AN21&lt;&gt;"NE",AG21&lt;&gt;"A"),AND(AL21="E",OR(AT21=1,AT21=3))),Sick*W21,0)</f>
        <v>0</v>
      </c>
      <c r="BL21" s="462">
        <f t="shared" si="5"/>
        <v>8120.1771262000011</v>
      </c>
      <c r="BM21" s="462">
        <f t="shared" si="6"/>
        <v>0</v>
      </c>
      <c r="BN21" s="462">
        <f>IF(AND(AT21=1,AK21="E",AU21&gt;=0.75,AW21=1),HealthBY,IF(AND(AT21=1,AK21="E",AU21&gt;=0.75),HealthBY*P21,IF(AND(AT21=1,AK21="E",AU21&gt;=0.5,AW21=1),PTHealthBY,IF(AND(AT21=1,AK21="E",AU21&gt;=0.5),PTHealthBY*P21,0))))</f>
        <v>7805.5000000000009</v>
      </c>
      <c r="BO21" s="462">
        <f>IF(AND(AT21=3,AK21="E",AV21&gt;=0.75,AW21=1),HealthBY,IF(AND(AT21=3,AK21="E",AV21&gt;=0.75),HealthBY*P21,IF(AND(AT21=3,AK21="E",AV21&gt;=0.5,AW21=1),PTHealthBY,IF(AND(AT21=3,AK21="E",AV21&gt;=0.5),PTHealthBY*P21,0))))</f>
        <v>0</v>
      </c>
      <c r="BP21" s="462">
        <f>IF(AND(AT21&lt;&gt;0,(AX21+BA21)&gt;=MAXSSDIBY),SSDIBY*MAXSSDIBY*P21,IF(AT21&lt;&gt;0,SSDIBY*W21,0))</f>
        <v>2224.0181200000002</v>
      </c>
      <c r="BQ21" s="462">
        <f>IF(AT21&lt;&gt;0,SSHIBY*W21,0)</f>
        <v>520.13327000000004</v>
      </c>
      <c r="BR21" s="462">
        <f>IF(AND(AT21&lt;&gt;0,AN21&lt;&gt;"NE"),VLOOKUP(AN21,Retirement_Rates,4,FALSE)*W21,0)</f>
        <v>4283.0284440000005</v>
      </c>
      <c r="BS21" s="462">
        <f>IF(AND(AT21&lt;&gt;0,AJ21&lt;&gt;"PF"),LifeBY*W21,0)</f>
        <v>258.6317846</v>
      </c>
      <c r="BT21" s="462">
        <f>IF(AND(AT21&lt;&gt;0,AM21="Y"),UIBY*W21,0)</f>
        <v>0</v>
      </c>
      <c r="BU21" s="462">
        <f>IF(AND(AT21&lt;&gt;0,N21&lt;&gt;"NR"),DHRBY*W21,0)</f>
        <v>109.7660556</v>
      </c>
      <c r="BV21" s="462">
        <f>IF(AT21&lt;&gt;0,WCBY*W21,0)</f>
        <v>631.33417600000007</v>
      </c>
      <c r="BW21" s="462">
        <f>IF(OR(AND(AT21&lt;&gt;0,AJ21&lt;&gt;"PF",AN21&lt;&gt;"NE",AG21&lt;&gt;"A"),AND(AL21="E",OR(AT21=1,AT21=3))),SickBY*W21,0)</f>
        <v>0</v>
      </c>
      <c r="BX21" s="462">
        <f t="shared" si="7"/>
        <v>8026.911850200001</v>
      </c>
      <c r="BY21" s="462">
        <f t="shared" si="8"/>
        <v>0</v>
      </c>
      <c r="BZ21" s="462">
        <f t="shared" si="9"/>
        <v>0</v>
      </c>
      <c r="CA21" s="462">
        <f t="shared" si="10"/>
        <v>0</v>
      </c>
      <c r="CB21" s="462">
        <f t="shared" si="11"/>
        <v>0</v>
      </c>
      <c r="CC21" s="462">
        <f>IF(AT21&lt;&gt;0,SSHICHG*Y21,0)</f>
        <v>0</v>
      </c>
      <c r="CD21" s="462">
        <f>IF(AND(AT21&lt;&gt;0,AN21&lt;&gt;"NE"),VLOOKUP(AN21,Retirement_Rates,5,FALSE)*Y21,0)</f>
        <v>0</v>
      </c>
      <c r="CE21" s="462">
        <f>IF(AND(AT21&lt;&gt;0,AJ21&lt;&gt;"PF"),LifeCHG*Y21,0)</f>
        <v>0</v>
      </c>
      <c r="CF21" s="462">
        <f>IF(AND(AT21&lt;&gt;0,AM21="Y"),UICHG*Y21,0)</f>
        <v>-175.76917399999999</v>
      </c>
      <c r="CG21" s="462">
        <f>IF(AND(AT21&lt;&gt;0,N21&lt;&gt;"NR"),DHRCHG*Y21,0)</f>
        <v>0</v>
      </c>
      <c r="CH21" s="462">
        <f>IF(AT21&lt;&gt;0,WCCHG*Y21,0)</f>
        <v>82.503898000000063</v>
      </c>
      <c r="CI21" s="462">
        <f>IF(OR(AND(AT21&lt;&gt;0,AJ21&lt;&gt;"PF",AN21&lt;&gt;"NE",AG21&lt;&gt;"A"),AND(AL21="E",OR(AT21=1,AT21=3))),SickCHG*Y21,0)</f>
        <v>0</v>
      </c>
      <c r="CJ21" s="462">
        <f t="shared" si="12"/>
        <v>-93.265275999999929</v>
      </c>
      <c r="CK21" s="462" t="str">
        <f t="shared" si="13"/>
        <v/>
      </c>
      <c r="CL21" s="462" t="str">
        <f t="shared" si="14"/>
        <v/>
      </c>
      <c r="CM21" s="462" t="str">
        <f t="shared" si="15"/>
        <v/>
      </c>
      <c r="CN21" s="462" t="str">
        <f t="shared" si="16"/>
        <v>0125-01</v>
      </c>
    </row>
    <row r="22" spans="1:92" ht="15" thickBot="1" x14ac:dyDescent="0.35">
      <c r="A22" s="376" t="s">
        <v>161</v>
      </c>
      <c r="B22" s="376" t="s">
        <v>162</v>
      </c>
      <c r="C22" s="376" t="s">
        <v>292</v>
      </c>
      <c r="D22" s="376" t="s">
        <v>222</v>
      </c>
      <c r="E22" s="376" t="s">
        <v>288</v>
      </c>
      <c r="F22" s="382" t="s">
        <v>289</v>
      </c>
      <c r="G22" s="376" t="s">
        <v>167</v>
      </c>
      <c r="H22" s="378"/>
      <c r="I22" s="378"/>
      <c r="J22" s="376" t="s">
        <v>168</v>
      </c>
      <c r="K22" s="376" t="s">
        <v>223</v>
      </c>
      <c r="L22" s="376" t="s">
        <v>224</v>
      </c>
      <c r="M22" s="376" t="s">
        <v>225</v>
      </c>
      <c r="N22" s="376" t="s">
        <v>202</v>
      </c>
      <c r="O22" s="379">
        <v>0</v>
      </c>
      <c r="P22" s="460">
        <v>0</v>
      </c>
      <c r="Q22" s="460">
        <v>0</v>
      </c>
      <c r="R22" s="380">
        <v>80</v>
      </c>
      <c r="S22" s="460">
        <v>0</v>
      </c>
      <c r="T22" s="380">
        <v>0</v>
      </c>
      <c r="U22" s="380">
        <v>0</v>
      </c>
      <c r="V22" s="380">
        <v>-485.42</v>
      </c>
      <c r="W22" s="380">
        <v>0</v>
      </c>
      <c r="X22" s="380">
        <v>0</v>
      </c>
      <c r="Y22" s="380">
        <v>0</v>
      </c>
      <c r="Z22" s="380">
        <v>0</v>
      </c>
      <c r="AA22" s="378"/>
      <c r="AB22" s="376" t="s">
        <v>45</v>
      </c>
      <c r="AC22" s="376" t="s">
        <v>45</v>
      </c>
      <c r="AD22" s="378"/>
      <c r="AE22" s="378"/>
      <c r="AF22" s="378"/>
      <c r="AG22" s="378"/>
      <c r="AH22" s="379">
        <v>0</v>
      </c>
      <c r="AI22" s="379">
        <v>0</v>
      </c>
      <c r="AJ22" s="378"/>
      <c r="AK22" s="378"/>
      <c r="AL22" s="376" t="s">
        <v>180</v>
      </c>
      <c r="AM22" s="378"/>
      <c r="AN22" s="378"/>
      <c r="AO22" s="379">
        <v>0</v>
      </c>
      <c r="AP22" s="460">
        <v>0</v>
      </c>
      <c r="AQ22" s="460">
        <v>0</v>
      </c>
      <c r="AR22" s="459"/>
      <c r="AS22" s="462">
        <f t="shared" si="0"/>
        <v>0</v>
      </c>
      <c r="AT22">
        <f t="shared" si="1"/>
        <v>0</v>
      </c>
      <c r="AU22" s="462" t="str">
        <f>IF(AT22=0,"",IF(AND(AT22=1,M22="F",SUMIF(C2:C698,C22,AS2:AS698)&lt;=1),SUMIF(C2:C698,C22,AS2:AS698),IF(AND(AT22=1,M22="F",SUMIF(C2:C698,C22,AS2:AS698)&gt;1),1,"")))</f>
        <v/>
      </c>
      <c r="AV22" s="462" t="str">
        <f>IF(AT22=0,"",IF(AND(AT22=3,M22="F",SUMIF(C2:C698,C22,AS2:AS698)&lt;=1),SUMIF(C2:C698,C22,AS2:AS698),IF(AND(AT22=3,M22="F",SUMIF(C2:C698,C22,AS2:AS698)&gt;1),1,"")))</f>
        <v/>
      </c>
      <c r="AW22" s="462">
        <f>SUMIF(C2:C698,C22,O2:O698)</f>
        <v>0</v>
      </c>
      <c r="AX22" s="462">
        <f>IF(AND(M22="F",AS22&lt;&gt;0),SUMIF(C2:C698,C22,W2:W698),0)</f>
        <v>0</v>
      </c>
      <c r="AY22" s="462" t="str">
        <f t="shared" si="2"/>
        <v/>
      </c>
      <c r="AZ22" s="462" t="str">
        <f t="shared" si="3"/>
        <v/>
      </c>
      <c r="BA22" s="462">
        <f t="shared" si="4"/>
        <v>0</v>
      </c>
      <c r="BB22" s="462">
        <f>IF(AND(AT22=1,AK22="E",AU22&gt;=0.75,AW22=1),Health,IF(AND(AT22=1,AK22="E",AU22&gt;=0.75),Health*P22,IF(AND(AT22=1,AK22="E",AU22&gt;=0.5,AW22=1),PTHealth,IF(AND(AT22=1,AK22="E",AU22&gt;=0.5),PTHealth*P22,0))))</f>
        <v>0</v>
      </c>
      <c r="BC22" s="462">
        <f>IF(AND(AT22=3,AK22="E",AV22&gt;=0.75,AW22=1),Health,IF(AND(AT22=3,AK22="E",AV22&gt;=0.75),Health*P22,IF(AND(AT22=3,AK22="E",AV22&gt;=0.5,AW22=1),PTHealth,IF(AND(AT22=3,AK22="E",AV22&gt;=0.5),PTHealth*P22,0))))</f>
        <v>0</v>
      </c>
      <c r="BD22" s="462">
        <f>IF(AND(AT22&lt;&gt;0,AX22&gt;=MAXSSDI),SSDI*MAXSSDI*P22,IF(AT22&lt;&gt;0,SSDI*W22,0))</f>
        <v>0</v>
      </c>
      <c r="BE22" s="462">
        <f>IF(AT22&lt;&gt;0,SSHI*W22,0)</f>
        <v>0</v>
      </c>
      <c r="BF22" s="462">
        <f>IF(AND(AT22&lt;&gt;0,AN22&lt;&gt;"NE"),VLOOKUP(AN22,Retirement_Rates,3,FALSE)*W22,0)</f>
        <v>0</v>
      </c>
      <c r="BG22" s="462">
        <f>IF(AND(AT22&lt;&gt;0,AJ22&lt;&gt;"PF"),Life*W22,0)</f>
        <v>0</v>
      </c>
      <c r="BH22" s="462">
        <f>IF(AND(AT22&lt;&gt;0,AM22="Y"),UI*W22,0)</f>
        <v>0</v>
      </c>
      <c r="BI22" s="462">
        <f>IF(AND(AT22&lt;&gt;0,N22&lt;&gt;"NR"),DHR*W22,0)</f>
        <v>0</v>
      </c>
      <c r="BJ22" s="462">
        <f>IF(AT22&lt;&gt;0,WC*W22,0)</f>
        <v>0</v>
      </c>
      <c r="BK22" s="462">
        <f>IF(OR(AND(AT22&lt;&gt;0,AJ22&lt;&gt;"PF",AN22&lt;&gt;"NE",AG22&lt;&gt;"A"),AND(AL22="E",OR(AT22=1,AT22=3))),Sick*W22,0)</f>
        <v>0</v>
      </c>
      <c r="BL22" s="462">
        <f t="shared" si="5"/>
        <v>0</v>
      </c>
      <c r="BM22" s="462">
        <f t="shared" si="6"/>
        <v>0</v>
      </c>
      <c r="BN22" s="462">
        <f>IF(AND(AT22=1,AK22="E",AU22&gt;=0.75,AW22=1),HealthBY,IF(AND(AT22=1,AK22="E",AU22&gt;=0.75),HealthBY*P22,IF(AND(AT22=1,AK22="E",AU22&gt;=0.5,AW22=1),PTHealthBY,IF(AND(AT22=1,AK22="E",AU22&gt;=0.5),PTHealthBY*P22,0))))</f>
        <v>0</v>
      </c>
      <c r="BO22" s="462">
        <f>IF(AND(AT22=3,AK22="E",AV22&gt;=0.75,AW22=1),HealthBY,IF(AND(AT22=3,AK22="E",AV22&gt;=0.75),HealthBY*P22,IF(AND(AT22=3,AK22="E",AV22&gt;=0.5,AW22=1),PTHealthBY,IF(AND(AT22=3,AK22="E",AV22&gt;=0.5),PTHealthBY*P22,0))))</f>
        <v>0</v>
      </c>
      <c r="BP22" s="462">
        <f>IF(AND(AT22&lt;&gt;0,(AX22+BA22)&gt;=MAXSSDIBY),SSDIBY*MAXSSDIBY*P22,IF(AT22&lt;&gt;0,SSDIBY*W22,0))</f>
        <v>0</v>
      </c>
      <c r="BQ22" s="462">
        <f>IF(AT22&lt;&gt;0,SSHIBY*W22,0)</f>
        <v>0</v>
      </c>
      <c r="BR22" s="462">
        <f>IF(AND(AT22&lt;&gt;0,AN22&lt;&gt;"NE"),VLOOKUP(AN22,Retirement_Rates,4,FALSE)*W22,0)</f>
        <v>0</v>
      </c>
      <c r="BS22" s="462">
        <f>IF(AND(AT22&lt;&gt;0,AJ22&lt;&gt;"PF"),LifeBY*W22,0)</f>
        <v>0</v>
      </c>
      <c r="BT22" s="462">
        <f>IF(AND(AT22&lt;&gt;0,AM22="Y"),UIBY*W22,0)</f>
        <v>0</v>
      </c>
      <c r="BU22" s="462">
        <f>IF(AND(AT22&lt;&gt;0,N22&lt;&gt;"NR"),DHRBY*W22,0)</f>
        <v>0</v>
      </c>
      <c r="BV22" s="462">
        <f>IF(AT22&lt;&gt;0,WCBY*W22,0)</f>
        <v>0</v>
      </c>
      <c r="BW22" s="462">
        <f>IF(OR(AND(AT22&lt;&gt;0,AJ22&lt;&gt;"PF",AN22&lt;&gt;"NE",AG22&lt;&gt;"A"),AND(AL22="E",OR(AT22=1,AT22=3))),SickBY*W22,0)</f>
        <v>0</v>
      </c>
      <c r="BX22" s="462">
        <f t="shared" si="7"/>
        <v>0</v>
      </c>
      <c r="BY22" s="462">
        <f t="shared" si="8"/>
        <v>0</v>
      </c>
      <c r="BZ22" s="462">
        <f t="shared" si="9"/>
        <v>0</v>
      </c>
      <c r="CA22" s="462">
        <f t="shared" si="10"/>
        <v>0</v>
      </c>
      <c r="CB22" s="462">
        <f t="shared" si="11"/>
        <v>0</v>
      </c>
      <c r="CC22" s="462">
        <f>IF(AT22&lt;&gt;0,SSHICHG*Y22,0)</f>
        <v>0</v>
      </c>
      <c r="CD22" s="462">
        <f>IF(AND(AT22&lt;&gt;0,AN22&lt;&gt;"NE"),VLOOKUP(AN22,Retirement_Rates,5,FALSE)*Y22,0)</f>
        <v>0</v>
      </c>
      <c r="CE22" s="462">
        <f>IF(AND(AT22&lt;&gt;0,AJ22&lt;&gt;"PF"),LifeCHG*Y22,0)</f>
        <v>0</v>
      </c>
      <c r="CF22" s="462">
        <f>IF(AND(AT22&lt;&gt;0,AM22="Y"),UICHG*Y22,0)</f>
        <v>0</v>
      </c>
      <c r="CG22" s="462">
        <f>IF(AND(AT22&lt;&gt;0,N22&lt;&gt;"NR"),DHRCHG*Y22,0)</f>
        <v>0</v>
      </c>
      <c r="CH22" s="462">
        <f>IF(AT22&lt;&gt;0,WCCHG*Y22,0)</f>
        <v>0</v>
      </c>
      <c r="CI22" s="462">
        <f>IF(OR(AND(AT22&lt;&gt;0,AJ22&lt;&gt;"PF",AN22&lt;&gt;"NE",AG22&lt;&gt;"A"),AND(AL22="E",OR(AT22=1,AT22=3))),SickCHG*Y22,0)</f>
        <v>0</v>
      </c>
      <c r="CJ22" s="462">
        <f t="shared" si="12"/>
        <v>0</v>
      </c>
      <c r="CK22" s="462" t="str">
        <f t="shared" si="13"/>
        <v/>
      </c>
      <c r="CL22" s="462" t="str">
        <f t="shared" si="14"/>
        <v/>
      </c>
      <c r="CM22" s="462" t="str">
        <f t="shared" si="15"/>
        <v/>
      </c>
      <c r="CN22" s="462" t="str">
        <f t="shared" si="16"/>
        <v>0125-01</v>
      </c>
    </row>
    <row r="23" spans="1:92" ht="15" thickBot="1" x14ac:dyDescent="0.35">
      <c r="A23" s="376" t="s">
        <v>161</v>
      </c>
      <c r="B23" s="376" t="s">
        <v>162</v>
      </c>
      <c r="C23" s="376" t="s">
        <v>293</v>
      </c>
      <c r="D23" s="376" t="s">
        <v>294</v>
      </c>
      <c r="E23" s="376" t="s">
        <v>288</v>
      </c>
      <c r="F23" s="382" t="s">
        <v>289</v>
      </c>
      <c r="G23" s="376" t="s">
        <v>167</v>
      </c>
      <c r="H23" s="378"/>
      <c r="I23" s="378"/>
      <c r="J23" s="376" t="s">
        <v>185</v>
      </c>
      <c r="K23" s="376" t="s">
        <v>295</v>
      </c>
      <c r="L23" s="376" t="s">
        <v>247</v>
      </c>
      <c r="M23" s="376" t="s">
        <v>170</v>
      </c>
      <c r="N23" s="376" t="s">
        <v>202</v>
      </c>
      <c r="O23" s="379">
        <v>1</v>
      </c>
      <c r="P23" s="460">
        <v>0.4</v>
      </c>
      <c r="Q23" s="460">
        <v>0.4</v>
      </c>
      <c r="R23" s="380">
        <v>80</v>
      </c>
      <c r="S23" s="460">
        <v>0.4</v>
      </c>
      <c r="T23" s="380">
        <v>7008</v>
      </c>
      <c r="U23" s="380">
        <v>0</v>
      </c>
      <c r="V23" s="380">
        <v>2810.83</v>
      </c>
      <c r="W23" s="380">
        <v>23296</v>
      </c>
      <c r="X23" s="380">
        <v>9933.5</v>
      </c>
      <c r="Y23" s="380">
        <v>23296</v>
      </c>
      <c r="Z23" s="380">
        <v>9872.94</v>
      </c>
      <c r="AA23" s="376" t="s">
        <v>296</v>
      </c>
      <c r="AB23" s="376" t="s">
        <v>297</v>
      </c>
      <c r="AC23" s="376" t="s">
        <v>298</v>
      </c>
      <c r="AD23" s="376" t="s">
        <v>224</v>
      </c>
      <c r="AE23" s="376" t="s">
        <v>295</v>
      </c>
      <c r="AF23" s="376" t="s">
        <v>299</v>
      </c>
      <c r="AG23" s="376" t="s">
        <v>177</v>
      </c>
      <c r="AH23" s="379">
        <v>28</v>
      </c>
      <c r="AI23" s="381">
        <v>1989.6</v>
      </c>
      <c r="AJ23" s="376" t="s">
        <v>178</v>
      </c>
      <c r="AK23" s="376" t="s">
        <v>179</v>
      </c>
      <c r="AL23" s="376" t="s">
        <v>180</v>
      </c>
      <c r="AM23" s="376" t="s">
        <v>181</v>
      </c>
      <c r="AN23" s="376" t="s">
        <v>68</v>
      </c>
      <c r="AO23" s="379">
        <v>80</v>
      </c>
      <c r="AP23" s="460">
        <v>1</v>
      </c>
      <c r="AQ23" s="460">
        <v>0.4</v>
      </c>
      <c r="AR23" s="458" t="s">
        <v>182</v>
      </c>
      <c r="AS23" s="462">
        <f t="shared" si="0"/>
        <v>0.4</v>
      </c>
      <c r="AT23">
        <f t="shared" si="1"/>
        <v>1</v>
      </c>
      <c r="AU23" s="462">
        <f>IF(AT23=0,"",IF(AND(AT23=1,M23="F",SUMIF(C2:C698,C23,AS2:AS698)&lt;=1),SUMIF(C2:C698,C23,AS2:AS698),IF(AND(AT23=1,M23="F",SUMIF(C2:C698,C23,AS2:AS698)&gt;1),1,"")))</f>
        <v>1</v>
      </c>
      <c r="AV23" s="462" t="str">
        <f>IF(AT23=0,"",IF(AND(AT23=3,M23="F",SUMIF(C2:C698,C23,AS2:AS698)&lt;=1),SUMIF(C2:C698,C23,AS2:AS698),IF(AND(AT23=3,M23="F",SUMIF(C2:C698,C23,AS2:AS698)&gt;1),1,"")))</f>
        <v/>
      </c>
      <c r="AW23" s="462">
        <f>SUMIF(C2:C698,C23,O2:O698)</f>
        <v>2</v>
      </c>
      <c r="AX23" s="462">
        <f>IF(AND(M23="F",AS23&lt;&gt;0),SUMIF(C2:C698,C23,W2:W698),0)</f>
        <v>58240</v>
      </c>
      <c r="AY23" s="462">
        <f t="shared" si="2"/>
        <v>23296</v>
      </c>
      <c r="AZ23" s="462" t="str">
        <f t="shared" si="3"/>
        <v/>
      </c>
      <c r="BA23" s="462">
        <f t="shared" si="4"/>
        <v>0</v>
      </c>
      <c r="BB23" s="462">
        <f>IF(AND(AT23=1,AK23="E",AU23&gt;=0.75,AW23=1),Health,IF(AND(AT23=1,AK23="E",AU23&gt;=0.75),Health*P23,IF(AND(AT23=1,AK23="E",AU23&gt;=0.5,AW23=1),PTHealth,IF(AND(AT23=1,AK23="E",AU23&gt;=0.5),PTHealth*P23,0))))</f>
        <v>4660</v>
      </c>
      <c r="BC23" s="462">
        <f>IF(AND(AT23=3,AK23="E",AV23&gt;=0.75,AW23=1),Health,IF(AND(AT23=3,AK23="E",AV23&gt;=0.75),Health*P23,IF(AND(AT23=3,AK23="E",AV23&gt;=0.5,AW23=1),PTHealth,IF(AND(AT23=3,AK23="E",AV23&gt;=0.5),PTHealth*P23,0))))</f>
        <v>0</v>
      </c>
      <c r="BD23" s="462">
        <f>IF(AND(AT23&lt;&gt;0,AX23&gt;=MAXSSDI),SSDI*MAXSSDI*P23,IF(AT23&lt;&gt;0,SSDI*W23,0))</f>
        <v>1444.3520000000001</v>
      </c>
      <c r="BE23" s="462">
        <f>IF(AT23&lt;&gt;0,SSHI*W23,0)</f>
        <v>337.79200000000003</v>
      </c>
      <c r="BF23" s="462">
        <f>IF(AND(AT23&lt;&gt;0,AN23&lt;&gt;"NE"),VLOOKUP(AN23,Retirement_Rates,3,FALSE)*W23,0)</f>
        <v>2781.5424000000003</v>
      </c>
      <c r="BG23" s="462">
        <f>IF(AND(AT23&lt;&gt;0,AJ23&lt;&gt;"PF"),Life*W23,0)</f>
        <v>167.96415999999999</v>
      </c>
      <c r="BH23" s="462">
        <f>IF(AND(AT23&lt;&gt;0,AM23="Y"),UI*W23,0)</f>
        <v>114.15039999999999</v>
      </c>
      <c r="BI23" s="462">
        <f>IF(AND(AT23&lt;&gt;0,N23&lt;&gt;"NR"),DHR*W23,0)</f>
        <v>71.285759999999996</v>
      </c>
      <c r="BJ23" s="462">
        <f>IF(AT23&lt;&gt;0,WC*W23,0)</f>
        <v>356.42879999999997</v>
      </c>
      <c r="BK23" s="462">
        <f>IF(OR(AND(AT23&lt;&gt;0,AJ23&lt;&gt;"PF",AN23&lt;&gt;"NE",AG23&lt;&gt;"A"),AND(AL23="E",OR(AT23=1,AT23=3))),Sick*W23,0)</f>
        <v>0</v>
      </c>
      <c r="BL23" s="462">
        <f t="shared" si="5"/>
        <v>5273.5155199999999</v>
      </c>
      <c r="BM23" s="462">
        <f t="shared" si="6"/>
        <v>0</v>
      </c>
      <c r="BN23" s="462">
        <f>IF(AND(AT23=1,AK23="E",AU23&gt;=0.75,AW23=1),HealthBY,IF(AND(AT23=1,AK23="E",AU23&gt;=0.75),HealthBY*P23,IF(AND(AT23=1,AK23="E",AU23&gt;=0.5,AW23=1),PTHealthBY,IF(AND(AT23=1,AK23="E",AU23&gt;=0.5),PTHealthBY*P23,0))))</f>
        <v>4660</v>
      </c>
      <c r="BO23" s="462">
        <f>IF(AND(AT23=3,AK23="E",AV23&gt;=0.75,AW23=1),HealthBY,IF(AND(AT23=3,AK23="E",AV23&gt;=0.75),HealthBY*P23,IF(AND(AT23=3,AK23="E",AV23&gt;=0.5,AW23=1),PTHealthBY,IF(AND(AT23=3,AK23="E",AV23&gt;=0.5),PTHealthBY*P23,0))))</f>
        <v>0</v>
      </c>
      <c r="BP23" s="462">
        <f>IF(AND(AT23&lt;&gt;0,(AX23+BA23)&gt;=MAXSSDIBY),SSDIBY*MAXSSDIBY*P23,IF(AT23&lt;&gt;0,SSDIBY*W23,0))</f>
        <v>1444.3520000000001</v>
      </c>
      <c r="BQ23" s="462">
        <f>IF(AT23&lt;&gt;0,SSHIBY*W23,0)</f>
        <v>337.79200000000003</v>
      </c>
      <c r="BR23" s="462">
        <f>IF(AND(AT23&lt;&gt;0,AN23&lt;&gt;"NE"),VLOOKUP(AN23,Retirement_Rates,4,FALSE)*W23,0)</f>
        <v>2781.5424000000003</v>
      </c>
      <c r="BS23" s="462">
        <f>IF(AND(AT23&lt;&gt;0,AJ23&lt;&gt;"PF"),LifeBY*W23,0)</f>
        <v>167.96415999999999</v>
      </c>
      <c r="BT23" s="462">
        <f>IF(AND(AT23&lt;&gt;0,AM23="Y"),UIBY*W23,0)</f>
        <v>0</v>
      </c>
      <c r="BU23" s="462">
        <f>IF(AND(AT23&lt;&gt;0,N23&lt;&gt;"NR"),DHRBY*W23,0)</f>
        <v>71.285759999999996</v>
      </c>
      <c r="BV23" s="462">
        <f>IF(AT23&lt;&gt;0,WCBY*W23,0)</f>
        <v>410.00960000000003</v>
      </c>
      <c r="BW23" s="462">
        <f>IF(OR(AND(AT23&lt;&gt;0,AJ23&lt;&gt;"PF",AN23&lt;&gt;"NE",AG23&lt;&gt;"A"),AND(AL23="E",OR(AT23=1,AT23=3))),SickBY*W23,0)</f>
        <v>0</v>
      </c>
      <c r="BX23" s="462">
        <f t="shared" si="7"/>
        <v>5212.9459200000001</v>
      </c>
      <c r="BY23" s="462">
        <f t="shared" si="8"/>
        <v>0</v>
      </c>
      <c r="BZ23" s="462">
        <f t="shared" si="9"/>
        <v>0</v>
      </c>
      <c r="CA23" s="462">
        <f t="shared" si="10"/>
        <v>0</v>
      </c>
      <c r="CB23" s="462">
        <f t="shared" si="11"/>
        <v>0</v>
      </c>
      <c r="CC23" s="462">
        <f>IF(AT23&lt;&gt;0,SSHICHG*Y23,0)</f>
        <v>0</v>
      </c>
      <c r="CD23" s="462">
        <f>IF(AND(AT23&lt;&gt;0,AN23&lt;&gt;"NE"),VLOOKUP(AN23,Retirement_Rates,5,FALSE)*Y23,0)</f>
        <v>0</v>
      </c>
      <c r="CE23" s="462">
        <f>IF(AND(AT23&lt;&gt;0,AJ23&lt;&gt;"PF"),LifeCHG*Y23,0)</f>
        <v>0</v>
      </c>
      <c r="CF23" s="462">
        <f>IF(AND(AT23&lt;&gt;0,AM23="Y"),UICHG*Y23,0)</f>
        <v>-114.15039999999999</v>
      </c>
      <c r="CG23" s="462">
        <f>IF(AND(AT23&lt;&gt;0,N23&lt;&gt;"NR"),DHRCHG*Y23,0)</f>
        <v>0</v>
      </c>
      <c r="CH23" s="462">
        <f>IF(AT23&lt;&gt;0,WCCHG*Y23,0)</f>
        <v>53.580800000000039</v>
      </c>
      <c r="CI23" s="462">
        <f>IF(OR(AND(AT23&lt;&gt;0,AJ23&lt;&gt;"PF",AN23&lt;&gt;"NE",AG23&lt;&gt;"A"),AND(AL23="E",OR(AT23=1,AT23=3))),SickCHG*Y23,0)</f>
        <v>0</v>
      </c>
      <c r="CJ23" s="462">
        <f t="shared" si="12"/>
        <v>-60.569599999999951</v>
      </c>
      <c r="CK23" s="462" t="str">
        <f t="shared" si="13"/>
        <v/>
      </c>
      <c r="CL23" s="462" t="str">
        <f t="shared" si="14"/>
        <v/>
      </c>
      <c r="CM23" s="462" t="str">
        <f t="shared" si="15"/>
        <v/>
      </c>
      <c r="CN23" s="462" t="str">
        <f t="shared" si="16"/>
        <v>0125-01</v>
      </c>
    </row>
    <row r="24" spans="1:92" ht="15" thickBot="1" x14ac:dyDescent="0.35">
      <c r="A24" s="376" t="s">
        <v>161</v>
      </c>
      <c r="B24" s="376" t="s">
        <v>162</v>
      </c>
      <c r="C24" s="376" t="s">
        <v>300</v>
      </c>
      <c r="D24" s="376" t="s">
        <v>301</v>
      </c>
      <c r="E24" s="376" t="s">
        <v>288</v>
      </c>
      <c r="F24" s="382" t="s">
        <v>289</v>
      </c>
      <c r="G24" s="376" t="s">
        <v>167</v>
      </c>
      <c r="H24" s="378"/>
      <c r="I24" s="378"/>
      <c r="J24" s="376" t="s">
        <v>168</v>
      </c>
      <c r="K24" s="376" t="s">
        <v>302</v>
      </c>
      <c r="L24" s="376" t="s">
        <v>166</v>
      </c>
      <c r="M24" s="376" t="s">
        <v>170</v>
      </c>
      <c r="N24" s="376" t="s">
        <v>171</v>
      </c>
      <c r="O24" s="379">
        <v>1</v>
      </c>
      <c r="P24" s="460">
        <v>1</v>
      </c>
      <c r="Q24" s="460">
        <v>1</v>
      </c>
      <c r="R24" s="380">
        <v>80</v>
      </c>
      <c r="S24" s="460">
        <v>1</v>
      </c>
      <c r="T24" s="380">
        <v>85645.6</v>
      </c>
      <c r="U24" s="380">
        <v>0</v>
      </c>
      <c r="V24" s="380">
        <v>28756.85</v>
      </c>
      <c r="W24" s="380">
        <v>86361.600000000006</v>
      </c>
      <c r="X24" s="380">
        <v>30935.38</v>
      </c>
      <c r="Y24" s="380">
        <v>86361.600000000006</v>
      </c>
      <c r="Z24" s="380">
        <v>30710.84</v>
      </c>
      <c r="AA24" s="376" t="s">
        <v>303</v>
      </c>
      <c r="AB24" s="376" t="s">
        <v>304</v>
      </c>
      <c r="AC24" s="376" t="s">
        <v>305</v>
      </c>
      <c r="AD24" s="376" t="s">
        <v>177</v>
      </c>
      <c r="AE24" s="376" t="s">
        <v>302</v>
      </c>
      <c r="AF24" s="376" t="s">
        <v>176</v>
      </c>
      <c r="AG24" s="376" t="s">
        <v>177</v>
      </c>
      <c r="AH24" s="381">
        <v>41.52</v>
      </c>
      <c r="AI24" s="381">
        <v>15901.2</v>
      </c>
      <c r="AJ24" s="376" t="s">
        <v>178</v>
      </c>
      <c r="AK24" s="376" t="s">
        <v>179</v>
      </c>
      <c r="AL24" s="376" t="s">
        <v>180</v>
      </c>
      <c r="AM24" s="376" t="s">
        <v>181</v>
      </c>
      <c r="AN24" s="376" t="s">
        <v>68</v>
      </c>
      <c r="AO24" s="379">
        <v>80</v>
      </c>
      <c r="AP24" s="460">
        <v>1</v>
      </c>
      <c r="AQ24" s="460">
        <v>1</v>
      </c>
      <c r="AR24" s="458" t="s">
        <v>182</v>
      </c>
      <c r="AS24" s="462">
        <f t="shared" si="0"/>
        <v>1</v>
      </c>
      <c r="AT24">
        <f t="shared" si="1"/>
        <v>1</v>
      </c>
      <c r="AU24" s="462">
        <f>IF(AT24=0,"",IF(AND(AT24=1,M24="F",SUMIF(C2:C698,C24,AS2:AS698)&lt;=1),SUMIF(C2:C698,C24,AS2:AS698),IF(AND(AT24=1,M24="F",SUMIF(C2:C698,C24,AS2:AS698)&gt;1),1,"")))</f>
        <v>1</v>
      </c>
      <c r="AV24" s="462" t="str">
        <f>IF(AT24=0,"",IF(AND(AT24=3,M24="F",SUMIF(C2:C698,C24,AS2:AS698)&lt;=1),SUMIF(C2:C698,C24,AS2:AS698),IF(AND(AT24=3,M24="F",SUMIF(C2:C698,C24,AS2:AS698)&gt;1),1,"")))</f>
        <v/>
      </c>
      <c r="AW24" s="462">
        <f>SUMIF(C2:C698,C24,O2:O698)</f>
        <v>1</v>
      </c>
      <c r="AX24" s="462">
        <f>IF(AND(M24="F",AS24&lt;&gt;0),SUMIF(C2:C698,C24,W2:W698),0)</f>
        <v>86361.600000000006</v>
      </c>
      <c r="AY24" s="462">
        <f t="shared" si="2"/>
        <v>86361.600000000006</v>
      </c>
      <c r="AZ24" s="462" t="str">
        <f t="shared" si="3"/>
        <v/>
      </c>
      <c r="BA24" s="462">
        <f t="shared" si="4"/>
        <v>0</v>
      </c>
      <c r="BB24" s="462">
        <f>IF(AND(AT24=1,AK24="E",AU24&gt;=0.75,AW24=1),Health,IF(AND(AT24=1,AK24="E",AU24&gt;=0.75),Health*P24,IF(AND(AT24=1,AK24="E",AU24&gt;=0.5,AW24=1),PTHealth,IF(AND(AT24=1,AK24="E",AU24&gt;=0.5),PTHealth*P24,0))))</f>
        <v>11650</v>
      </c>
      <c r="BC24" s="462">
        <f>IF(AND(AT24=3,AK24="E",AV24&gt;=0.75,AW24=1),Health,IF(AND(AT24=3,AK24="E",AV24&gt;=0.75),Health*P24,IF(AND(AT24=3,AK24="E",AV24&gt;=0.5,AW24=1),PTHealth,IF(AND(AT24=3,AK24="E",AV24&gt;=0.5),PTHealth*P24,0))))</f>
        <v>0</v>
      </c>
      <c r="BD24" s="462">
        <f>IF(AND(AT24&lt;&gt;0,AX24&gt;=MAXSSDI),SSDI*MAXSSDI*P24,IF(AT24&lt;&gt;0,SSDI*W24,0))</f>
        <v>5354.4192000000003</v>
      </c>
      <c r="BE24" s="462">
        <f>IF(AT24&lt;&gt;0,SSHI*W24,0)</f>
        <v>1252.2432000000001</v>
      </c>
      <c r="BF24" s="462">
        <f>IF(AND(AT24&lt;&gt;0,AN24&lt;&gt;"NE"),VLOOKUP(AN24,Retirement_Rates,3,FALSE)*W24,0)</f>
        <v>10311.575040000002</v>
      </c>
      <c r="BG24" s="462">
        <f>IF(AND(AT24&lt;&gt;0,AJ24&lt;&gt;"PF"),Life*W24,0)</f>
        <v>622.66713600000003</v>
      </c>
      <c r="BH24" s="462">
        <f>IF(AND(AT24&lt;&gt;0,AM24="Y"),UI*W24,0)</f>
        <v>423.17184000000003</v>
      </c>
      <c r="BI24" s="462">
        <f>IF(AND(AT24&lt;&gt;0,N24&lt;&gt;"NR"),DHR*W24,0)</f>
        <v>0</v>
      </c>
      <c r="BJ24" s="462">
        <f>IF(AT24&lt;&gt;0,WC*W24,0)</f>
        <v>1321.33248</v>
      </c>
      <c r="BK24" s="462">
        <f>IF(OR(AND(AT24&lt;&gt;0,AJ24&lt;&gt;"PF",AN24&lt;&gt;"NE",AG24&lt;&gt;"A"),AND(AL24="E",OR(AT24=1,AT24=3))),Sick*W24,0)</f>
        <v>0</v>
      </c>
      <c r="BL24" s="462">
        <f t="shared" si="5"/>
        <v>19285.408896000001</v>
      </c>
      <c r="BM24" s="462">
        <f t="shared" si="6"/>
        <v>0</v>
      </c>
      <c r="BN24" s="462">
        <f>IF(AND(AT24=1,AK24="E",AU24&gt;=0.75,AW24=1),HealthBY,IF(AND(AT24=1,AK24="E",AU24&gt;=0.75),HealthBY*P24,IF(AND(AT24=1,AK24="E",AU24&gt;=0.5,AW24=1),PTHealthBY,IF(AND(AT24=1,AK24="E",AU24&gt;=0.5),PTHealthBY*P24,0))))</f>
        <v>11650</v>
      </c>
      <c r="BO24" s="462">
        <f>IF(AND(AT24=3,AK24="E",AV24&gt;=0.75,AW24=1),HealthBY,IF(AND(AT24=3,AK24="E",AV24&gt;=0.75),HealthBY*P24,IF(AND(AT24=3,AK24="E",AV24&gt;=0.5,AW24=1),PTHealthBY,IF(AND(AT24=3,AK24="E",AV24&gt;=0.5),PTHealthBY*P24,0))))</f>
        <v>0</v>
      </c>
      <c r="BP24" s="462">
        <f>IF(AND(AT24&lt;&gt;0,(AX24+BA24)&gt;=MAXSSDIBY),SSDIBY*MAXSSDIBY*P24,IF(AT24&lt;&gt;0,SSDIBY*W24,0))</f>
        <v>5354.4192000000003</v>
      </c>
      <c r="BQ24" s="462">
        <f>IF(AT24&lt;&gt;0,SSHIBY*W24,0)</f>
        <v>1252.2432000000001</v>
      </c>
      <c r="BR24" s="462">
        <f>IF(AND(AT24&lt;&gt;0,AN24&lt;&gt;"NE"),VLOOKUP(AN24,Retirement_Rates,4,FALSE)*W24,0)</f>
        <v>10311.575040000002</v>
      </c>
      <c r="BS24" s="462">
        <f>IF(AND(AT24&lt;&gt;0,AJ24&lt;&gt;"PF"),LifeBY*W24,0)</f>
        <v>622.66713600000003</v>
      </c>
      <c r="BT24" s="462">
        <f>IF(AND(AT24&lt;&gt;0,AM24="Y"),UIBY*W24,0)</f>
        <v>0</v>
      </c>
      <c r="BU24" s="462">
        <f>IF(AND(AT24&lt;&gt;0,N24&lt;&gt;"NR"),DHRBY*W24,0)</f>
        <v>0</v>
      </c>
      <c r="BV24" s="462">
        <f>IF(AT24&lt;&gt;0,WCBY*W24,0)</f>
        <v>1519.9641600000002</v>
      </c>
      <c r="BW24" s="462">
        <f>IF(OR(AND(AT24&lt;&gt;0,AJ24&lt;&gt;"PF",AN24&lt;&gt;"NE",AG24&lt;&gt;"A"),AND(AL24="E",OR(AT24=1,AT24=3))),SickBY*W24,0)</f>
        <v>0</v>
      </c>
      <c r="BX24" s="462">
        <f t="shared" si="7"/>
        <v>19060.868736</v>
      </c>
      <c r="BY24" s="462">
        <f t="shared" si="8"/>
        <v>0</v>
      </c>
      <c r="BZ24" s="462">
        <f t="shared" si="9"/>
        <v>0</v>
      </c>
      <c r="CA24" s="462">
        <f t="shared" si="10"/>
        <v>0</v>
      </c>
      <c r="CB24" s="462">
        <f t="shared" si="11"/>
        <v>0</v>
      </c>
      <c r="CC24" s="462">
        <f>IF(AT24&lt;&gt;0,SSHICHG*Y24,0)</f>
        <v>0</v>
      </c>
      <c r="CD24" s="462">
        <f>IF(AND(AT24&lt;&gt;0,AN24&lt;&gt;"NE"),VLOOKUP(AN24,Retirement_Rates,5,FALSE)*Y24,0)</f>
        <v>0</v>
      </c>
      <c r="CE24" s="462">
        <f>IF(AND(AT24&lt;&gt;0,AJ24&lt;&gt;"PF"),LifeCHG*Y24,0)</f>
        <v>0</v>
      </c>
      <c r="CF24" s="462">
        <f>IF(AND(AT24&lt;&gt;0,AM24="Y"),UICHG*Y24,0)</f>
        <v>-423.17184000000003</v>
      </c>
      <c r="CG24" s="462">
        <f>IF(AND(AT24&lt;&gt;0,N24&lt;&gt;"NR"),DHRCHG*Y24,0)</f>
        <v>0</v>
      </c>
      <c r="CH24" s="462">
        <f>IF(AT24&lt;&gt;0,WCCHG*Y24,0)</f>
        <v>198.63168000000016</v>
      </c>
      <c r="CI24" s="462">
        <f>IF(OR(AND(AT24&lt;&gt;0,AJ24&lt;&gt;"PF",AN24&lt;&gt;"NE",AG24&lt;&gt;"A"),AND(AL24="E",OR(AT24=1,AT24=3))),SickCHG*Y24,0)</f>
        <v>0</v>
      </c>
      <c r="CJ24" s="462">
        <f t="shared" si="12"/>
        <v>-224.54015999999987</v>
      </c>
      <c r="CK24" s="462" t="str">
        <f t="shared" si="13"/>
        <v/>
      </c>
      <c r="CL24" s="462" t="str">
        <f t="shared" si="14"/>
        <v/>
      </c>
      <c r="CM24" s="462" t="str">
        <f t="shared" si="15"/>
        <v/>
      </c>
      <c r="CN24" s="462" t="str">
        <f t="shared" si="16"/>
        <v>0125-01</v>
      </c>
    </row>
    <row r="25" spans="1:92" ht="15" thickBot="1" x14ac:dyDescent="0.35">
      <c r="A25" s="376" t="s">
        <v>161</v>
      </c>
      <c r="B25" s="376" t="s">
        <v>162</v>
      </c>
      <c r="C25" s="376" t="s">
        <v>226</v>
      </c>
      <c r="D25" s="376" t="s">
        <v>227</v>
      </c>
      <c r="E25" s="376" t="s">
        <v>288</v>
      </c>
      <c r="F25" s="382" t="s">
        <v>289</v>
      </c>
      <c r="G25" s="376" t="s">
        <v>167</v>
      </c>
      <c r="H25" s="378"/>
      <c r="I25" s="378"/>
      <c r="J25" s="376" t="s">
        <v>185</v>
      </c>
      <c r="K25" s="376" t="s">
        <v>228</v>
      </c>
      <c r="L25" s="376" t="s">
        <v>224</v>
      </c>
      <c r="M25" s="376" t="s">
        <v>170</v>
      </c>
      <c r="N25" s="376" t="s">
        <v>202</v>
      </c>
      <c r="O25" s="379">
        <v>1</v>
      </c>
      <c r="P25" s="460">
        <v>0.67</v>
      </c>
      <c r="Q25" s="460">
        <v>0.67</v>
      </c>
      <c r="R25" s="380">
        <v>80</v>
      </c>
      <c r="S25" s="460">
        <v>0.67</v>
      </c>
      <c r="T25" s="380">
        <v>23465.25</v>
      </c>
      <c r="U25" s="380">
        <v>0</v>
      </c>
      <c r="V25" s="380">
        <v>10697.59</v>
      </c>
      <c r="W25" s="380">
        <v>34840</v>
      </c>
      <c r="X25" s="380">
        <v>15692.23</v>
      </c>
      <c r="Y25" s="380">
        <v>34840</v>
      </c>
      <c r="Z25" s="380">
        <v>15601.64</v>
      </c>
      <c r="AA25" s="376" t="s">
        <v>229</v>
      </c>
      <c r="AB25" s="376" t="s">
        <v>230</v>
      </c>
      <c r="AC25" s="376" t="s">
        <v>231</v>
      </c>
      <c r="AD25" s="376" t="s">
        <v>179</v>
      </c>
      <c r="AE25" s="376" t="s">
        <v>228</v>
      </c>
      <c r="AF25" s="376" t="s">
        <v>232</v>
      </c>
      <c r="AG25" s="376" t="s">
        <v>177</v>
      </c>
      <c r="AH25" s="379">
        <v>25</v>
      </c>
      <c r="AI25" s="381">
        <v>258.3</v>
      </c>
      <c r="AJ25" s="376" t="s">
        <v>178</v>
      </c>
      <c r="AK25" s="376" t="s">
        <v>179</v>
      </c>
      <c r="AL25" s="376" t="s">
        <v>180</v>
      </c>
      <c r="AM25" s="376" t="s">
        <v>181</v>
      </c>
      <c r="AN25" s="376" t="s">
        <v>68</v>
      </c>
      <c r="AO25" s="379">
        <v>80</v>
      </c>
      <c r="AP25" s="460">
        <v>1</v>
      </c>
      <c r="AQ25" s="460">
        <v>0.67</v>
      </c>
      <c r="AR25" s="458" t="s">
        <v>182</v>
      </c>
      <c r="AS25" s="462">
        <f t="shared" si="0"/>
        <v>0.67</v>
      </c>
      <c r="AT25">
        <f t="shared" si="1"/>
        <v>1</v>
      </c>
      <c r="AU25" s="462">
        <f>IF(AT25=0,"",IF(AND(AT25=1,M25="F",SUMIF(C2:C698,C25,AS2:AS698)&lt;=1),SUMIF(C2:C698,C25,AS2:AS698),IF(AND(AT25=1,M25="F",SUMIF(C2:C698,C25,AS2:AS698)&gt;1),1,"")))</f>
        <v>1</v>
      </c>
      <c r="AV25" s="462" t="str">
        <f>IF(AT25=0,"",IF(AND(AT25=3,M25="F",SUMIF(C2:C698,C25,AS2:AS698)&lt;=1),SUMIF(C2:C698,C25,AS2:AS698),IF(AND(AT25=3,M25="F",SUMIF(C2:C698,C25,AS2:AS698)&gt;1),1,"")))</f>
        <v/>
      </c>
      <c r="AW25" s="462">
        <f>SUMIF(C2:C698,C25,O2:O698)</f>
        <v>2</v>
      </c>
      <c r="AX25" s="462">
        <f>IF(AND(M25="F",AS25&lt;&gt;0),SUMIF(C2:C698,C25,W2:W698),0)</f>
        <v>52000</v>
      </c>
      <c r="AY25" s="462">
        <f t="shared" si="2"/>
        <v>34840</v>
      </c>
      <c r="AZ25" s="462" t="str">
        <f t="shared" si="3"/>
        <v/>
      </c>
      <c r="BA25" s="462">
        <f t="shared" si="4"/>
        <v>0</v>
      </c>
      <c r="BB25" s="462">
        <f>IF(AND(AT25=1,AK25="E",AU25&gt;=0.75,AW25=1),Health,IF(AND(AT25=1,AK25="E",AU25&gt;=0.75),Health*P25,IF(AND(AT25=1,AK25="E",AU25&gt;=0.5,AW25=1),PTHealth,IF(AND(AT25=1,AK25="E",AU25&gt;=0.5),PTHealth*P25,0))))</f>
        <v>7805.5000000000009</v>
      </c>
      <c r="BC25" s="462">
        <f>IF(AND(AT25=3,AK25="E",AV25&gt;=0.75,AW25=1),Health,IF(AND(AT25=3,AK25="E",AV25&gt;=0.75),Health*P25,IF(AND(AT25=3,AK25="E",AV25&gt;=0.5,AW25=1),PTHealth,IF(AND(AT25=3,AK25="E",AV25&gt;=0.5),PTHealth*P25,0))))</f>
        <v>0</v>
      </c>
      <c r="BD25" s="462">
        <f>IF(AND(AT25&lt;&gt;0,AX25&gt;=MAXSSDI),SSDI*MAXSSDI*P25,IF(AT25&lt;&gt;0,SSDI*W25,0))</f>
        <v>2160.08</v>
      </c>
      <c r="BE25" s="462">
        <f>IF(AT25&lt;&gt;0,SSHI*W25,0)</f>
        <v>505.18</v>
      </c>
      <c r="BF25" s="462">
        <f>IF(AND(AT25&lt;&gt;0,AN25&lt;&gt;"NE"),VLOOKUP(AN25,Retirement_Rates,3,FALSE)*W25,0)</f>
        <v>4159.8960000000006</v>
      </c>
      <c r="BG25" s="462">
        <f>IF(AND(AT25&lt;&gt;0,AJ25&lt;&gt;"PF"),Life*W25,0)</f>
        <v>251.19640000000001</v>
      </c>
      <c r="BH25" s="462">
        <f>IF(AND(AT25&lt;&gt;0,AM25="Y"),UI*W25,0)</f>
        <v>170.71600000000001</v>
      </c>
      <c r="BI25" s="462">
        <f>IF(AND(AT25&lt;&gt;0,N25&lt;&gt;"NR"),DHR*W25,0)</f>
        <v>106.6104</v>
      </c>
      <c r="BJ25" s="462">
        <f>IF(AT25&lt;&gt;0,WC*W25,0)</f>
        <v>533.05200000000002</v>
      </c>
      <c r="BK25" s="462">
        <f>IF(OR(AND(AT25&lt;&gt;0,AJ25&lt;&gt;"PF",AN25&lt;&gt;"NE",AG25&lt;&gt;"A"),AND(AL25="E",OR(AT25=1,AT25=3))),Sick*W25,0)</f>
        <v>0</v>
      </c>
      <c r="BL25" s="462">
        <f t="shared" si="5"/>
        <v>7886.7308000000003</v>
      </c>
      <c r="BM25" s="462">
        <f t="shared" si="6"/>
        <v>0</v>
      </c>
      <c r="BN25" s="462">
        <f>IF(AND(AT25=1,AK25="E",AU25&gt;=0.75,AW25=1),HealthBY,IF(AND(AT25=1,AK25="E",AU25&gt;=0.75),HealthBY*P25,IF(AND(AT25=1,AK25="E",AU25&gt;=0.5,AW25=1),PTHealthBY,IF(AND(AT25=1,AK25="E",AU25&gt;=0.5),PTHealthBY*P25,0))))</f>
        <v>7805.5000000000009</v>
      </c>
      <c r="BO25" s="462">
        <f>IF(AND(AT25=3,AK25="E",AV25&gt;=0.75,AW25=1),HealthBY,IF(AND(AT25=3,AK25="E",AV25&gt;=0.75),HealthBY*P25,IF(AND(AT25=3,AK25="E",AV25&gt;=0.5,AW25=1),PTHealthBY,IF(AND(AT25=3,AK25="E",AV25&gt;=0.5),PTHealthBY*P25,0))))</f>
        <v>0</v>
      </c>
      <c r="BP25" s="462">
        <f>IF(AND(AT25&lt;&gt;0,(AX25+BA25)&gt;=MAXSSDIBY),SSDIBY*MAXSSDIBY*P25,IF(AT25&lt;&gt;0,SSDIBY*W25,0))</f>
        <v>2160.08</v>
      </c>
      <c r="BQ25" s="462">
        <f>IF(AT25&lt;&gt;0,SSHIBY*W25,0)</f>
        <v>505.18</v>
      </c>
      <c r="BR25" s="462">
        <f>IF(AND(AT25&lt;&gt;0,AN25&lt;&gt;"NE"),VLOOKUP(AN25,Retirement_Rates,4,FALSE)*W25,0)</f>
        <v>4159.8960000000006</v>
      </c>
      <c r="BS25" s="462">
        <f>IF(AND(AT25&lt;&gt;0,AJ25&lt;&gt;"PF"),LifeBY*W25,0)</f>
        <v>251.19640000000001</v>
      </c>
      <c r="BT25" s="462">
        <f>IF(AND(AT25&lt;&gt;0,AM25="Y"),UIBY*W25,0)</f>
        <v>0</v>
      </c>
      <c r="BU25" s="462">
        <f>IF(AND(AT25&lt;&gt;0,N25&lt;&gt;"NR"),DHRBY*W25,0)</f>
        <v>106.6104</v>
      </c>
      <c r="BV25" s="462">
        <f>IF(AT25&lt;&gt;0,WCBY*W25,0)</f>
        <v>613.18400000000008</v>
      </c>
      <c r="BW25" s="462">
        <f>IF(OR(AND(AT25&lt;&gt;0,AJ25&lt;&gt;"PF",AN25&lt;&gt;"NE",AG25&lt;&gt;"A"),AND(AL25="E",OR(AT25=1,AT25=3))),SickBY*W25,0)</f>
        <v>0</v>
      </c>
      <c r="BX25" s="462">
        <f t="shared" si="7"/>
        <v>7796.1468000000004</v>
      </c>
      <c r="BY25" s="462">
        <f t="shared" si="8"/>
        <v>0</v>
      </c>
      <c r="BZ25" s="462">
        <f t="shared" si="9"/>
        <v>0</v>
      </c>
      <c r="CA25" s="462">
        <f t="shared" si="10"/>
        <v>0</v>
      </c>
      <c r="CB25" s="462">
        <f t="shared" si="11"/>
        <v>0</v>
      </c>
      <c r="CC25" s="462">
        <f>IF(AT25&lt;&gt;0,SSHICHG*Y25,0)</f>
        <v>0</v>
      </c>
      <c r="CD25" s="462">
        <f>IF(AND(AT25&lt;&gt;0,AN25&lt;&gt;"NE"),VLOOKUP(AN25,Retirement_Rates,5,FALSE)*Y25,0)</f>
        <v>0</v>
      </c>
      <c r="CE25" s="462">
        <f>IF(AND(AT25&lt;&gt;0,AJ25&lt;&gt;"PF"),LifeCHG*Y25,0)</f>
        <v>0</v>
      </c>
      <c r="CF25" s="462">
        <f>IF(AND(AT25&lt;&gt;0,AM25="Y"),UICHG*Y25,0)</f>
        <v>-170.71600000000001</v>
      </c>
      <c r="CG25" s="462">
        <f>IF(AND(AT25&lt;&gt;0,N25&lt;&gt;"NR"),DHRCHG*Y25,0)</f>
        <v>0</v>
      </c>
      <c r="CH25" s="462">
        <f>IF(AT25&lt;&gt;0,WCCHG*Y25,0)</f>
        <v>80.132000000000062</v>
      </c>
      <c r="CI25" s="462">
        <f>IF(OR(AND(AT25&lt;&gt;0,AJ25&lt;&gt;"PF",AN25&lt;&gt;"NE",AG25&lt;&gt;"A"),AND(AL25="E",OR(AT25=1,AT25=3))),SickCHG*Y25,0)</f>
        <v>0</v>
      </c>
      <c r="CJ25" s="462">
        <f t="shared" si="12"/>
        <v>-90.583999999999946</v>
      </c>
      <c r="CK25" s="462" t="str">
        <f t="shared" si="13"/>
        <v/>
      </c>
      <c r="CL25" s="462" t="str">
        <f t="shared" si="14"/>
        <v/>
      </c>
      <c r="CM25" s="462" t="str">
        <f t="shared" si="15"/>
        <v/>
      </c>
      <c r="CN25" s="462" t="str">
        <f t="shared" si="16"/>
        <v>0125-01</v>
      </c>
    </row>
    <row r="26" spans="1:92" ht="15" thickBot="1" x14ac:dyDescent="0.35">
      <c r="A26" s="376" t="s">
        <v>161</v>
      </c>
      <c r="B26" s="376" t="s">
        <v>162</v>
      </c>
      <c r="C26" s="376" t="s">
        <v>233</v>
      </c>
      <c r="D26" s="376" t="s">
        <v>234</v>
      </c>
      <c r="E26" s="376" t="s">
        <v>288</v>
      </c>
      <c r="F26" s="382" t="s">
        <v>289</v>
      </c>
      <c r="G26" s="376" t="s">
        <v>167</v>
      </c>
      <c r="H26" s="378"/>
      <c r="I26" s="378"/>
      <c r="J26" s="376" t="s">
        <v>185</v>
      </c>
      <c r="K26" s="376" t="s">
        <v>235</v>
      </c>
      <c r="L26" s="376" t="s">
        <v>224</v>
      </c>
      <c r="M26" s="376" t="s">
        <v>170</v>
      </c>
      <c r="N26" s="376" t="s">
        <v>202</v>
      </c>
      <c r="O26" s="379">
        <v>1</v>
      </c>
      <c r="P26" s="460">
        <v>0.5</v>
      </c>
      <c r="Q26" s="460">
        <v>0.5</v>
      </c>
      <c r="R26" s="380">
        <v>80</v>
      </c>
      <c r="S26" s="460">
        <v>0.5</v>
      </c>
      <c r="T26" s="380">
        <v>20470.45</v>
      </c>
      <c r="U26" s="380">
        <v>0</v>
      </c>
      <c r="V26" s="380">
        <v>9073.76</v>
      </c>
      <c r="W26" s="380">
        <v>26000</v>
      </c>
      <c r="X26" s="380">
        <v>11710.62</v>
      </c>
      <c r="Y26" s="380">
        <v>26000</v>
      </c>
      <c r="Z26" s="380">
        <v>11643.02</v>
      </c>
      <c r="AA26" s="376" t="s">
        <v>236</v>
      </c>
      <c r="AB26" s="376" t="s">
        <v>237</v>
      </c>
      <c r="AC26" s="376" t="s">
        <v>238</v>
      </c>
      <c r="AD26" s="376" t="s">
        <v>239</v>
      </c>
      <c r="AE26" s="376" t="s">
        <v>235</v>
      </c>
      <c r="AF26" s="376" t="s">
        <v>232</v>
      </c>
      <c r="AG26" s="376" t="s">
        <v>177</v>
      </c>
      <c r="AH26" s="379">
        <v>25</v>
      </c>
      <c r="AI26" s="379">
        <v>848</v>
      </c>
      <c r="AJ26" s="376" t="s">
        <v>178</v>
      </c>
      <c r="AK26" s="376" t="s">
        <v>179</v>
      </c>
      <c r="AL26" s="376" t="s">
        <v>180</v>
      </c>
      <c r="AM26" s="376" t="s">
        <v>181</v>
      </c>
      <c r="AN26" s="376" t="s">
        <v>68</v>
      </c>
      <c r="AO26" s="379">
        <v>80</v>
      </c>
      <c r="AP26" s="460">
        <v>1</v>
      </c>
      <c r="AQ26" s="460">
        <v>0.5</v>
      </c>
      <c r="AR26" s="458" t="s">
        <v>182</v>
      </c>
      <c r="AS26" s="462">
        <f t="shared" si="0"/>
        <v>0.5</v>
      </c>
      <c r="AT26">
        <f t="shared" si="1"/>
        <v>1</v>
      </c>
      <c r="AU26" s="462">
        <f>IF(AT26=0,"",IF(AND(AT26=1,M26="F",SUMIF(C2:C698,C26,AS2:AS698)&lt;=1),SUMIF(C2:C698,C26,AS2:AS698),IF(AND(AT26=1,M26="F",SUMIF(C2:C698,C26,AS2:AS698)&gt;1),1,"")))</f>
        <v>1</v>
      </c>
      <c r="AV26" s="462" t="str">
        <f>IF(AT26=0,"",IF(AND(AT26=3,M26="F",SUMIF(C2:C698,C26,AS2:AS698)&lt;=1),SUMIF(C2:C698,C26,AS2:AS698),IF(AND(AT26=3,M26="F",SUMIF(C2:C698,C26,AS2:AS698)&gt;1),1,"")))</f>
        <v/>
      </c>
      <c r="AW26" s="462">
        <f>SUMIF(C2:C698,C26,O2:O698)</f>
        <v>2</v>
      </c>
      <c r="AX26" s="462">
        <f>IF(AND(M26="F",AS26&lt;&gt;0),SUMIF(C2:C698,C26,W2:W698),0)</f>
        <v>52000</v>
      </c>
      <c r="AY26" s="462">
        <f t="shared" si="2"/>
        <v>26000</v>
      </c>
      <c r="AZ26" s="462" t="str">
        <f t="shared" si="3"/>
        <v/>
      </c>
      <c r="BA26" s="462">
        <f t="shared" si="4"/>
        <v>0</v>
      </c>
      <c r="BB26" s="462">
        <f>IF(AND(AT26=1,AK26="E",AU26&gt;=0.75,AW26=1),Health,IF(AND(AT26=1,AK26="E",AU26&gt;=0.75),Health*P26,IF(AND(AT26=1,AK26="E",AU26&gt;=0.5,AW26=1),PTHealth,IF(AND(AT26=1,AK26="E",AU26&gt;=0.5),PTHealth*P26,0))))</f>
        <v>5825</v>
      </c>
      <c r="BC26" s="462">
        <f>IF(AND(AT26=3,AK26="E",AV26&gt;=0.75,AW26=1),Health,IF(AND(AT26=3,AK26="E",AV26&gt;=0.75),Health*P26,IF(AND(AT26=3,AK26="E",AV26&gt;=0.5,AW26=1),PTHealth,IF(AND(AT26=3,AK26="E",AV26&gt;=0.5),PTHealth*P26,0))))</f>
        <v>0</v>
      </c>
      <c r="BD26" s="462">
        <f>IF(AND(AT26&lt;&gt;0,AX26&gt;=MAXSSDI),SSDI*MAXSSDI*P26,IF(AT26&lt;&gt;0,SSDI*W26,0))</f>
        <v>1612</v>
      </c>
      <c r="BE26" s="462">
        <f>IF(AT26&lt;&gt;0,SSHI*W26,0)</f>
        <v>377</v>
      </c>
      <c r="BF26" s="462">
        <f>IF(AND(AT26&lt;&gt;0,AN26&lt;&gt;"NE"),VLOOKUP(AN26,Retirement_Rates,3,FALSE)*W26,0)</f>
        <v>3104.4</v>
      </c>
      <c r="BG26" s="462">
        <f>IF(AND(AT26&lt;&gt;0,AJ26&lt;&gt;"PF"),Life*W26,0)</f>
        <v>187.46</v>
      </c>
      <c r="BH26" s="462">
        <f>IF(AND(AT26&lt;&gt;0,AM26="Y"),UI*W26,0)</f>
        <v>127.39999999999999</v>
      </c>
      <c r="BI26" s="462">
        <f>IF(AND(AT26&lt;&gt;0,N26&lt;&gt;"NR"),DHR*W26,0)</f>
        <v>79.559999999999988</v>
      </c>
      <c r="BJ26" s="462">
        <f>IF(AT26&lt;&gt;0,WC*W26,0)</f>
        <v>397.8</v>
      </c>
      <c r="BK26" s="462">
        <f>IF(OR(AND(AT26&lt;&gt;0,AJ26&lt;&gt;"PF",AN26&lt;&gt;"NE",AG26&lt;&gt;"A"),AND(AL26="E",OR(AT26=1,AT26=3))),Sick*W26,0)</f>
        <v>0</v>
      </c>
      <c r="BL26" s="462">
        <f t="shared" si="5"/>
        <v>5885.62</v>
      </c>
      <c r="BM26" s="462">
        <f t="shared" si="6"/>
        <v>0</v>
      </c>
      <c r="BN26" s="462">
        <f>IF(AND(AT26=1,AK26="E",AU26&gt;=0.75,AW26=1),HealthBY,IF(AND(AT26=1,AK26="E",AU26&gt;=0.75),HealthBY*P26,IF(AND(AT26=1,AK26="E",AU26&gt;=0.5,AW26=1),PTHealthBY,IF(AND(AT26=1,AK26="E",AU26&gt;=0.5),PTHealthBY*P26,0))))</f>
        <v>5825</v>
      </c>
      <c r="BO26" s="462">
        <f>IF(AND(AT26=3,AK26="E",AV26&gt;=0.75,AW26=1),HealthBY,IF(AND(AT26=3,AK26="E",AV26&gt;=0.75),HealthBY*P26,IF(AND(AT26=3,AK26="E",AV26&gt;=0.5,AW26=1),PTHealthBY,IF(AND(AT26=3,AK26="E",AV26&gt;=0.5),PTHealthBY*P26,0))))</f>
        <v>0</v>
      </c>
      <c r="BP26" s="462">
        <f>IF(AND(AT26&lt;&gt;0,(AX26+BA26)&gt;=MAXSSDIBY),SSDIBY*MAXSSDIBY*P26,IF(AT26&lt;&gt;0,SSDIBY*W26,0))</f>
        <v>1612</v>
      </c>
      <c r="BQ26" s="462">
        <f>IF(AT26&lt;&gt;0,SSHIBY*W26,0)</f>
        <v>377</v>
      </c>
      <c r="BR26" s="462">
        <f>IF(AND(AT26&lt;&gt;0,AN26&lt;&gt;"NE"),VLOOKUP(AN26,Retirement_Rates,4,FALSE)*W26,0)</f>
        <v>3104.4</v>
      </c>
      <c r="BS26" s="462">
        <f>IF(AND(AT26&lt;&gt;0,AJ26&lt;&gt;"PF"),LifeBY*W26,0)</f>
        <v>187.46</v>
      </c>
      <c r="BT26" s="462">
        <f>IF(AND(AT26&lt;&gt;0,AM26="Y"),UIBY*W26,0)</f>
        <v>0</v>
      </c>
      <c r="BU26" s="462">
        <f>IF(AND(AT26&lt;&gt;0,N26&lt;&gt;"NR"),DHRBY*W26,0)</f>
        <v>79.559999999999988</v>
      </c>
      <c r="BV26" s="462">
        <f>IF(AT26&lt;&gt;0,WCBY*W26,0)</f>
        <v>457.6</v>
      </c>
      <c r="BW26" s="462">
        <f>IF(OR(AND(AT26&lt;&gt;0,AJ26&lt;&gt;"PF",AN26&lt;&gt;"NE",AG26&lt;&gt;"A"),AND(AL26="E",OR(AT26=1,AT26=3))),SickBY*W26,0)</f>
        <v>0</v>
      </c>
      <c r="BX26" s="462">
        <f t="shared" si="7"/>
        <v>5818.02</v>
      </c>
      <c r="BY26" s="462">
        <f t="shared" si="8"/>
        <v>0</v>
      </c>
      <c r="BZ26" s="462">
        <f t="shared" si="9"/>
        <v>0</v>
      </c>
      <c r="CA26" s="462">
        <f t="shared" si="10"/>
        <v>0</v>
      </c>
      <c r="CB26" s="462">
        <f t="shared" si="11"/>
        <v>0</v>
      </c>
      <c r="CC26" s="462">
        <f>IF(AT26&lt;&gt;0,SSHICHG*Y26,0)</f>
        <v>0</v>
      </c>
      <c r="CD26" s="462">
        <f>IF(AND(AT26&lt;&gt;0,AN26&lt;&gt;"NE"),VLOOKUP(AN26,Retirement_Rates,5,FALSE)*Y26,0)</f>
        <v>0</v>
      </c>
      <c r="CE26" s="462">
        <f>IF(AND(AT26&lt;&gt;0,AJ26&lt;&gt;"PF"),LifeCHG*Y26,0)</f>
        <v>0</v>
      </c>
      <c r="CF26" s="462">
        <f>IF(AND(AT26&lt;&gt;0,AM26="Y"),UICHG*Y26,0)</f>
        <v>-127.39999999999999</v>
      </c>
      <c r="CG26" s="462">
        <f>IF(AND(AT26&lt;&gt;0,N26&lt;&gt;"NR"),DHRCHG*Y26,0)</f>
        <v>0</v>
      </c>
      <c r="CH26" s="462">
        <f>IF(AT26&lt;&gt;0,WCCHG*Y26,0)</f>
        <v>59.800000000000047</v>
      </c>
      <c r="CI26" s="462">
        <f>IF(OR(AND(AT26&lt;&gt;0,AJ26&lt;&gt;"PF",AN26&lt;&gt;"NE",AG26&lt;&gt;"A"),AND(AL26="E",OR(AT26=1,AT26=3))),SickCHG*Y26,0)</f>
        <v>0</v>
      </c>
      <c r="CJ26" s="462">
        <f t="shared" si="12"/>
        <v>-67.599999999999937</v>
      </c>
      <c r="CK26" s="462" t="str">
        <f t="shared" si="13"/>
        <v/>
      </c>
      <c r="CL26" s="462" t="str">
        <f t="shared" si="14"/>
        <v/>
      </c>
      <c r="CM26" s="462" t="str">
        <f t="shared" si="15"/>
        <v/>
      </c>
      <c r="CN26" s="462" t="str">
        <f t="shared" si="16"/>
        <v>0125-01</v>
      </c>
    </row>
    <row r="27" spans="1:92" ht="15" thickBot="1" x14ac:dyDescent="0.35">
      <c r="A27" s="376" t="s">
        <v>161</v>
      </c>
      <c r="B27" s="376" t="s">
        <v>162</v>
      </c>
      <c r="C27" s="376" t="s">
        <v>240</v>
      </c>
      <c r="D27" s="376" t="s">
        <v>241</v>
      </c>
      <c r="E27" s="376" t="s">
        <v>288</v>
      </c>
      <c r="F27" s="382" t="s">
        <v>289</v>
      </c>
      <c r="G27" s="376" t="s">
        <v>167</v>
      </c>
      <c r="H27" s="378"/>
      <c r="I27" s="378"/>
      <c r="J27" s="376" t="s">
        <v>185</v>
      </c>
      <c r="K27" s="376" t="s">
        <v>242</v>
      </c>
      <c r="L27" s="376" t="s">
        <v>243</v>
      </c>
      <c r="M27" s="376" t="s">
        <v>170</v>
      </c>
      <c r="N27" s="376" t="s">
        <v>202</v>
      </c>
      <c r="O27" s="379">
        <v>1</v>
      </c>
      <c r="P27" s="460">
        <v>0.67</v>
      </c>
      <c r="Q27" s="460">
        <v>0.67</v>
      </c>
      <c r="R27" s="380">
        <v>80</v>
      </c>
      <c r="S27" s="460">
        <v>0.67</v>
      </c>
      <c r="T27" s="380">
        <v>50763.01</v>
      </c>
      <c r="U27" s="380">
        <v>0</v>
      </c>
      <c r="V27" s="380">
        <v>18277.310000000001</v>
      </c>
      <c r="W27" s="380">
        <v>52552.65</v>
      </c>
      <c r="X27" s="380">
        <v>19701.82</v>
      </c>
      <c r="Y27" s="380">
        <v>52552.65</v>
      </c>
      <c r="Z27" s="380">
        <v>19565.18</v>
      </c>
      <c r="AA27" s="376" t="s">
        <v>244</v>
      </c>
      <c r="AB27" s="376" t="s">
        <v>245</v>
      </c>
      <c r="AC27" s="376" t="s">
        <v>246</v>
      </c>
      <c r="AD27" s="376" t="s">
        <v>247</v>
      </c>
      <c r="AE27" s="376" t="s">
        <v>242</v>
      </c>
      <c r="AF27" s="376" t="s">
        <v>248</v>
      </c>
      <c r="AG27" s="376" t="s">
        <v>177</v>
      </c>
      <c r="AH27" s="381">
        <v>37.71</v>
      </c>
      <c r="AI27" s="381">
        <v>34009.699999999997</v>
      </c>
      <c r="AJ27" s="376" t="s">
        <v>178</v>
      </c>
      <c r="AK27" s="376" t="s">
        <v>179</v>
      </c>
      <c r="AL27" s="376" t="s">
        <v>180</v>
      </c>
      <c r="AM27" s="376" t="s">
        <v>181</v>
      </c>
      <c r="AN27" s="376" t="s">
        <v>68</v>
      </c>
      <c r="AO27" s="379">
        <v>80</v>
      </c>
      <c r="AP27" s="460">
        <v>1</v>
      </c>
      <c r="AQ27" s="460">
        <v>0.67</v>
      </c>
      <c r="AR27" s="458" t="s">
        <v>182</v>
      </c>
      <c r="AS27" s="462">
        <f t="shared" si="0"/>
        <v>0.67</v>
      </c>
      <c r="AT27">
        <f t="shared" si="1"/>
        <v>1</v>
      </c>
      <c r="AU27" s="462">
        <f>IF(AT27=0,"",IF(AND(AT27=1,M27="F",SUMIF(C2:C698,C27,AS2:AS698)&lt;=1),SUMIF(C2:C698,C27,AS2:AS698),IF(AND(AT27=1,M27="F",SUMIF(C2:C698,C27,AS2:AS698)&gt;1),1,"")))</f>
        <v>1</v>
      </c>
      <c r="AV27" s="462" t="str">
        <f>IF(AT27=0,"",IF(AND(AT27=3,M27="F",SUMIF(C2:C698,C27,AS2:AS698)&lt;=1),SUMIF(C2:C698,C27,AS2:AS698),IF(AND(AT27=3,M27="F",SUMIF(C2:C698,C27,AS2:AS698)&gt;1),1,"")))</f>
        <v/>
      </c>
      <c r="AW27" s="462">
        <f>SUMIF(C2:C698,C27,O2:O698)</f>
        <v>2</v>
      </c>
      <c r="AX27" s="462">
        <f>IF(AND(M27="F",AS27&lt;&gt;0),SUMIF(C2:C698,C27,W2:W698),0)</f>
        <v>78436.790000000008</v>
      </c>
      <c r="AY27" s="462">
        <f t="shared" si="2"/>
        <v>52552.65</v>
      </c>
      <c r="AZ27" s="462" t="str">
        <f t="shared" si="3"/>
        <v/>
      </c>
      <c r="BA27" s="462">
        <f t="shared" si="4"/>
        <v>0</v>
      </c>
      <c r="BB27" s="462">
        <f>IF(AND(AT27=1,AK27="E",AU27&gt;=0.75,AW27=1),Health,IF(AND(AT27=1,AK27="E",AU27&gt;=0.75),Health*P27,IF(AND(AT27=1,AK27="E",AU27&gt;=0.5,AW27=1),PTHealth,IF(AND(AT27=1,AK27="E",AU27&gt;=0.5),PTHealth*P27,0))))</f>
        <v>7805.5000000000009</v>
      </c>
      <c r="BC27" s="462">
        <f>IF(AND(AT27=3,AK27="E",AV27&gt;=0.75,AW27=1),Health,IF(AND(AT27=3,AK27="E",AV27&gt;=0.75),Health*P27,IF(AND(AT27=3,AK27="E",AV27&gt;=0.5,AW27=1),PTHealth,IF(AND(AT27=3,AK27="E",AV27&gt;=0.5),PTHealth*P27,0))))</f>
        <v>0</v>
      </c>
      <c r="BD27" s="462">
        <f>IF(AND(AT27&lt;&gt;0,AX27&gt;=MAXSSDI),SSDI*MAXSSDI*P27,IF(AT27&lt;&gt;0,SSDI*W27,0))</f>
        <v>3258.2643000000003</v>
      </c>
      <c r="BE27" s="462">
        <f>IF(AT27&lt;&gt;0,SSHI*W27,0)</f>
        <v>762.0134250000001</v>
      </c>
      <c r="BF27" s="462">
        <f>IF(AND(AT27&lt;&gt;0,AN27&lt;&gt;"NE"),VLOOKUP(AN27,Retirement_Rates,3,FALSE)*W27,0)</f>
        <v>6274.7864100000006</v>
      </c>
      <c r="BG27" s="462">
        <f>IF(AND(AT27&lt;&gt;0,AJ27&lt;&gt;"PF"),Life*W27,0)</f>
        <v>378.9046065</v>
      </c>
      <c r="BH27" s="462">
        <f>IF(AND(AT27&lt;&gt;0,AM27="Y"),UI*W27,0)</f>
        <v>257.50798500000002</v>
      </c>
      <c r="BI27" s="462">
        <f>IF(AND(AT27&lt;&gt;0,N27&lt;&gt;"NR"),DHR*W27,0)</f>
        <v>160.81110899999999</v>
      </c>
      <c r="BJ27" s="462">
        <f>IF(AT27&lt;&gt;0,WC*W27,0)</f>
        <v>804.05554499999994</v>
      </c>
      <c r="BK27" s="462">
        <f>IF(OR(AND(AT27&lt;&gt;0,AJ27&lt;&gt;"PF",AN27&lt;&gt;"NE",AG27&lt;&gt;"A"),AND(AL27="E",OR(AT27=1,AT27=3))),Sick*W27,0)</f>
        <v>0</v>
      </c>
      <c r="BL27" s="462">
        <f t="shared" si="5"/>
        <v>11896.3433805</v>
      </c>
      <c r="BM27" s="462">
        <f t="shared" si="6"/>
        <v>0</v>
      </c>
      <c r="BN27" s="462">
        <f>IF(AND(AT27=1,AK27="E",AU27&gt;=0.75,AW27=1),HealthBY,IF(AND(AT27=1,AK27="E",AU27&gt;=0.75),HealthBY*P27,IF(AND(AT27=1,AK27="E",AU27&gt;=0.5,AW27=1),PTHealthBY,IF(AND(AT27=1,AK27="E",AU27&gt;=0.5),PTHealthBY*P27,0))))</f>
        <v>7805.5000000000009</v>
      </c>
      <c r="BO27" s="462">
        <f>IF(AND(AT27=3,AK27="E",AV27&gt;=0.75,AW27=1),HealthBY,IF(AND(AT27=3,AK27="E",AV27&gt;=0.75),HealthBY*P27,IF(AND(AT27=3,AK27="E",AV27&gt;=0.5,AW27=1),PTHealthBY,IF(AND(AT27=3,AK27="E",AV27&gt;=0.5),PTHealthBY*P27,0))))</f>
        <v>0</v>
      </c>
      <c r="BP27" s="462">
        <f>IF(AND(AT27&lt;&gt;0,(AX27+BA27)&gt;=MAXSSDIBY),SSDIBY*MAXSSDIBY*P27,IF(AT27&lt;&gt;0,SSDIBY*W27,0))</f>
        <v>3258.2643000000003</v>
      </c>
      <c r="BQ27" s="462">
        <f>IF(AT27&lt;&gt;0,SSHIBY*W27,0)</f>
        <v>762.0134250000001</v>
      </c>
      <c r="BR27" s="462">
        <f>IF(AND(AT27&lt;&gt;0,AN27&lt;&gt;"NE"),VLOOKUP(AN27,Retirement_Rates,4,FALSE)*W27,0)</f>
        <v>6274.7864100000006</v>
      </c>
      <c r="BS27" s="462">
        <f>IF(AND(AT27&lt;&gt;0,AJ27&lt;&gt;"PF"),LifeBY*W27,0)</f>
        <v>378.9046065</v>
      </c>
      <c r="BT27" s="462">
        <f>IF(AND(AT27&lt;&gt;0,AM27="Y"),UIBY*W27,0)</f>
        <v>0</v>
      </c>
      <c r="BU27" s="462">
        <f>IF(AND(AT27&lt;&gt;0,N27&lt;&gt;"NR"),DHRBY*W27,0)</f>
        <v>160.81110899999999</v>
      </c>
      <c r="BV27" s="462">
        <f>IF(AT27&lt;&gt;0,WCBY*W27,0)</f>
        <v>924.92664000000013</v>
      </c>
      <c r="BW27" s="462">
        <f>IF(OR(AND(AT27&lt;&gt;0,AJ27&lt;&gt;"PF",AN27&lt;&gt;"NE",AG27&lt;&gt;"A"),AND(AL27="E",OR(AT27=1,AT27=3))),SickBY*W27,0)</f>
        <v>0</v>
      </c>
      <c r="BX27" s="462">
        <f t="shared" si="7"/>
        <v>11759.706490500001</v>
      </c>
      <c r="BY27" s="462">
        <f t="shared" si="8"/>
        <v>0</v>
      </c>
      <c r="BZ27" s="462">
        <f t="shared" si="9"/>
        <v>0</v>
      </c>
      <c r="CA27" s="462">
        <f t="shared" si="10"/>
        <v>0</v>
      </c>
      <c r="CB27" s="462">
        <f t="shared" si="11"/>
        <v>0</v>
      </c>
      <c r="CC27" s="462">
        <f>IF(AT27&lt;&gt;0,SSHICHG*Y27,0)</f>
        <v>0</v>
      </c>
      <c r="CD27" s="462">
        <f>IF(AND(AT27&lt;&gt;0,AN27&lt;&gt;"NE"),VLOOKUP(AN27,Retirement_Rates,5,FALSE)*Y27,0)</f>
        <v>0</v>
      </c>
      <c r="CE27" s="462">
        <f>IF(AND(AT27&lt;&gt;0,AJ27&lt;&gt;"PF"),LifeCHG*Y27,0)</f>
        <v>0</v>
      </c>
      <c r="CF27" s="462">
        <f>IF(AND(AT27&lt;&gt;0,AM27="Y"),UICHG*Y27,0)</f>
        <v>-257.50798500000002</v>
      </c>
      <c r="CG27" s="462">
        <f>IF(AND(AT27&lt;&gt;0,N27&lt;&gt;"NR"),DHRCHG*Y27,0)</f>
        <v>0</v>
      </c>
      <c r="CH27" s="462">
        <f>IF(AT27&lt;&gt;0,WCCHG*Y27,0)</f>
        <v>120.8710950000001</v>
      </c>
      <c r="CI27" s="462">
        <f>IF(OR(AND(AT27&lt;&gt;0,AJ27&lt;&gt;"PF",AN27&lt;&gt;"NE",AG27&lt;&gt;"A"),AND(AL27="E",OR(AT27=1,AT27=3))),SickCHG*Y27,0)</f>
        <v>0</v>
      </c>
      <c r="CJ27" s="462">
        <f t="shared" si="12"/>
        <v>-136.63688999999994</v>
      </c>
      <c r="CK27" s="462" t="str">
        <f t="shared" si="13"/>
        <v/>
      </c>
      <c r="CL27" s="462" t="str">
        <f t="shared" si="14"/>
        <v/>
      </c>
      <c r="CM27" s="462" t="str">
        <f t="shared" si="15"/>
        <v/>
      </c>
      <c r="CN27" s="462" t="str">
        <f t="shared" si="16"/>
        <v>0125-01</v>
      </c>
    </row>
    <row r="28" spans="1:92" ht="15" thickBot="1" x14ac:dyDescent="0.35">
      <c r="A28" s="376" t="s">
        <v>161</v>
      </c>
      <c r="B28" s="376" t="s">
        <v>162</v>
      </c>
      <c r="C28" s="376" t="s">
        <v>306</v>
      </c>
      <c r="D28" s="376" t="s">
        <v>307</v>
      </c>
      <c r="E28" s="376" t="s">
        <v>288</v>
      </c>
      <c r="F28" s="382" t="s">
        <v>289</v>
      </c>
      <c r="G28" s="376" t="s">
        <v>167</v>
      </c>
      <c r="H28" s="378"/>
      <c r="I28" s="378"/>
      <c r="J28" s="376" t="s">
        <v>168</v>
      </c>
      <c r="K28" s="376" t="s">
        <v>308</v>
      </c>
      <c r="L28" s="376" t="s">
        <v>179</v>
      </c>
      <c r="M28" s="376" t="s">
        <v>170</v>
      </c>
      <c r="N28" s="376" t="s">
        <v>202</v>
      </c>
      <c r="O28" s="379">
        <v>1</v>
      </c>
      <c r="P28" s="460">
        <v>1</v>
      </c>
      <c r="Q28" s="460">
        <v>1</v>
      </c>
      <c r="R28" s="380">
        <v>60</v>
      </c>
      <c r="S28" s="460">
        <v>0.75</v>
      </c>
      <c r="T28" s="380">
        <v>23226.54</v>
      </c>
      <c r="U28" s="380">
        <v>0</v>
      </c>
      <c r="V28" s="380">
        <v>18282.669999999998</v>
      </c>
      <c r="W28" s="380">
        <v>22947.599999999999</v>
      </c>
      <c r="X28" s="380">
        <v>16844.62</v>
      </c>
      <c r="Y28" s="380">
        <v>22947.599999999999</v>
      </c>
      <c r="Z28" s="380">
        <v>16784.96</v>
      </c>
      <c r="AA28" s="376" t="s">
        <v>309</v>
      </c>
      <c r="AB28" s="376" t="s">
        <v>310</v>
      </c>
      <c r="AC28" s="376" t="s">
        <v>311</v>
      </c>
      <c r="AD28" s="376" t="s">
        <v>224</v>
      </c>
      <c r="AE28" s="376" t="s">
        <v>308</v>
      </c>
      <c r="AF28" s="376" t="s">
        <v>312</v>
      </c>
      <c r="AG28" s="376" t="s">
        <v>177</v>
      </c>
      <c r="AH28" s="381">
        <v>14.71</v>
      </c>
      <c r="AI28" s="381">
        <v>8290.9</v>
      </c>
      <c r="AJ28" s="376" t="s">
        <v>313</v>
      </c>
      <c r="AK28" s="376" t="s">
        <v>179</v>
      </c>
      <c r="AL28" s="376" t="s">
        <v>180</v>
      </c>
      <c r="AM28" s="376" t="s">
        <v>181</v>
      </c>
      <c r="AN28" s="376" t="s">
        <v>68</v>
      </c>
      <c r="AO28" s="379">
        <v>60</v>
      </c>
      <c r="AP28" s="460">
        <v>1</v>
      </c>
      <c r="AQ28" s="460">
        <v>0.75</v>
      </c>
      <c r="AR28" s="458" t="s">
        <v>182</v>
      </c>
      <c r="AS28" s="462">
        <f t="shared" si="0"/>
        <v>0.75</v>
      </c>
      <c r="AT28">
        <f t="shared" si="1"/>
        <v>1</v>
      </c>
      <c r="AU28" s="462">
        <f>IF(AT28=0,"",IF(AND(AT28=1,M28="F",SUMIF(C2:C698,C28,AS2:AS698)&lt;=1),SUMIF(C2:C698,C28,AS2:AS698),IF(AND(AT28=1,M28="F",SUMIF(C2:C698,C28,AS2:AS698)&gt;1),1,"")))</f>
        <v>0.75</v>
      </c>
      <c r="AV28" s="462" t="str">
        <f>IF(AT28=0,"",IF(AND(AT28=3,M28="F",SUMIF(C2:C698,C28,AS2:AS698)&lt;=1),SUMIF(C2:C698,C28,AS2:AS698),IF(AND(AT28=3,M28="F",SUMIF(C2:C698,C28,AS2:AS698)&gt;1),1,"")))</f>
        <v/>
      </c>
      <c r="AW28" s="462">
        <f>SUMIF(C2:C698,C28,O2:O698)</f>
        <v>1</v>
      </c>
      <c r="AX28" s="462">
        <f>IF(AND(M28="F",AS28&lt;&gt;0),SUMIF(C2:C698,C28,W2:W698),0)</f>
        <v>22947.599999999999</v>
      </c>
      <c r="AY28" s="462">
        <f t="shared" si="2"/>
        <v>22947.599999999999</v>
      </c>
      <c r="AZ28" s="462" t="str">
        <f t="shared" si="3"/>
        <v/>
      </c>
      <c r="BA28" s="462">
        <f t="shared" si="4"/>
        <v>0</v>
      </c>
      <c r="BB28" s="462">
        <f>IF(AND(AT28=1,AK28="E",AU28&gt;=0.75,AW28=1),Health,IF(AND(AT28=1,AK28="E",AU28&gt;=0.75),Health*P28,IF(AND(AT28=1,AK28="E",AU28&gt;=0.5,AW28=1),PTHealth,IF(AND(AT28=1,AK28="E",AU28&gt;=0.5),PTHealth*P28,0))))</f>
        <v>11650</v>
      </c>
      <c r="BC28" s="462">
        <f>IF(AND(AT28=3,AK28="E",AV28&gt;=0.75,AW28=1),Health,IF(AND(AT28=3,AK28="E",AV28&gt;=0.75),Health*P28,IF(AND(AT28=3,AK28="E",AV28&gt;=0.5,AW28=1),PTHealth,IF(AND(AT28=3,AK28="E",AV28&gt;=0.5),PTHealth*P28,0))))</f>
        <v>0</v>
      </c>
      <c r="BD28" s="462">
        <f>IF(AND(AT28&lt;&gt;0,AX28&gt;=MAXSSDI),SSDI*MAXSSDI*P28,IF(AT28&lt;&gt;0,SSDI*W28,0))</f>
        <v>1422.7511999999999</v>
      </c>
      <c r="BE28" s="462">
        <f>IF(AT28&lt;&gt;0,SSHI*W28,0)</f>
        <v>332.74020000000002</v>
      </c>
      <c r="BF28" s="462">
        <f>IF(AND(AT28&lt;&gt;0,AN28&lt;&gt;"NE"),VLOOKUP(AN28,Retirement_Rates,3,FALSE)*W28,0)</f>
        <v>2739.94344</v>
      </c>
      <c r="BG28" s="462">
        <f>IF(AND(AT28&lt;&gt;0,AJ28&lt;&gt;"PF"),Life*W28,0)</f>
        <v>165.45219599999999</v>
      </c>
      <c r="BH28" s="462">
        <f>IF(AND(AT28&lt;&gt;0,AM28="Y"),UI*W28,0)</f>
        <v>112.44323999999999</v>
      </c>
      <c r="BI28" s="462">
        <f>IF(AND(AT28&lt;&gt;0,N28&lt;&gt;"NR"),DHR*W28,0)</f>
        <v>70.219655999999986</v>
      </c>
      <c r="BJ28" s="462">
        <f>IF(AT28&lt;&gt;0,WC*W28,0)</f>
        <v>351.09827999999999</v>
      </c>
      <c r="BK28" s="462">
        <f>IF(OR(AND(AT28&lt;&gt;0,AJ28&lt;&gt;"PF",AN28&lt;&gt;"NE",AG28&lt;&gt;"A"),AND(AL28="E",OR(AT28=1,AT28=3))),Sick*W28,0)</f>
        <v>0</v>
      </c>
      <c r="BL28" s="462">
        <f t="shared" si="5"/>
        <v>5194.6482120000001</v>
      </c>
      <c r="BM28" s="462">
        <f t="shared" si="6"/>
        <v>0</v>
      </c>
      <c r="BN28" s="462">
        <f>IF(AND(AT28=1,AK28="E",AU28&gt;=0.75,AW28=1),HealthBY,IF(AND(AT28=1,AK28="E",AU28&gt;=0.75),HealthBY*P28,IF(AND(AT28=1,AK28="E",AU28&gt;=0.5,AW28=1),PTHealthBY,IF(AND(AT28=1,AK28="E",AU28&gt;=0.5),PTHealthBY*P28,0))))</f>
        <v>11650</v>
      </c>
      <c r="BO28" s="462">
        <f>IF(AND(AT28=3,AK28="E",AV28&gt;=0.75,AW28=1),HealthBY,IF(AND(AT28=3,AK28="E",AV28&gt;=0.75),HealthBY*P28,IF(AND(AT28=3,AK28="E",AV28&gt;=0.5,AW28=1),PTHealthBY,IF(AND(AT28=3,AK28="E",AV28&gt;=0.5),PTHealthBY*P28,0))))</f>
        <v>0</v>
      </c>
      <c r="BP28" s="462">
        <f>IF(AND(AT28&lt;&gt;0,(AX28+BA28)&gt;=MAXSSDIBY),SSDIBY*MAXSSDIBY*P28,IF(AT28&lt;&gt;0,SSDIBY*W28,0))</f>
        <v>1422.7511999999999</v>
      </c>
      <c r="BQ28" s="462">
        <f>IF(AT28&lt;&gt;0,SSHIBY*W28,0)</f>
        <v>332.74020000000002</v>
      </c>
      <c r="BR28" s="462">
        <f>IF(AND(AT28&lt;&gt;0,AN28&lt;&gt;"NE"),VLOOKUP(AN28,Retirement_Rates,4,FALSE)*W28,0)</f>
        <v>2739.94344</v>
      </c>
      <c r="BS28" s="462">
        <f>IF(AND(AT28&lt;&gt;0,AJ28&lt;&gt;"PF"),LifeBY*W28,0)</f>
        <v>165.45219599999999</v>
      </c>
      <c r="BT28" s="462">
        <f>IF(AND(AT28&lt;&gt;0,AM28="Y"),UIBY*W28,0)</f>
        <v>0</v>
      </c>
      <c r="BU28" s="462">
        <f>IF(AND(AT28&lt;&gt;0,N28&lt;&gt;"NR"),DHRBY*W28,0)</f>
        <v>70.219655999999986</v>
      </c>
      <c r="BV28" s="462">
        <f>IF(AT28&lt;&gt;0,WCBY*W28,0)</f>
        <v>403.87776000000002</v>
      </c>
      <c r="BW28" s="462">
        <f>IF(OR(AND(AT28&lt;&gt;0,AJ28&lt;&gt;"PF",AN28&lt;&gt;"NE",AG28&lt;&gt;"A"),AND(AL28="E",OR(AT28=1,AT28=3))),SickBY*W28,0)</f>
        <v>0</v>
      </c>
      <c r="BX28" s="462">
        <f t="shared" si="7"/>
        <v>5134.9844520000006</v>
      </c>
      <c r="BY28" s="462">
        <f t="shared" si="8"/>
        <v>0</v>
      </c>
      <c r="BZ28" s="462">
        <f t="shared" si="9"/>
        <v>0</v>
      </c>
      <c r="CA28" s="462">
        <f t="shared" si="10"/>
        <v>0</v>
      </c>
      <c r="CB28" s="462">
        <f t="shared" si="11"/>
        <v>0</v>
      </c>
      <c r="CC28" s="462">
        <f>IF(AT28&lt;&gt;0,SSHICHG*Y28,0)</f>
        <v>0</v>
      </c>
      <c r="CD28" s="462">
        <f>IF(AND(AT28&lt;&gt;0,AN28&lt;&gt;"NE"),VLOOKUP(AN28,Retirement_Rates,5,FALSE)*Y28,0)</f>
        <v>0</v>
      </c>
      <c r="CE28" s="462">
        <f>IF(AND(AT28&lt;&gt;0,AJ28&lt;&gt;"PF"),LifeCHG*Y28,0)</f>
        <v>0</v>
      </c>
      <c r="CF28" s="462">
        <f>IF(AND(AT28&lt;&gt;0,AM28="Y"),UICHG*Y28,0)</f>
        <v>-112.44323999999999</v>
      </c>
      <c r="CG28" s="462">
        <f>IF(AND(AT28&lt;&gt;0,N28&lt;&gt;"NR"),DHRCHG*Y28,0)</f>
        <v>0</v>
      </c>
      <c r="CH28" s="462">
        <f>IF(AT28&lt;&gt;0,WCCHG*Y28,0)</f>
        <v>52.779480000000035</v>
      </c>
      <c r="CI28" s="462">
        <f>IF(OR(AND(AT28&lt;&gt;0,AJ28&lt;&gt;"PF",AN28&lt;&gt;"NE",AG28&lt;&gt;"A"),AND(AL28="E",OR(AT28=1,AT28=3))),SickCHG*Y28,0)</f>
        <v>0</v>
      </c>
      <c r="CJ28" s="462">
        <f t="shared" si="12"/>
        <v>-59.663759999999954</v>
      </c>
      <c r="CK28" s="462" t="str">
        <f t="shared" si="13"/>
        <v/>
      </c>
      <c r="CL28" s="462" t="str">
        <f t="shared" si="14"/>
        <v/>
      </c>
      <c r="CM28" s="462" t="str">
        <f t="shared" si="15"/>
        <v/>
      </c>
      <c r="CN28" s="462" t="str">
        <f t="shared" si="16"/>
        <v>0125-01</v>
      </c>
    </row>
    <row r="29" spans="1:92" ht="15" thickBot="1" x14ac:dyDescent="0.35">
      <c r="A29" s="376" t="s">
        <v>161</v>
      </c>
      <c r="B29" s="376" t="s">
        <v>162</v>
      </c>
      <c r="C29" s="376" t="s">
        <v>197</v>
      </c>
      <c r="D29" s="376" t="s">
        <v>198</v>
      </c>
      <c r="E29" s="376" t="s">
        <v>288</v>
      </c>
      <c r="F29" s="382" t="s">
        <v>289</v>
      </c>
      <c r="G29" s="376" t="s">
        <v>167</v>
      </c>
      <c r="H29" s="378"/>
      <c r="I29" s="378"/>
      <c r="J29" s="376" t="s">
        <v>185</v>
      </c>
      <c r="K29" s="376" t="s">
        <v>199</v>
      </c>
      <c r="L29" s="376" t="s">
        <v>200</v>
      </c>
      <c r="M29" s="376" t="s">
        <v>201</v>
      </c>
      <c r="N29" s="376" t="s">
        <v>202</v>
      </c>
      <c r="O29" s="379">
        <v>0</v>
      </c>
      <c r="P29" s="460">
        <v>0.67</v>
      </c>
      <c r="Q29" s="460">
        <v>0.67</v>
      </c>
      <c r="R29" s="380">
        <v>80</v>
      </c>
      <c r="S29" s="460">
        <v>0.67</v>
      </c>
      <c r="T29" s="380">
        <v>27647.86</v>
      </c>
      <c r="U29" s="380">
        <v>0</v>
      </c>
      <c r="V29" s="380">
        <v>12535.17</v>
      </c>
      <c r="W29" s="380">
        <v>31760.14</v>
      </c>
      <c r="X29" s="380">
        <v>13910.94</v>
      </c>
      <c r="Y29" s="380">
        <v>31760.14</v>
      </c>
      <c r="Z29" s="380">
        <v>13752.13</v>
      </c>
      <c r="AA29" s="378"/>
      <c r="AB29" s="376" t="s">
        <v>45</v>
      </c>
      <c r="AC29" s="376" t="s">
        <v>45</v>
      </c>
      <c r="AD29" s="378"/>
      <c r="AE29" s="378"/>
      <c r="AF29" s="378"/>
      <c r="AG29" s="378"/>
      <c r="AH29" s="379">
        <v>0</v>
      </c>
      <c r="AI29" s="379">
        <v>0</v>
      </c>
      <c r="AJ29" s="378"/>
      <c r="AK29" s="378"/>
      <c r="AL29" s="376" t="s">
        <v>180</v>
      </c>
      <c r="AM29" s="378"/>
      <c r="AN29" s="378"/>
      <c r="AO29" s="379">
        <v>0</v>
      </c>
      <c r="AP29" s="460">
        <v>0</v>
      </c>
      <c r="AQ29" s="460">
        <v>0</v>
      </c>
      <c r="AR29" s="459"/>
      <c r="AS29" s="462">
        <f t="shared" si="0"/>
        <v>0</v>
      </c>
      <c r="AT29">
        <f t="shared" si="1"/>
        <v>0</v>
      </c>
      <c r="AU29" s="462" t="str">
        <f>IF(AT29=0,"",IF(AND(AT29=1,M29="F",SUMIF(C2:C698,C29,AS2:AS698)&lt;=1),SUMIF(C2:C698,C29,AS2:AS698),IF(AND(AT29=1,M29="F",SUMIF(C2:C698,C29,AS2:AS698)&gt;1),1,"")))</f>
        <v/>
      </c>
      <c r="AV29" s="462" t="str">
        <f>IF(AT29=0,"",IF(AND(AT29=3,M29="F",SUMIF(C2:C698,C29,AS2:AS698)&lt;=1),SUMIF(C2:C698,C29,AS2:AS698),IF(AND(AT29=3,M29="F",SUMIF(C2:C698,C29,AS2:AS698)&gt;1),1,"")))</f>
        <v/>
      </c>
      <c r="AW29" s="462">
        <f>SUMIF(C2:C698,C29,O2:O698)</f>
        <v>0</v>
      </c>
      <c r="AX29" s="462">
        <f>IF(AND(M29="F",AS29&lt;&gt;0),SUMIF(C2:C698,C29,W2:W698),0)</f>
        <v>0</v>
      </c>
      <c r="AY29" s="462" t="str">
        <f t="shared" si="2"/>
        <v/>
      </c>
      <c r="AZ29" s="462" t="str">
        <f t="shared" si="3"/>
        <v/>
      </c>
      <c r="BA29" s="462">
        <f t="shared" si="4"/>
        <v>0</v>
      </c>
      <c r="BB29" s="462">
        <f>IF(AND(AT29=1,AK29="E",AU29&gt;=0.75,AW29=1),Health,IF(AND(AT29=1,AK29="E",AU29&gt;=0.75),Health*P29,IF(AND(AT29=1,AK29="E",AU29&gt;=0.5,AW29=1),PTHealth,IF(AND(AT29=1,AK29="E",AU29&gt;=0.5),PTHealth*P29,0))))</f>
        <v>0</v>
      </c>
      <c r="BC29" s="462">
        <f>IF(AND(AT29=3,AK29="E",AV29&gt;=0.75,AW29=1),Health,IF(AND(AT29=3,AK29="E",AV29&gt;=0.75),Health*P29,IF(AND(AT29=3,AK29="E",AV29&gt;=0.5,AW29=1),PTHealth,IF(AND(AT29=3,AK29="E",AV29&gt;=0.5),PTHealth*P29,0))))</f>
        <v>0</v>
      </c>
      <c r="BD29" s="462">
        <f>IF(AND(AT29&lt;&gt;0,AX29&gt;=MAXSSDI),SSDI*MAXSSDI*P29,IF(AT29&lt;&gt;0,SSDI*W29,0))</f>
        <v>0</v>
      </c>
      <c r="BE29" s="462">
        <f>IF(AT29&lt;&gt;0,SSHI*W29,0)</f>
        <v>0</v>
      </c>
      <c r="BF29" s="462">
        <f>IF(AND(AT29&lt;&gt;0,AN29&lt;&gt;"NE"),VLOOKUP(AN29,Retirement_Rates,3,FALSE)*W29,0)</f>
        <v>0</v>
      </c>
      <c r="BG29" s="462">
        <f>IF(AND(AT29&lt;&gt;0,AJ29&lt;&gt;"PF"),Life*W29,0)</f>
        <v>0</v>
      </c>
      <c r="BH29" s="462">
        <f>IF(AND(AT29&lt;&gt;0,AM29="Y"),UI*W29,0)</f>
        <v>0</v>
      </c>
      <c r="BI29" s="462">
        <f>IF(AND(AT29&lt;&gt;0,N29&lt;&gt;"NR"),DHR*W29,0)</f>
        <v>0</v>
      </c>
      <c r="BJ29" s="462">
        <f>IF(AT29&lt;&gt;0,WC*W29,0)</f>
        <v>0</v>
      </c>
      <c r="BK29" s="462">
        <f>IF(OR(AND(AT29&lt;&gt;0,AJ29&lt;&gt;"PF",AN29&lt;&gt;"NE",AG29&lt;&gt;"A"),AND(AL29="E",OR(AT29=1,AT29=3))),Sick*W29,0)</f>
        <v>0</v>
      </c>
      <c r="BL29" s="462">
        <f t="shared" si="5"/>
        <v>0</v>
      </c>
      <c r="BM29" s="462">
        <f t="shared" si="6"/>
        <v>0</v>
      </c>
      <c r="BN29" s="462">
        <f>IF(AND(AT29=1,AK29="E",AU29&gt;=0.75,AW29=1),HealthBY,IF(AND(AT29=1,AK29="E",AU29&gt;=0.75),HealthBY*P29,IF(AND(AT29=1,AK29="E",AU29&gt;=0.5,AW29=1),PTHealthBY,IF(AND(AT29=1,AK29="E",AU29&gt;=0.5),PTHealthBY*P29,0))))</f>
        <v>0</v>
      </c>
      <c r="BO29" s="462">
        <f>IF(AND(AT29=3,AK29="E",AV29&gt;=0.75,AW29=1),HealthBY,IF(AND(AT29=3,AK29="E",AV29&gt;=0.75),HealthBY*P29,IF(AND(AT29=3,AK29="E",AV29&gt;=0.5,AW29=1),PTHealthBY,IF(AND(AT29=3,AK29="E",AV29&gt;=0.5),PTHealthBY*P29,0))))</f>
        <v>0</v>
      </c>
      <c r="BP29" s="462">
        <f>IF(AND(AT29&lt;&gt;0,(AX29+BA29)&gt;=MAXSSDIBY),SSDIBY*MAXSSDIBY*P29,IF(AT29&lt;&gt;0,SSDIBY*W29,0))</f>
        <v>0</v>
      </c>
      <c r="BQ29" s="462">
        <f>IF(AT29&lt;&gt;0,SSHIBY*W29,0)</f>
        <v>0</v>
      </c>
      <c r="BR29" s="462">
        <f>IF(AND(AT29&lt;&gt;0,AN29&lt;&gt;"NE"),VLOOKUP(AN29,Retirement_Rates,4,FALSE)*W29,0)</f>
        <v>0</v>
      </c>
      <c r="BS29" s="462">
        <f>IF(AND(AT29&lt;&gt;0,AJ29&lt;&gt;"PF"),LifeBY*W29,0)</f>
        <v>0</v>
      </c>
      <c r="BT29" s="462">
        <f>IF(AND(AT29&lt;&gt;0,AM29="Y"),UIBY*W29,0)</f>
        <v>0</v>
      </c>
      <c r="BU29" s="462">
        <f>IF(AND(AT29&lt;&gt;0,N29&lt;&gt;"NR"),DHRBY*W29,0)</f>
        <v>0</v>
      </c>
      <c r="BV29" s="462">
        <f>IF(AT29&lt;&gt;0,WCBY*W29,0)</f>
        <v>0</v>
      </c>
      <c r="BW29" s="462">
        <f>IF(OR(AND(AT29&lt;&gt;0,AJ29&lt;&gt;"PF",AN29&lt;&gt;"NE",AG29&lt;&gt;"A"),AND(AL29="E",OR(AT29=1,AT29=3))),SickBY*W29,0)</f>
        <v>0</v>
      </c>
      <c r="BX29" s="462">
        <f t="shared" si="7"/>
        <v>0</v>
      </c>
      <c r="BY29" s="462">
        <f t="shared" si="8"/>
        <v>0</v>
      </c>
      <c r="BZ29" s="462">
        <f t="shared" si="9"/>
        <v>0</v>
      </c>
      <c r="CA29" s="462">
        <f t="shared" si="10"/>
        <v>0</v>
      </c>
      <c r="CB29" s="462">
        <f t="shared" si="11"/>
        <v>0</v>
      </c>
      <c r="CC29" s="462">
        <f>IF(AT29&lt;&gt;0,SSHICHG*Y29,0)</f>
        <v>0</v>
      </c>
      <c r="CD29" s="462">
        <f>IF(AND(AT29&lt;&gt;0,AN29&lt;&gt;"NE"),VLOOKUP(AN29,Retirement_Rates,5,FALSE)*Y29,0)</f>
        <v>0</v>
      </c>
      <c r="CE29" s="462">
        <f>IF(AND(AT29&lt;&gt;0,AJ29&lt;&gt;"PF"),LifeCHG*Y29,0)</f>
        <v>0</v>
      </c>
      <c r="CF29" s="462">
        <f>IF(AND(AT29&lt;&gt;0,AM29="Y"),UICHG*Y29,0)</f>
        <v>0</v>
      </c>
      <c r="CG29" s="462">
        <f>IF(AND(AT29&lt;&gt;0,N29&lt;&gt;"NR"),DHRCHG*Y29,0)</f>
        <v>0</v>
      </c>
      <c r="CH29" s="462">
        <f>IF(AT29&lt;&gt;0,WCCHG*Y29,0)</f>
        <v>0</v>
      </c>
      <c r="CI29" s="462">
        <f>IF(OR(AND(AT29&lt;&gt;0,AJ29&lt;&gt;"PF",AN29&lt;&gt;"NE",AG29&lt;&gt;"A"),AND(AL29="E",OR(AT29=1,AT29=3))),SickCHG*Y29,0)</f>
        <v>0</v>
      </c>
      <c r="CJ29" s="462">
        <f t="shared" si="12"/>
        <v>0</v>
      </c>
      <c r="CK29" s="462" t="str">
        <f t="shared" si="13"/>
        <v/>
      </c>
      <c r="CL29" s="462" t="str">
        <f t="shared" si="14"/>
        <v/>
      </c>
      <c r="CM29" s="462" t="str">
        <f t="shared" si="15"/>
        <v/>
      </c>
      <c r="CN29" s="462" t="str">
        <f t="shared" si="16"/>
        <v>0125-01</v>
      </c>
    </row>
    <row r="30" spans="1:92" ht="15" thickBot="1" x14ac:dyDescent="0.35">
      <c r="A30" s="376" t="s">
        <v>161</v>
      </c>
      <c r="B30" s="376" t="s">
        <v>162</v>
      </c>
      <c r="C30" s="376" t="s">
        <v>314</v>
      </c>
      <c r="D30" s="376" t="s">
        <v>315</v>
      </c>
      <c r="E30" s="376" t="s">
        <v>288</v>
      </c>
      <c r="F30" s="382" t="s">
        <v>289</v>
      </c>
      <c r="G30" s="376" t="s">
        <v>167</v>
      </c>
      <c r="H30" s="378"/>
      <c r="I30" s="378"/>
      <c r="J30" s="376" t="s">
        <v>168</v>
      </c>
      <c r="K30" s="376" t="s">
        <v>316</v>
      </c>
      <c r="L30" s="376" t="s">
        <v>220</v>
      </c>
      <c r="M30" s="376" t="s">
        <v>170</v>
      </c>
      <c r="N30" s="376" t="s">
        <v>202</v>
      </c>
      <c r="O30" s="379">
        <v>1</v>
      </c>
      <c r="P30" s="460">
        <v>0</v>
      </c>
      <c r="Q30" s="460">
        <v>0</v>
      </c>
      <c r="R30" s="380">
        <v>80</v>
      </c>
      <c r="S30" s="460">
        <v>0</v>
      </c>
      <c r="T30" s="380">
        <v>1000</v>
      </c>
      <c r="U30" s="380">
        <v>0</v>
      </c>
      <c r="V30" s="380">
        <v>375.88</v>
      </c>
      <c r="W30" s="380">
        <v>0</v>
      </c>
      <c r="X30" s="380">
        <v>0</v>
      </c>
      <c r="Y30" s="380">
        <v>0</v>
      </c>
      <c r="Z30" s="380">
        <v>0</v>
      </c>
      <c r="AA30" s="376" t="s">
        <v>317</v>
      </c>
      <c r="AB30" s="376" t="s">
        <v>318</v>
      </c>
      <c r="AC30" s="376" t="s">
        <v>319</v>
      </c>
      <c r="AD30" s="376" t="s">
        <v>224</v>
      </c>
      <c r="AE30" s="376" t="s">
        <v>316</v>
      </c>
      <c r="AF30" s="376" t="s">
        <v>264</v>
      </c>
      <c r="AG30" s="376" t="s">
        <v>177</v>
      </c>
      <c r="AH30" s="381">
        <v>20.96</v>
      </c>
      <c r="AI30" s="381">
        <v>7357.5</v>
      </c>
      <c r="AJ30" s="376" t="s">
        <v>178</v>
      </c>
      <c r="AK30" s="376" t="s">
        <v>179</v>
      </c>
      <c r="AL30" s="376" t="s">
        <v>180</v>
      </c>
      <c r="AM30" s="376" t="s">
        <v>181</v>
      </c>
      <c r="AN30" s="376" t="s">
        <v>68</v>
      </c>
      <c r="AO30" s="379">
        <v>80</v>
      </c>
      <c r="AP30" s="460">
        <v>1</v>
      </c>
      <c r="AQ30" s="460">
        <v>0</v>
      </c>
      <c r="AR30" s="458" t="s">
        <v>182</v>
      </c>
      <c r="AS30" s="462">
        <f t="shared" si="0"/>
        <v>0</v>
      </c>
      <c r="AT30">
        <f t="shared" si="1"/>
        <v>0</v>
      </c>
      <c r="AU30" s="462" t="str">
        <f>IF(AT30=0,"",IF(AND(AT30=1,M30="F",SUMIF(C2:C698,C30,AS2:AS698)&lt;=1),SUMIF(C2:C698,C30,AS2:AS698),IF(AND(AT30=1,M30="F",SUMIF(C2:C698,C30,AS2:AS698)&gt;1),1,"")))</f>
        <v/>
      </c>
      <c r="AV30" s="462" t="str">
        <f>IF(AT30=0,"",IF(AND(AT30=3,M30="F",SUMIF(C2:C698,C30,AS2:AS698)&lt;=1),SUMIF(C2:C698,C30,AS2:AS698),IF(AND(AT30=3,M30="F",SUMIF(C2:C698,C30,AS2:AS698)&gt;1),1,"")))</f>
        <v/>
      </c>
      <c r="AW30" s="462">
        <f>SUMIF(C2:C698,C30,O2:O698)</f>
        <v>2</v>
      </c>
      <c r="AX30" s="462">
        <f>IF(AND(M30="F",AS30&lt;&gt;0),SUMIF(C2:C698,C30,W2:W698),0)</f>
        <v>0</v>
      </c>
      <c r="AY30" s="462" t="str">
        <f t="shared" si="2"/>
        <v/>
      </c>
      <c r="AZ30" s="462" t="str">
        <f t="shared" si="3"/>
        <v/>
      </c>
      <c r="BA30" s="462">
        <f t="shared" si="4"/>
        <v>0</v>
      </c>
      <c r="BB30" s="462">
        <f>IF(AND(AT30=1,AK30="E",AU30&gt;=0.75,AW30=1),Health,IF(AND(AT30=1,AK30="E",AU30&gt;=0.75),Health*P30,IF(AND(AT30=1,AK30="E",AU30&gt;=0.5,AW30=1),PTHealth,IF(AND(AT30=1,AK30="E",AU30&gt;=0.5),PTHealth*P30,0))))</f>
        <v>0</v>
      </c>
      <c r="BC30" s="462">
        <f>IF(AND(AT30=3,AK30="E",AV30&gt;=0.75,AW30=1),Health,IF(AND(AT30=3,AK30="E",AV30&gt;=0.75),Health*P30,IF(AND(AT30=3,AK30="E",AV30&gt;=0.5,AW30=1),PTHealth,IF(AND(AT30=3,AK30="E",AV30&gt;=0.5),PTHealth*P30,0))))</f>
        <v>0</v>
      </c>
      <c r="BD30" s="462">
        <f>IF(AND(AT30&lt;&gt;0,AX30&gt;=MAXSSDI),SSDI*MAXSSDI*P30,IF(AT30&lt;&gt;0,SSDI*W30,0))</f>
        <v>0</v>
      </c>
      <c r="BE30" s="462">
        <f>IF(AT30&lt;&gt;0,SSHI*W30,0)</f>
        <v>0</v>
      </c>
      <c r="BF30" s="462">
        <f>IF(AND(AT30&lt;&gt;0,AN30&lt;&gt;"NE"),VLOOKUP(AN30,Retirement_Rates,3,FALSE)*W30,0)</f>
        <v>0</v>
      </c>
      <c r="BG30" s="462">
        <f>IF(AND(AT30&lt;&gt;0,AJ30&lt;&gt;"PF"),Life*W30,0)</f>
        <v>0</v>
      </c>
      <c r="BH30" s="462">
        <f>IF(AND(AT30&lt;&gt;0,AM30="Y"),UI*W30,0)</f>
        <v>0</v>
      </c>
      <c r="BI30" s="462">
        <f>IF(AND(AT30&lt;&gt;0,N30&lt;&gt;"NR"),DHR*W30,0)</f>
        <v>0</v>
      </c>
      <c r="BJ30" s="462">
        <f>IF(AT30&lt;&gt;0,WC*W30,0)</f>
        <v>0</v>
      </c>
      <c r="BK30" s="462">
        <f>IF(OR(AND(AT30&lt;&gt;0,AJ30&lt;&gt;"PF",AN30&lt;&gt;"NE",AG30&lt;&gt;"A"),AND(AL30="E",OR(AT30=1,AT30=3))),Sick*W30,0)</f>
        <v>0</v>
      </c>
      <c r="BL30" s="462">
        <f t="shared" si="5"/>
        <v>0</v>
      </c>
      <c r="BM30" s="462">
        <f t="shared" si="6"/>
        <v>0</v>
      </c>
      <c r="BN30" s="462">
        <f>IF(AND(AT30=1,AK30="E",AU30&gt;=0.75,AW30=1),HealthBY,IF(AND(AT30=1,AK30="E",AU30&gt;=0.75),HealthBY*P30,IF(AND(AT30=1,AK30="E",AU30&gt;=0.5,AW30=1),PTHealthBY,IF(AND(AT30=1,AK30="E",AU30&gt;=0.5),PTHealthBY*P30,0))))</f>
        <v>0</v>
      </c>
      <c r="BO30" s="462">
        <f>IF(AND(AT30=3,AK30="E",AV30&gt;=0.75,AW30=1),HealthBY,IF(AND(AT30=3,AK30="E",AV30&gt;=0.75),HealthBY*P30,IF(AND(AT30=3,AK30="E",AV30&gt;=0.5,AW30=1),PTHealthBY,IF(AND(AT30=3,AK30="E",AV30&gt;=0.5),PTHealthBY*P30,0))))</f>
        <v>0</v>
      </c>
      <c r="BP30" s="462">
        <f>IF(AND(AT30&lt;&gt;0,(AX30+BA30)&gt;=MAXSSDIBY),SSDIBY*MAXSSDIBY*P30,IF(AT30&lt;&gt;0,SSDIBY*W30,0))</f>
        <v>0</v>
      </c>
      <c r="BQ30" s="462">
        <f>IF(AT30&lt;&gt;0,SSHIBY*W30,0)</f>
        <v>0</v>
      </c>
      <c r="BR30" s="462">
        <f>IF(AND(AT30&lt;&gt;0,AN30&lt;&gt;"NE"),VLOOKUP(AN30,Retirement_Rates,4,FALSE)*W30,0)</f>
        <v>0</v>
      </c>
      <c r="BS30" s="462">
        <f>IF(AND(AT30&lt;&gt;0,AJ30&lt;&gt;"PF"),LifeBY*W30,0)</f>
        <v>0</v>
      </c>
      <c r="BT30" s="462">
        <f>IF(AND(AT30&lt;&gt;0,AM30="Y"),UIBY*W30,0)</f>
        <v>0</v>
      </c>
      <c r="BU30" s="462">
        <f>IF(AND(AT30&lt;&gt;0,N30&lt;&gt;"NR"),DHRBY*W30,0)</f>
        <v>0</v>
      </c>
      <c r="BV30" s="462">
        <f>IF(AT30&lt;&gt;0,WCBY*W30,0)</f>
        <v>0</v>
      </c>
      <c r="BW30" s="462">
        <f>IF(OR(AND(AT30&lt;&gt;0,AJ30&lt;&gt;"PF",AN30&lt;&gt;"NE",AG30&lt;&gt;"A"),AND(AL30="E",OR(AT30=1,AT30=3))),SickBY*W30,0)</f>
        <v>0</v>
      </c>
      <c r="BX30" s="462">
        <f t="shared" si="7"/>
        <v>0</v>
      </c>
      <c r="BY30" s="462">
        <f t="shared" si="8"/>
        <v>0</v>
      </c>
      <c r="BZ30" s="462">
        <f t="shared" si="9"/>
        <v>0</v>
      </c>
      <c r="CA30" s="462">
        <f t="shared" si="10"/>
        <v>0</v>
      </c>
      <c r="CB30" s="462">
        <f t="shared" si="11"/>
        <v>0</v>
      </c>
      <c r="CC30" s="462">
        <f>IF(AT30&lt;&gt;0,SSHICHG*Y30,0)</f>
        <v>0</v>
      </c>
      <c r="CD30" s="462">
        <f>IF(AND(AT30&lt;&gt;0,AN30&lt;&gt;"NE"),VLOOKUP(AN30,Retirement_Rates,5,FALSE)*Y30,0)</f>
        <v>0</v>
      </c>
      <c r="CE30" s="462">
        <f>IF(AND(AT30&lt;&gt;0,AJ30&lt;&gt;"PF"),LifeCHG*Y30,0)</f>
        <v>0</v>
      </c>
      <c r="CF30" s="462">
        <f>IF(AND(AT30&lt;&gt;0,AM30="Y"),UICHG*Y30,0)</f>
        <v>0</v>
      </c>
      <c r="CG30" s="462">
        <f>IF(AND(AT30&lt;&gt;0,N30&lt;&gt;"NR"),DHRCHG*Y30,0)</f>
        <v>0</v>
      </c>
      <c r="CH30" s="462">
        <f>IF(AT30&lt;&gt;0,WCCHG*Y30,0)</f>
        <v>0</v>
      </c>
      <c r="CI30" s="462">
        <f>IF(OR(AND(AT30&lt;&gt;0,AJ30&lt;&gt;"PF",AN30&lt;&gt;"NE",AG30&lt;&gt;"A"),AND(AL30="E",OR(AT30=1,AT30=3))),SickCHG*Y30,0)</f>
        <v>0</v>
      </c>
      <c r="CJ30" s="462">
        <f t="shared" si="12"/>
        <v>0</v>
      </c>
      <c r="CK30" s="462" t="str">
        <f t="shared" si="13"/>
        <v/>
      </c>
      <c r="CL30" s="462" t="str">
        <f t="shared" si="14"/>
        <v/>
      </c>
      <c r="CM30" s="462" t="str">
        <f t="shared" si="15"/>
        <v/>
      </c>
      <c r="CN30" s="462" t="str">
        <f t="shared" si="16"/>
        <v>0125-01</v>
      </c>
    </row>
    <row r="31" spans="1:92" ht="15" thickBot="1" x14ac:dyDescent="0.35">
      <c r="A31" s="376" t="s">
        <v>161</v>
      </c>
      <c r="B31" s="376" t="s">
        <v>162</v>
      </c>
      <c r="C31" s="376" t="s">
        <v>320</v>
      </c>
      <c r="D31" s="376" t="s">
        <v>227</v>
      </c>
      <c r="E31" s="376" t="s">
        <v>288</v>
      </c>
      <c r="F31" s="382" t="s">
        <v>289</v>
      </c>
      <c r="G31" s="376" t="s">
        <v>167</v>
      </c>
      <c r="H31" s="378"/>
      <c r="I31" s="378"/>
      <c r="J31" s="376" t="s">
        <v>168</v>
      </c>
      <c r="K31" s="376" t="s">
        <v>321</v>
      </c>
      <c r="L31" s="376" t="s">
        <v>247</v>
      </c>
      <c r="M31" s="376" t="s">
        <v>170</v>
      </c>
      <c r="N31" s="376" t="s">
        <v>202</v>
      </c>
      <c r="O31" s="379">
        <v>1</v>
      </c>
      <c r="P31" s="460">
        <v>1</v>
      </c>
      <c r="Q31" s="460">
        <v>1</v>
      </c>
      <c r="R31" s="380">
        <v>80</v>
      </c>
      <c r="S31" s="460">
        <v>1</v>
      </c>
      <c r="T31" s="380">
        <v>56407.199999999997</v>
      </c>
      <c r="U31" s="380">
        <v>0</v>
      </c>
      <c r="V31" s="380">
        <v>23203.45</v>
      </c>
      <c r="W31" s="380">
        <v>58302.400000000001</v>
      </c>
      <c r="X31" s="380">
        <v>24847.88</v>
      </c>
      <c r="Y31" s="380">
        <v>58302.400000000001</v>
      </c>
      <c r="Z31" s="380">
        <v>24696.3</v>
      </c>
      <c r="AA31" s="376" t="s">
        <v>322</v>
      </c>
      <c r="AB31" s="376" t="s">
        <v>323</v>
      </c>
      <c r="AC31" s="376" t="s">
        <v>324</v>
      </c>
      <c r="AD31" s="376" t="s">
        <v>325</v>
      </c>
      <c r="AE31" s="376" t="s">
        <v>321</v>
      </c>
      <c r="AF31" s="376" t="s">
        <v>299</v>
      </c>
      <c r="AG31" s="376" t="s">
        <v>177</v>
      </c>
      <c r="AH31" s="381">
        <v>28.03</v>
      </c>
      <c r="AI31" s="381">
        <v>40959.599999999999</v>
      </c>
      <c r="AJ31" s="376" t="s">
        <v>178</v>
      </c>
      <c r="AK31" s="376" t="s">
        <v>179</v>
      </c>
      <c r="AL31" s="376" t="s">
        <v>180</v>
      </c>
      <c r="AM31" s="376" t="s">
        <v>181</v>
      </c>
      <c r="AN31" s="376" t="s">
        <v>68</v>
      </c>
      <c r="AO31" s="379">
        <v>80</v>
      </c>
      <c r="AP31" s="460">
        <v>1</v>
      </c>
      <c r="AQ31" s="460">
        <v>1</v>
      </c>
      <c r="AR31" s="458" t="s">
        <v>182</v>
      </c>
      <c r="AS31" s="462">
        <f t="shared" si="0"/>
        <v>1</v>
      </c>
      <c r="AT31">
        <f t="shared" si="1"/>
        <v>1</v>
      </c>
      <c r="AU31" s="462">
        <f>IF(AT31=0,"",IF(AND(AT31=1,M31="F",SUMIF(C2:C698,C31,AS2:AS698)&lt;=1),SUMIF(C2:C698,C31,AS2:AS698),IF(AND(AT31=1,M31="F",SUMIF(C2:C698,C31,AS2:AS698)&gt;1),1,"")))</f>
        <v>1</v>
      </c>
      <c r="AV31" s="462" t="str">
        <f>IF(AT31=0,"",IF(AND(AT31=3,M31="F",SUMIF(C2:C698,C31,AS2:AS698)&lt;=1),SUMIF(C2:C698,C31,AS2:AS698),IF(AND(AT31=3,M31="F",SUMIF(C2:C698,C31,AS2:AS698)&gt;1),1,"")))</f>
        <v/>
      </c>
      <c r="AW31" s="462">
        <f>SUMIF(C2:C698,C31,O2:O698)</f>
        <v>1</v>
      </c>
      <c r="AX31" s="462">
        <f>IF(AND(M31="F",AS31&lt;&gt;0),SUMIF(C2:C698,C31,W2:W698),0)</f>
        <v>58302.400000000001</v>
      </c>
      <c r="AY31" s="462">
        <f t="shared" si="2"/>
        <v>58302.400000000001</v>
      </c>
      <c r="AZ31" s="462" t="str">
        <f t="shared" si="3"/>
        <v/>
      </c>
      <c r="BA31" s="462">
        <f t="shared" si="4"/>
        <v>0</v>
      </c>
      <c r="BB31" s="462">
        <f>IF(AND(AT31=1,AK31="E",AU31&gt;=0.75,AW31=1),Health,IF(AND(AT31=1,AK31="E",AU31&gt;=0.75),Health*P31,IF(AND(AT31=1,AK31="E",AU31&gt;=0.5,AW31=1),PTHealth,IF(AND(AT31=1,AK31="E",AU31&gt;=0.5),PTHealth*P31,0))))</f>
        <v>11650</v>
      </c>
      <c r="BC31" s="462">
        <f>IF(AND(AT31=3,AK31="E",AV31&gt;=0.75,AW31=1),Health,IF(AND(AT31=3,AK31="E",AV31&gt;=0.75),Health*P31,IF(AND(AT31=3,AK31="E",AV31&gt;=0.5,AW31=1),PTHealth,IF(AND(AT31=3,AK31="E",AV31&gt;=0.5),PTHealth*P31,0))))</f>
        <v>0</v>
      </c>
      <c r="BD31" s="462">
        <f>IF(AND(AT31&lt;&gt;0,AX31&gt;=MAXSSDI),SSDI*MAXSSDI*P31,IF(AT31&lt;&gt;0,SSDI*W31,0))</f>
        <v>3614.7487999999998</v>
      </c>
      <c r="BE31" s="462">
        <f>IF(AT31&lt;&gt;0,SSHI*W31,0)</f>
        <v>845.38480000000004</v>
      </c>
      <c r="BF31" s="462">
        <f>IF(AND(AT31&lt;&gt;0,AN31&lt;&gt;"NE"),VLOOKUP(AN31,Retirement_Rates,3,FALSE)*W31,0)</f>
        <v>6961.3065600000009</v>
      </c>
      <c r="BG31" s="462">
        <f>IF(AND(AT31&lt;&gt;0,AJ31&lt;&gt;"PF"),Life*W31,0)</f>
        <v>420.36030400000004</v>
      </c>
      <c r="BH31" s="462">
        <f>IF(AND(AT31&lt;&gt;0,AM31="Y"),UI*W31,0)</f>
        <v>285.68176</v>
      </c>
      <c r="BI31" s="462">
        <f>IF(AND(AT31&lt;&gt;0,N31&lt;&gt;"NR"),DHR*W31,0)</f>
        <v>178.40534399999999</v>
      </c>
      <c r="BJ31" s="462">
        <f>IF(AT31&lt;&gt;0,WC*W31,0)</f>
        <v>892.02671999999995</v>
      </c>
      <c r="BK31" s="462">
        <f>IF(OR(AND(AT31&lt;&gt;0,AJ31&lt;&gt;"PF",AN31&lt;&gt;"NE",AG31&lt;&gt;"A"),AND(AL31="E",OR(AT31=1,AT31=3))),Sick*W31,0)</f>
        <v>0</v>
      </c>
      <c r="BL31" s="462">
        <f t="shared" si="5"/>
        <v>13197.914288000002</v>
      </c>
      <c r="BM31" s="462">
        <f t="shared" si="6"/>
        <v>0</v>
      </c>
      <c r="BN31" s="462">
        <f>IF(AND(AT31=1,AK31="E",AU31&gt;=0.75,AW31=1),HealthBY,IF(AND(AT31=1,AK31="E",AU31&gt;=0.75),HealthBY*P31,IF(AND(AT31=1,AK31="E",AU31&gt;=0.5,AW31=1),PTHealthBY,IF(AND(AT31=1,AK31="E",AU31&gt;=0.5),PTHealthBY*P31,0))))</f>
        <v>11650</v>
      </c>
      <c r="BO31" s="462">
        <f>IF(AND(AT31=3,AK31="E",AV31&gt;=0.75,AW31=1),HealthBY,IF(AND(AT31=3,AK31="E",AV31&gt;=0.75),HealthBY*P31,IF(AND(AT31=3,AK31="E",AV31&gt;=0.5,AW31=1),PTHealthBY,IF(AND(AT31=3,AK31="E",AV31&gt;=0.5),PTHealthBY*P31,0))))</f>
        <v>0</v>
      </c>
      <c r="BP31" s="462">
        <f>IF(AND(AT31&lt;&gt;0,(AX31+BA31)&gt;=MAXSSDIBY),SSDIBY*MAXSSDIBY*P31,IF(AT31&lt;&gt;0,SSDIBY*W31,0))</f>
        <v>3614.7487999999998</v>
      </c>
      <c r="BQ31" s="462">
        <f>IF(AT31&lt;&gt;0,SSHIBY*W31,0)</f>
        <v>845.38480000000004</v>
      </c>
      <c r="BR31" s="462">
        <f>IF(AND(AT31&lt;&gt;0,AN31&lt;&gt;"NE"),VLOOKUP(AN31,Retirement_Rates,4,FALSE)*W31,0)</f>
        <v>6961.3065600000009</v>
      </c>
      <c r="BS31" s="462">
        <f>IF(AND(AT31&lt;&gt;0,AJ31&lt;&gt;"PF"),LifeBY*W31,0)</f>
        <v>420.36030400000004</v>
      </c>
      <c r="BT31" s="462">
        <f>IF(AND(AT31&lt;&gt;0,AM31="Y"),UIBY*W31,0)</f>
        <v>0</v>
      </c>
      <c r="BU31" s="462">
        <f>IF(AND(AT31&lt;&gt;0,N31&lt;&gt;"NR"),DHRBY*W31,0)</f>
        <v>178.40534399999999</v>
      </c>
      <c r="BV31" s="462">
        <f>IF(AT31&lt;&gt;0,WCBY*W31,0)</f>
        <v>1026.1222400000001</v>
      </c>
      <c r="BW31" s="462">
        <f>IF(OR(AND(AT31&lt;&gt;0,AJ31&lt;&gt;"PF",AN31&lt;&gt;"NE",AG31&lt;&gt;"A"),AND(AL31="E",OR(AT31=1,AT31=3))),SickBY*W31,0)</f>
        <v>0</v>
      </c>
      <c r="BX31" s="462">
        <f t="shared" si="7"/>
        <v>13046.328048000003</v>
      </c>
      <c r="BY31" s="462">
        <f t="shared" si="8"/>
        <v>0</v>
      </c>
      <c r="BZ31" s="462">
        <f t="shared" si="9"/>
        <v>0</v>
      </c>
      <c r="CA31" s="462">
        <f t="shared" si="10"/>
        <v>0</v>
      </c>
      <c r="CB31" s="462">
        <f t="shared" si="11"/>
        <v>0</v>
      </c>
      <c r="CC31" s="462">
        <f>IF(AT31&lt;&gt;0,SSHICHG*Y31,0)</f>
        <v>0</v>
      </c>
      <c r="CD31" s="462">
        <f>IF(AND(AT31&lt;&gt;0,AN31&lt;&gt;"NE"),VLOOKUP(AN31,Retirement_Rates,5,FALSE)*Y31,0)</f>
        <v>0</v>
      </c>
      <c r="CE31" s="462">
        <f>IF(AND(AT31&lt;&gt;0,AJ31&lt;&gt;"PF"),LifeCHG*Y31,0)</f>
        <v>0</v>
      </c>
      <c r="CF31" s="462">
        <f>IF(AND(AT31&lt;&gt;0,AM31="Y"),UICHG*Y31,0)</f>
        <v>-285.68176</v>
      </c>
      <c r="CG31" s="462">
        <f>IF(AND(AT31&lt;&gt;0,N31&lt;&gt;"NR"),DHRCHG*Y31,0)</f>
        <v>0</v>
      </c>
      <c r="CH31" s="462">
        <f>IF(AT31&lt;&gt;0,WCCHG*Y31,0)</f>
        <v>134.09552000000011</v>
      </c>
      <c r="CI31" s="462">
        <f>IF(OR(AND(AT31&lt;&gt;0,AJ31&lt;&gt;"PF",AN31&lt;&gt;"NE",AG31&lt;&gt;"A"),AND(AL31="E",OR(AT31=1,AT31=3))),SickCHG*Y31,0)</f>
        <v>0</v>
      </c>
      <c r="CJ31" s="462">
        <f t="shared" si="12"/>
        <v>-151.58623999999989</v>
      </c>
      <c r="CK31" s="462" t="str">
        <f t="shared" si="13"/>
        <v/>
      </c>
      <c r="CL31" s="462" t="str">
        <f t="shared" si="14"/>
        <v/>
      </c>
      <c r="CM31" s="462" t="str">
        <f t="shared" si="15"/>
        <v/>
      </c>
      <c r="CN31" s="462" t="str">
        <f t="shared" si="16"/>
        <v>0125-01</v>
      </c>
    </row>
    <row r="32" spans="1:92" ht="15" thickBot="1" x14ac:dyDescent="0.35">
      <c r="A32" s="376" t="s">
        <v>161</v>
      </c>
      <c r="B32" s="376" t="s">
        <v>162</v>
      </c>
      <c r="C32" s="376" t="s">
        <v>326</v>
      </c>
      <c r="D32" s="376" t="s">
        <v>327</v>
      </c>
      <c r="E32" s="376" t="s">
        <v>288</v>
      </c>
      <c r="F32" s="382" t="s">
        <v>289</v>
      </c>
      <c r="G32" s="376" t="s">
        <v>167</v>
      </c>
      <c r="H32" s="378"/>
      <c r="I32" s="378"/>
      <c r="J32" s="376" t="s">
        <v>168</v>
      </c>
      <c r="K32" s="376" t="s">
        <v>328</v>
      </c>
      <c r="L32" s="376" t="s">
        <v>247</v>
      </c>
      <c r="M32" s="376" t="s">
        <v>170</v>
      </c>
      <c r="N32" s="376" t="s">
        <v>202</v>
      </c>
      <c r="O32" s="379">
        <v>1</v>
      </c>
      <c r="P32" s="460">
        <v>1</v>
      </c>
      <c r="Q32" s="460">
        <v>1</v>
      </c>
      <c r="R32" s="380">
        <v>80</v>
      </c>
      <c r="S32" s="460">
        <v>1</v>
      </c>
      <c r="T32" s="380">
        <v>56438.400000000001</v>
      </c>
      <c r="U32" s="380">
        <v>0</v>
      </c>
      <c r="V32" s="380">
        <v>23369.39</v>
      </c>
      <c r="W32" s="380">
        <v>58572.800000000003</v>
      </c>
      <c r="X32" s="380">
        <v>24909.09</v>
      </c>
      <c r="Y32" s="380">
        <v>58572.800000000003</v>
      </c>
      <c r="Z32" s="380">
        <v>24756.81</v>
      </c>
      <c r="AA32" s="376" t="s">
        <v>329</v>
      </c>
      <c r="AB32" s="376" t="s">
        <v>330</v>
      </c>
      <c r="AC32" s="376" t="s">
        <v>331</v>
      </c>
      <c r="AD32" s="376" t="s">
        <v>215</v>
      </c>
      <c r="AE32" s="376" t="s">
        <v>328</v>
      </c>
      <c r="AF32" s="376" t="s">
        <v>299</v>
      </c>
      <c r="AG32" s="376" t="s">
        <v>177</v>
      </c>
      <c r="AH32" s="381">
        <v>28.16</v>
      </c>
      <c r="AI32" s="381">
        <v>14428.7</v>
      </c>
      <c r="AJ32" s="376" t="s">
        <v>178</v>
      </c>
      <c r="AK32" s="376" t="s">
        <v>179</v>
      </c>
      <c r="AL32" s="376" t="s">
        <v>180</v>
      </c>
      <c r="AM32" s="376" t="s">
        <v>181</v>
      </c>
      <c r="AN32" s="376" t="s">
        <v>68</v>
      </c>
      <c r="AO32" s="379">
        <v>80</v>
      </c>
      <c r="AP32" s="460">
        <v>1</v>
      </c>
      <c r="AQ32" s="460">
        <v>1</v>
      </c>
      <c r="AR32" s="458" t="s">
        <v>182</v>
      </c>
      <c r="AS32" s="462">
        <f t="shared" si="0"/>
        <v>1</v>
      </c>
      <c r="AT32">
        <f t="shared" si="1"/>
        <v>1</v>
      </c>
      <c r="AU32" s="462">
        <f>IF(AT32=0,"",IF(AND(AT32=1,M32="F",SUMIF(C2:C698,C32,AS2:AS698)&lt;=1),SUMIF(C2:C698,C32,AS2:AS698),IF(AND(AT32=1,M32="F",SUMIF(C2:C698,C32,AS2:AS698)&gt;1),1,"")))</f>
        <v>1</v>
      </c>
      <c r="AV32" s="462" t="str">
        <f>IF(AT32=0,"",IF(AND(AT32=3,M32="F",SUMIF(C2:C698,C32,AS2:AS698)&lt;=1),SUMIF(C2:C698,C32,AS2:AS698),IF(AND(AT32=3,M32="F",SUMIF(C2:C698,C32,AS2:AS698)&gt;1),1,"")))</f>
        <v/>
      </c>
      <c r="AW32" s="462">
        <f>SUMIF(C2:C698,C32,O2:O698)</f>
        <v>1</v>
      </c>
      <c r="AX32" s="462">
        <f>IF(AND(M32="F",AS32&lt;&gt;0),SUMIF(C2:C698,C32,W2:W698),0)</f>
        <v>58572.800000000003</v>
      </c>
      <c r="AY32" s="462">
        <f t="shared" si="2"/>
        <v>58572.800000000003</v>
      </c>
      <c r="AZ32" s="462" t="str">
        <f t="shared" si="3"/>
        <v/>
      </c>
      <c r="BA32" s="462">
        <f t="shared" si="4"/>
        <v>0</v>
      </c>
      <c r="BB32" s="462">
        <f>IF(AND(AT32=1,AK32="E",AU32&gt;=0.75,AW32=1),Health,IF(AND(AT32=1,AK32="E",AU32&gt;=0.75),Health*P32,IF(AND(AT32=1,AK32="E",AU32&gt;=0.5,AW32=1),PTHealth,IF(AND(AT32=1,AK32="E",AU32&gt;=0.5),PTHealth*P32,0))))</f>
        <v>11650</v>
      </c>
      <c r="BC32" s="462">
        <f>IF(AND(AT32=3,AK32="E",AV32&gt;=0.75,AW32=1),Health,IF(AND(AT32=3,AK32="E",AV32&gt;=0.75),Health*P32,IF(AND(AT32=3,AK32="E",AV32&gt;=0.5,AW32=1),PTHealth,IF(AND(AT32=3,AK32="E",AV32&gt;=0.5),PTHealth*P32,0))))</f>
        <v>0</v>
      </c>
      <c r="BD32" s="462">
        <f>IF(AND(AT32&lt;&gt;0,AX32&gt;=MAXSSDI),SSDI*MAXSSDI*P32,IF(AT32&lt;&gt;0,SSDI*W32,0))</f>
        <v>3631.5136000000002</v>
      </c>
      <c r="BE32" s="462">
        <f>IF(AT32&lt;&gt;0,SSHI*W32,0)</f>
        <v>849.30560000000014</v>
      </c>
      <c r="BF32" s="462">
        <f>IF(AND(AT32&lt;&gt;0,AN32&lt;&gt;"NE"),VLOOKUP(AN32,Retirement_Rates,3,FALSE)*W32,0)</f>
        <v>6993.5923200000007</v>
      </c>
      <c r="BG32" s="462">
        <f>IF(AND(AT32&lt;&gt;0,AJ32&lt;&gt;"PF"),Life*W32,0)</f>
        <v>422.30988800000006</v>
      </c>
      <c r="BH32" s="462">
        <f>IF(AND(AT32&lt;&gt;0,AM32="Y"),UI*W32,0)</f>
        <v>287.00672000000003</v>
      </c>
      <c r="BI32" s="462">
        <f>IF(AND(AT32&lt;&gt;0,N32&lt;&gt;"NR"),DHR*W32,0)</f>
        <v>179.23276799999999</v>
      </c>
      <c r="BJ32" s="462">
        <f>IF(AT32&lt;&gt;0,WC*W32,0)</f>
        <v>896.16384000000005</v>
      </c>
      <c r="BK32" s="462">
        <f>IF(OR(AND(AT32&lt;&gt;0,AJ32&lt;&gt;"PF",AN32&lt;&gt;"NE",AG32&lt;&gt;"A"),AND(AL32="E",OR(AT32=1,AT32=3))),Sick*W32,0)</f>
        <v>0</v>
      </c>
      <c r="BL32" s="462">
        <f t="shared" si="5"/>
        <v>13259.124736</v>
      </c>
      <c r="BM32" s="462">
        <f t="shared" si="6"/>
        <v>0</v>
      </c>
      <c r="BN32" s="462">
        <f>IF(AND(AT32=1,AK32="E",AU32&gt;=0.75,AW32=1),HealthBY,IF(AND(AT32=1,AK32="E",AU32&gt;=0.75),HealthBY*P32,IF(AND(AT32=1,AK32="E",AU32&gt;=0.5,AW32=1),PTHealthBY,IF(AND(AT32=1,AK32="E",AU32&gt;=0.5),PTHealthBY*P32,0))))</f>
        <v>11650</v>
      </c>
      <c r="BO32" s="462">
        <f>IF(AND(AT32=3,AK32="E",AV32&gt;=0.75,AW32=1),HealthBY,IF(AND(AT32=3,AK32="E",AV32&gt;=0.75),HealthBY*P32,IF(AND(AT32=3,AK32="E",AV32&gt;=0.5,AW32=1),PTHealthBY,IF(AND(AT32=3,AK32="E",AV32&gt;=0.5),PTHealthBY*P32,0))))</f>
        <v>0</v>
      </c>
      <c r="BP32" s="462">
        <f>IF(AND(AT32&lt;&gt;0,(AX32+BA32)&gt;=MAXSSDIBY),SSDIBY*MAXSSDIBY*P32,IF(AT32&lt;&gt;0,SSDIBY*W32,0))</f>
        <v>3631.5136000000002</v>
      </c>
      <c r="BQ32" s="462">
        <f>IF(AT32&lt;&gt;0,SSHIBY*W32,0)</f>
        <v>849.30560000000014</v>
      </c>
      <c r="BR32" s="462">
        <f>IF(AND(AT32&lt;&gt;0,AN32&lt;&gt;"NE"),VLOOKUP(AN32,Retirement_Rates,4,FALSE)*W32,0)</f>
        <v>6993.5923200000007</v>
      </c>
      <c r="BS32" s="462">
        <f>IF(AND(AT32&lt;&gt;0,AJ32&lt;&gt;"PF"),LifeBY*W32,0)</f>
        <v>422.30988800000006</v>
      </c>
      <c r="BT32" s="462">
        <f>IF(AND(AT32&lt;&gt;0,AM32="Y"),UIBY*W32,0)</f>
        <v>0</v>
      </c>
      <c r="BU32" s="462">
        <f>IF(AND(AT32&lt;&gt;0,N32&lt;&gt;"NR"),DHRBY*W32,0)</f>
        <v>179.23276799999999</v>
      </c>
      <c r="BV32" s="462">
        <f>IF(AT32&lt;&gt;0,WCBY*W32,0)</f>
        <v>1030.8812800000001</v>
      </c>
      <c r="BW32" s="462">
        <f>IF(OR(AND(AT32&lt;&gt;0,AJ32&lt;&gt;"PF",AN32&lt;&gt;"NE",AG32&lt;&gt;"A"),AND(AL32="E",OR(AT32=1,AT32=3))),SickBY*W32,0)</f>
        <v>0</v>
      </c>
      <c r="BX32" s="462">
        <f t="shared" si="7"/>
        <v>13106.835456000001</v>
      </c>
      <c r="BY32" s="462">
        <f t="shared" si="8"/>
        <v>0</v>
      </c>
      <c r="BZ32" s="462">
        <f t="shared" si="9"/>
        <v>0</v>
      </c>
      <c r="CA32" s="462">
        <f t="shared" si="10"/>
        <v>0</v>
      </c>
      <c r="CB32" s="462">
        <f t="shared" si="11"/>
        <v>0</v>
      </c>
      <c r="CC32" s="462">
        <f>IF(AT32&lt;&gt;0,SSHICHG*Y32,0)</f>
        <v>0</v>
      </c>
      <c r="CD32" s="462">
        <f>IF(AND(AT32&lt;&gt;0,AN32&lt;&gt;"NE"),VLOOKUP(AN32,Retirement_Rates,5,FALSE)*Y32,0)</f>
        <v>0</v>
      </c>
      <c r="CE32" s="462">
        <f>IF(AND(AT32&lt;&gt;0,AJ32&lt;&gt;"PF"),LifeCHG*Y32,0)</f>
        <v>0</v>
      </c>
      <c r="CF32" s="462">
        <f>IF(AND(AT32&lt;&gt;0,AM32="Y"),UICHG*Y32,0)</f>
        <v>-287.00672000000003</v>
      </c>
      <c r="CG32" s="462">
        <f>IF(AND(AT32&lt;&gt;0,N32&lt;&gt;"NR"),DHRCHG*Y32,0)</f>
        <v>0</v>
      </c>
      <c r="CH32" s="462">
        <f>IF(AT32&lt;&gt;0,WCCHG*Y32,0)</f>
        <v>134.7174400000001</v>
      </c>
      <c r="CI32" s="462">
        <f>IF(OR(AND(AT32&lt;&gt;0,AJ32&lt;&gt;"PF",AN32&lt;&gt;"NE",AG32&lt;&gt;"A"),AND(AL32="E",OR(AT32=1,AT32=3))),SickCHG*Y32,0)</f>
        <v>0</v>
      </c>
      <c r="CJ32" s="462">
        <f t="shared" si="12"/>
        <v>-152.28927999999993</v>
      </c>
      <c r="CK32" s="462" t="str">
        <f t="shared" si="13"/>
        <v/>
      </c>
      <c r="CL32" s="462" t="str">
        <f t="shared" si="14"/>
        <v/>
      </c>
      <c r="CM32" s="462" t="str">
        <f t="shared" si="15"/>
        <v/>
      </c>
      <c r="CN32" s="462" t="str">
        <f t="shared" si="16"/>
        <v>0125-01</v>
      </c>
    </row>
    <row r="33" spans="1:92" ht="15" thickBot="1" x14ac:dyDescent="0.35">
      <c r="A33" s="376" t="s">
        <v>161</v>
      </c>
      <c r="B33" s="376" t="s">
        <v>162</v>
      </c>
      <c r="C33" s="376" t="s">
        <v>332</v>
      </c>
      <c r="D33" s="376" t="s">
        <v>227</v>
      </c>
      <c r="E33" s="376" t="s">
        <v>288</v>
      </c>
      <c r="F33" s="382" t="s">
        <v>289</v>
      </c>
      <c r="G33" s="376" t="s">
        <v>167</v>
      </c>
      <c r="H33" s="378"/>
      <c r="I33" s="378"/>
      <c r="J33" s="376" t="s">
        <v>168</v>
      </c>
      <c r="K33" s="376" t="s">
        <v>228</v>
      </c>
      <c r="L33" s="376" t="s">
        <v>224</v>
      </c>
      <c r="M33" s="376" t="s">
        <v>170</v>
      </c>
      <c r="N33" s="376" t="s">
        <v>202</v>
      </c>
      <c r="O33" s="379">
        <v>1</v>
      </c>
      <c r="P33" s="460">
        <v>1</v>
      </c>
      <c r="Q33" s="460">
        <v>1</v>
      </c>
      <c r="R33" s="380">
        <v>80</v>
      </c>
      <c r="S33" s="460">
        <v>1</v>
      </c>
      <c r="T33" s="380">
        <v>39905.54</v>
      </c>
      <c r="U33" s="380">
        <v>0</v>
      </c>
      <c r="V33" s="380">
        <v>18207.669999999998</v>
      </c>
      <c r="W33" s="380">
        <v>52000</v>
      </c>
      <c r="X33" s="380">
        <v>23421.24</v>
      </c>
      <c r="Y33" s="380">
        <v>52000</v>
      </c>
      <c r="Z33" s="380">
        <v>23286.04</v>
      </c>
      <c r="AA33" s="376" t="s">
        <v>333</v>
      </c>
      <c r="AB33" s="376" t="s">
        <v>334</v>
      </c>
      <c r="AC33" s="376" t="s">
        <v>335</v>
      </c>
      <c r="AD33" s="376" t="s">
        <v>336</v>
      </c>
      <c r="AE33" s="376" t="s">
        <v>228</v>
      </c>
      <c r="AF33" s="376" t="s">
        <v>232</v>
      </c>
      <c r="AG33" s="376" t="s">
        <v>177</v>
      </c>
      <c r="AH33" s="379">
        <v>25</v>
      </c>
      <c r="AI33" s="381">
        <v>16038.8</v>
      </c>
      <c r="AJ33" s="376" t="s">
        <v>178</v>
      </c>
      <c r="AK33" s="376" t="s">
        <v>179</v>
      </c>
      <c r="AL33" s="376" t="s">
        <v>180</v>
      </c>
      <c r="AM33" s="376" t="s">
        <v>181</v>
      </c>
      <c r="AN33" s="376" t="s">
        <v>68</v>
      </c>
      <c r="AO33" s="379">
        <v>80</v>
      </c>
      <c r="AP33" s="460">
        <v>1</v>
      </c>
      <c r="AQ33" s="460">
        <v>1</v>
      </c>
      <c r="AR33" s="458" t="s">
        <v>182</v>
      </c>
      <c r="AS33" s="462">
        <f t="shared" si="0"/>
        <v>1</v>
      </c>
      <c r="AT33">
        <f t="shared" si="1"/>
        <v>1</v>
      </c>
      <c r="AU33" s="462">
        <f>IF(AT33=0,"",IF(AND(AT33=1,M33="F",SUMIF(C2:C698,C33,AS2:AS698)&lt;=1),SUMIF(C2:C698,C33,AS2:AS698),IF(AND(AT33=1,M33="F",SUMIF(C2:C698,C33,AS2:AS698)&gt;1),1,"")))</f>
        <v>1</v>
      </c>
      <c r="AV33" s="462" t="str">
        <f>IF(AT33=0,"",IF(AND(AT33=3,M33="F",SUMIF(C2:C698,C33,AS2:AS698)&lt;=1),SUMIF(C2:C698,C33,AS2:AS698),IF(AND(AT33=3,M33="F",SUMIF(C2:C698,C33,AS2:AS698)&gt;1),1,"")))</f>
        <v/>
      </c>
      <c r="AW33" s="462">
        <f>SUMIF(C2:C698,C33,O2:O698)</f>
        <v>1</v>
      </c>
      <c r="AX33" s="462">
        <f>IF(AND(M33="F",AS33&lt;&gt;0),SUMIF(C2:C698,C33,W2:W698),0)</f>
        <v>52000</v>
      </c>
      <c r="AY33" s="462">
        <f t="shared" si="2"/>
        <v>52000</v>
      </c>
      <c r="AZ33" s="462" t="str">
        <f t="shared" si="3"/>
        <v/>
      </c>
      <c r="BA33" s="462">
        <f t="shared" si="4"/>
        <v>0</v>
      </c>
      <c r="BB33" s="462">
        <f>IF(AND(AT33=1,AK33="E",AU33&gt;=0.75,AW33=1),Health,IF(AND(AT33=1,AK33="E",AU33&gt;=0.75),Health*P33,IF(AND(AT33=1,AK33="E",AU33&gt;=0.5,AW33=1),PTHealth,IF(AND(AT33=1,AK33="E",AU33&gt;=0.5),PTHealth*P33,0))))</f>
        <v>11650</v>
      </c>
      <c r="BC33" s="462">
        <f>IF(AND(AT33=3,AK33="E",AV33&gt;=0.75,AW33=1),Health,IF(AND(AT33=3,AK33="E",AV33&gt;=0.75),Health*P33,IF(AND(AT33=3,AK33="E",AV33&gt;=0.5,AW33=1),PTHealth,IF(AND(AT33=3,AK33="E",AV33&gt;=0.5),PTHealth*P33,0))))</f>
        <v>0</v>
      </c>
      <c r="BD33" s="462">
        <f>IF(AND(AT33&lt;&gt;0,AX33&gt;=MAXSSDI),SSDI*MAXSSDI*P33,IF(AT33&lt;&gt;0,SSDI*W33,0))</f>
        <v>3224</v>
      </c>
      <c r="BE33" s="462">
        <f>IF(AT33&lt;&gt;0,SSHI*W33,0)</f>
        <v>754</v>
      </c>
      <c r="BF33" s="462">
        <f>IF(AND(AT33&lt;&gt;0,AN33&lt;&gt;"NE"),VLOOKUP(AN33,Retirement_Rates,3,FALSE)*W33,0)</f>
        <v>6208.8</v>
      </c>
      <c r="BG33" s="462">
        <f>IF(AND(AT33&lt;&gt;0,AJ33&lt;&gt;"PF"),Life*W33,0)</f>
        <v>374.92</v>
      </c>
      <c r="BH33" s="462">
        <f>IF(AND(AT33&lt;&gt;0,AM33="Y"),UI*W33,0)</f>
        <v>254.79999999999998</v>
      </c>
      <c r="BI33" s="462">
        <f>IF(AND(AT33&lt;&gt;0,N33&lt;&gt;"NR"),DHR*W33,0)</f>
        <v>159.11999999999998</v>
      </c>
      <c r="BJ33" s="462">
        <f>IF(AT33&lt;&gt;0,WC*W33,0)</f>
        <v>795.6</v>
      </c>
      <c r="BK33" s="462">
        <f>IF(OR(AND(AT33&lt;&gt;0,AJ33&lt;&gt;"PF",AN33&lt;&gt;"NE",AG33&lt;&gt;"A"),AND(AL33="E",OR(AT33=1,AT33=3))),Sick*W33,0)</f>
        <v>0</v>
      </c>
      <c r="BL33" s="462">
        <f t="shared" si="5"/>
        <v>11771.24</v>
      </c>
      <c r="BM33" s="462">
        <f t="shared" si="6"/>
        <v>0</v>
      </c>
      <c r="BN33" s="462">
        <f>IF(AND(AT33=1,AK33="E",AU33&gt;=0.75,AW33=1),HealthBY,IF(AND(AT33=1,AK33="E",AU33&gt;=0.75),HealthBY*P33,IF(AND(AT33=1,AK33="E",AU33&gt;=0.5,AW33=1),PTHealthBY,IF(AND(AT33=1,AK33="E",AU33&gt;=0.5),PTHealthBY*P33,0))))</f>
        <v>11650</v>
      </c>
      <c r="BO33" s="462">
        <f>IF(AND(AT33=3,AK33="E",AV33&gt;=0.75,AW33=1),HealthBY,IF(AND(AT33=3,AK33="E",AV33&gt;=0.75),HealthBY*P33,IF(AND(AT33=3,AK33="E",AV33&gt;=0.5,AW33=1),PTHealthBY,IF(AND(AT33=3,AK33="E",AV33&gt;=0.5),PTHealthBY*P33,0))))</f>
        <v>0</v>
      </c>
      <c r="BP33" s="462">
        <f>IF(AND(AT33&lt;&gt;0,(AX33+BA33)&gt;=MAXSSDIBY),SSDIBY*MAXSSDIBY*P33,IF(AT33&lt;&gt;0,SSDIBY*W33,0))</f>
        <v>3224</v>
      </c>
      <c r="BQ33" s="462">
        <f>IF(AT33&lt;&gt;0,SSHIBY*W33,0)</f>
        <v>754</v>
      </c>
      <c r="BR33" s="462">
        <f>IF(AND(AT33&lt;&gt;0,AN33&lt;&gt;"NE"),VLOOKUP(AN33,Retirement_Rates,4,FALSE)*W33,0)</f>
        <v>6208.8</v>
      </c>
      <c r="BS33" s="462">
        <f>IF(AND(AT33&lt;&gt;0,AJ33&lt;&gt;"PF"),LifeBY*W33,0)</f>
        <v>374.92</v>
      </c>
      <c r="BT33" s="462">
        <f>IF(AND(AT33&lt;&gt;0,AM33="Y"),UIBY*W33,0)</f>
        <v>0</v>
      </c>
      <c r="BU33" s="462">
        <f>IF(AND(AT33&lt;&gt;0,N33&lt;&gt;"NR"),DHRBY*W33,0)</f>
        <v>159.11999999999998</v>
      </c>
      <c r="BV33" s="462">
        <f>IF(AT33&lt;&gt;0,WCBY*W33,0)</f>
        <v>915.2</v>
      </c>
      <c r="BW33" s="462">
        <f>IF(OR(AND(AT33&lt;&gt;0,AJ33&lt;&gt;"PF",AN33&lt;&gt;"NE",AG33&lt;&gt;"A"),AND(AL33="E",OR(AT33=1,AT33=3))),SickBY*W33,0)</f>
        <v>0</v>
      </c>
      <c r="BX33" s="462">
        <f t="shared" si="7"/>
        <v>11636.04</v>
      </c>
      <c r="BY33" s="462">
        <f t="shared" si="8"/>
        <v>0</v>
      </c>
      <c r="BZ33" s="462">
        <f t="shared" si="9"/>
        <v>0</v>
      </c>
      <c r="CA33" s="462">
        <f t="shared" si="10"/>
        <v>0</v>
      </c>
      <c r="CB33" s="462">
        <f t="shared" si="11"/>
        <v>0</v>
      </c>
      <c r="CC33" s="462">
        <f>IF(AT33&lt;&gt;0,SSHICHG*Y33,0)</f>
        <v>0</v>
      </c>
      <c r="CD33" s="462">
        <f>IF(AND(AT33&lt;&gt;0,AN33&lt;&gt;"NE"),VLOOKUP(AN33,Retirement_Rates,5,FALSE)*Y33,0)</f>
        <v>0</v>
      </c>
      <c r="CE33" s="462">
        <f>IF(AND(AT33&lt;&gt;0,AJ33&lt;&gt;"PF"),LifeCHG*Y33,0)</f>
        <v>0</v>
      </c>
      <c r="CF33" s="462">
        <f>IF(AND(AT33&lt;&gt;0,AM33="Y"),UICHG*Y33,0)</f>
        <v>-254.79999999999998</v>
      </c>
      <c r="CG33" s="462">
        <f>IF(AND(AT33&lt;&gt;0,N33&lt;&gt;"NR"),DHRCHG*Y33,0)</f>
        <v>0</v>
      </c>
      <c r="CH33" s="462">
        <f>IF(AT33&lt;&gt;0,WCCHG*Y33,0)</f>
        <v>119.60000000000009</v>
      </c>
      <c r="CI33" s="462">
        <f>IF(OR(AND(AT33&lt;&gt;0,AJ33&lt;&gt;"PF",AN33&lt;&gt;"NE",AG33&lt;&gt;"A"),AND(AL33="E",OR(AT33=1,AT33=3))),SickCHG*Y33,0)</f>
        <v>0</v>
      </c>
      <c r="CJ33" s="462">
        <f t="shared" si="12"/>
        <v>-135.19999999999987</v>
      </c>
      <c r="CK33" s="462" t="str">
        <f t="shared" si="13"/>
        <v/>
      </c>
      <c r="CL33" s="462" t="str">
        <f t="shared" si="14"/>
        <v/>
      </c>
      <c r="CM33" s="462" t="str">
        <f t="shared" si="15"/>
        <v/>
      </c>
      <c r="CN33" s="462" t="str">
        <f t="shared" si="16"/>
        <v>0125-01</v>
      </c>
    </row>
    <row r="34" spans="1:92" ht="15" thickBot="1" x14ac:dyDescent="0.35">
      <c r="A34" s="376" t="s">
        <v>161</v>
      </c>
      <c r="B34" s="376" t="s">
        <v>162</v>
      </c>
      <c r="C34" s="376" t="s">
        <v>280</v>
      </c>
      <c r="D34" s="376" t="s">
        <v>281</v>
      </c>
      <c r="E34" s="376" t="s">
        <v>288</v>
      </c>
      <c r="F34" s="382" t="s">
        <v>289</v>
      </c>
      <c r="G34" s="376" t="s">
        <v>167</v>
      </c>
      <c r="H34" s="378"/>
      <c r="I34" s="378"/>
      <c r="J34" s="376" t="s">
        <v>185</v>
      </c>
      <c r="K34" s="376" t="s">
        <v>282</v>
      </c>
      <c r="L34" s="376" t="s">
        <v>243</v>
      </c>
      <c r="M34" s="376" t="s">
        <v>170</v>
      </c>
      <c r="N34" s="376" t="s">
        <v>202</v>
      </c>
      <c r="O34" s="379">
        <v>1</v>
      </c>
      <c r="P34" s="460">
        <v>0.67</v>
      </c>
      <c r="Q34" s="460">
        <v>0.67</v>
      </c>
      <c r="R34" s="380">
        <v>80</v>
      </c>
      <c r="S34" s="460">
        <v>0.67</v>
      </c>
      <c r="T34" s="380">
        <v>50641.919999999998</v>
      </c>
      <c r="U34" s="380">
        <v>0</v>
      </c>
      <c r="V34" s="380">
        <v>17756.29</v>
      </c>
      <c r="W34" s="380">
        <v>52552.65</v>
      </c>
      <c r="X34" s="380">
        <v>19701.82</v>
      </c>
      <c r="Y34" s="380">
        <v>52552.65</v>
      </c>
      <c r="Z34" s="380">
        <v>19565.18</v>
      </c>
      <c r="AA34" s="376" t="s">
        <v>283</v>
      </c>
      <c r="AB34" s="376" t="s">
        <v>284</v>
      </c>
      <c r="AC34" s="376" t="s">
        <v>285</v>
      </c>
      <c r="AD34" s="376" t="s">
        <v>247</v>
      </c>
      <c r="AE34" s="376" t="s">
        <v>282</v>
      </c>
      <c r="AF34" s="376" t="s">
        <v>248</v>
      </c>
      <c r="AG34" s="376" t="s">
        <v>177</v>
      </c>
      <c r="AH34" s="381">
        <v>37.71</v>
      </c>
      <c r="AI34" s="379">
        <v>20220</v>
      </c>
      <c r="AJ34" s="376" t="s">
        <v>178</v>
      </c>
      <c r="AK34" s="376" t="s">
        <v>179</v>
      </c>
      <c r="AL34" s="376" t="s">
        <v>180</v>
      </c>
      <c r="AM34" s="376" t="s">
        <v>181</v>
      </c>
      <c r="AN34" s="376" t="s">
        <v>68</v>
      </c>
      <c r="AO34" s="379">
        <v>80</v>
      </c>
      <c r="AP34" s="460">
        <v>1</v>
      </c>
      <c r="AQ34" s="460">
        <v>0.67</v>
      </c>
      <c r="AR34" s="458" t="s">
        <v>182</v>
      </c>
      <c r="AS34" s="462">
        <f t="shared" si="0"/>
        <v>0.67</v>
      </c>
      <c r="AT34">
        <f t="shared" si="1"/>
        <v>1</v>
      </c>
      <c r="AU34" s="462">
        <f>IF(AT34=0,"",IF(AND(AT34=1,M34="F",SUMIF(C2:C698,C34,AS2:AS698)&lt;=1),SUMIF(C2:C698,C34,AS2:AS698),IF(AND(AT34=1,M34="F",SUMIF(C2:C698,C34,AS2:AS698)&gt;1),1,"")))</f>
        <v>1</v>
      </c>
      <c r="AV34" s="462" t="str">
        <f>IF(AT34=0,"",IF(AND(AT34=3,M34="F",SUMIF(C2:C698,C34,AS2:AS698)&lt;=1),SUMIF(C2:C698,C34,AS2:AS698),IF(AND(AT34=3,M34="F",SUMIF(C2:C698,C34,AS2:AS698)&gt;1),1,"")))</f>
        <v/>
      </c>
      <c r="AW34" s="462">
        <f>SUMIF(C2:C698,C34,O2:O698)</f>
        <v>2</v>
      </c>
      <c r="AX34" s="462">
        <f>IF(AND(M34="F",AS34&lt;&gt;0),SUMIF(C2:C698,C34,W2:W698),0)</f>
        <v>78436.790000000008</v>
      </c>
      <c r="AY34" s="462">
        <f t="shared" si="2"/>
        <v>52552.65</v>
      </c>
      <c r="AZ34" s="462" t="str">
        <f t="shared" si="3"/>
        <v/>
      </c>
      <c r="BA34" s="462">
        <f t="shared" si="4"/>
        <v>0</v>
      </c>
      <c r="BB34" s="462">
        <f>IF(AND(AT34=1,AK34="E",AU34&gt;=0.75,AW34=1),Health,IF(AND(AT34=1,AK34="E",AU34&gt;=0.75),Health*P34,IF(AND(AT34=1,AK34="E",AU34&gt;=0.5,AW34=1),PTHealth,IF(AND(AT34=1,AK34="E",AU34&gt;=0.5),PTHealth*P34,0))))</f>
        <v>7805.5000000000009</v>
      </c>
      <c r="BC34" s="462">
        <f>IF(AND(AT34=3,AK34="E",AV34&gt;=0.75,AW34=1),Health,IF(AND(AT34=3,AK34="E",AV34&gt;=0.75),Health*P34,IF(AND(AT34=3,AK34="E",AV34&gt;=0.5,AW34=1),PTHealth,IF(AND(AT34=3,AK34="E",AV34&gt;=0.5),PTHealth*P34,0))))</f>
        <v>0</v>
      </c>
      <c r="BD34" s="462">
        <f>IF(AND(AT34&lt;&gt;0,AX34&gt;=MAXSSDI),SSDI*MAXSSDI*P34,IF(AT34&lt;&gt;0,SSDI*W34,0))</f>
        <v>3258.2643000000003</v>
      </c>
      <c r="BE34" s="462">
        <f>IF(AT34&lt;&gt;0,SSHI*W34,0)</f>
        <v>762.0134250000001</v>
      </c>
      <c r="BF34" s="462">
        <f>IF(AND(AT34&lt;&gt;0,AN34&lt;&gt;"NE"),VLOOKUP(AN34,Retirement_Rates,3,FALSE)*W34,0)</f>
        <v>6274.7864100000006</v>
      </c>
      <c r="BG34" s="462">
        <f>IF(AND(AT34&lt;&gt;0,AJ34&lt;&gt;"PF"),Life*W34,0)</f>
        <v>378.9046065</v>
      </c>
      <c r="BH34" s="462">
        <f>IF(AND(AT34&lt;&gt;0,AM34="Y"),UI*W34,0)</f>
        <v>257.50798500000002</v>
      </c>
      <c r="BI34" s="462">
        <f>IF(AND(AT34&lt;&gt;0,N34&lt;&gt;"NR"),DHR*W34,0)</f>
        <v>160.81110899999999</v>
      </c>
      <c r="BJ34" s="462">
        <f>IF(AT34&lt;&gt;0,WC*W34,0)</f>
        <v>804.05554499999994</v>
      </c>
      <c r="BK34" s="462">
        <f>IF(OR(AND(AT34&lt;&gt;0,AJ34&lt;&gt;"PF",AN34&lt;&gt;"NE",AG34&lt;&gt;"A"),AND(AL34="E",OR(AT34=1,AT34=3))),Sick*W34,0)</f>
        <v>0</v>
      </c>
      <c r="BL34" s="462">
        <f t="shared" si="5"/>
        <v>11896.3433805</v>
      </c>
      <c r="BM34" s="462">
        <f t="shared" si="6"/>
        <v>0</v>
      </c>
      <c r="BN34" s="462">
        <f>IF(AND(AT34=1,AK34="E",AU34&gt;=0.75,AW34=1),HealthBY,IF(AND(AT34=1,AK34="E",AU34&gt;=0.75),HealthBY*P34,IF(AND(AT34=1,AK34="E",AU34&gt;=0.5,AW34=1),PTHealthBY,IF(AND(AT34=1,AK34="E",AU34&gt;=0.5),PTHealthBY*P34,0))))</f>
        <v>7805.5000000000009</v>
      </c>
      <c r="BO34" s="462">
        <f>IF(AND(AT34=3,AK34="E",AV34&gt;=0.75,AW34=1),HealthBY,IF(AND(AT34=3,AK34="E",AV34&gt;=0.75),HealthBY*P34,IF(AND(AT34=3,AK34="E",AV34&gt;=0.5,AW34=1),PTHealthBY,IF(AND(AT34=3,AK34="E",AV34&gt;=0.5),PTHealthBY*P34,0))))</f>
        <v>0</v>
      </c>
      <c r="BP34" s="462">
        <f>IF(AND(AT34&lt;&gt;0,(AX34+BA34)&gt;=MAXSSDIBY),SSDIBY*MAXSSDIBY*P34,IF(AT34&lt;&gt;0,SSDIBY*W34,0))</f>
        <v>3258.2643000000003</v>
      </c>
      <c r="BQ34" s="462">
        <f>IF(AT34&lt;&gt;0,SSHIBY*W34,0)</f>
        <v>762.0134250000001</v>
      </c>
      <c r="BR34" s="462">
        <f>IF(AND(AT34&lt;&gt;0,AN34&lt;&gt;"NE"),VLOOKUP(AN34,Retirement_Rates,4,FALSE)*W34,0)</f>
        <v>6274.7864100000006</v>
      </c>
      <c r="BS34" s="462">
        <f>IF(AND(AT34&lt;&gt;0,AJ34&lt;&gt;"PF"),LifeBY*W34,0)</f>
        <v>378.9046065</v>
      </c>
      <c r="BT34" s="462">
        <f>IF(AND(AT34&lt;&gt;0,AM34="Y"),UIBY*W34,0)</f>
        <v>0</v>
      </c>
      <c r="BU34" s="462">
        <f>IF(AND(AT34&lt;&gt;0,N34&lt;&gt;"NR"),DHRBY*W34,0)</f>
        <v>160.81110899999999</v>
      </c>
      <c r="BV34" s="462">
        <f>IF(AT34&lt;&gt;0,WCBY*W34,0)</f>
        <v>924.92664000000013</v>
      </c>
      <c r="BW34" s="462">
        <f>IF(OR(AND(AT34&lt;&gt;0,AJ34&lt;&gt;"PF",AN34&lt;&gt;"NE",AG34&lt;&gt;"A"),AND(AL34="E",OR(AT34=1,AT34=3))),SickBY*W34,0)</f>
        <v>0</v>
      </c>
      <c r="BX34" s="462">
        <f t="shared" si="7"/>
        <v>11759.706490500001</v>
      </c>
      <c r="BY34" s="462">
        <f t="shared" si="8"/>
        <v>0</v>
      </c>
      <c r="BZ34" s="462">
        <f t="shared" si="9"/>
        <v>0</v>
      </c>
      <c r="CA34" s="462">
        <f t="shared" si="10"/>
        <v>0</v>
      </c>
      <c r="CB34" s="462">
        <f t="shared" si="11"/>
        <v>0</v>
      </c>
      <c r="CC34" s="462">
        <f>IF(AT34&lt;&gt;0,SSHICHG*Y34,0)</f>
        <v>0</v>
      </c>
      <c r="CD34" s="462">
        <f>IF(AND(AT34&lt;&gt;0,AN34&lt;&gt;"NE"),VLOOKUP(AN34,Retirement_Rates,5,FALSE)*Y34,0)</f>
        <v>0</v>
      </c>
      <c r="CE34" s="462">
        <f>IF(AND(AT34&lt;&gt;0,AJ34&lt;&gt;"PF"),LifeCHG*Y34,0)</f>
        <v>0</v>
      </c>
      <c r="CF34" s="462">
        <f>IF(AND(AT34&lt;&gt;0,AM34="Y"),UICHG*Y34,0)</f>
        <v>-257.50798500000002</v>
      </c>
      <c r="CG34" s="462">
        <f>IF(AND(AT34&lt;&gt;0,N34&lt;&gt;"NR"),DHRCHG*Y34,0)</f>
        <v>0</v>
      </c>
      <c r="CH34" s="462">
        <f>IF(AT34&lt;&gt;0,WCCHG*Y34,0)</f>
        <v>120.8710950000001</v>
      </c>
      <c r="CI34" s="462">
        <f>IF(OR(AND(AT34&lt;&gt;0,AJ34&lt;&gt;"PF",AN34&lt;&gt;"NE",AG34&lt;&gt;"A"),AND(AL34="E",OR(AT34=1,AT34=3))),SickCHG*Y34,0)</f>
        <v>0</v>
      </c>
      <c r="CJ34" s="462">
        <f t="shared" si="12"/>
        <v>-136.63688999999994</v>
      </c>
      <c r="CK34" s="462" t="str">
        <f t="shared" si="13"/>
        <v/>
      </c>
      <c r="CL34" s="462" t="str">
        <f t="shared" si="14"/>
        <v/>
      </c>
      <c r="CM34" s="462" t="str">
        <f t="shared" si="15"/>
        <v/>
      </c>
      <c r="CN34" s="462" t="str">
        <f t="shared" si="16"/>
        <v>0125-01</v>
      </c>
    </row>
    <row r="35" spans="1:92" ht="15" thickBot="1" x14ac:dyDescent="0.35">
      <c r="A35" s="376" t="s">
        <v>161</v>
      </c>
      <c r="B35" s="376" t="s">
        <v>162</v>
      </c>
      <c r="C35" s="376" t="s">
        <v>183</v>
      </c>
      <c r="D35" s="376" t="s">
        <v>184</v>
      </c>
      <c r="E35" s="376" t="s">
        <v>288</v>
      </c>
      <c r="F35" s="382" t="s">
        <v>289</v>
      </c>
      <c r="G35" s="376" t="s">
        <v>167</v>
      </c>
      <c r="H35" s="378"/>
      <c r="I35" s="378"/>
      <c r="J35" s="376" t="s">
        <v>185</v>
      </c>
      <c r="K35" s="376" t="s">
        <v>186</v>
      </c>
      <c r="L35" s="376" t="s">
        <v>166</v>
      </c>
      <c r="M35" s="376" t="s">
        <v>170</v>
      </c>
      <c r="N35" s="376" t="s">
        <v>171</v>
      </c>
      <c r="O35" s="379">
        <v>1</v>
      </c>
      <c r="P35" s="460">
        <v>0.67</v>
      </c>
      <c r="Q35" s="460">
        <v>0.67</v>
      </c>
      <c r="R35" s="380">
        <v>80</v>
      </c>
      <c r="S35" s="460">
        <v>0.67</v>
      </c>
      <c r="T35" s="380">
        <v>20861.03</v>
      </c>
      <c r="U35" s="380">
        <v>0</v>
      </c>
      <c r="V35" s="380">
        <v>17044.97</v>
      </c>
      <c r="W35" s="380">
        <v>77484.160000000003</v>
      </c>
      <c r="X35" s="380">
        <v>25108.47</v>
      </c>
      <c r="Y35" s="380">
        <v>77484.160000000003</v>
      </c>
      <c r="Z35" s="380">
        <v>24907.01</v>
      </c>
      <c r="AA35" s="376" t="s">
        <v>187</v>
      </c>
      <c r="AB35" s="376" t="s">
        <v>188</v>
      </c>
      <c r="AC35" s="376" t="s">
        <v>189</v>
      </c>
      <c r="AD35" s="376" t="s">
        <v>190</v>
      </c>
      <c r="AE35" s="376" t="s">
        <v>186</v>
      </c>
      <c r="AF35" s="376" t="s">
        <v>176</v>
      </c>
      <c r="AG35" s="376" t="s">
        <v>177</v>
      </c>
      <c r="AH35" s="381">
        <v>55.6</v>
      </c>
      <c r="AI35" s="381">
        <v>51910.5</v>
      </c>
      <c r="AJ35" s="376" t="s">
        <v>178</v>
      </c>
      <c r="AK35" s="376" t="s">
        <v>179</v>
      </c>
      <c r="AL35" s="376" t="s">
        <v>180</v>
      </c>
      <c r="AM35" s="376" t="s">
        <v>181</v>
      </c>
      <c r="AN35" s="376" t="s">
        <v>68</v>
      </c>
      <c r="AO35" s="379">
        <v>80</v>
      </c>
      <c r="AP35" s="460">
        <v>1</v>
      </c>
      <c r="AQ35" s="460">
        <v>0.67</v>
      </c>
      <c r="AR35" s="458" t="s">
        <v>182</v>
      </c>
      <c r="AS35" s="462">
        <f t="shared" si="0"/>
        <v>0.67</v>
      </c>
      <c r="AT35">
        <f t="shared" si="1"/>
        <v>1</v>
      </c>
      <c r="AU35" s="462">
        <f>IF(AT35=0,"",IF(AND(AT35=1,M35="F",SUMIF(C2:C698,C35,AS2:AS698)&lt;=1),SUMIF(C2:C698,C35,AS2:AS698),IF(AND(AT35=1,M35="F",SUMIF(C2:C698,C35,AS2:AS698)&gt;1),1,"")))</f>
        <v>1</v>
      </c>
      <c r="AV35" s="462" t="str">
        <f>IF(AT35=0,"",IF(AND(AT35=3,M35="F",SUMIF(C2:C698,C35,AS2:AS698)&lt;=1),SUMIF(C2:C698,C35,AS2:AS698),IF(AND(AT35=3,M35="F",SUMIF(C2:C698,C35,AS2:AS698)&gt;1),1,"")))</f>
        <v/>
      </c>
      <c r="AW35" s="462">
        <f>SUMIF(C2:C698,C35,O2:O698)</f>
        <v>2</v>
      </c>
      <c r="AX35" s="462">
        <f>IF(AND(M35="F",AS35&lt;&gt;0),SUMIF(C2:C698,C35,W2:W698),0)</f>
        <v>115648</v>
      </c>
      <c r="AY35" s="462">
        <f t="shared" si="2"/>
        <v>77484.160000000003</v>
      </c>
      <c r="AZ35" s="462" t="str">
        <f t="shared" si="3"/>
        <v/>
      </c>
      <c r="BA35" s="462">
        <f t="shared" si="4"/>
        <v>0</v>
      </c>
      <c r="BB35" s="462">
        <f>IF(AND(AT35=1,AK35="E",AU35&gt;=0.75,AW35=1),Health,IF(AND(AT35=1,AK35="E",AU35&gt;=0.75),Health*P35,IF(AND(AT35=1,AK35="E",AU35&gt;=0.5,AW35=1),PTHealth,IF(AND(AT35=1,AK35="E",AU35&gt;=0.5),PTHealth*P35,0))))</f>
        <v>7805.5000000000009</v>
      </c>
      <c r="BC35" s="462">
        <f>IF(AND(AT35=3,AK35="E",AV35&gt;=0.75,AW35=1),Health,IF(AND(AT35=3,AK35="E",AV35&gt;=0.75),Health*P35,IF(AND(AT35=3,AK35="E",AV35&gt;=0.5,AW35=1),PTHealth,IF(AND(AT35=3,AK35="E",AV35&gt;=0.5),PTHealth*P35,0))))</f>
        <v>0</v>
      </c>
      <c r="BD35" s="462">
        <f>IF(AND(AT35&lt;&gt;0,AX35&gt;=MAXSSDI),SSDI*MAXSSDI*P35,IF(AT35&lt;&gt;0,SSDI*W35,0))</f>
        <v>4804.0179200000002</v>
      </c>
      <c r="BE35" s="462">
        <f>IF(AT35&lt;&gt;0,SSHI*W35,0)</f>
        <v>1123.5203200000001</v>
      </c>
      <c r="BF35" s="462">
        <f>IF(AND(AT35&lt;&gt;0,AN35&lt;&gt;"NE"),VLOOKUP(AN35,Retirement_Rates,3,FALSE)*W35,0)</f>
        <v>9251.6087040000002</v>
      </c>
      <c r="BG35" s="462">
        <f>IF(AND(AT35&lt;&gt;0,AJ35&lt;&gt;"PF"),Life*W35,0)</f>
        <v>558.66079360000003</v>
      </c>
      <c r="BH35" s="462">
        <f>IF(AND(AT35&lt;&gt;0,AM35="Y"),UI*W35,0)</f>
        <v>379.67238400000002</v>
      </c>
      <c r="BI35" s="462">
        <f>IF(AND(AT35&lt;&gt;0,N35&lt;&gt;"NR"),DHR*W35,0)</f>
        <v>0</v>
      </c>
      <c r="BJ35" s="462">
        <f>IF(AT35&lt;&gt;0,WC*W35,0)</f>
        <v>1185.507648</v>
      </c>
      <c r="BK35" s="462">
        <f>IF(OR(AND(AT35&lt;&gt;0,AJ35&lt;&gt;"PF",AN35&lt;&gt;"NE",AG35&lt;&gt;"A"),AND(AL35="E",OR(AT35=1,AT35=3))),Sick*W35,0)</f>
        <v>0</v>
      </c>
      <c r="BL35" s="462">
        <f t="shared" si="5"/>
        <v>17302.9877696</v>
      </c>
      <c r="BM35" s="462">
        <f t="shared" si="6"/>
        <v>0</v>
      </c>
      <c r="BN35" s="462">
        <f>IF(AND(AT35=1,AK35="E",AU35&gt;=0.75,AW35=1),HealthBY,IF(AND(AT35=1,AK35="E",AU35&gt;=0.75),HealthBY*P35,IF(AND(AT35=1,AK35="E",AU35&gt;=0.5,AW35=1),PTHealthBY,IF(AND(AT35=1,AK35="E",AU35&gt;=0.5),PTHealthBY*P35,0))))</f>
        <v>7805.5000000000009</v>
      </c>
      <c r="BO35" s="462">
        <f>IF(AND(AT35=3,AK35="E",AV35&gt;=0.75,AW35=1),HealthBY,IF(AND(AT35=3,AK35="E",AV35&gt;=0.75),HealthBY*P35,IF(AND(AT35=3,AK35="E",AV35&gt;=0.5,AW35=1),PTHealthBY,IF(AND(AT35=3,AK35="E",AV35&gt;=0.5),PTHealthBY*P35,0))))</f>
        <v>0</v>
      </c>
      <c r="BP35" s="462">
        <f>IF(AND(AT35&lt;&gt;0,(AX35+BA35)&gt;=MAXSSDIBY),SSDIBY*MAXSSDIBY*P35,IF(AT35&lt;&gt;0,SSDIBY*W35,0))</f>
        <v>4804.0179200000002</v>
      </c>
      <c r="BQ35" s="462">
        <f>IF(AT35&lt;&gt;0,SSHIBY*W35,0)</f>
        <v>1123.5203200000001</v>
      </c>
      <c r="BR35" s="462">
        <f>IF(AND(AT35&lt;&gt;0,AN35&lt;&gt;"NE"),VLOOKUP(AN35,Retirement_Rates,4,FALSE)*W35,0)</f>
        <v>9251.6087040000002</v>
      </c>
      <c r="BS35" s="462">
        <f>IF(AND(AT35&lt;&gt;0,AJ35&lt;&gt;"PF"),LifeBY*W35,0)</f>
        <v>558.66079360000003</v>
      </c>
      <c r="BT35" s="462">
        <f>IF(AND(AT35&lt;&gt;0,AM35="Y"),UIBY*W35,0)</f>
        <v>0</v>
      </c>
      <c r="BU35" s="462">
        <f>IF(AND(AT35&lt;&gt;0,N35&lt;&gt;"NR"),DHRBY*W35,0)</f>
        <v>0</v>
      </c>
      <c r="BV35" s="462">
        <f>IF(AT35&lt;&gt;0,WCBY*W35,0)</f>
        <v>1363.7212160000001</v>
      </c>
      <c r="BW35" s="462">
        <f>IF(OR(AND(AT35&lt;&gt;0,AJ35&lt;&gt;"PF",AN35&lt;&gt;"NE",AG35&lt;&gt;"A"),AND(AL35="E",OR(AT35=1,AT35=3))),SickBY*W35,0)</f>
        <v>0</v>
      </c>
      <c r="BX35" s="462">
        <f t="shared" si="7"/>
        <v>17101.528953600002</v>
      </c>
      <c r="BY35" s="462">
        <f t="shared" si="8"/>
        <v>0</v>
      </c>
      <c r="BZ35" s="462">
        <f t="shared" si="9"/>
        <v>0</v>
      </c>
      <c r="CA35" s="462">
        <f t="shared" si="10"/>
        <v>0</v>
      </c>
      <c r="CB35" s="462">
        <f t="shared" si="11"/>
        <v>0</v>
      </c>
      <c r="CC35" s="462">
        <f>IF(AT35&lt;&gt;0,SSHICHG*Y35,0)</f>
        <v>0</v>
      </c>
      <c r="CD35" s="462">
        <f>IF(AND(AT35&lt;&gt;0,AN35&lt;&gt;"NE"),VLOOKUP(AN35,Retirement_Rates,5,FALSE)*Y35,0)</f>
        <v>0</v>
      </c>
      <c r="CE35" s="462">
        <f>IF(AND(AT35&lt;&gt;0,AJ35&lt;&gt;"PF"),LifeCHG*Y35,0)</f>
        <v>0</v>
      </c>
      <c r="CF35" s="462">
        <f>IF(AND(AT35&lt;&gt;0,AM35="Y"),UICHG*Y35,0)</f>
        <v>-379.67238400000002</v>
      </c>
      <c r="CG35" s="462">
        <f>IF(AND(AT35&lt;&gt;0,N35&lt;&gt;"NR"),DHRCHG*Y35,0)</f>
        <v>0</v>
      </c>
      <c r="CH35" s="462">
        <f>IF(AT35&lt;&gt;0,WCCHG*Y35,0)</f>
        <v>178.21356800000015</v>
      </c>
      <c r="CI35" s="462">
        <f>IF(OR(AND(AT35&lt;&gt;0,AJ35&lt;&gt;"PF",AN35&lt;&gt;"NE",AG35&lt;&gt;"A"),AND(AL35="E",OR(AT35=1,AT35=3))),SickCHG*Y35,0)</f>
        <v>0</v>
      </c>
      <c r="CJ35" s="462">
        <f t="shared" si="12"/>
        <v>-201.45881599999987</v>
      </c>
      <c r="CK35" s="462" t="str">
        <f t="shared" si="13"/>
        <v/>
      </c>
      <c r="CL35" s="462" t="str">
        <f t="shared" si="14"/>
        <v/>
      </c>
      <c r="CM35" s="462" t="str">
        <f t="shared" si="15"/>
        <v/>
      </c>
      <c r="CN35" s="462" t="str">
        <f t="shared" si="16"/>
        <v>0125-01</v>
      </c>
    </row>
    <row r="36" spans="1:92" ht="15" thickBot="1" x14ac:dyDescent="0.35">
      <c r="A36" s="376" t="s">
        <v>161</v>
      </c>
      <c r="B36" s="376" t="s">
        <v>162</v>
      </c>
      <c r="C36" s="376" t="s">
        <v>221</v>
      </c>
      <c r="D36" s="376" t="s">
        <v>222</v>
      </c>
      <c r="E36" s="376" t="s">
        <v>288</v>
      </c>
      <c r="F36" s="382" t="s">
        <v>289</v>
      </c>
      <c r="G36" s="376" t="s">
        <v>167</v>
      </c>
      <c r="H36" s="378"/>
      <c r="I36" s="378"/>
      <c r="J36" s="376" t="s">
        <v>185</v>
      </c>
      <c r="K36" s="376" t="s">
        <v>223</v>
      </c>
      <c r="L36" s="376" t="s">
        <v>224</v>
      </c>
      <c r="M36" s="376" t="s">
        <v>225</v>
      </c>
      <c r="N36" s="376" t="s">
        <v>202</v>
      </c>
      <c r="O36" s="379">
        <v>0</v>
      </c>
      <c r="P36" s="460">
        <v>0</v>
      </c>
      <c r="Q36" s="460">
        <v>0</v>
      </c>
      <c r="R36" s="380">
        <v>80</v>
      </c>
      <c r="S36" s="460">
        <v>0</v>
      </c>
      <c r="T36" s="380">
        <v>0</v>
      </c>
      <c r="U36" s="380">
        <v>0</v>
      </c>
      <c r="V36" s="380">
        <v>-325.23</v>
      </c>
      <c r="W36" s="380">
        <v>0</v>
      </c>
      <c r="X36" s="380">
        <v>0</v>
      </c>
      <c r="Y36" s="380">
        <v>0</v>
      </c>
      <c r="Z36" s="380">
        <v>0</v>
      </c>
      <c r="AA36" s="378"/>
      <c r="AB36" s="376" t="s">
        <v>45</v>
      </c>
      <c r="AC36" s="376" t="s">
        <v>45</v>
      </c>
      <c r="AD36" s="378"/>
      <c r="AE36" s="378"/>
      <c r="AF36" s="378"/>
      <c r="AG36" s="378"/>
      <c r="AH36" s="379">
        <v>0</v>
      </c>
      <c r="AI36" s="379">
        <v>0</v>
      </c>
      <c r="AJ36" s="378"/>
      <c r="AK36" s="378"/>
      <c r="AL36" s="376" t="s">
        <v>180</v>
      </c>
      <c r="AM36" s="378"/>
      <c r="AN36" s="378"/>
      <c r="AO36" s="379">
        <v>0</v>
      </c>
      <c r="AP36" s="460">
        <v>0</v>
      </c>
      <c r="AQ36" s="460">
        <v>0</v>
      </c>
      <c r="AR36" s="459"/>
      <c r="AS36" s="462">
        <f t="shared" si="0"/>
        <v>0</v>
      </c>
      <c r="AT36">
        <f t="shared" si="1"/>
        <v>0</v>
      </c>
      <c r="AU36" s="462" t="str">
        <f>IF(AT36=0,"",IF(AND(AT36=1,M36="F",SUMIF(C2:C698,C36,AS2:AS698)&lt;=1),SUMIF(C2:C698,C36,AS2:AS698),IF(AND(AT36=1,M36="F",SUMIF(C2:C698,C36,AS2:AS698)&gt;1),1,"")))</f>
        <v/>
      </c>
      <c r="AV36" s="462" t="str">
        <f>IF(AT36=0,"",IF(AND(AT36=3,M36="F",SUMIF(C2:C698,C36,AS2:AS698)&lt;=1),SUMIF(C2:C698,C36,AS2:AS698),IF(AND(AT36=3,M36="F",SUMIF(C2:C698,C36,AS2:AS698)&gt;1),1,"")))</f>
        <v/>
      </c>
      <c r="AW36" s="462">
        <f>SUMIF(C2:C698,C36,O2:O698)</f>
        <v>0</v>
      </c>
      <c r="AX36" s="462">
        <f>IF(AND(M36="F",AS36&lt;&gt;0),SUMIF(C2:C698,C36,W2:W698),0)</f>
        <v>0</v>
      </c>
      <c r="AY36" s="462" t="str">
        <f t="shared" si="2"/>
        <v/>
      </c>
      <c r="AZ36" s="462" t="str">
        <f t="shared" si="3"/>
        <v/>
      </c>
      <c r="BA36" s="462">
        <f t="shared" si="4"/>
        <v>0</v>
      </c>
      <c r="BB36" s="462">
        <f>IF(AND(AT36=1,AK36="E",AU36&gt;=0.75,AW36=1),Health,IF(AND(AT36=1,AK36="E",AU36&gt;=0.75),Health*P36,IF(AND(AT36=1,AK36="E",AU36&gt;=0.5,AW36=1),PTHealth,IF(AND(AT36=1,AK36="E",AU36&gt;=0.5),PTHealth*P36,0))))</f>
        <v>0</v>
      </c>
      <c r="BC36" s="462">
        <f>IF(AND(AT36=3,AK36="E",AV36&gt;=0.75,AW36=1),Health,IF(AND(AT36=3,AK36="E",AV36&gt;=0.75),Health*P36,IF(AND(AT36=3,AK36="E",AV36&gt;=0.5,AW36=1),PTHealth,IF(AND(AT36=3,AK36="E",AV36&gt;=0.5),PTHealth*P36,0))))</f>
        <v>0</v>
      </c>
      <c r="BD36" s="462">
        <f>IF(AND(AT36&lt;&gt;0,AX36&gt;=MAXSSDI),SSDI*MAXSSDI*P36,IF(AT36&lt;&gt;0,SSDI*W36,0))</f>
        <v>0</v>
      </c>
      <c r="BE36" s="462">
        <f>IF(AT36&lt;&gt;0,SSHI*W36,0)</f>
        <v>0</v>
      </c>
      <c r="BF36" s="462">
        <f>IF(AND(AT36&lt;&gt;0,AN36&lt;&gt;"NE"),VLOOKUP(AN36,Retirement_Rates,3,FALSE)*W36,0)</f>
        <v>0</v>
      </c>
      <c r="BG36" s="462">
        <f>IF(AND(AT36&lt;&gt;0,AJ36&lt;&gt;"PF"),Life*W36,0)</f>
        <v>0</v>
      </c>
      <c r="BH36" s="462">
        <f>IF(AND(AT36&lt;&gt;0,AM36="Y"),UI*W36,0)</f>
        <v>0</v>
      </c>
      <c r="BI36" s="462">
        <f>IF(AND(AT36&lt;&gt;0,N36&lt;&gt;"NR"),DHR*W36,0)</f>
        <v>0</v>
      </c>
      <c r="BJ36" s="462">
        <f>IF(AT36&lt;&gt;0,WC*W36,0)</f>
        <v>0</v>
      </c>
      <c r="BK36" s="462">
        <f>IF(OR(AND(AT36&lt;&gt;0,AJ36&lt;&gt;"PF",AN36&lt;&gt;"NE",AG36&lt;&gt;"A"),AND(AL36="E",OR(AT36=1,AT36=3))),Sick*W36,0)</f>
        <v>0</v>
      </c>
      <c r="BL36" s="462">
        <f t="shared" si="5"/>
        <v>0</v>
      </c>
      <c r="BM36" s="462">
        <f t="shared" si="6"/>
        <v>0</v>
      </c>
      <c r="BN36" s="462">
        <f>IF(AND(AT36=1,AK36="E",AU36&gt;=0.75,AW36=1),HealthBY,IF(AND(AT36=1,AK36="E",AU36&gt;=0.75),HealthBY*P36,IF(AND(AT36=1,AK36="E",AU36&gt;=0.5,AW36=1),PTHealthBY,IF(AND(AT36=1,AK36="E",AU36&gt;=0.5),PTHealthBY*P36,0))))</f>
        <v>0</v>
      </c>
      <c r="BO36" s="462">
        <f>IF(AND(AT36=3,AK36="E",AV36&gt;=0.75,AW36=1),HealthBY,IF(AND(AT36=3,AK36="E",AV36&gt;=0.75),HealthBY*P36,IF(AND(AT36=3,AK36="E",AV36&gt;=0.5,AW36=1),PTHealthBY,IF(AND(AT36=3,AK36="E",AV36&gt;=0.5),PTHealthBY*P36,0))))</f>
        <v>0</v>
      </c>
      <c r="BP36" s="462">
        <f>IF(AND(AT36&lt;&gt;0,(AX36+BA36)&gt;=MAXSSDIBY),SSDIBY*MAXSSDIBY*P36,IF(AT36&lt;&gt;0,SSDIBY*W36,0))</f>
        <v>0</v>
      </c>
      <c r="BQ36" s="462">
        <f>IF(AT36&lt;&gt;0,SSHIBY*W36,0)</f>
        <v>0</v>
      </c>
      <c r="BR36" s="462">
        <f>IF(AND(AT36&lt;&gt;0,AN36&lt;&gt;"NE"),VLOOKUP(AN36,Retirement_Rates,4,FALSE)*W36,0)</f>
        <v>0</v>
      </c>
      <c r="BS36" s="462">
        <f>IF(AND(AT36&lt;&gt;0,AJ36&lt;&gt;"PF"),LifeBY*W36,0)</f>
        <v>0</v>
      </c>
      <c r="BT36" s="462">
        <f>IF(AND(AT36&lt;&gt;0,AM36="Y"),UIBY*W36,0)</f>
        <v>0</v>
      </c>
      <c r="BU36" s="462">
        <f>IF(AND(AT36&lt;&gt;0,N36&lt;&gt;"NR"),DHRBY*W36,0)</f>
        <v>0</v>
      </c>
      <c r="BV36" s="462">
        <f>IF(AT36&lt;&gt;0,WCBY*W36,0)</f>
        <v>0</v>
      </c>
      <c r="BW36" s="462">
        <f>IF(OR(AND(AT36&lt;&gt;0,AJ36&lt;&gt;"PF",AN36&lt;&gt;"NE",AG36&lt;&gt;"A"),AND(AL36="E",OR(AT36=1,AT36=3))),SickBY*W36,0)</f>
        <v>0</v>
      </c>
      <c r="BX36" s="462">
        <f t="shared" si="7"/>
        <v>0</v>
      </c>
      <c r="BY36" s="462">
        <f t="shared" si="8"/>
        <v>0</v>
      </c>
      <c r="BZ36" s="462">
        <f t="shared" si="9"/>
        <v>0</v>
      </c>
      <c r="CA36" s="462">
        <f t="shared" si="10"/>
        <v>0</v>
      </c>
      <c r="CB36" s="462">
        <f t="shared" si="11"/>
        <v>0</v>
      </c>
      <c r="CC36" s="462">
        <f>IF(AT36&lt;&gt;0,SSHICHG*Y36,0)</f>
        <v>0</v>
      </c>
      <c r="CD36" s="462">
        <f>IF(AND(AT36&lt;&gt;0,AN36&lt;&gt;"NE"),VLOOKUP(AN36,Retirement_Rates,5,FALSE)*Y36,0)</f>
        <v>0</v>
      </c>
      <c r="CE36" s="462">
        <f>IF(AND(AT36&lt;&gt;0,AJ36&lt;&gt;"PF"),LifeCHG*Y36,0)</f>
        <v>0</v>
      </c>
      <c r="CF36" s="462">
        <f>IF(AND(AT36&lt;&gt;0,AM36="Y"),UICHG*Y36,0)</f>
        <v>0</v>
      </c>
      <c r="CG36" s="462">
        <f>IF(AND(AT36&lt;&gt;0,N36&lt;&gt;"NR"),DHRCHG*Y36,0)</f>
        <v>0</v>
      </c>
      <c r="CH36" s="462">
        <f>IF(AT36&lt;&gt;0,WCCHG*Y36,0)</f>
        <v>0</v>
      </c>
      <c r="CI36" s="462">
        <f>IF(OR(AND(AT36&lt;&gt;0,AJ36&lt;&gt;"PF",AN36&lt;&gt;"NE",AG36&lt;&gt;"A"),AND(AL36="E",OR(AT36=1,AT36=3))),SickCHG*Y36,0)</f>
        <v>0</v>
      </c>
      <c r="CJ36" s="462">
        <f t="shared" si="12"/>
        <v>0</v>
      </c>
      <c r="CK36" s="462" t="str">
        <f t="shared" si="13"/>
        <v/>
      </c>
      <c r="CL36" s="462" t="str">
        <f t="shared" si="14"/>
        <v/>
      </c>
      <c r="CM36" s="462" t="str">
        <f t="shared" si="15"/>
        <v/>
      </c>
      <c r="CN36" s="462" t="str">
        <f t="shared" si="16"/>
        <v>0125-01</v>
      </c>
    </row>
    <row r="37" spans="1:92" ht="15" thickBot="1" x14ac:dyDescent="0.35">
      <c r="A37" s="376" t="s">
        <v>161</v>
      </c>
      <c r="B37" s="376" t="s">
        <v>162</v>
      </c>
      <c r="C37" s="376" t="s">
        <v>337</v>
      </c>
      <c r="D37" s="376" t="s">
        <v>287</v>
      </c>
      <c r="E37" s="376" t="s">
        <v>288</v>
      </c>
      <c r="F37" s="382" t="s">
        <v>289</v>
      </c>
      <c r="G37" s="376" t="s">
        <v>167</v>
      </c>
      <c r="H37" s="378"/>
      <c r="I37" s="378"/>
      <c r="J37" s="376" t="s">
        <v>168</v>
      </c>
      <c r="K37" s="376" t="s">
        <v>290</v>
      </c>
      <c r="L37" s="376" t="s">
        <v>166</v>
      </c>
      <c r="M37" s="376" t="s">
        <v>201</v>
      </c>
      <c r="N37" s="376" t="s">
        <v>291</v>
      </c>
      <c r="O37" s="379">
        <v>0</v>
      </c>
      <c r="P37" s="460">
        <v>1</v>
      </c>
      <c r="Q37" s="460">
        <v>0</v>
      </c>
      <c r="R37" s="380">
        <v>0</v>
      </c>
      <c r="S37" s="460">
        <v>0</v>
      </c>
      <c r="T37" s="380">
        <v>0</v>
      </c>
      <c r="U37" s="380">
        <v>0</v>
      </c>
      <c r="V37" s="380">
        <v>0</v>
      </c>
      <c r="W37" s="380">
        <v>0</v>
      </c>
      <c r="X37" s="380">
        <v>0</v>
      </c>
      <c r="Y37" s="380">
        <v>0</v>
      </c>
      <c r="Z37" s="380">
        <v>0</v>
      </c>
      <c r="AA37" s="378"/>
      <c r="AB37" s="376" t="s">
        <v>45</v>
      </c>
      <c r="AC37" s="376" t="s">
        <v>45</v>
      </c>
      <c r="AD37" s="378"/>
      <c r="AE37" s="378"/>
      <c r="AF37" s="378"/>
      <c r="AG37" s="378"/>
      <c r="AH37" s="379">
        <v>0</v>
      </c>
      <c r="AI37" s="379">
        <v>0</v>
      </c>
      <c r="AJ37" s="378"/>
      <c r="AK37" s="378"/>
      <c r="AL37" s="376" t="s">
        <v>180</v>
      </c>
      <c r="AM37" s="378"/>
      <c r="AN37" s="378"/>
      <c r="AO37" s="379">
        <v>0</v>
      </c>
      <c r="AP37" s="460">
        <v>0</v>
      </c>
      <c r="AQ37" s="460">
        <v>0</v>
      </c>
      <c r="AR37" s="459"/>
      <c r="AS37" s="462">
        <f t="shared" si="0"/>
        <v>0</v>
      </c>
      <c r="AT37">
        <f t="shared" si="1"/>
        <v>0</v>
      </c>
      <c r="AU37" s="462" t="str">
        <f>IF(AT37=0,"",IF(AND(AT37=1,M37="F",SUMIF(C2:C698,C37,AS2:AS698)&lt;=1),SUMIF(C2:C698,C37,AS2:AS698),IF(AND(AT37=1,M37="F",SUMIF(C2:C698,C37,AS2:AS698)&gt;1),1,"")))</f>
        <v/>
      </c>
      <c r="AV37" s="462" t="str">
        <f>IF(AT37=0,"",IF(AND(AT37=3,M37="F",SUMIF(C2:C698,C37,AS2:AS698)&lt;=1),SUMIF(C2:C698,C37,AS2:AS698),IF(AND(AT37=3,M37="F",SUMIF(C2:C698,C37,AS2:AS698)&gt;1),1,"")))</f>
        <v/>
      </c>
      <c r="AW37" s="462">
        <f>SUMIF(C2:C698,C37,O2:O698)</f>
        <v>0</v>
      </c>
      <c r="AX37" s="462">
        <f>IF(AND(M37="F",AS37&lt;&gt;0),SUMIF(C2:C698,C37,W2:W698),0)</f>
        <v>0</v>
      </c>
      <c r="AY37" s="462" t="str">
        <f t="shared" si="2"/>
        <v/>
      </c>
      <c r="AZ37" s="462" t="str">
        <f t="shared" si="3"/>
        <v/>
      </c>
      <c r="BA37" s="462">
        <f t="shared" si="4"/>
        <v>0</v>
      </c>
      <c r="BB37" s="462">
        <f>IF(AND(AT37=1,AK37="E",AU37&gt;=0.75,AW37=1),Health,IF(AND(AT37=1,AK37="E",AU37&gt;=0.75),Health*P37,IF(AND(AT37=1,AK37="E",AU37&gt;=0.5,AW37=1),PTHealth,IF(AND(AT37=1,AK37="E",AU37&gt;=0.5),PTHealth*P37,0))))</f>
        <v>0</v>
      </c>
      <c r="BC37" s="462">
        <f>IF(AND(AT37=3,AK37="E",AV37&gt;=0.75,AW37=1),Health,IF(AND(AT37=3,AK37="E",AV37&gt;=0.75),Health*P37,IF(AND(AT37=3,AK37="E",AV37&gt;=0.5,AW37=1),PTHealth,IF(AND(AT37=3,AK37="E",AV37&gt;=0.5),PTHealth*P37,0))))</f>
        <v>0</v>
      </c>
      <c r="BD37" s="462">
        <f>IF(AND(AT37&lt;&gt;0,AX37&gt;=MAXSSDI),SSDI*MAXSSDI*P37,IF(AT37&lt;&gt;0,SSDI*W37,0))</f>
        <v>0</v>
      </c>
      <c r="BE37" s="462">
        <f>IF(AT37&lt;&gt;0,SSHI*W37,0)</f>
        <v>0</v>
      </c>
      <c r="BF37" s="462">
        <f>IF(AND(AT37&lt;&gt;0,AN37&lt;&gt;"NE"),VLOOKUP(AN37,Retirement_Rates,3,FALSE)*W37,0)</f>
        <v>0</v>
      </c>
      <c r="BG37" s="462">
        <f>IF(AND(AT37&lt;&gt;0,AJ37&lt;&gt;"PF"),Life*W37,0)</f>
        <v>0</v>
      </c>
      <c r="BH37" s="462">
        <f>IF(AND(AT37&lt;&gt;0,AM37="Y"),UI*W37,0)</f>
        <v>0</v>
      </c>
      <c r="BI37" s="462">
        <f>IF(AND(AT37&lt;&gt;0,N37&lt;&gt;"NR"),DHR*W37,0)</f>
        <v>0</v>
      </c>
      <c r="BJ37" s="462">
        <f>IF(AT37&lt;&gt;0,WC*W37,0)</f>
        <v>0</v>
      </c>
      <c r="BK37" s="462">
        <f>IF(OR(AND(AT37&lt;&gt;0,AJ37&lt;&gt;"PF",AN37&lt;&gt;"NE",AG37&lt;&gt;"A"),AND(AL37="E",OR(AT37=1,AT37=3))),Sick*W37,0)</f>
        <v>0</v>
      </c>
      <c r="BL37" s="462">
        <f t="shared" si="5"/>
        <v>0</v>
      </c>
      <c r="BM37" s="462">
        <f t="shared" si="6"/>
        <v>0</v>
      </c>
      <c r="BN37" s="462">
        <f>IF(AND(AT37=1,AK37="E",AU37&gt;=0.75,AW37=1),HealthBY,IF(AND(AT37=1,AK37="E",AU37&gt;=0.75),HealthBY*P37,IF(AND(AT37=1,AK37="E",AU37&gt;=0.5,AW37=1),PTHealthBY,IF(AND(AT37=1,AK37="E",AU37&gt;=0.5),PTHealthBY*P37,0))))</f>
        <v>0</v>
      </c>
      <c r="BO37" s="462">
        <f>IF(AND(AT37=3,AK37="E",AV37&gt;=0.75,AW37=1),HealthBY,IF(AND(AT37=3,AK37="E",AV37&gt;=0.75),HealthBY*P37,IF(AND(AT37=3,AK37="E",AV37&gt;=0.5,AW37=1),PTHealthBY,IF(AND(AT37=3,AK37="E",AV37&gt;=0.5),PTHealthBY*P37,0))))</f>
        <v>0</v>
      </c>
      <c r="BP37" s="462">
        <f>IF(AND(AT37&lt;&gt;0,(AX37+BA37)&gt;=MAXSSDIBY),SSDIBY*MAXSSDIBY*P37,IF(AT37&lt;&gt;0,SSDIBY*W37,0))</f>
        <v>0</v>
      </c>
      <c r="BQ37" s="462">
        <f>IF(AT37&lt;&gt;0,SSHIBY*W37,0)</f>
        <v>0</v>
      </c>
      <c r="BR37" s="462">
        <f>IF(AND(AT37&lt;&gt;0,AN37&lt;&gt;"NE"),VLOOKUP(AN37,Retirement_Rates,4,FALSE)*W37,0)</f>
        <v>0</v>
      </c>
      <c r="BS37" s="462">
        <f>IF(AND(AT37&lt;&gt;0,AJ37&lt;&gt;"PF"),LifeBY*W37,0)</f>
        <v>0</v>
      </c>
      <c r="BT37" s="462">
        <f>IF(AND(AT37&lt;&gt;0,AM37="Y"),UIBY*W37,0)</f>
        <v>0</v>
      </c>
      <c r="BU37" s="462">
        <f>IF(AND(AT37&lt;&gt;0,N37&lt;&gt;"NR"),DHRBY*W37,0)</f>
        <v>0</v>
      </c>
      <c r="BV37" s="462">
        <f>IF(AT37&lt;&gt;0,WCBY*W37,0)</f>
        <v>0</v>
      </c>
      <c r="BW37" s="462">
        <f>IF(OR(AND(AT37&lt;&gt;0,AJ37&lt;&gt;"PF",AN37&lt;&gt;"NE",AG37&lt;&gt;"A"),AND(AL37="E",OR(AT37=1,AT37=3))),SickBY*W37,0)</f>
        <v>0</v>
      </c>
      <c r="BX37" s="462">
        <f t="shared" si="7"/>
        <v>0</v>
      </c>
      <c r="BY37" s="462">
        <f t="shared" si="8"/>
        <v>0</v>
      </c>
      <c r="BZ37" s="462">
        <f t="shared" si="9"/>
        <v>0</v>
      </c>
      <c r="CA37" s="462">
        <f t="shared" si="10"/>
        <v>0</v>
      </c>
      <c r="CB37" s="462">
        <f t="shared" si="11"/>
        <v>0</v>
      </c>
      <c r="CC37" s="462">
        <f>IF(AT37&lt;&gt;0,SSHICHG*Y37,0)</f>
        <v>0</v>
      </c>
      <c r="CD37" s="462">
        <f>IF(AND(AT37&lt;&gt;0,AN37&lt;&gt;"NE"),VLOOKUP(AN37,Retirement_Rates,5,FALSE)*Y37,0)</f>
        <v>0</v>
      </c>
      <c r="CE37" s="462">
        <f>IF(AND(AT37&lt;&gt;0,AJ37&lt;&gt;"PF"),LifeCHG*Y37,0)</f>
        <v>0</v>
      </c>
      <c r="CF37" s="462">
        <f>IF(AND(AT37&lt;&gt;0,AM37="Y"),UICHG*Y37,0)</f>
        <v>0</v>
      </c>
      <c r="CG37" s="462">
        <f>IF(AND(AT37&lt;&gt;0,N37&lt;&gt;"NR"),DHRCHG*Y37,0)</f>
        <v>0</v>
      </c>
      <c r="CH37" s="462">
        <f>IF(AT37&lt;&gt;0,WCCHG*Y37,0)</f>
        <v>0</v>
      </c>
      <c r="CI37" s="462">
        <f>IF(OR(AND(AT37&lt;&gt;0,AJ37&lt;&gt;"PF",AN37&lt;&gt;"NE",AG37&lt;&gt;"A"),AND(AL37="E",OR(AT37=1,AT37=3))),SickCHG*Y37,0)</f>
        <v>0</v>
      </c>
      <c r="CJ37" s="462">
        <f t="shared" si="12"/>
        <v>0</v>
      </c>
      <c r="CK37" s="462" t="str">
        <f t="shared" si="13"/>
        <v/>
      </c>
      <c r="CL37" s="462">
        <f t="shared" si="14"/>
        <v>0</v>
      </c>
      <c r="CM37" s="462">
        <f t="shared" si="15"/>
        <v>0</v>
      </c>
      <c r="CN37" s="462" t="str">
        <f t="shared" si="16"/>
        <v>0125-01</v>
      </c>
    </row>
    <row r="38" spans="1:92" ht="15" thickBot="1" x14ac:dyDescent="0.35">
      <c r="A38" s="376" t="s">
        <v>161</v>
      </c>
      <c r="B38" s="376" t="s">
        <v>162</v>
      </c>
      <c r="C38" s="376" t="s">
        <v>338</v>
      </c>
      <c r="D38" s="376" t="s">
        <v>339</v>
      </c>
      <c r="E38" s="376" t="s">
        <v>288</v>
      </c>
      <c r="F38" s="382" t="s">
        <v>289</v>
      </c>
      <c r="G38" s="376" t="s">
        <v>167</v>
      </c>
      <c r="H38" s="378"/>
      <c r="I38" s="378"/>
      <c r="J38" s="376" t="s">
        <v>168</v>
      </c>
      <c r="K38" s="376" t="s">
        <v>340</v>
      </c>
      <c r="L38" s="376" t="s">
        <v>247</v>
      </c>
      <c r="M38" s="376" t="s">
        <v>201</v>
      </c>
      <c r="N38" s="376" t="s">
        <v>202</v>
      </c>
      <c r="O38" s="379">
        <v>0</v>
      </c>
      <c r="P38" s="460">
        <v>1</v>
      </c>
      <c r="Q38" s="460">
        <v>1</v>
      </c>
      <c r="R38" s="380">
        <v>80</v>
      </c>
      <c r="S38" s="460">
        <v>1</v>
      </c>
      <c r="T38" s="380">
        <v>1117.1199999999999</v>
      </c>
      <c r="U38" s="380">
        <v>0</v>
      </c>
      <c r="V38" s="380">
        <v>-325.16000000000003</v>
      </c>
      <c r="W38" s="380">
        <v>60465.599999999999</v>
      </c>
      <c r="X38" s="380">
        <v>26483.93</v>
      </c>
      <c r="Y38" s="380">
        <v>60465.599999999999</v>
      </c>
      <c r="Z38" s="380">
        <v>26181.599999999999</v>
      </c>
      <c r="AA38" s="378"/>
      <c r="AB38" s="376" t="s">
        <v>45</v>
      </c>
      <c r="AC38" s="376" t="s">
        <v>45</v>
      </c>
      <c r="AD38" s="378"/>
      <c r="AE38" s="378"/>
      <c r="AF38" s="378"/>
      <c r="AG38" s="378"/>
      <c r="AH38" s="379">
        <v>0</v>
      </c>
      <c r="AI38" s="379">
        <v>0</v>
      </c>
      <c r="AJ38" s="378"/>
      <c r="AK38" s="378"/>
      <c r="AL38" s="376" t="s">
        <v>180</v>
      </c>
      <c r="AM38" s="378"/>
      <c r="AN38" s="378"/>
      <c r="AO38" s="379">
        <v>0</v>
      </c>
      <c r="AP38" s="460">
        <v>0</v>
      </c>
      <c r="AQ38" s="460">
        <v>0</v>
      </c>
      <c r="AR38" s="459"/>
      <c r="AS38" s="462">
        <f t="shared" si="0"/>
        <v>0</v>
      </c>
      <c r="AT38">
        <f t="shared" si="1"/>
        <v>0</v>
      </c>
      <c r="AU38" s="462" t="str">
        <f>IF(AT38=0,"",IF(AND(AT38=1,M38="F",SUMIF(C2:C698,C38,AS2:AS698)&lt;=1),SUMIF(C2:C698,C38,AS2:AS698),IF(AND(AT38=1,M38="F",SUMIF(C2:C698,C38,AS2:AS698)&gt;1),1,"")))</f>
        <v/>
      </c>
      <c r="AV38" s="462" t="str">
        <f>IF(AT38=0,"",IF(AND(AT38=3,M38="F",SUMIF(C2:C698,C38,AS2:AS698)&lt;=1),SUMIF(C2:C698,C38,AS2:AS698),IF(AND(AT38=3,M38="F",SUMIF(C2:C698,C38,AS2:AS698)&gt;1),1,"")))</f>
        <v/>
      </c>
      <c r="AW38" s="462">
        <f>SUMIF(C2:C698,C38,O2:O698)</f>
        <v>0</v>
      </c>
      <c r="AX38" s="462">
        <f>IF(AND(M38="F",AS38&lt;&gt;0),SUMIF(C2:C698,C38,W2:W698),0)</f>
        <v>0</v>
      </c>
      <c r="AY38" s="462" t="str">
        <f t="shared" si="2"/>
        <v/>
      </c>
      <c r="AZ38" s="462" t="str">
        <f t="shared" si="3"/>
        <v/>
      </c>
      <c r="BA38" s="462">
        <f t="shared" si="4"/>
        <v>0</v>
      </c>
      <c r="BB38" s="462">
        <f>IF(AND(AT38=1,AK38="E",AU38&gt;=0.75,AW38=1),Health,IF(AND(AT38=1,AK38="E",AU38&gt;=0.75),Health*P38,IF(AND(AT38=1,AK38="E",AU38&gt;=0.5,AW38=1),PTHealth,IF(AND(AT38=1,AK38="E",AU38&gt;=0.5),PTHealth*P38,0))))</f>
        <v>0</v>
      </c>
      <c r="BC38" s="462">
        <f>IF(AND(AT38=3,AK38="E",AV38&gt;=0.75,AW38=1),Health,IF(AND(AT38=3,AK38="E",AV38&gt;=0.75),Health*P38,IF(AND(AT38=3,AK38="E",AV38&gt;=0.5,AW38=1),PTHealth,IF(AND(AT38=3,AK38="E",AV38&gt;=0.5),PTHealth*P38,0))))</f>
        <v>0</v>
      </c>
      <c r="BD38" s="462">
        <f>IF(AND(AT38&lt;&gt;0,AX38&gt;=MAXSSDI),SSDI*MAXSSDI*P38,IF(AT38&lt;&gt;0,SSDI*W38,0))</f>
        <v>0</v>
      </c>
      <c r="BE38" s="462">
        <f>IF(AT38&lt;&gt;0,SSHI*W38,0)</f>
        <v>0</v>
      </c>
      <c r="BF38" s="462">
        <f>IF(AND(AT38&lt;&gt;0,AN38&lt;&gt;"NE"),VLOOKUP(AN38,Retirement_Rates,3,FALSE)*W38,0)</f>
        <v>0</v>
      </c>
      <c r="BG38" s="462">
        <f>IF(AND(AT38&lt;&gt;0,AJ38&lt;&gt;"PF"),Life*W38,0)</f>
        <v>0</v>
      </c>
      <c r="BH38" s="462">
        <f>IF(AND(AT38&lt;&gt;0,AM38="Y"),UI*W38,0)</f>
        <v>0</v>
      </c>
      <c r="BI38" s="462">
        <f>IF(AND(AT38&lt;&gt;0,N38&lt;&gt;"NR"),DHR*W38,0)</f>
        <v>0</v>
      </c>
      <c r="BJ38" s="462">
        <f>IF(AT38&lt;&gt;0,WC*W38,0)</f>
        <v>0</v>
      </c>
      <c r="BK38" s="462">
        <f>IF(OR(AND(AT38&lt;&gt;0,AJ38&lt;&gt;"PF",AN38&lt;&gt;"NE",AG38&lt;&gt;"A"),AND(AL38="E",OR(AT38=1,AT38=3))),Sick*W38,0)</f>
        <v>0</v>
      </c>
      <c r="BL38" s="462">
        <f t="shared" si="5"/>
        <v>0</v>
      </c>
      <c r="BM38" s="462">
        <f t="shared" si="6"/>
        <v>0</v>
      </c>
      <c r="BN38" s="462">
        <f>IF(AND(AT38=1,AK38="E",AU38&gt;=0.75,AW38=1),HealthBY,IF(AND(AT38=1,AK38="E",AU38&gt;=0.75),HealthBY*P38,IF(AND(AT38=1,AK38="E",AU38&gt;=0.5,AW38=1),PTHealthBY,IF(AND(AT38=1,AK38="E",AU38&gt;=0.5),PTHealthBY*P38,0))))</f>
        <v>0</v>
      </c>
      <c r="BO38" s="462">
        <f>IF(AND(AT38=3,AK38="E",AV38&gt;=0.75,AW38=1),HealthBY,IF(AND(AT38=3,AK38="E",AV38&gt;=0.75),HealthBY*P38,IF(AND(AT38=3,AK38="E",AV38&gt;=0.5,AW38=1),PTHealthBY,IF(AND(AT38=3,AK38="E",AV38&gt;=0.5),PTHealthBY*P38,0))))</f>
        <v>0</v>
      </c>
      <c r="BP38" s="462">
        <f>IF(AND(AT38&lt;&gt;0,(AX38+BA38)&gt;=MAXSSDIBY),SSDIBY*MAXSSDIBY*P38,IF(AT38&lt;&gt;0,SSDIBY*W38,0))</f>
        <v>0</v>
      </c>
      <c r="BQ38" s="462">
        <f>IF(AT38&lt;&gt;0,SSHIBY*W38,0)</f>
        <v>0</v>
      </c>
      <c r="BR38" s="462">
        <f>IF(AND(AT38&lt;&gt;0,AN38&lt;&gt;"NE"),VLOOKUP(AN38,Retirement_Rates,4,FALSE)*W38,0)</f>
        <v>0</v>
      </c>
      <c r="BS38" s="462">
        <f>IF(AND(AT38&lt;&gt;0,AJ38&lt;&gt;"PF"),LifeBY*W38,0)</f>
        <v>0</v>
      </c>
      <c r="BT38" s="462">
        <f>IF(AND(AT38&lt;&gt;0,AM38="Y"),UIBY*W38,0)</f>
        <v>0</v>
      </c>
      <c r="BU38" s="462">
        <f>IF(AND(AT38&lt;&gt;0,N38&lt;&gt;"NR"),DHRBY*W38,0)</f>
        <v>0</v>
      </c>
      <c r="BV38" s="462">
        <f>IF(AT38&lt;&gt;0,WCBY*W38,0)</f>
        <v>0</v>
      </c>
      <c r="BW38" s="462">
        <f>IF(OR(AND(AT38&lt;&gt;0,AJ38&lt;&gt;"PF",AN38&lt;&gt;"NE",AG38&lt;&gt;"A"),AND(AL38="E",OR(AT38=1,AT38=3))),SickBY*W38,0)</f>
        <v>0</v>
      </c>
      <c r="BX38" s="462">
        <f t="shared" si="7"/>
        <v>0</v>
      </c>
      <c r="BY38" s="462">
        <f t="shared" si="8"/>
        <v>0</v>
      </c>
      <c r="BZ38" s="462">
        <f t="shared" si="9"/>
        <v>0</v>
      </c>
      <c r="CA38" s="462">
        <f t="shared" si="10"/>
        <v>0</v>
      </c>
      <c r="CB38" s="462">
        <f t="shared" si="11"/>
        <v>0</v>
      </c>
      <c r="CC38" s="462">
        <f>IF(AT38&lt;&gt;0,SSHICHG*Y38,0)</f>
        <v>0</v>
      </c>
      <c r="CD38" s="462">
        <f>IF(AND(AT38&lt;&gt;0,AN38&lt;&gt;"NE"),VLOOKUP(AN38,Retirement_Rates,5,FALSE)*Y38,0)</f>
        <v>0</v>
      </c>
      <c r="CE38" s="462">
        <f>IF(AND(AT38&lt;&gt;0,AJ38&lt;&gt;"PF"),LifeCHG*Y38,0)</f>
        <v>0</v>
      </c>
      <c r="CF38" s="462">
        <f>IF(AND(AT38&lt;&gt;0,AM38="Y"),UICHG*Y38,0)</f>
        <v>0</v>
      </c>
      <c r="CG38" s="462">
        <f>IF(AND(AT38&lt;&gt;0,N38&lt;&gt;"NR"),DHRCHG*Y38,0)</f>
        <v>0</v>
      </c>
      <c r="CH38" s="462">
        <f>IF(AT38&lt;&gt;0,WCCHG*Y38,0)</f>
        <v>0</v>
      </c>
      <c r="CI38" s="462">
        <f>IF(OR(AND(AT38&lt;&gt;0,AJ38&lt;&gt;"PF",AN38&lt;&gt;"NE",AG38&lt;&gt;"A"),AND(AL38="E",OR(AT38=1,AT38=3))),SickCHG*Y38,0)</f>
        <v>0</v>
      </c>
      <c r="CJ38" s="462">
        <f t="shared" si="12"/>
        <v>0</v>
      </c>
      <c r="CK38" s="462" t="str">
        <f t="shared" si="13"/>
        <v/>
      </c>
      <c r="CL38" s="462" t="str">
        <f t="shared" si="14"/>
        <v/>
      </c>
      <c r="CM38" s="462" t="str">
        <f t="shared" si="15"/>
        <v/>
      </c>
      <c r="CN38" s="462" t="str">
        <f t="shared" si="16"/>
        <v>0125-01</v>
      </c>
    </row>
    <row r="39" spans="1:92" ht="15" thickBot="1" x14ac:dyDescent="0.35">
      <c r="A39" s="376" t="s">
        <v>161</v>
      </c>
      <c r="B39" s="376" t="s">
        <v>162</v>
      </c>
      <c r="C39" s="376" t="s">
        <v>341</v>
      </c>
      <c r="D39" s="376" t="s">
        <v>287</v>
      </c>
      <c r="E39" s="376" t="s">
        <v>288</v>
      </c>
      <c r="F39" s="382" t="s">
        <v>289</v>
      </c>
      <c r="G39" s="376" t="s">
        <v>167</v>
      </c>
      <c r="H39" s="378"/>
      <c r="I39" s="378"/>
      <c r="J39" s="376" t="s">
        <v>168</v>
      </c>
      <c r="K39" s="376" t="s">
        <v>290</v>
      </c>
      <c r="L39" s="376" t="s">
        <v>166</v>
      </c>
      <c r="M39" s="376" t="s">
        <v>201</v>
      </c>
      <c r="N39" s="376" t="s">
        <v>291</v>
      </c>
      <c r="O39" s="379">
        <v>0</v>
      </c>
      <c r="P39" s="460">
        <v>1</v>
      </c>
      <c r="Q39" s="460">
        <v>0</v>
      </c>
      <c r="R39" s="380">
        <v>0</v>
      </c>
      <c r="S39" s="460">
        <v>0</v>
      </c>
      <c r="T39" s="380">
        <v>6690</v>
      </c>
      <c r="U39" s="380">
        <v>0</v>
      </c>
      <c r="V39" s="380">
        <v>810.33</v>
      </c>
      <c r="W39" s="380">
        <v>6690</v>
      </c>
      <c r="X39" s="380">
        <v>810.33</v>
      </c>
      <c r="Y39" s="380">
        <v>6690</v>
      </c>
      <c r="Z39" s="380">
        <v>810.33</v>
      </c>
      <c r="AA39" s="378"/>
      <c r="AB39" s="376" t="s">
        <v>45</v>
      </c>
      <c r="AC39" s="376" t="s">
        <v>45</v>
      </c>
      <c r="AD39" s="378"/>
      <c r="AE39" s="378"/>
      <c r="AF39" s="378"/>
      <c r="AG39" s="378"/>
      <c r="AH39" s="379">
        <v>0</v>
      </c>
      <c r="AI39" s="379">
        <v>0</v>
      </c>
      <c r="AJ39" s="378"/>
      <c r="AK39" s="378"/>
      <c r="AL39" s="376" t="s">
        <v>180</v>
      </c>
      <c r="AM39" s="378"/>
      <c r="AN39" s="378"/>
      <c r="AO39" s="379">
        <v>0</v>
      </c>
      <c r="AP39" s="460">
        <v>0</v>
      </c>
      <c r="AQ39" s="460">
        <v>0</v>
      </c>
      <c r="AR39" s="459"/>
      <c r="AS39" s="462">
        <f t="shared" si="0"/>
        <v>0</v>
      </c>
      <c r="AT39">
        <f t="shared" si="1"/>
        <v>0</v>
      </c>
      <c r="AU39" s="462" t="str">
        <f>IF(AT39=0,"",IF(AND(AT39=1,M39="F",SUMIF(C2:C698,C39,AS2:AS698)&lt;=1),SUMIF(C2:C698,C39,AS2:AS698),IF(AND(AT39=1,M39="F",SUMIF(C2:C698,C39,AS2:AS698)&gt;1),1,"")))</f>
        <v/>
      </c>
      <c r="AV39" s="462" t="str">
        <f>IF(AT39=0,"",IF(AND(AT39=3,M39="F",SUMIF(C2:C698,C39,AS2:AS698)&lt;=1),SUMIF(C2:C698,C39,AS2:AS698),IF(AND(AT39=3,M39="F",SUMIF(C2:C698,C39,AS2:AS698)&gt;1),1,"")))</f>
        <v/>
      </c>
      <c r="AW39" s="462">
        <f>SUMIF(C2:C698,C39,O2:O698)</f>
        <v>0</v>
      </c>
      <c r="AX39" s="462">
        <f>IF(AND(M39="F",AS39&lt;&gt;0),SUMIF(C2:C698,C39,W2:W698),0)</f>
        <v>0</v>
      </c>
      <c r="AY39" s="462" t="str">
        <f t="shared" si="2"/>
        <v/>
      </c>
      <c r="AZ39" s="462" t="str">
        <f t="shared" si="3"/>
        <v/>
      </c>
      <c r="BA39" s="462">
        <f t="shared" si="4"/>
        <v>0</v>
      </c>
      <c r="BB39" s="462">
        <f>IF(AND(AT39=1,AK39="E",AU39&gt;=0.75,AW39=1),Health,IF(AND(AT39=1,AK39="E",AU39&gt;=0.75),Health*P39,IF(AND(AT39=1,AK39="E",AU39&gt;=0.5,AW39=1),PTHealth,IF(AND(AT39=1,AK39="E",AU39&gt;=0.5),PTHealth*P39,0))))</f>
        <v>0</v>
      </c>
      <c r="BC39" s="462">
        <f>IF(AND(AT39=3,AK39="E",AV39&gt;=0.75,AW39=1),Health,IF(AND(AT39=3,AK39="E",AV39&gt;=0.75),Health*P39,IF(AND(AT39=3,AK39="E",AV39&gt;=0.5,AW39=1),PTHealth,IF(AND(AT39=3,AK39="E",AV39&gt;=0.5),PTHealth*P39,0))))</f>
        <v>0</v>
      </c>
      <c r="BD39" s="462">
        <f>IF(AND(AT39&lt;&gt;0,AX39&gt;=MAXSSDI),SSDI*MAXSSDI*P39,IF(AT39&lt;&gt;0,SSDI*W39,0))</f>
        <v>0</v>
      </c>
      <c r="BE39" s="462">
        <f>IF(AT39&lt;&gt;0,SSHI*W39,0)</f>
        <v>0</v>
      </c>
      <c r="BF39" s="462">
        <f>IF(AND(AT39&lt;&gt;0,AN39&lt;&gt;"NE"),VLOOKUP(AN39,Retirement_Rates,3,FALSE)*W39,0)</f>
        <v>0</v>
      </c>
      <c r="BG39" s="462">
        <f>IF(AND(AT39&lt;&gt;0,AJ39&lt;&gt;"PF"),Life*W39,0)</f>
        <v>0</v>
      </c>
      <c r="BH39" s="462">
        <f>IF(AND(AT39&lt;&gt;0,AM39="Y"),UI*W39,0)</f>
        <v>0</v>
      </c>
      <c r="BI39" s="462">
        <f>IF(AND(AT39&lt;&gt;0,N39&lt;&gt;"NR"),DHR*W39,0)</f>
        <v>0</v>
      </c>
      <c r="BJ39" s="462">
        <f>IF(AT39&lt;&gt;0,WC*W39,0)</f>
        <v>0</v>
      </c>
      <c r="BK39" s="462">
        <f>IF(OR(AND(AT39&lt;&gt;0,AJ39&lt;&gt;"PF",AN39&lt;&gt;"NE",AG39&lt;&gt;"A"),AND(AL39="E",OR(AT39=1,AT39=3))),Sick*W39,0)</f>
        <v>0</v>
      </c>
      <c r="BL39" s="462">
        <f t="shared" si="5"/>
        <v>0</v>
      </c>
      <c r="BM39" s="462">
        <f t="shared" si="6"/>
        <v>0</v>
      </c>
      <c r="BN39" s="462">
        <f>IF(AND(AT39=1,AK39="E",AU39&gt;=0.75,AW39=1),HealthBY,IF(AND(AT39=1,AK39="E",AU39&gt;=0.75),HealthBY*P39,IF(AND(AT39=1,AK39="E",AU39&gt;=0.5,AW39=1),PTHealthBY,IF(AND(AT39=1,AK39="E",AU39&gt;=0.5),PTHealthBY*P39,0))))</f>
        <v>0</v>
      </c>
      <c r="BO39" s="462">
        <f>IF(AND(AT39=3,AK39="E",AV39&gt;=0.75,AW39=1),HealthBY,IF(AND(AT39=3,AK39="E",AV39&gt;=0.75),HealthBY*P39,IF(AND(AT39=3,AK39="E",AV39&gt;=0.5,AW39=1),PTHealthBY,IF(AND(AT39=3,AK39="E",AV39&gt;=0.5),PTHealthBY*P39,0))))</f>
        <v>0</v>
      </c>
      <c r="BP39" s="462">
        <f>IF(AND(AT39&lt;&gt;0,(AX39+BA39)&gt;=MAXSSDIBY),SSDIBY*MAXSSDIBY*P39,IF(AT39&lt;&gt;0,SSDIBY*W39,0))</f>
        <v>0</v>
      </c>
      <c r="BQ39" s="462">
        <f>IF(AT39&lt;&gt;0,SSHIBY*W39,0)</f>
        <v>0</v>
      </c>
      <c r="BR39" s="462">
        <f>IF(AND(AT39&lt;&gt;0,AN39&lt;&gt;"NE"),VLOOKUP(AN39,Retirement_Rates,4,FALSE)*W39,0)</f>
        <v>0</v>
      </c>
      <c r="BS39" s="462">
        <f>IF(AND(AT39&lt;&gt;0,AJ39&lt;&gt;"PF"),LifeBY*W39,0)</f>
        <v>0</v>
      </c>
      <c r="BT39" s="462">
        <f>IF(AND(AT39&lt;&gt;0,AM39="Y"),UIBY*W39,0)</f>
        <v>0</v>
      </c>
      <c r="BU39" s="462">
        <f>IF(AND(AT39&lt;&gt;0,N39&lt;&gt;"NR"),DHRBY*W39,0)</f>
        <v>0</v>
      </c>
      <c r="BV39" s="462">
        <f>IF(AT39&lt;&gt;0,WCBY*W39,0)</f>
        <v>0</v>
      </c>
      <c r="BW39" s="462">
        <f>IF(OR(AND(AT39&lt;&gt;0,AJ39&lt;&gt;"PF",AN39&lt;&gt;"NE",AG39&lt;&gt;"A"),AND(AL39="E",OR(AT39=1,AT39=3))),SickBY*W39,0)</f>
        <v>0</v>
      </c>
      <c r="BX39" s="462">
        <f t="shared" si="7"/>
        <v>0</v>
      </c>
      <c r="BY39" s="462">
        <f t="shared" si="8"/>
        <v>0</v>
      </c>
      <c r="BZ39" s="462">
        <f t="shared" si="9"/>
        <v>0</v>
      </c>
      <c r="CA39" s="462">
        <f t="shared" si="10"/>
        <v>0</v>
      </c>
      <c r="CB39" s="462">
        <f t="shared" si="11"/>
        <v>0</v>
      </c>
      <c r="CC39" s="462">
        <f>IF(AT39&lt;&gt;0,SSHICHG*Y39,0)</f>
        <v>0</v>
      </c>
      <c r="CD39" s="462">
        <f>IF(AND(AT39&lt;&gt;0,AN39&lt;&gt;"NE"),VLOOKUP(AN39,Retirement_Rates,5,FALSE)*Y39,0)</f>
        <v>0</v>
      </c>
      <c r="CE39" s="462">
        <f>IF(AND(AT39&lt;&gt;0,AJ39&lt;&gt;"PF"),LifeCHG*Y39,0)</f>
        <v>0</v>
      </c>
      <c r="CF39" s="462">
        <f>IF(AND(AT39&lt;&gt;0,AM39="Y"),UICHG*Y39,0)</f>
        <v>0</v>
      </c>
      <c r="CG39" s="462">
        <f>IF(AND(AT39&lt;&gt;0,N39&lt;&gt;"NR"),DHRCHG*Y39,0)</f>
        <v>0</v>
      </c>
      <c r="CH39" s="462">
        <f>IF(AT39&lt;&gt;0,WCCHG*Y39,0)</f>
        <v>0</v>
      </c>
      <c r="CI39" s="462">
        <f>IF(OR(AND(AT39&lt;&gt;0,AJ39&lt;&gt;"PF",AN39&lt;&gt;"NE",AG39&lt;&gt;"A"),AND(AL39="E",OR(AT39=1,AT39=3))),SickCHG*Y39,0)</f>
        <v>0</v>
      </c>
      <c r="CJ39" s="462">
        <f t="shared" si="12"/>
        <v>0</v>
      </c>
      <c r="CK39" s="462" t="str">
        <f t="shared" si="13"/>
        <v/>
      </c>
      <c r="CL39" s="462">
        <f t="shared" si="14"/>
        <v>6690</v>
      </c>
      <c r="CM39" s="462">
        <f t="shared" si="15"/>
        <v>810.33</v>
      </c>
      <c r="CN39" s="462" t="str">
        <f t="shared" si="16"/>
        <v>0125-01</v>
      </c>
    </row>
    <row r="40" spans="1:92" ht="15" thickBot="1" x14ac:dyDescent="0.35">
      <c r="A40" s="376" t="s">
        <v>161</v>
      </c>
      <c r="B40" s="376" t="s">
        <v>162</v>
      </c>
      <c r="C40" s="376" t="s">
        <v>342</v>
      </c>
      <c r="D40" s="376" t="s">
        <v>287</v>
      </c>
      <c r="E40" s="376" t="s">
        <v>288</v>
      </c>
      <c r="F40" s="382" t="s">
        <v>289</v>
      </c>
      <c r="G40" s="376" t="s">
        <v>167</v>
      </c>
      <c r="H40" s="378"/>
      <c r="I40" s="378"/>
      <c r="J40" s="376" t="s">
        <v>168</v>
      </c>
      <c r="K40" s="376" t="s">
        <v>290</v>
      </c>
      <c r="L40" s="376" t="s">
        <v>166</v>
      </c>
      <c r="M40" s="376" t="s">
        <v>170</v>
      </c>
      <c r="N40" s="376" t="s">
        <v>291</v>
      </c>
      <c r="O40" s="379">
        <v>0</v>
      </c>
      <c r="P40" s="460">
        <v>1</v>
      </c>
      <c r="Q40" s="460">
        <v>0</v>
      </c>
      <c r="R40" s="380">
        <v>0</v>
      </c>
      <c r="S40" s="460">
        <v>0</v>
      </c>
      <c r="T40" s="380">
        <v>520</v>
      </c>
      <c r="U40" s="380">
        <v>0</v>
      </c>
      <c r="V40" s="380">
        <v>44.91</v>
      </c>
      <c r="W40" s="380">
        <v>520</v>
      </c>
      <c r="X40" s="380">
        <v>44.91</v>
      </c>
      <c r="Y40" s="380">
        <v>520</v>
      </c>
      <c r="Z40" s="380">
        <v>44.91</v>
      </c>
      <c r="AA40" s="378"/>
      <c r="AB40" s="376" t="s">
        <v>45</v>
      </c>
      <c r="AC40" s="376" t="s">
        <v>45</v>
      </c>
      <c r="AD40" s="378"/>
      <c r="AE40" s="378"/>
      <c r="AF40" s="378"/>
      <c r="AG40" s="378"/>
      <c r="AH40" s="379">
        <v>0</v>
      </c>
      <c r="AI40" s="379">
        <v>0</v>
      </c>
      <c r="AJ40" s="378"/>
      <c r="AK40" s="378"/>
      <c r="AL40" s="376" t="s">
        <v>180</v>
      </c>
      <c r="AM40" s="378"/>
      <c r="AN40" s="378"/>
      <c r="AO40" s="379">
        <v>0</v>
      </c>
      <c r="AP40" s="460">
        <v>0</v>
      </c>
      <c r="AQ40" s="460">
        <v>0</v>
      </c>
      <c r="AR40" s="459"/>
      <c r="AS40" s="462">
        <f t="shared" si="0"/>
        <v>0</v>
      </c>
      <c r="AT40">
        <f t="shared" si="1"/>
        <v>0</v>
      </c>
      <c r="AU40" s="462" t="str">
        <f>IF(AT40=0,"",IF(AND(AT40=1,M40="F",SUMIF(C2:C698,C40,AS2:AS698)&lt;=1),SUMIF(C2:C698,C40,AS2:AS698),IF(AND(AT40=1,M40="F",SUMIF(C2:C698,C40,AS2:AS698)&gt;1),1,"")))</f>
        <v/>
      </c>
      <c r="AV40" s="462" t="str">
        <f>IF(AT40=0,"",IF(AND(AT40=3,M40="F",SUMIF(C2:C698,C40,AS2:AS698)&lt;=1),SUMIF(C2:C698,C40,AS2:AS698),IF(AND(AT40=3,M40="F",SUMIF(C2:C698,C40,AS2:AS698)&gt;1),1,"")))</f>
        <v/>
      </c>
      <c r="AW40" s="462">
        <f>SUMIF(C2:C698,C40,O2:O698)</f>
        <v>0</v>
      </c>
      <c r="AX40" s="462">
        <f>IF(AND(M40="F",AS40&lt;&gt;0),SUMIF(C2:C698,C40,W2:W698),0)</f>
        <v>0</v>
      </c>
      <c r="AY40" s="462" t="str">
        <f t="shared" si="2"/>
        <v/>
      </c>
      <c r="AZ40" s="462" t="str">
        <f t="shared" si="3"/>
        <v/>
      </c>
      <c r="BA40" s="462">
        <f t="shared" si="4"/>
        <v>0</v>
      </c>
      <c r="BB40" s="462">
        <f>IF(AND(AT40=1,AK40="E",AU40&gt;=0.75,AW40=1),Health,IF(AND(AT40=1,AK40="E",AU40&gt;=0.75),Health*P40,IF(AND(AT40=1,AK40="E",AU40&gt;=0.5,AW40=1),PTHealth,IF(AND(AT40=1,AK40="E",AU40&gt;=0.5),PTHealth*P40,0))))</f>
        <v>0</v>
      </c>
      <c r="BC40" s="462">
        <f>IF(AND(AT40=3,AK40="E",AV40&gt;=0.75,AW40=1),Health,IF(AND(AT40=3,AK40="E",AV40&gt;=0.75),Health*P40,IF(AND(AT40=3,AK40="E",AV40&gt;=0.5,AW40=1),PTHealth,IF(AND(AT40=3,AK40="E",AV40&gt;=0.5),PTHealth*P40,0))))</f>
        <v>0</v>
      </c>
      <c r="BD40" s="462">
        <f>IF(AND(AT40&lt;&gt;0,AX40&gt;=MAXSSDI),SSDI*MAXSSDI*P40,IF(AT40&lt;&gt;0,SSDI*W40,0))</f>
        <v>0</v>
      </c>
      <c r="BE40" s="462">
        <f>IF(AT40&lt;&gt;0,SSHI*W40,0)</f>
        <v>0</v>
      </c>
      <c r="BF40" s="462">
        <f>IF(AND(AT40&lt;&gt;0,AN40&lt;&gt;"NE"),VLOOKUP(AN40,Retirement_Rates,3,FALSE)*W40,0)</f>
        <v>0</v>
      </c>
      <c r="BG40" s="462">
        <f>IF(AND(AT40&lt;&gt;0,AJ40&lt;&gt;"PF"),Life*W40,0)</f>
        <v>0</v>
      </c>
      <c r="BH40" s="462">
        <f>IF(AND(AT40&lt;&gt;0,AM40="Y"),UI*W40,0)</f>
        <v>0</v>
      </c>
      <c r="BI40" s="462">
        <f>IF(AND(AT40&lt;&gt;0,N40&lt;&gt;"NR"),DHR*W40,0)</f>
        <v>0</v>
      </c>
      <c r="BJ40" s="462">
        <f>IF(AT40&lt;&gt;0,WC*W40,0)</f>
        <v>0</v>
      </c>
      <c r="BK40" s="462">
        <f>IF(OR(AND(AT40&lt;&gt;0,AJ40&lt;&gt;"PF",AN40&lt;&gt;"NE",AG40&lt;&gt;"A"),AND(AL40="E",OR(AT40=1,AT40=3))),Sick*W40,0)</f>
        <v>0</v>
      </c>
      <c r="BL40" s="462">
        <f t="shared" si="5"/>
        <v>0</v>
      </c>
      <c r="BM40" s="462">
        <f t="shared" si="6"/>
        <v>0</v>
      </c>
      <c r="BN40" s="462">
        <f>IF(AND(AT40=1,AK40="E",AU40&gt;=0.75,AW40=1),HealthBY,IF(AND(AT40=1,AK40="E",AU40&gt;=0.75),HealthBY*P40,IF(AND(AT40=1,AK40="E",AU40&gt;=0.5,AW40=1),PTHealthBY,IF(AND(AT40=1,AK40="E",AU40&gt;=0.5),PTHealthBY*P40,0))))</f>
        <v>0</v>
      </c>
      <c r="BO40" s="462">
        <f>IF(AND(AT40=3,AK40="E",AV40&gt;=0.75,AW40=1),HealthBY,IF(AND(AT40=3,AK40="E",AV40&gt;=0.75),HealthBY*P40,IF(AND(AT40=3,AK40="E",AV40&gt;=0.5,AW40=1),PTHealthBY,IF(AND(AT40=3,AK40="E",AV40&gt;=0.5),PTHealthBY*P40,0))))</f>
        <v>0</v>
      </c>
      <c r="BP40" s="462">
        <f>IF(AND(AT40&lt;&gt;0,(AX40+BA40)&gt;=MAXSSDIBY),SSDIBY*MAXSSDIBY*P40,IF(AT40&lt;&gt;0,SSDIBY*W40,0))</f>
        <v>0</v>
      </c>
      <c r="BQ40" s="462">
        <f>IF(AT40&lt;&gt;0,SSHIBY*W40,0)</f>
        <v>0</v>
      </c>
      <c r="BR40" s="462">
        <f>IF(AND(AT40&lt;&gt;0,AN40&lt;&gt;"NE"),VLOOKUP(AN40,Retirement_Rates,4,FALSE)*W40,0)</f>
        <v>0</v>
      </c>
      <c r="BS40" s="462">
        <f>IF(AND(AT40&lt;&gt;0,AJ40&lt;&gt;"PF"),LifeBY*W40,0)</f>
        <v>0</v>
      </c>
      <c r="BT40" s="462">
        <f>IF(AND(AT40&lt;&gt;0,AM40="Y"),UIBY*W40,0)</f>
        <v>0</v>
      </c>
      <c r="BU40" s="462">
        <f>IF(AND(AT40&lt;&gt;0,N40&lt;&gt;"NR"),DHRBY*W40,0)</f>
        <v>0</v>
      </c>
      <c r="BV40" s="462">
        <f>IF(AT40&lt;&gt;0,WCBY*W40,0)</f>
        <v>0</v>
      </c>
      <c r="BW40" s="462">
        <f>IF(OR(AND(AT40&lt;&gt;0,AJ40&lt;&gt;"PF",AN40&lt;&gt;"NE",AG40&lt;&gt;"A"),AND(AL40="E",OR(AT40=1,AT40=3))),SickBY*W40,0)</f>
        <v>0</v>
      </c>
      <c r="BX40" s="462">
        <f t="shared" si="7"/>
        <v>0</v>
      </c>
      <c r="BY40" s="462">
        <f t="shared" si="8"/>
        <v>0</v>
      </c>
      <c r="BZ40" s="462">
        <f t="shared" si="9"/>
        <v>0</v>
      </c>
      <c r="CA40" s="462">
        <f t="shared" si="10"/>
        <v>0</v>
      </c>
      <c r="CB40" s="462">
        <f t="shared" si="11"/>
        <v>0</v>
      </c>
      <c r="CC40" s="462">
        <f>IF(AT40&lt;&gt;0,SSHICHG*Y40,0)</f>
        <v>0</v>
      </c>
      <c r="CD40" s="462">
        <f>IF(AND(AT40&lt;&gt;0,AN40&lt;&gt;"NE"),VLOOKUP(AN40,Retirement_Rates,5,FALSE)*Y40,0)</f>
        <v>0</v>
      </c>
      <c r="CE40" s="462">
        <f>IF(AND(AT40&lt;&gt;0,AJ40&lt;&gt;"PF"),LifeCHG*Y40,0)</f>
        <v>0</v>
      </c>
      <c r="CF40" s="462">
        <f>IF(AND(AT40&lt;&gt;0,AM40="Y"),UICHG*Y40,0)</f>
        <v>0</v>
      </c>
      <c r="CG40" s="462">
        <f>IF(AND(AT40&lt;&gt;0,N40&lt;&gt;"NR"),DHRCHG*Y40,0)</f>
        <v>0</v>
      </c>
      <c r="CH40" s="462">
        <f>IF(AT40&lt;&gt;0,WCCHG*Y40,0)</f>
        <v>0</v>
      </c>
      <c r="CI40" s="462">
        <f>IF(OR(AND(AT40&lt;&gt;0,AJ40&lt;&gt;"PF",AN40&lt;&gt;"NE",AG40&lt;&gt;"A"),AND(AL40="E",OR(AT40=1,AT40=3))),SickCHG*Y40,0)</f>
        <v>0</v>
      </c>
      <c r="CJ40" s="462">
        <f t="shared" si="12"/>
        <v>0</v>
      </c>
      <c r="CK40" s="462" t="str">
        <f t="shared" si="13"/>
        <v/>
      </c>
      <c r="CL40" s="462">
        <f t="shared" si="14"/>
        <v>520</v>
      </c>
      <c r="CM40" s="462">
        <f t="shared" si="15"/>
        <v>44.91</v>
      </c>
      <c r="CN40" s="462" t="str">
        <f t="shared" si="16"/>
        <v>0125-01</v>
      </c>
    </row>
    <row r="41" spans="1:92" ht="15" thickBot="1" x14ac:dyDescent="0.35">
      <c r="A41" s="376" t="s">
        <v>161</v>
      </c>
      <c r="B41" s="376" t="s">
        <v>162</v>
      </c>
      <c r="C41" s="376" t="s">
        <v>343</v>
      </c>
      <c r="D41" s="376" t="s">
        <v>287</v>
      </c>
      <c r="E41" s="376" t="s">
        <v>288</v>
      </c>
      <c r="F41" s="382" t="s">
        <v>344</v>
      </c>
      <c r="G41" s="376" t="s">
        <v>167</v>
      </c>
      <c r="H41" s="378"/>
      <c r="I41" s="378"/>
      <c r="J41" s="376" t="s">
        <v>168</v>
      </c>
      <c r="K41" s="376" t="s">
        <v>290</v>
      </c>
      <c r="L41" s="376" t="s">
        <v>166</v>
      </c>
      <c r="M41" s="376" t="s">
        <v>170</v>
      </c>
      <c r="N41" s="376" t="s">
        <v>291</v>
      </c>
      <c r="O41" s="379">
        <v>0</v>
      </c>
      <c r="P41" s="460">
        <v>1</v>
      </c>
      <c r="Q41" s="460">
        <v>0</v>
      </c>
      <c r="R41" s="380">
        <v>0</v>
      </c>
      <c r="S41" s="460">
        <v>0</v>
      </c>
      <c r="T41" s="380">
        <v>40107.97</v>
      </c>
      <c r="U41" s="380">
        <v>0</v>
      </c>
      <c r="V41" s="380">
        <v>8669.81</v>
      </c>
      <c r="W41" s="380">
        <v>40107.97</v>
      </c>
      <c r="X41" s="380">
        <v>8669.81</v>
      </c>
      <c r="Y41" s="380">
        <v>40107.97</v>
      </c>
      <c r="Z41" s="380">
        <v>8669.81</v>
      </c>
      <c r="AA41" s="378"/>
      <c r="AB41" s="376" t="s">
        <v>45</v>
      </c>
      <c r="AC41" s="376" t="s">
        <v>45</v>
      </c>
      <c r="AD41" s="378"/>
      <c r="AE41" s="378"/>
      <c r="AF41" s="378"/>
      <c r="AG41" s="378"/>
      <c r="AH41" s="379">
        <v>0</v>
      </c>
      <c r="AI41" s="379">
        <v>0</v>
      </c>
      <c r="AJ41" s="378"/>
      <c r="AK41" s="378"/>
      <c r="AL41" s="376" t="s">
        <v>180</v>
      </c>
      <c r="AM41" s="378"/>
      <c r="AN41" s="378"/>
      <c r="AO41" s="379">
        <v>0</v>
      </c>
      <c r="AP41" s="460">
        <v>0</v>
      </c>
      <c r="AQ41" s="460">
        <v>0</v>
      </c>
      <c r="AR41" s="459"/>
      <c r="AS41" s="462">
        <f t="shared" si="0"/>
        <v>0</v>
      </c>
      <c r="AT41">
        <f t="shared" si="1"/>
        <v>0</v>
      </c>
      <c r="AU41" s="462" t="str">
        <f>IF(AT41=0,"",IF(AND(AT41=1,M41="F",SUMIF(C2:C698,C41,AS2:AS698)&lt;=1),SUMIF(C2:C698,C41,AS2:AS698),IF(AND(AT41=1,M41="F",SUMIF(C2:C698,C41,AS2:AS698)&gt;1),1,"")))</f>
        <v/>
      </c>
      <c r="AV41" s="462" t="str">
        <f>IF(AT41=0,"",IF(AND(AT41=3,M41="F",SUMIF(C2:C698,C41,AS2:AS698)&lt;=1),SUMIF(C2:C698,C41,AS2:AS698),IF(AND(AT41=3,M41="F",SUMIF(C2:C698,C41,AS2:AS698)&gt;1),1,"")))</f>
        <v/>
      </c>
      <c r="AW41" s="462">
        <f>SUMIF(C2:C698,C41,O2:O698)</f>
        <v>0</v>
      </c>
      <c r="AX41" s="462">
        <f>IF(AND(M41="F",AS41&lt;&gt;0),SUMIF(C2:C698,C41,W2:W698),0)</f>
        <v>0</v>
      </c>
      <c r="AY41" s="462" t="str">
        <f t="shared" si="2"/>
        <v/>
      </c>
      <c r="AZ41" s="462" t="str">
        <f t="shared" si="3"/>
        <v/>
      </c>
      <c r="BA41" s="462">
        <f t="shared" si="4"/>
        <v>0</v>
      </c>
      <c r="BB41" s="462">
        <f>IF(AND(AT41=1,AK41="E",AU41&gt;=0.75,AW41=1),Health,IF(AND(AT41=1,AK41="E",AU41&gt;=0.75),Health*P41,IF(AND(AT41=1,AK41="E",AU41&gt;=0.5,AW41=1),PTHealth,IF(AND(AT41=1,AK41="E",AU41&gt;=0.5),PTHealth*P41,0))))</f>
        <v>0</v>
      </c>
      <c r="BC41" s="462">
        <f>IF(AND(AT41=3,AK41="E",AV41&gt;=0.75,AW41=1),Health,IF(AND(AT41=3,AK41="E",AV41&gt;=0.75),Health*P41,IF(AND(AT41=3,AK41="E",AV41&gt;=0.5,AW41=1),PTHealth,IF(AND(AT41=3,AK41="E",AV41&gt;=0.5),PTHealth*P41,0))))</f>
        <v>0</v>
      </c>
      <c r="BD41" s="462">
        <f>IF(AND(AT41&lt;&gt;0,AX41&gt;=MAXSSDI),SSDI*MAXSSDI*P41,IF(AT41&lt;&gt;0,SSDI*W41,0))</f>
        <v>0</v>
      </c>
      <c r="BE41" s="462">
        <f>IF(AT41&lt;&gt;0,SSHI*W41,0)</f>
        <v>0</v>
      </c>
      <c r="BF41" s="462">
        <f>IF(AND(AT41&lt;&gt;0,AN41&lt;&gt;"NE"),VLOOKUP(AN41,Retirement_Rates,3,FALSE)*W41,0)</f>
        <v>0</v>
      </c>
      <c r="BG41" s="462">
        <f>IF(AND(AT41&lt;&gt;0,AJ41&lt;&gt;"PF"),Life*W41,0)</f>
        <v>0</v>
      </c>
      <c r="BH41" s="462">
        <f>IF(AND(AT41&lt;&gt;0,AM41="Y"),UI*W41,0)</f>
        <v>0</v>
      </c>
      <c r="BI41" s="462">
        <f>IF(AND(AT41&lt;&gt;0,N41&lt;&gt;"NR"),DHR*W41,0)</f>
        <v>0</v>
      </c>
      <c r="BJ41" s="462">
        <f>IF(AT41&lt;&gt;0,WC*W41,0)</f>
        <v>0</v>
      </c>
      <c r="BK41" s="462">
        <f>IF(OR(AND(AT41&lt;&gt;0,AJ41&lt;&gt;"PF",AN41&lt;&gt;"NE",AG41&lt;&gt;"A"),AND(AL41="E",OR(AT41=1,AT41=3))),Sick*W41,0)</f>
        <v>0</v>
      </c>
      <c r="BL41" s="462">
        <f t="shared" si="5"/>
        <v>0</v>
      </c>
      <c r="BM41" s="462">
        <f t="shared" si="6"/>
        <v>0</v>
      </c>
      <c r="BN41" s="462">
        <f>IF(AND(AT41=1,AK41="E",AU41&gt;=0.75,AW41=1),HealthBY,IF(AND(AT41=1,AK41="E",AU41&gt;=0.75),HealthBY*P41,IF(AND(AT41=1,AK41="E",AU41&gt;=0.5,AW41=1),PTHealthBY,IF(AND(AT41=1,AK41="E",AU41&gt;=0.5),PTHealthBY*P41,0))))</f>
        <v>0</v>
      </c>
      <c r="BO41" s="462">
        <f>IF(AND(AT41=3,AK41="E",AV41&gt;=0.75,AW41=1),HealthBY,IF(AND(AT41=3,AK41="E",AV41&gt;=0.75),HealthBY*P41,IF(AND(AT41=3,AK41="E",AV41&gt;=0.5,AW41=1),PTHealthBY,IF(AND(AT41=3,AK41="E",AV41&gt;=0.5),PTHealthBY*P41,0))))</f>
        <v>0</v>
      </c>
      <c r="BP41" s="462">
        <f>IF(AND(AT41&lt;&gt;0,(AX41+BA41)&gt;=MAXSSDIBY),SSDIBY*MAXSSDIBY*P41,IF(AT41&lt;&gt;0,SSDIBY*W41,0))</f>
        <v>0</v>
      </c>
      <c r="BQ41" s="462">
        <f>IF(AT41&lt;&gt;0,SSHIBY*W41,0)</f>
        <v>0</v>
      </c>
      <c r="BR41" s="462">
        <f>IF(AND(AT41&lt;&gt;0,AN41&lt;&gt;"NE"),VLOOKUP(AN41,Retirement_Rates,4,FALSE)*W41,0)</f>
        <v>0</v>
      </c>
      <c r="BS41" s="462">
        <f>IF(AND(AT41&lt;&gt;0,AJ41&lt;&gt;"PF"),LifeBY*W41,0)</f>
        <v>0</v>
      </c>
      <c r="BT41" s="462">
        <f>IF(AND(AT41&lt;&gt;0,AM41="Y"),UIBY*W41,0)</f>
        <v>0</v>
      </c>
      <c r="BU41" s="462">
        <f>IF(AND(AT41&lt;&gt;0,N41&lt;&gt;"NR"),DHRBY*W41,0)</f>
        <v>0</v>
      </c>
      <c r="BV41" s="462">
        <f>IF(AT41&lt;&gt;0,WCBY*W41,0)</f>
        <v>0</v>
      </c>
      <c r="BW41" s="462">
        <f>IF(OR(AND(AT41&lt;&gt;0,AJ41&lt;&gt;"PF",AN41&lt;&gt;"NE",AG41&lt;&gt;"A"),AND(AL41="E",OR(AT41=1,AT41=3))),SickBY*W41,0)</f>
        <v>0</v>
      </c>
      <c r="BX41" s="462">
        <f t="shared" si="7"/>
        <v>0</v>
      </c>
      <c r="BY41" s="462">
        <f t="shared" si="8"/>
        <v>0</v>
      </c>
      <c r="BZ41" s="462">
        <f t="shared" si="9"/>
        <v>0</v>
      </c>
      <c r="CA41" s="462">
        <f t="shared" si="10"/>
        <v>0</v>
      </c>
      <c r="CB41" s="462">
        <f t="shared" si="11"/>
        <v>0</v>
      </c>
      <c r="CC41" s="462">
        <f>IF(AT41&lt;&gt;0,SSHICHG*Y41,0)</f>
        <v>0</v>
      </c>
      <c r="CD41" s="462">
        <f>IF(AND(AT41&lt;&gt;0,AN41&lt;&gt;"NE"),VLOOKUP(AN41,Retirement_Rates,5,FALSE)*Y41,0)</f>
        <v>0</v>
      </c>
      <c r="CE41" s="462">
        <f>IF(AND(AT41&lt;&gt;0,AJ41&lt;&gt;"PF"),LifeCHG*Y41,0)</f>
        <v>0</v>
      </c>
      <c r="CF41" s="462">
        <f>IF(AND(AT41&lt;&gt;0,AM41="Y"),UICHG*Y41,0)</f>
        <v>0</v>
      </c>
      <c r="CG41" s="462">
        <f>IF(AND(AT41&lt;&gt;0,N41&lt;&gt;"NR"),DHRCHG*Y41,0)</f>
        <v>0</v>
      </c>
      <c r="CH41" s="462">
        <f>IF(AT41&lt;&gt;0,WCCHG*Y41,0)</f>
        <v>0</v>
      </c>
      <c r="CI41" s="462">
        <f>IF(OR(AND(AT41&lt;&gt;0,AJ41&lt;&gt;"PF",AN41&lt;&gt;"NE",AG41&lt;&gt;"A"),AND(AL41="E",OR(AT41=1,AT41=3))),SickCHG*Y41,0)</f>
        <v>0</v>
      </c>
      <c r="CJ41" s="462">
        <f t="shared" si="12"/>
        <v>0</v>
      </c>
      <c r="CK41" s="462" t="str">
        <f t="shared" si="13"/>
        <v/>
      </c>
      <c r="CL41" s="462">
        <f t="shared" si="14"/>
        <v>40107.97</v>
      </c>
      <c r="CM41" s="462">
        <f t="shared" si="15"/>
        <v>8669.81</v>
      </c>
      <c r="CN41" s="462" t="str">
        <f t="shared" si="16"/>
        <v>0125-02</v>
      </c>
    </row>
    <row r="42" spans="1:92" ht="15" thickBot="1" x14ac:dyDescent="0.35">
      <c r="A42" s="376" t="s">
        <v>161</v>
      </c>
      <c r="B42" s="376" t="s">
        <v>162</v>
      </c>
      <c r="C42" s="376" t="s">
        <v>345</v>
      </c>
      <c r="D42" s="376" t="s">
        <v>287</v>
      </c>
      <c r="E42" s="376" t="s">
        <v>288</v>
      </c>
      <c r="F42" s="382" t="s">
        <v>344</v>
      </c>
      <c r="G42" s="376" t="s">
        <v>167</v>
      </c>
      <c r="H42" s="378"/>
      <c r="I42" s="378"/>
      <c r="J42" s="376" t="s">
        <v>168</v>
      </c>
      <c r="K42" s="376" t="s">
        <v>290</v>
      </c>
      <c r="L42" s="376" t="s">
        <v>166</v>
      </c>
      <c r="M42" s="376" t="s">
        <v>201</v>
      </c>
      <c r="N42" s="376" t="s">
        <v>291</v>
      </c>
      <c r="O42" s="379">
        <v>0</v>
      </c>
      <c r="P42" s="460">
        <v>1</v>
      </c>
      <c r="Q42" s="460">
        <v>0</v>
      </c>
      <c r="R42" s="380">
        <v>0</v>
      </c>
      <c r="S42" s="460">
        <v>0</v>
      </c>
      <c r="T42" s="380">
        <v>0</v>
      </c>
      <c r="U42" s="380">
        <v>0</v>
      </c>
      <c r="V42" s="380">
        <v>0</v>
      </c>
      <c r="W42" s="380">
        <v>0</v>
      </c>
      <c r="X42" s="380">
        <v>0</v>
      </c>
      <c r="Y42" s="380">
        <v>0</v>
      </c>
      <c r="Z42" s="380">
        <v>0</v>
      </c>
      <c r="AA42" s="378"/>
      <c r="AB42" s="376" t="s">
        <v>45</v>
      </c>
      <c r="AC42" s="376" t="s">
        <v>45</v>
      </c>
      <c r="AD42" s="378"/>
      <c r="AE42" s="378"/>
      <c r="AF42" s="378"/>
      <c r="AG42" s="378"/>
      <c r="AH42" s="379">
        <v>0</v>
      </c>
      <c r="AI42" s="379">
        <v>0</v>
      </c>
      <c r="AJ42" s="378"/>
      <c r="AK42" s="378"/>
      <c r="AL42" s="376" t="s">
        <v>180</v>
      </c>
      <c r="AM42" s="378"/>
      <c r="AN42" s="378"/>
      <c r="AO42" s="379">
        <v>0</v>
      </c>
      <c r="AP42" s="460">
        <v>0</v>
      </c>
      <c r="AQ42" s="460">
        <v>0</v>
      </c>
      <c r="AR42" s="459"/>
      <c r="AS42" s="462">
        <f t="shared" si="0"/>
        <v>0</v>
      </c>
      <c r="AT42">
        <f t="shared" si="1"/>
        <v>0</v>
      </c>
      <c r="AU42" s="462" t="str">
        <f>IF(AT42=0,"",IF(AND(AT42=1,M42="F",SUMIF(C2:C698,C42,AS2:AS698)&lt;=1),SUMIF(C2:C698,C42,AS2:AS698),IF(AND(AT42=1,M42="F",SUMIF(C2:C698,C42,AS2:AS698)&gt;1),1,"")))</f>
        <v/>
      </c>
      <c r="AV42" s="462" t="str">
        <f>IF(AT42=0,"",IF(AND(AT42=3,M42="F",SUMIF(C2:C698,C42,AS2:AS698)&lt;=1),SUMIF(C2:C698,C42,AS2:AS698),IF(AND(AT42=3,M42="F",SUMIF(C2:C698,C42,AS2:AS698)&gt;1),1,"")))</f>
        <v/>
      </c>
      <c r="AW42" s="462">
        <f>SUMIF(C2:C698,C42,O2:O698)</f>
        <v>0</v>
      </c>
      <c r="AX42" s="462">
        <f>IF(AND(M42="F",AS42&lt;&gt;0),SUMIF(C2:C698,C42,W2:W698),0)</f>
        <v>0</v>
      </c>
      <c r="AY42" s="462" t="str">
        <f t="shared" si="2"/>
        <v/>
      </c>
      <c r="AZ42" s="462" t="str">
        <f t="shared" si="3"/>
        <v/>
      </c>
      <c r="BA42" s="462">
        <f t="shared" si="4"/>
        <v>0</v>
      </c>
      <c r="BB42" s="462">
        <f>IF(AND(AT42=1,AK42="E",AU42&gt;=0.75,AW42=1),Health,IF(AND(AT42=1,AK42="E",AU42&gt;=0.75),Health*P42,IF(AND(AT42=1,AK42="E",AU42&gt;=0.5,AW42=1),PTHealth,IF(AND(AT42=1,AK42="E",AU42&gt;=0.5),PTHealth*P42,0))))</f>
        <v>0</v>
      </c>
      <c r="BC42" s="462">
        <f>IF(AND(AT42=3,AK42="E",AV42&gt;=0.75,AW42=1),Health,IF(AND(AT42=3,AK42="E",AV42&gt;=0.75),Health*P42,IF(AND(AT42=3,AK42="E",AV42&gt;=0.5,AW42=1),PTHealth,IF(AND(AT42=3,AK42="E",AV42&gt;=0.5),PTHealth*P42,0))))</f>
        <v>0</v>
      </c>
      <c r="BD42" s="462">
        <f>IF(AND(AT42&lt;&gt;0,AX42&gt;=MAXSSDI),SSDI*MAXSSDI*P42,IF(AT42&lt;&gt;0,SSDI*W42,0))</f>
        <v>0</v>
      </c>
      <c r="BE42" s="462">
        <f>IF(AT42&lt;&gt;0,SSHI*W42,0)</f>
        <v>0</v>
      </c>
      <c r="BF42" s="462">
        <f>IF(AND(AT42&lt;&gt;0,AN42&lt;&gt;"NE"),VLOOKUP(AN42,Retirement_Rates,3,FALSE)*W42,0)</f>
        <v>0</v>
      </c>
      <c r="BG42" s="462">
        <f>IF(AND(AT42&lt;&gt;0,AJ42&lt;&gt;"PF"),Life*W42,0)</f>
        <v>0</v>
      </c>
      <c r="BH42" s="462">
        <f>IF(AND(AT42&lt;&gt;0,AM42="Y"),UI*W42,0)</f>
        <v>0</v>
      </c>
      <c r="BI42" s="462">
        <f>IF(AND(AT42&lt;&gt;0,N42&lt;&gt;"NR"),DHR*W42,0)</f>
        <v>0</v>
      </c>
      <c r="BJ42" s="462">
        <f>IF(AT42&lt;&gt;0,WC*W42,0)</f>
        <v>0</v>
      </c>
      <c r="BK42" s="462">
        <f>IF(OR(AND(AT42&lt;&gt;0,AJ42&lt;&gt;"PF",AN42&lt;&gt;"NE",AG42&lt;&gt;"A"),AND(AL42="E",OR(AT42=1,AT42=3))),Sick*W42,0)</f>
        <v>0</v>
      </c>
      <c r="BL42" s="462">
        <f t="shared" si="5"/>
        <v>0</v>
      </c>
      <c r="BM42" s="462">
        <f t="shared" si="6"/>
        <v>0</v>
      </c>
      <c r="BN42" s="462">
        <f>IF(AND(AT42=1,AK42="E",AU42&gt;=0.75,AW42=1),HealthBY,IF(AND(AT42=1,AK42="E",AU42&gt;=0.75),HealthBY*P42,IF(AND(AT42=1,AK42="E",AU42&gt;=0.5,AW42=1),PTHealthBY,IF(AND(AT42=1,AK42="E",AU42&gt;=0.5),PTHealthBY*P42,0))))</f>
        <v>0</v>
      </c>
      <c r="BO42" s="462">
        <f>IF(AND(AT42=3,AK42="E",AV42&gt;=0.75,AW42=1),HealthBY,IF(AND(AT42=3,AK42="E",AV42&gt;=0.75),HealthBY*P42,IF(AND(AT42=3,AK42="E",AV42&gt;=0.5,AW42=1),PTHealthBY,IF(AND(AT42=3,AK42="E",AV42&gt;=0.5),PTHealthBY*P42,0))))</f>
        <v>0</v>
      </c>
      <c r="BP42" s="462">
        <f>IF(AND(AT42&lt;&gt;0,(AX42+BA42)&gt;=MAXSSDIBY),SSDIBY*MAXSSDIBY*P42,IF(AT42&lt;&gt;0,SSDIBY*W42,0))</f>
        <v>0</v>
      </c>
      <c r="BQ42" s="462">
        <f>IF(AT42&lt;&gt;0,SSHIBY*W42,0)</f>
        <v>0</v>
      </c>
      <c r="BR42" s="462">
        <f>IF(AND(AT42&lt;&gt;0,AN42&lt;&gt;"NE"),VLOOKUP(AN42,Retirement_Rates,4,FALSE)*W42,0)</f>
        <v>0</v>
      </c>
      <c r="BS42" s="462">
        <f>IF(AND(AT42&lt;&gt;0,AJ42&lt;&gt;"PF"),LifeBY*W42,0)</f>
        <v>0</v>
      </c>
      <c r="BT42" s="462">
        <f>IF(AND(AT42&lt;&gt;0,AM42="Y"),UIBY*W42,0)</f>
        <v>0</v>
      </c>
      <c r="BU42" s="462">
        <f>IF(AND(AT42&lt;&gt;0,N42&lt;&gt;"NR"),DHRBY*W42,0)</f>
        <v>0</v>
      </c>
      <c r="BV42" s="462">
        <f>IF(AT42&lt;&gt;0,WCBY*W42,0)</f>
        <v>0</v>
      </c>
      <c r="BW42" s="462">
        <f>IF(OR(AND(AT42&lt;&gt;0,AJ42&lt;&gt;"PF",AN42&lt;&gt;"NE",AG42&lt;&gt;"A"),AND(AL42="E",OR(AT42=1,AT42=3))),SickBY*W42,0)</f>
        <v>0</v>
      </c>
      <c r="BX42" s="462">
        <f t="shared" si="7"/>
        <v>0</v>
      </c>
      <c r="BY42" s="462">
        <f t="shared" si="8"/>
        <v>0</v>
      </c>
      <c r="BZ42" s="462">
        <f t="shared" si="9"/>
        <v>0</v>
      </c>
      <c r="CA42" s="462">
        <f t="shared" si="10"/>
        <v>0</v>
      </c>
      <c r="CB42" s="462">
        <f t="shared" si="11"/>
        <v>0</v>
      </c>
      <c r="CC42" s="462">
        <f>IF(AT42&lt;&gt;0,SSHICHG*Y42,0)</f>
        <v>0</v>
      </c>
      <c r="CD42" s="462">
        <f>IF(AND(AT42&lt;&gt;0,AN42&lt;&gt;"NE"),VLOOKUP(AN42,Retirement_Rates,5,FALSE)*Y42,0)</f>
        <v>0</v>
      </c>
      <c r="CE42" s="462">
        <f>IF(AND(AT42&lt;&gt;0,AJ42&lt;&gt;"PF"),LifeCHG*Y42,0)</f>
        <v>0</v>
      </c>
      <c r="CF42" s="462">
        <f>IF(AND(AT42&lt;&gt;0,AM42="Y"),UICHG*Y42,0)</f>
        <v>0</v>
      </c>
      <c r="CG42" s="462">
        <f>IF(AND(AT42&lt;&gt;0,N42&lt;&gt;"NR"),DHRCHG*Y42,0)</f>
        <v>0</v>
      </c>
      <c r="CH42" s="462">
        <f>IF(AT42&lt;&gt;0,WCCHG*Y42,0)</f>
        <v>0</v>
      </c>
      <c r="CI42" s="462">
        <f>IF(OR(AND(AT42&lt;&gt;0,AJ42&lt;&gt;"PF",AN42&lt;&gt;"NE",AG42&lt;&gt;"A"),AND(AL42="E",OR(AT42=1,AT42=3))),SickCHG*Y42,0)</f>
        <v>0</v>
      </c>
      <c r="CJ42" s="462">
        <f t="shared" si="12"/>
        <v>0</v>
      </c>
      <c r="CK42" s="462" t="str">
        <f t="shared" si="13"/>
        <v/>
      </c>
      <c r="CL42" s="462">
        <f t="shared" si="14"/>
        <v>0</v>
      </c>
      <c r="CM42" s="462">
        <f t="shared" si="15"/>
        <v>0</v>
      </c>
      <c r="CN42" s="462" t="str">
        <f t="shared" si="16"/>
        <v>0125-02</v>
      </c>
    </row>
    <row r="43" spans="1:92" ht="15" thickBot="1" x14ac:dyDescent="0.35">
      <c r="A43" s="376" t="s">
        <v>161</v>
      </c>
      <c r="B43" s="376" t="s">
        <v>162</v>
      </c>
      <c r="C43" s="376" t="s">
        <v>257</v>
      </c>
      <c r="D43" s="376" t="s">
        <v>258</v>
      </c>
      <c r="E43" s="376" t="s">
        <v>288</v>
      </c>
      <c r="F43" s="382" t="s">
        <v>344</v>
      </c>
      <c r="G43" s="376" t="s">
        <v>167</v>
      </c>
      <c r="H43" s="378"/>
      <c r="I43" s="378"/>
      <c r="J43" s="376" t="s">
        <v>168</v>
      </c>
      <c r="K43" s="376" t="s">
        <v>259</v>
      </c>
      <c r="L43" s="376" t="s">
        <v>220</v>
      </c>
      <c r="M43" s="376" t="s">
        <v>170</v>
      </c>
      <c r="N43" s="376" t="s">
        <v>202</v>
      </c>
      <c r="O43" s="379">
        <v>1</v>
      </c>
      <c r="P43" s="460">
        <v>1</v>
      </c>
      <c r="Q43" s="460">
        <v>1</v>
      </c>
      <c r="R43" s="380">
        <v>80</v>
      </c>
      <c r="S43" s="460">
        <v>1</v>
      </c>
      <c r="T43" s="380">
        <v>40619.230000000003</v>
      </c>
      <c r="U43" s="380">
        <v>0</v>
      </c>
      <c r="V43" s="380">
        <v>20943.8</v>
      </c>
      <c r="W43" s="380">
        <v>43201.599999999999</v>
      </c>
      <c r="X43" s="380">
        <v>21429.51</v>
      </c>
      <c r="Y43" s="380">
        <v>43201.599999999999</v>
      </c>
      <c r="Z43" s="380">
        <v>21317.19</v>
      </c>
      <c r="AA43" s="376" t="s">
        <v>260</v>
      </c>
      <c r="AB43" s="376" t="s">
        <v>261</v>
      </c>
      <c r="AC43" s="376" t="s">
        <v>262</v>
      </c>
      <c r="AD43" s="376" t="s">
        <v>263</v>
      </c>
      <c r="AE43" s="376" t="s">
        <v>259</v>
      </c>
      <c r="AF43" s="376" t="s">
        <v>264</v>
      </c>
      <c r="AG43" s="376" t="s">
        <v>177</v>
      </c>
      <c r="AH43" s="381">
        <v>20.77</v>
      </c>
      <c r="AI43" s="379">
        <v>25192</v>
      </c>
      <c r="AJ43" s="376" t="s">
        <v>178</v>
      </c>
      <c r="AK43" s="376" t="s">
        <v>179</v>
      </c>
      <c r="AL43" s="376" t="s">
        <v>180</v>
      </c>
      <c r="AM43" s="376" t="s">
        <v>181</v>
      </c>
      <c r="AN43" s="376" t="s">
        <v>68</v>
      </c>
      <c r="AO43" s="379">
        <v>80</v>
      </c>
      <c r="AP43" s="460">
        <v>1</v>
      </c>
      <c r="AQ43" s="460">
        <v>1</v>
      </c>
      <c r="AR43" s="458" t="s">
        <v>182</v>
      </c>
      <c r="AS43" s="462">
        <f t="shared" si="0"/>
        <v>1</v>
      </c>
      <c r="AT43">
        <f t="shared" si="1"/>
        <v>1</v>
      </c>
      <c r="AU43" s="462">
        <f>IF(AT43=0,"",IF(AND(AT43=1,M43="F",SUMIF(C2:C698,C43,AS2:AS698)&lt;=1),SUMIF(C2:C698,C43,AS2:AS698),IF(AND(AT43=1,M43="F",SUMIF(C2:C698,C43,AS2:AS698)&gt;1),1,"")))</f>
        <v>1</v>
      </c>
      <c r="AV43" s="462" t="str">
        <f>IF(AT43=0,"",IF(AND(AT43=3,M43="F",SUMIF(C2:C698,C43,AS2:AS698)&lt;=1),SUMIF(C2:C698,C43,AS2:AS698),IF(AND(AT43=3,M43="F",SUMIF(C2:C698,C43,AS2:AS698)&gt;1),1,"")))</f>
        <v/>
      </c>
      <c r="AW43" s="462">
        <f>SUMIF(C2:C698,C43,O2:O698)</f>
        <v>2</v>
      </c>
      <c r="AX43" s="462">
        <f>IF(AND(M43="F",AS43&lt;&gt;0),SUMIF(C2:C698,C43,W2:W698),0)</f>
        <v>43201.599999999999</v>
      </c>
      <c r="AY43" s="462">
        <f t="shared" si="2"/>
        <v>43201.599999999999</v>
      </c>
      <c r="AZ43" s="462" t="str">
        <f t="shared" si="3"/>
        <v/>
      </c>
      <c r="BA43" s="462">
        <f t="shared" si="4"/>
        <v>0</v>
      </c>
      <c r="BB43" s="462">
        <f>IF(AND(AT43=1,AK43="E",AU43&gt;=0.75,AW43=1),Health,IF(AND(AT43=1,AK43="E",AU43&gt;=0.75),Health*P43,IF(AND(AT43=1,AK43="E",AU43&gt;=0.5,AW43=1),PTHealth,IF(AND(AT43=1,AK43="E",AU43&gt;=0.5),PTHealth*P43,0))))</f>
        <v>11650</v>
      </c>
      <c r="BC43" s="462">
        <f>IF(AND(AT43=3,AK43="E",AV43&gt;=0.75,AW43=1),Health,IF(AND(AT43=3,AK43="E",AV43&gt;=0.75),Health*P43,IF(AND(AT43=3,AK43="E",AV43&gt;=0.5,AW43=1),PTHealth,IF(AND(AT43=3,AK43="E",AV43&gt;=0.5),PTHealth*P43,0))))</f>
        <v>0</v>
      </c>
      <c r="BD43" s="462">
        <f>IF(AND(AT43&lt;&gt;0,AX43&gt;=MAXSSDI),SSDI*MAXSSDI*P43,IF(AT43&lt;&gt;0,SSDI*W43,0))</f>
        <v>2678.4991999999997</v>
      </c>
      <c r="BE43" s="462">
        <f>IF(AT43&lt;&gt;0,SSHI*W43,0)</f>
        <v>626.42320000000007</v>
      </c>
      <c r="BF43" s="462">
        <f>IF(AND(AT43&lt;&gt;0,AN43&lt;&gt;"NE"),VLOOKUP(AN43,Retirement_Rates,3,FALSE)*W43,0)</f>
        <v>5158.2710400000005</v>
      </c>
      <c r="BG43" s="462">
        <f>IF(AND(AT43&lt;&gt;0,AJ43&lt;&gt;"PF"),Life*W43,0)</f>
        <v>311.48353600000002</v>
      </c>
      <c r="BH43" s="462">
        <f>IF(AND(AT43&lt;&gt;0,AM43="Y"),UI*W43,0)</f>
        <v>211.68783999999999</v>
      </c>
      <c r="BI43" s="462">
        <f>IF(AND(AT43&lt;&gt;0,N43&lt;&gt;"NR"),DHR*W43,0)</f>
        <v>132.19689599999998</v>
      </c>
      <c r="BJ43" s="462">
        <f>IF(AT43&lt;&gt;0,WC*W43,0)</f>
        <v>660.98447999999996</v>
      </c>
      <c r="BK43" s="462">
        <f>IF(OR(AND(AT43&lt;&gt;0,AJ43&lt;&gt;"PF",AN43&lt;&gt;"NE",AG43&lt;&gt;"A"),AND(AL43="E",OR(AT43=1,AT43=3))),Sick*W43,0)</f>
        <v>0</v>
      </c>
      <c r="BL43" s="462">
        <f t="shared" si="5"/>
        <v>9779.5461919999998</v>
      </c>
      <c r="BM43" s="462">
        <f t="shared" si="6"/>
        <v>0</v>
      </c>
      <c r="BN43" s="462">
        <f>IF(AND(AT43=1,AK43="E",AU43&gt;=0.75,AW43=1),HealthBY,IF(AND(AT43=1,AK43="E",AU43&gt;=0.75),HealthBY*P43,IF(AND(AT43=1,AK43="E",AU43&gt;=0.5,AW43=1),PTHealthBY,IF(AND(AT43=1,AK43="E",AU43&gt;=0.5),PTHealthBY*P43,0))))</f>
        <v>11650</v>
      </c>
      <c r="BO43" s="462">
        <f>IF(AND(AT43=3,AK43="E",AV43&gt;=0.75,AW43=1),HealthBY,IF(AND(AT43=3,AK43="E",AV43&gt;=0.75),HealthBY*P43,IF(AND(AT43=3,AK43="E",AV43&gt;=0.5,AW43=1),PTHealthBY,IF(AND(AT43=3,AK43="E",AV43&gt;=0.5),PTHealthBY*P43,0))))</f>
        <v>0</v>
      </c>
      <c r="BP43" s="462">
        <f>IF(AND(AT43&lt;&gt;0,(AX43+BA43)&gt;=MAXSSDIBY),SSDIBY*MAXSSDIBY*P43,IF(AT43&lt;&gt;0,SSDIBY*W43,0))</f>
        <v>2678.4991999999997</v>
      </c>
      <c r="BQ43" s="462">
        <f>IF(AT43&lt;&gt;0,SSHIBY*W43,0)</f>
        <v>626.42320000000007</v>
      </c>
      <c r="BR43" s="462">
        <f>IF(AND(AT43&lt;&gt;0,AN43&lt;&gt;"NE"),VLOOKUP(AN43,Retirement_Rates,4,FALSE)*W43,0)</f>
        <v>5158.2710400000005</v>
      </c>
      <c r="BS43" s="462">
        <f>IF(AND(AT43&lt;&gt;0,AJ43&lt;&gt;"PF"),LifeBY*W43,0)</f>
        <v>311.48353600000002</v>
      </c>
      <c r="BT43" s="462">
        <f>IF(AND(AT43&lt;&gt;0,AM43="Y"),UIBY*W43,0)</f>
        <v>0</v>
      </c>
      <c r="BU43" s="462">
        <f>IF(AND(AT43&lt;&gt;0,N43&lt;&gt;"NR"),DHRBY*W43,0)</f>
        <v>132.19689599999998</v>
      </c>
      <c r="BV43" s="462">
        <f>IF(AT43&lt;&gt;0,WCBY*W43,0)</f>
        <v>760.34816000000001</v>
      </c>
      <c r="BW43" s="462">
        <f>IF(OR(AND(AT43&lt;&gt;0,AJ43&lt;&gt;"PF",AN43&lt;&gt;"NE",AG43&lt;&gt;"A"),AND(AL43="E",OR(AT43=1,AT43=3))),SickBY*W43,0)</f>
        <v>0</v>
      </c>
      <c r="BX43" s="462">
        <f t="shared" si="7"/>
        <v>9667.2220319999997</v>
      </c>
      <c r="BY43" s="462">
        <f t="shared" si="8"/>
        <v>0</v>
      </c>
      <c r="BZ43" s="462">
        <f t="shared" si="9"/>
        <v>0</v>
      </c>
      <c r="CA43" s="462">
        <f t="shared" si="10"/>
        <v>0</v>
      </c>
      <c r="CB43" s="462">
        <f t="shared" si="11"/>
        <v>0</v>
      </c>
      <c r="CC43" s="462">
        <f>IF(AT43&lt;&gt;0,SSHICHG*Y43,0)</f>
        <v>0</v>
      </c>
      <c r="CD43" s="462">
        <f>IF(AND(AT43&lt;&gt;0,AN43&lt;&gt;"NE"),VLOOKUP(AN43,Retirement_Rates,5,FALSE)*Y43,0)</f>
        <v>0</v>
      </c>
      <c r="CE43" s="462">
        <f>IF(AND(AT43&lt;&gt;0,AJ43&lt;&gt;"PF"),LifeCHG*Y43,0)</f>
        <v>0</v>
      </c>
      <c r="CF43" s="462">
        <f>IF(AND(AT43&lt;&gt;0,AM43="Y"),UICHG*Y43,0)</f>
        <v>-211.68783999999999</v>
      </c>
      <c r="CG43" s="462">
        <f>IF(AND(AT43&lt;&gt;0,N43&lt;&gt;"NR"),DHRCHG*Y43,0)</f>
        <v>0</v>
      </c>
      <c r="CH43" s="462">
        <f>IF(AT43&lt;&gt;0,WCCHG*Y43,0)</f>
        <v>99.363680000000073</v>
      </c>
      <c r="CI43" s="462">
        <f>IF(OR(AND(AT43&lt;&gt;0,AJ43&lt;&gt;"PF",AN43&lt;&gt;"NE",AG43&lt;&gt;"A"),AND(AL43="E",OR(AT43=1,AT43=3))),SickCHG*Y43,0)</f>
        <v>0</v>
      </c>
      <c r="CJ43" s="462">
        <f t="shared" si="12"/>
        <v>-112.32415999999992</v>
      </c>
      <c r="CK43" s="462" t="str">
        <f t="shared" si="13"/>
        <v/>
      </c>
      <c r="CL43" s="462" t="str">
        <f t="shared" si="14"/>
        <v/>
      </c>
      <c r="CM43" s="462" t="str">
        <f t="shared" si="15"/>
        <v/>
      </c>
      <c r="CN43" s="462" t="str">
        <f t="shared" si="16"/>
        <v>0125-02</v>
      </c>
    </row>
    <row r="44" spans="1:92" ht="15" thickBot="1" x14ac:dyDescent="0.35">
      <c r="A44" s="376" t="s">
        <v>161</v>
      </c>
      <c r="B44" s="376" t="s">
        <v>162</v>
      </c>
      <c r="C44" s="376" t="s">
        <v>346</v>
      </c>
      <c r="D44" s="376" t="s">
        <v>347</v>
      </c>
      <c r="E44" s="376" t="s">
        <v>288</v>
      </c>
      <c r="F44" s="382" t="s">
        <v>344</v>
      </c>
      <c r="G44" s="376" t="s">
        <v>167</v>
      </c>
      <c r="H44" s="378"/>
      <c r="I44" s="378"/>
      <c r="J44" s="376" t="s">
        <v>168</v>
      </c>
      <c r="K44" s="376" t="s">
        <v>348</v>
      </c>
      <c r="L44" s="376" t="s">
        <v>349</v>
      </c>
      <c r="M44" s="376" t="s">
        <v>170</v>
      </c>
      <c r="N44" s="376" t="s">
        <v>202</v>
      </c>
      <c r="O44" s="379">
        <v>1</v>
      </c>
      <c r="P44" s="460">
        <v>1</v>
      </c>
      <c r="Q44" s="460">
        <v>1</v>
      </c>
      <c r="R44" s="380">
        <v>80</v>
      </c>
      <c r="S44" s="460">
        <v>1</v>
      </c>
      <c r="T44" s="380">
        <v>31977.599999999999</v>
      </c>
      <c r="U44" s="380">
        <v>0</v>
      </c>
      <c r="V44" s="380">
        <v>19581.59</v>
      </c>
      <c r="W44" s="380">
        <v>33155.199999999997</v>
      </c>
      <c r="X44" s="380">
        <v>19155.32</v>
      </c>
      <c r="Y44" s="380">
        <v>33155.199999999997</v>
      </c>
      <c r="Z44" s="380">
        <v>19069.12</v>
      </c>
      <c r="AA44" s="376" t="s">
        <v>350</v>
      </c>
      <c r="AB44" s="376" t="s">
        <v>351</v>
      </c>
      <c r="AC44" s="376" t="s">
        <v>352</v>
      </c>
      <c r="AD44" s="376" t="s">
        <v>349</v>
      </c>
      <c r="AE44" s="376" t="s">
        <v>348</v>
      </c>
      <c r="AF44" s="376" t="s">
        <v>353</v>
      </c>
      <c r="AG44" s="376" t="s">
        <v>177</v>
      </c>
      <c r="AH44" s="381">
        <v>15.94</v>
      </c>
      <c r="AI44" s="379">
        <v>3796</v>
      </c>
      <c r="AJ44" s="376" t="s">
        <v>178</v>
      </c>
      <c r="AK44" s="376" t="s">
        <v>179</v>
      </c>
      <c r="AL44" s="376" t="s">
        <v>180</v>
      </c>
      <c r="AM44" s="376" t="s">
        <v>181</v>
      </c>
      <c r="AN44" s="376" t="s">
        <v>68</v>
      </c>
      <c r="AO44" s="379">
        <v>80</v>
      </c>
      <c r="AP44" s="460">
        <v>1</v>
      </c>
      <c r="AQ44" s="460">
        <v>1</v>
      </c>
      <c r="AR44" s="458" t="s">
        <v>182</v>
      </c>
      <c r="AS44" s="462">
        <f t="shared" si="0"/>
        <v>1</v>
      </c>
      <c r="AT44">
        <f t="shared" si="1"/>
        <v>1</v>
      </c>
      <c r="AU44" s="462">
        <f>IF(AT44=0,"",IF(AND(AT44=1,M44="F",SUMIF(C2:C698,C44,AS2:AS698)&lt;=1),SUMIF(C2:C698,C44,AS2:AS698),IF(AND(AT44=1,M44="F",SUMIF(C2:C698,C44,AS2:AS698)&gt;1),1,"")))</f>
        <v>1</v>
      </c>
      <c r="AV44" s="462" t="str">
        <f>IF(AT44=0,"",IF(AND(AT44=3,M44="F",SUMIF(C2:C698,C44,AS2:AS698)&lt;=1),SUMIF(C2:C698,C44,AS2:AS698),IF(AND(AT44=3,M44="F",SUMIF(C2:C698,C44,AS2:AS698)&gt;1),1,"")))</f>
        <v/>
      </c>
      <c r="AW44" s="462">
        <f>SUMIF(C2:C698,C44,O2:O698)</f>
        <v>1</v>
      </c>
      <c r="AX44" s="462">
        <f>IF(AND(M44="F",AS44&lt;&gt;0),SUMIF(C2:C698,C44,W2:W698),0)</f>
        <v>33155.199999999997</v>
      </c>
      <c r="AY44" s="462">
        <f t="shared" si="2"/>
        <v>33155.199999999997</v>
      </c>
      <c r="AZ44" s="462" t="str">
        <f t="shared" si="3"/>
        <v/>
      </c>
      <c r="BA44" s="462">
        <f t="shared" si="4"/>
        <v>0</v>
      </c>
      <c r="BB44" s="462">
        <f>IF(AND(AT44=1,AK44="E",AU44&gt;=0.75,AW44=1),Health,IF(AND(AT44=1,AK44="E",AU44&gt;=0.75),Health*P44,IF(AND(AT44=1,AK44="E",AU44&gt;=0.5,AW44=1),PTHealth,IF(AND(AT44=1,AK44="E",AU44&gt;=0.5),PTHealth*P44,0))))</f>
        <v>11650</v>
      </c>
      <c r="BC44" s="462">
        <f>IF(AND(AT44=3,AK44="E",AV44&gt;=0.75,AW44=1),Health,IF(AND(AT44=3,AK44="E",AV44&gt;=0.75),Health*P44,IF(AND(AT44=3,AK44="E",AV44&gt;=0.5,AW44=1),PTHealth,IF(AND(AT44=3,AK44="E",AV44&gt;=0.5),PTHealth*P44,0))))</f>
        <v>0</v>
      </c>
      <c r="BD44" s="462">
        <f>IF(AND(AT44&lt;&gt;0,AX44&gt;=MAXSSDI),SSDI*MAXSSDI*P44,IF(AT44&lt;&gt;0,SSDI*W44,0))</f>
        <v>2055.6223999999997</v>
      </c>
      <c r="BE44" s="462">
        <f>IF(AT44&lt;&gt;0,SSHI*W44,0)</f>
        <v>480.75039999999996</v>
      </c>
      <c r="BF44" s="462">
        <f>IF(AND(AT44&lt;&gt;0,AN44&lt;&gt;"NE"),VLOOKUP(AN44,Retirement_Rates,3,FALSE)*W44,0)</f>
        <v>3958.7308800000001</v>
      </c>
      <c r="BG44" s="462">
        <f>IF(AND(AT44&lt;&gt;0,AJ44&lt;&gt;"PF"),Life*W44,0)</f>
        <v>239.048992</v>
      </c>
      <c r="BH44" s="462">
        <f>IF(AND(AT44&lt;&gt;0,AM44="Y"),UI*W44,0)</f>
        <v>162.46047999999999</v>
      </c>
      <c r="BI44" s="462">
        <f>IF(AND(AT44&lt;&gt;0,N44&lt;&gt;"NR"),DHR*W44,0)</f>
        <v>101.45491199999998</v>
      </c>
      <c r="BJ44" s="462">
        <f>IF(AT44&lt;&gt;0,WC*W44,0)</f>
        <v>507.27455999999995</v>
      </c>
      <c r="BK44" s="462">
        <f>IF(OR(AND(AT44&lt;&gt;0,AJ44&lt;&gt;"PF",AN44&lt;&gt;"NE",AG44&lt;&gt;"A"),AND(AL44="E",OR(AT44=1,AT44=3))),Sick*W44,0)</f>
        <v>0</v>
      </c>
      <c r="BL44" s="462">
        <f t="shared" si="5"/>
        <v>7505.3426239999999</v>
      </c>
      <c r="BM44" s="462">
        <f t="shared" si="6"/>
        <v>0</v>
      </c>
      <c r="BN44" s="462">
        <f>IF(AND(AT44=1,AK44="E",AU44&gt;=0.75,AW44=1),HealthBY,IF(AND(AT44=1,AK44="E",AU44&gt;=0.75),HealthBY*P44,IF(AND(AT44=1,AK44="E",AU44&gt;=0.5,AW44=1),PTHealthBY,IF(AND(AT44=1,AK44="E",AU44&gt;=0.5),PTHealthBY*P44,0))))</f>
        <v>11650</v>
      </c>
      <c r="BO44" s="462">
        <f>IF(AND(AT44=3,AK44="E",AV44&gt;=0.75,AW44=1),HealthBY,IF(AND(AT44=3,AK44="E",AV44&gt;=0.75),HealthBY*P44,IF(AND(AT44=3,AK44="E",AV44&gt;=0.5,AW44=1),PTHealthBY,IF(AND(AT44=3,AK44="E",AV44&gt;=0.5),PTHealthBY*P44,0))))</f>
        <v>0</v>
      </c>
      <c r="BP44" s="462">
        <f>IF(AND(AT44&lt;&gt;0,(AX44+BA44)&gt;=MAXSSDIBY),SSDIBY*MAXSSDIBY*P44,IF(AT44&lt;&gt;0,SSDIBY*W44,0))</f>
        <v>2055.6223999999997</v>
      </c>
      <c r="BQ44" s="462">
        <f>IF(AT44&lt;&gt;0,SSHIBY*W44,0)</f>
        <v>480.75039999999996</v>
      </c>
      <c r="BR44" s="462">
        <f>IF(AND(AT44&lt;&gt;0,AN44&lt;&gt;"NE"),VLOOKUP(AN44,Retirement_Rates,4,FALSE)*W44,0)</f>
        <v>3958.7308800000001</v>
      </c>
      <c r="BS44" s="462">
        <f>IF(AND(AT44&lt;&gt;0,AJ44&lt;&gt;"PF"),LifeBY*W44,0)</f>
        <v>239.048992</v>
      </c>
      <c r="BT44" s="462">
        <f>IF(AND(AT44&lt;&gt;0,AM44="Y"),UIBY*W44,0)</f>
        <v>0</v>
      </c>
      <c r="BU44" s="462">
        <f>IF(AND(AT44&lt;&gt;0,N44&lt;&gt;"NR"),DHRBY*W44,0)</f>
        <v>101.45491199999998</v>
      </c>
      <c r="BV44" s="462">
        <f>IF(AT44&lt;&gt;0,WCBY*W44,0)</f>
        <v>583.53152</v>
      </c>
      <c r="BW44" s="462">
        <f>IF(OR(AND(AT44&lt;&gt;0,AJ44&lt;&gt;"PF",AN44&lt;&gt;"NE",AG44&lt;&gt;"A"),AND(AL44="E",OR(AT44=1,AT44=3))),SickBY*W44,0)</f>
        <v>0</v>
      </c>
      <c r="BX44" s="462">
        <f t="shared" si="7"/>
        <v>7419.1391039999999</v>
      </c>
      <c r="BY44" s="462">
        <f t="shared" si="8"/>
        <v>0</v>
      </c>
      <c r="BZ44" s="462">
        <f t="shared" si="9"/>
        <v>0</v>
      </c>
      <c r="CA44" s="462">
        <f t="shared" si="10"/>
        <v>0</v>
      </c>
      <c r="CB44" s="462">
        <f t="shared" si="11"/>
        <v>0</v>
      </c>
      <c r="CC44" s="462">
        <f>IF(AT44&lt;&gt;0,SSHICHG*Y44,0)</f>
        <v>0</v>
      </c>
      <c r="CD44" s="462">
        <f>IF(AND(AT44&lt;&gt;0,AN44&lt;&gt;"NE"),VLOOKUP(AN44,Retirement_Rates,5,FALSE)*Y44,0)</f>
        <v>0</v>
      </c>
      <c r="CE44" s="462">
        <f>IF(AND(AT44&lt;&gt;0,AJ44&lt;&gt;"PF"),LifeCHG*Y44,0)</f>
        <v>0</v>
      </c>
      <c r="CF44" s="462">
        <f>IF(AND(AT44&lt;&gt;0,AM44="Y"),UICHG*Y44,0)</f>
        <v>-162.46047999999999</v>
      </c>
      <c r="CG44" s="462">
        <f>IF(AND(AT44&lt;&gt;0,N44&lt;&gt;"NR"),DHRCHG*Y44,0)</f>
        <v>0</v>
      </c>
      <c r="CH44" s="462">
        <f>IF(AT44&lt;&gt;0,WCCHG*Y44,0)</f>
        <v>76.256960000000049</v>
      </c>
      <c r="CI44" s="462">
        <f>IF(OR(AND(AT44&lt;&gt;0,AJ44&lt;&gt;"PF",AN44&lt;&gt;"NE",AG44&lt;&gt;"A"),AND(AL44="E",OR(AT44=1,AT44=3))),SickCHG*Y44,0)</f>
        <v>0</v>
      </c>
      <c r="CJ44" s="462">
        <f t="shared" si="12"/>
        <v>-86.203519999999941</v>
      </c>
      <c r="CK44" s="462" t="str">
        <f t="shared" si="13"/>
        <v/>
      </c>
      <c r="CL44" s="462" t="str">
        <f t="shared" si="14"/>
        <v/>
      </c>
      <c r="CM44" s="462" t="str">
        <f t="shared" si="15"/>
        <v/>
      </c>
      <c r="CN44" s="462" t="str">
        <f t="shared" si="16"/>
        <v>0125-02</v>
      </c>
    </row>
    <row r="45" spans="1:92" ht="15" thickBot="1" x14ac:dyDescent="0.35">
      <c r="A45" s="376" t="s">
        <v>161</v>
      </c>
      <c r="B45" s="376" t="s">
        <v>162</v>
      </c>
      <c r="C45" s="376" t="s">
        <v>354</v>
      </c>
      <c r="D45" s="376" t="s">
        <v>355</v>
      </c>
      <c r="E45" s="376" t="s">
        <v>165</v>
      </c>
      <c r="F45" s="377" t="s">
        <v>166</v>
      </c>
      <c r="G45" s="376" t="s">
        <v>356</v>
      </c>
      <c r="H45" s="378"/>
      <c r="I45" s="378"/>
      <c r="J45" s="376" t="s">
        <v>168</v>
      </c>
      <c r="K45" s="376" t="s">
        <v>357</v>
      </c>
      <c r="L45" s="376" t="s">
        <v>220</v>
      </c>
      <c r="M45" s="376" t="s">
        <v>170</v>
      </c>
      <c r="N45" s="376" t="s">
        <v>202</v>
      </c>
      <c r="O45" s="379">
        <v>1</v>
      </c>
      <c r="P45" s="460">
        <v>0</v>
      </c>
      <c r="Q45" s="460">
        <v>0</v>
      </c>
      <c r="R45" s="380">
        <v>80</v>
      </c>
      <c r="S45" s="460">
        <v>0</v>
      </c>
      <c r="T45" s="380">
        <v>33157.980000000003</v>
      </c>
      <c r="U45" s="380">
        <v>0</v>
      </c>
      <c r="V45" s="380">
        <v>17775.669999999998</v>
      </c>
      <c r="W45" s="380">
        <v>0</v>
      </c>
      <c r="X45" s="380">
        <v>0</v>
      </c>
      <c r="Y45" s="380">
        <v>0</v>
      </c>
      <c r="Z45" s="380">
        <v>0</v>
      </c>
      <c r="AA45" s="376" t="s">
        <v>358</v>
      </c>
      <c r="AB45" s="376" t="s">
        <v>359</v>
      </c>
      <c r="AC45" s="376" t="s">
        <v>360</v>
      </c>
      <c r="AD45" s="376" t="s">
        <v>220</v>
      </c>
      <c r="AE45" s="376" t="s">
        <v>357</v>
      </c>
      <c r="AF45" s="376" t="s">
        <v>264</v>
      </c>
      <c r="AG45" s="376" t="s">
        <v>177</v>
      </c>
      <c r="AH45" s="379">
        <v>20</v>
      </c>
      <c r="AI45" s="381">
        <v>7395.3</v>
      </c>
      <c r="AJ45" s="376" t="s">
        <v>313</v>
      </c>
      <c r="AK45" s="376" t="s">
        <v>179</v>
      </c>
      <c r="AL45" s="376" t="s">
        <v>180</v>
      </c>
      <c r="AM45" s="376" t="s">
        <v>181</v>
      </c>
      <c r="AN45" s="376" t="s">
        <v>68</v>
      </c>
      <c r="AO45" s="379">
        <v>65</v>
      </c>
      <c r="AP45" s="460">
        <v>1</v>
      </c>
      <c r="AQ45" s="460">
        <v>0</v>
      </c>
      <c r="AR45" s="458" t="s">
        <v>182</v>
      </c>
      <c r="AS45" s="462">
        <f t="shared" si="0"/>
        <v>0</v>
      </c>
      <c r="AT45">
        <f t="shared" si="1"/>
        <v>0</v>
      </c>
      <c r="AU45" s="462" t="str">
        <f>IF(AT45=0,"",IF(AND(AT45=1,M45="F",SUMIF(C2:C698,C45,AS2:AS698)&lt;=1),SUMIF(C2:C698,C45,AS2:AS698),IF(AND(AT45=1,M45="F",SUMIF(C2:C698,C45,AS2:AS698)&gt;1),1,"")))</f>
        <v/>
      </c>
      <c r="AV45" s="462" t="str">
        <f>IF(AT45=0,"",IF(AND(AT45=3,M45="F",SUMIF(C2:C698,C45,AS2:AS698)&lt;=1),SUMIF(C2:C698,C45,AS2:AS698),IF(AND(AT45=3,M45="F",SUMIF(C2:C698,C45,AS2:AS698)&gt;1),1,"")))</f>
        <v/>
      </c>
      <c r="AW45" s="462">
        <f>SUMIF(C2:C698,C45,O2:O698)</f>
        <v>3</v>
      </c>
      <c r="AX45" s="462">
        <f>IF(AND(M45="F",AS45&lt;&gt;0),SUMIF(C2:C698,C45,W2:W698),0)</f>
        <v>0</v>
      </c>
      <c r="AY45" s="462" t="str">
        <f t="shared" si="2"/>
        <v/>
      </c>
      <c r="AZ45" s="462" t="str">
        <f t="shared" si="3"/>
        <v/>
      </c>
      <c r="BA45" s="462">
        <f t="shared" si="4"/>
        <v>0</v>
      </c>
      <c r="BB45" s="462">
        <f>IF(AND(AT45=1,AK45="E",AU45&gt;=0.75,AW45=1),Health,IF(AND(AT45=1,AK45="E",AU45&gt;=0.75),Health*P45,IF(AND(AT45=1,AK45="E",AU45&gt;=0.5,AW45=1),PTHealth,IF(AND(AT45=1,AK45="E",AU45&gt;=0.5),PTHealth*P45,0))))</f>
        <v>0</v>
      </c>
      <c r="BC45" s="462">
        <f>IF(AND(AT45=3,AK45="E",AV45&gt;=0.75,AW45=1),Health,IF(AND(AT45=3,AK45="E",AV45&gt;=0.75),Health*P45,IF(AND(AT45=3,AK45="E",AV45&gt;=0.5,AW45=1),PTHealth,IF(AND(AT45=3,AK45="E",AV45&gt;=0.5),PTHealth*P45,0))))</f>
        <v>0</v>
      </c>
      <c r="BD45" s="462">
        <f>IF(AND(AT45&lt;&gt;0,AX45&gt;=MAXSSDI),SSDI*MAXSSDI*P45,IF(AT45&lt;&gt;0,SSDI*W45,0))</f>
        <v>0</v>
      </c>
      <c r="BE45" s="462">
        <f>IF(AT45&lt;&gt;0,SSHI*W45,0)</f>
        <v>0</v>
      </c>
      <c r="BF45" s="462">
        <f>IF(AND(AT45&lt;&gt;0,AN45&lt;&gt;"NE"),VLOOKUP(AN45,Retirement_Rates,3,FALSE)*W45,0)</f>
        <v>0</v>
      </c>
      <c r="BG45" s="462">
        <f>IF(AND(AT45&lt;&gt;0,AJ45&lt;&gt;"PF"),Life*W45,0)</f>
        <v>0</v>
      </c>
      <c r="BH45" s="462">
        <f>IF(AND(AT45&lt;&gt;0,AM45="Y"),UI*W45,0)</f>
        <v>0</v>
      </c>
      <c r="BI45" s="462">
        <f>IF(AND(AT45&lt;&gt;0,N45&lt;&gt;"NR"),DHR*W45,0)</f>
        <v>0</v>
      </c>
      <c r="BJ45" s="462">
        <f>IF(AT45&lt;&gt;0,WC*W45,0)</f>
        <v>0</v>
      </c>
      <c r="BK45" s="462">
        <f>IF(OR(AND(AT45&lt;&gt;0,AJ45&lt;&gt;"PF",AN45&lt;&gt;"NE",AG45&lt;&gt;"A"),AND(AL45="E",OR(AT45=1,AT45=3))),Sick*W45,0)</f>
        <v>0</v>
      </c>
      <c r="BL45" s="462">
        <f t="shared" si="5"/>
        <v>0</v>
      </c>
      <c r="BM45" s="462">
        <f t="shared" si="6"/>
        <v>0</v>
      </c>
      <c r="BN45" s="462">
        <f>IF(AND(AT45=1,AK45="E",AU45&gt;=0.75,AW45=1),HealthBY,IF(AND(AT45=1,AK45="E",AU45&gt;=0.75),HealthBY*P45,IF(AND(AT45=1,AK45="E",AU45&gt;=0.5,AW45=1),PTHealthBY,IF(AND(AT45=1,AK45="E",AU45&gt;=0.5),PTHealthBY*P45,0))))</f>
        <v>0</v>
      </c>
      <c r="BO45" s="462">
        <f>IF(AND(AT45=3,AK45="E",AV45&gt;=0.75,AW45=1),HealthBY,IF(AND(AT45=3,AK45="E",AV45&gt;=0.75),HealthBY*P45,IF(AND(AT45=3,AK45="E",AV45&gt;=0.5,AW45=1),PTHealthBY,IF(AND(AT45=3,AK45="E",AV45&gt;=0.5),PTHealthBY*P45,0))))</f>
        <v>0</v>
      </c>
      <c r="BP45" s="462">
        <f>IF(AND(AT45&lt;&gt;0,(AX45+BA45)&gt;=MAXSSDIBY),SSDIBY*MAXSSDIBY*P45,IF(AT45&lt;&gt;0,SSDIBY*W45,0))</f>
        <v>0</v>
      </c>
      <c r="BQ45" s="462">
        <f>IF(AT45&lt;&gt;0,SSHIBY*W45,0)</f>
        <v>0</v>
      </c>
      <c r="BR45" s="462">
        <f>IF(AND(AT45&lt;&gt;0,AN45&lt;&gt;"NE"),VLOOKUP(AN45,Retirement_Rates,4,FALSE)*W45,0)</f>
        <v>0</v>
      </c>
      <c r="BS45" s="462">
        <f>IF(AND(AT45&lt;&gt;0,AJ45&lt;&gt;"PF"),LifeBY*W45,0)</f>
        <v>0</v>
      </c>
      <c r="BT45" s="462">
        <f>IF(AND(AT45&lt;&gt;0,AM45="Y"),UIBY*W45,0)</f>
        <v>0</v>
      </c>
      <c r="BU45" s="462">
        <f>IF(AND(AT45&lt;&gt;0,N45&lt;&gt;"NR"),DHRBY*W45,0)</f>
        <v>0</v>
      </c>
      <c r="BV45" s="462">
        <f>IF(AT45&lt;&gt;0,WCBY*W45,0)</f>
        <v>0</v>
      </c>
      <c r="BW45" s="462">
        <f>IF(OR(AND(AT45&lt;&gt;0,AJ45&lt;&gt;"PF",AN45&lt;&gt;"NE",AG45&lt;&gt;"A"),AND(AL45="E",OR(AT45=1,AT45=3))),SickBY*W45,0)</f>
        <v>0</v>
      </c>
      <c r="BX45" s="462">
        <f t="shared" si="7"/>
        <v>0</v>
      </c>
      <c r="BY45" s="462">
        <f t="shared" si="8"/>
        <v>0</v>
      </c>
      <c r="BZ45" s="462">
        <f t="shared" si="9"/>
        <v>0</v>
      </c>
      <c r="CA45" s="462">
        <f t="shared" si="10"/>
        <v>0</v>
      </c>
      <c r="CB45" s="462">
        <f t="shared" si="11"/>
        <v>0</v>
      </c>
      <c r="CC45" s="462">
        <f>IF(AT45&lt;&gt;0,SSHICHG*Y45,0)</f>
        <v>0</v>
      </c>
      <c r="CD45" s="462">
        <f>IF(AND(AT45&lt;&gt;0,AN45&lt;&gt;"NE"),VLOOKUP(AN45,Retirement_Rates,5,FALSE)*Y45,0)</f>
        <v>0</v>
      </c>
      <c r="CE45" s="462">
        <f>IF(AND(AT45&lt;&gt;0,AJ45&lt;&gt;"PF"),LifeCHG*Y45,0)</f>
        <v>0</v>
      </c>
      <c r="CF45" s="462">
        <f>IF(AND(AT45&lt;&gt;0,AM45="Y"),UICHG*Y45,0)</f>
        <v>0</v>
      </c>
      <c r="CG45" s="462">
        <f>IF(AND(AT45&lt;&gt;0,N45&lt;&gt;"NR"),DHRCHG*Y45,0)</f>
        <v>0</v>
      </c>
      <c r="CH45" s="462">
        <f>IF(AT45&lt;&gt;0,WCCHG*Y45,0)</f>
        <v>0</v>
      </c>
      <c r="CI45" s="462">
        <f>IF(OR(AND(AT45&lt;&gt;0,AJ45&lt;&gt;"PF",AN45&lt;&gt;"NE",AG45&lt;&gt;"A"),AND(AL45="E",OR(AT45=1,AT45=3))),SickCHG*Y45,0)</f>
        <v>0</v>
      </c>
      <c r="CJ45" s="462">
        <f t="shared" si="12"/>
        <v>0</v>
      </c>
      <c r="CK45" s="462" t="str">
        <f t="shared" si="13"/>
        <v/>
      </c>
      <c r="CL45" s="462" t="str">
        <f t="shared" si="14"/>
        <v/>
      </c>
      <c r="CM45" s="462" t="str">
        <f t="shared" si="15"/>
        <v/>
      </c>
      <c r="CN45" s="462" t="str">
        <f t="shared" si="16"/>
        <v>0001-00</v>
      </c>
    </row>
    <row r="46" spans="1:92" ht="15" thickBot="1" x14ac:dyDescent="0.35">
      <c r="A46" s="376" t="s">
        <v>161</v>
      </c>
      <c r="B46" s="376" t="s">
        <v>162</v>
      </c>
      <c r="C46" s="376" t="s">
        <v>361</v>
      </c>
      <c r="D46" s="376" t="s">
        <v>362</v>
      </c>
      <c r="E46" s="376" t="s">
        <v>165</v>
      </c>
      <c r="F46" s="377" t="s">
        <v>166</v>
      </c>
      <c r="G46" s="376" t="s">
        <v>356</v>
      </c>
      <c r="H46" s="378"/>
      <c r="I46" s="378"/>
      <c r="J46" s="376" t="s">
        <v>168</v>
      </c>
      <c r="K46" s="376" t="s">
        <v>363</v>
      </c>
      <c r="L46" s="376" t="s">
        <v>200</v>
      </c>
      <c r="M46" s="376" t="s">
        <v>201</v>
      </c>
      <c r="N46" s="376" t="s">
        <v>202</v>
      </c>
      <c r="O46" s="379">
        <v>0</v>
      </c>
      <c r="P46" s="460">
        <v>0</v>
      </c>
      <c r="Q46" s="460">
        <v>0</v>
      </c>
      <c r="R46" s="380">
        <v>80</v>
      </c>
      <c r="S46" s="460">
        <v>0</v>
      </c>
      <c r="T46" s="380">
        <v>63.9</v>
      </c>
      <c r="U46" s="380">
        <v>0</v>
      </c>
      <c r="V46" s="380">
        <v>32.799999999999997</v>
      </c>
      <c r="W46" s="380">
        <v>0</v>
      </c>
      <c r="X46" s="380">
        <v>0</v>
      </c>
      <c r="Y46" s="380">
        <v>0</v>
      </c>
      <c r="Z46" s="380">
        <v>0</v>
      </c>
      <c r="AA46" s="378"/>
      <c r="AB46" s="376" t="s">
        <v>45</v>
      </c>
      <c r="AC46" s="376" t="s">
        <v>45</v>
      </c>
      <c r="AD46" s="378"/>
      <c r="AE46" s="378"/>
      <c r="AF46" s="378"/>
      <c r="AG46" s="378"/>
      <c r="AH46" s="379">
        <v>0</v>
      </c>
      <c r="AI46" s="379">
        <v>0</v>
      </c>
      <c r="AJ46" s="378"/>
      <c r="AK46" s="378"/>
      <c r="AL46" s="376" t="s">
        <v>180</v>
      </c>
      <c r="AM46" s="378"/>
      <c r="AN46" s="378"/>
      <c r="AO46" s="379">
        <v>0</v>
      </c>
      <c r="AP46" s="460">
        <v>0</v>
      </c>
      <c r="AQ46" s="460">
        <v>0</v>
      </c>
      <c r="AR46" s="459"/>
      <c r="AS46" s="462">
        <f t="shared" si="0"/>
        <v>0</v>
      </c>
      <c r="AT46">
        <f t="shared" si="1"/>
        <v>0</v>
      </c>
      <c r="AU46" s="462" t="str">
        <f>IF(AT46=0,"",IF(AND(AT46=1,M46="F",SUMIF(C2:C698,C46,AS2:AS698)&lt;=1),SUMIF(C2:C698,C46,AS2:AS698),IF(AND(AT46=1,M46="F",SUMIF(C2:C698,C46,AS2:AS698)&gt;1),1,"")))</f>
        <v/>
      </c>
      <c r="AV46" s="462" t="str">
        <f>IF(AT46=0,"",IF(AND(AT46=3,M46="F",SUMIF(C2:C698,C46,AS2:AS698)&lt;=1),SUMIF(C2:C698,C46,AS2:AS698),IF(AND(AT46=3,M46="F",SUMIF(C2:C698,C46,AS2:AS698)&gt;1),1,"")))</f>
        <v/>
      </c>
      <c r="AW46" s="462">
        <f>SUMIF(C2:C698,C46,O2:O698)</f>
        <v>0</v>
      </c>
      <c r="AX46" s="462">
        <f>IF(AND(M46="F",AS46&lt;&gt;0),SUMIF(C2:C698,C46,W2:W698),0)</f>
        <v>0</v>
      </c>
      <c r="AY46" s="462" t="str">
        <f t="shared" si="2"/>
        <v/>
      </c>
      <c r="AZ46" s="462" t="str">
        <f t="shared" si="3"/>
        <v/>
      </c>
      <c r="BA46" s="462">
        <f t="shared" si="4"/>
        <v>0</v>
      </c>
      <c r="BB46" s="462">
        <f>IF(AND(AT46=1,AK46="E",AU46&gt;=0.75,AW46=1),Health,IF(AND(AT46=1,AK46="E",AU46&gt;=0.75),Health*P46,IF(AND(AT46=1,AK46="E",AU46&gt;=0.5,AW46=1),PTHealth,IF(AND(AT46=1,AK46="E",AU46&gt;=0.5),PTHealth*P46,0))))</f>
        <v>0</v>
      </c>
      <c r="BC46" s="462">
        <f>IF(AND(AT46=3,AK46="E",AV46&gt;=0.75,AW46=1),Health,IF(AND(AT46=3,AK46="E",AV46&gt;=0.75),Health*P46,IF(AND(AT46=3,AK46="E",AV46&gt;=0.5,AW46=1),PTHealth,IF(AND(AT46=3,AK46="E",AV46&gt;=0.5),PTHealth*P46,0))))</f>
        <v>0</v>
      </c>
      <c r="BD46" s="462">
        <f>IF(AND(AT46&lt;&gt;0,AX46&gt;=MAXSSDI),SSDI*MAXSSDI*P46,IF(AT46&lt;&gt;0,SSDI*W46,0))</f>
        <v>0</v>
      </c>
      <c r="BE46" s="462">
        <f>IF(AT46&lt;&gt;0,SSHI*W46,0)</f>
        <v>0</v>
      </c>
      <c r="BF46" s="462">
        <f>IF(AND(AT46&lt;&gt;0,AN46&lt;&gt;"NE"),VLOOKUP(AN46,Retirement_Rates,3,FALSE)*W46,0)</f>
        <v>0</v>
      </c>
      <c r="BG46" s="462">
        <f>IF(AND(AT46&lt;&gt;0,AJ46&lt;&gt;"PF"),Life*W46,0)</f>
        <v>0</v>
      </c>
      <c r="BH46" s="462">
        <f>IF(AND(AT46&lt;&gt;0,AM46="Y"),UI*W46,0)</f>
        <v>0</v>
      </c>
      <c r="BI46" s="462">
        <f>IF(AND(AT46&lt;&gt;0,N46&lt;&gt;"NR"),DHR*W46,0)</f>
        <v>0</v>
      </c>
      <c r="BJ46" s="462">
        <f>IF(AT46&lt;&gt;0,WC*W46,0)</f>
        <v>0</v>
      </c>
      <c r="BK46" s="462">
        <f>IF(OR(AND(AT46&lt;&gt;0,AJ46&lt;&gt;"PF",AN46&lt;&gt;"NE",AG46&lt;&gt;"A"),AND(AL46="E",OR(AT46=1,AT46=3))),Sick*W46,0)</f>
        <v>0</v>
      </c>
      <c r="BL46" s="462">
        <f t="shared" si="5"/>
        <v>0</v>
      </c>
      <c r="BM46" s="462">
        <f t="shared" si="6"/>
        <v>0</v>
      </c>
      <c r="BN46" s="462">
        <f>IF(AND(AT46=1,AK46="E",AU46&gt;=0.75,AW46=1),HealthBY,IF(AND(AT46=1,AK46="E",AU46&gt;=0.75),HealthBY*P46,IF(AND(AT46=1,AK46="E",AU46&gt;=0.5,AW46=1),PTHealthBY,IF(AND(AT46=1,AK46="E",AU46&gt;=0.5),PTHealthBY*P46,0))))</f>
        <v>0</v>
      </c>
      <c r="BO46" s="462">
        <f>IF(AND(AT46=3,AK46="E",AV46&gt;=0.75,AW46=1),HealthBY,IF(AND(AT46=3,AK46="E",AV46&gt;=0.75),HealthBY*P46,IF(AND(AT46=3,AK46="E",AV46&gt;=0.5,AW46=1),PTHealthBY,IF(AND(AT46=3,AK46="E",AV46&gt;=0.5),PTHealthBY*P46,0))))</f>
        <v>0</v>
      </c>
      <c r="BP46" s="462">
        <f>IF(AND(AT46&lt;&gt;0,(AX46+BA46)&gt;=MAXSSDIBY),SSDIBY*MAXSSDIBY*P46,IF(AT46&lt;&gt;0,SSDIBY*W46,0))</f>
        <v>0</v>
      </c>
      <c r="BQ46" s="462">
        <f>IF(AT46&lt;&gt;0,SSHIBY*W46,0)</f>
        <v>0</v>
      </c>
      <c r="BR46" s="462">
        <f>IF(AND(AT46&lt;&gt;0,AN46&lt;&gt;"NE"),VLOOKUP(AN46,Retirement_Rates,4,FALSE)*W46,0)</f>
        <v>0</v>
      </c>
      <c r="BS46" s="462">
        <f>IF(AND(AT46&lt;&gt;0,AJ46&lt;&gt;"PF"),LifeBY*W46,0)</f>
        <v>0</v>
      </c>
      <c r="BT46" s="462">
        <f>IF(AND(AT46&lt;&gt;0,AM46="Y"),UIBY*W46,0)</f>
        <v>0</v>
      </c>
      <c r="BU46" s="462">
        <f>IF(AND(AT46&lt;&gt;0,N46&lt;&gt;"NR"),DHRBY*W46,0)</f>
        <v>0</v>
      </c>
      <c r="BV46" s="462">
        <f>IF(AT46&lt;&gt;0,WCBY*W46,0)</f>
        <v>0</v>
      </c>
      <c r="BW46" s="462">
        <f>IF(OR(AND(AT46&lt;&gt;0,AJ46&lt;&gt;"PF",AN46&lt;&gt;"NE",AG46&lt;&gt;"A"),AND(AL46="E",OR(AT46=1,AT46=3))),SickBY*W46,0)</f>
        <v>0</v>
      </c>
      <c r="BX46" s="462">
        <f t="shared" si="7"/>
        <v>0</v>
      </c>
      <c r="BY46" s="462">
        <f t="shared" si="8"/>
        <v>0</v>
      </c>
      <c r="BZ46" s="462">
        <f t="shared" si="9"/>
        <v>0</v>
      </c>
      <c r="CA46" s="462">
        <f t="shared" si="10"/>
        <v>0</v>
      </c>
      <c r="CB46" s="462">
        <f t="shared" si="11"/>
        <v>0</v>
      </c>
      <c r="CC46" s="462">
        <f>IF(AT46&lt;&gt;0,SSHICHG*Y46,0)</f>
        <v>0</v>
      </c>
      <c r="CD46" s="462">
        <f>IF(AND(AT46&lt;&gt;0,AN46&lt;&gt;"NE"),VLOOKUP(AN46,Retirement_Rates,5,FALSE)*Y46,0)</f>
        <v>0</v>
      </c>
      <c r="CE46" s="462">
        <f>IF(AND(AT46&lt;&gt;0,AJ46&lt;&gt;"PF"),LifeCHG*Y46,0)</f>
        <v>0</v>
      </c>
      <c r="CF46" s="462">
        <f>IF(AND(AT46&lt;&gt;0,AM46="Y"),UICHG*Y46,0)</f>
        <v>0</v>
      </c>
      <c r="CG46" s="462">
        <f>IF(AND(AT46&lt;&gt;0,N46&lt;&gt;"NR"),DHRCHG*Y46,0)</f>
        <v>0</v>
      </c>
      <c r="CH46" s="462">
        <f>IF(AT46&lt;&gt;0,WCCHG*Y46,0)</f>
        <v>0</v>
      </c>
      <c r="CI46" s="462">
        <f>IF(OR(AND(AT46&lt;&gt;0,AJ46&lt;&gt;"PF",AN46&lt;&gt;"NE",AG46&lt;&gt;"A"),AND(AL46="E",OR(AT46=1,AT46=3))),SickCHG*Y46,0)</f>
        <v>0</v>
      </c>
      <c r="CJ46" s="462">
        <f t="shared" si="12"/>
        <v>0</v>
      </c>
      <c r="CK46" s="462" t="str">
        <f t="shared" si="13"/>
        <v/>
      </c>
      <c r="CL46" s="462" t="str">
        <f t="shared" si="14"/>
        <v/>
      </c>
      <c r="CM46" s="462" t="str">
        <f t="shared" si="15"/>
        <v/>
      </c>
      <c r="CN46" s="462" t="str">
        <f t="shared" si="16"/>
        <v>0001-00</v>
      </c>
    </row>
    <row r="47" spans="1:92" ht="15" thickBot="1" x14ac:dyDescent="0.35">
      <c r="A47" s="376" t="s">
        <v>161</v>
      </c>
      <c r="B47" s="376" t="s">
        <v>162</v>
      </c>
      <c r="C47" s="376" t="s">
        <v>364</v>
      </c>
      <c r="D47" s="376" t="s">
        <v>365</v>
      </c>
      <c r="E47" s="376" t="s">
        <v>165</v>
      </c>
      <c r="F47" s="377" t="s">
        <v>166</v>
      </c>
      <c r="G47" s="376" t="s">
        <v>356</v>
      </c>
      <c r="H47" s="378"/>
      <c r="I47" s="378"/>
      <c r="J47" s="376" t="s">
        <v>168</v>
      </c>
      <c r="K47" s="376" t="s">
        <v>366</v>
      </c>
      <c r="L47" s="376" t="s">
        <v>274</v>
      </c>
      <c r="M47" s="376" t="s">
        <v>170</v>
      </c>
      <c r="N47" s="376" t="s">
        <v>202</v>
      </c>
      <c r="O47" s="379">
        <v>1</v>
      </c>
      <c r="P47" s="460">
        <v>1</v>
      </c>
      <c r="Q47" s="460">
        <v>1</v>
      </c>
      <c r="R47" s="380">
        <v>80</v>
      </c>
      <c r="S47" s="460">
        <v>1</v>
      </c>
      <c r="T47" s="380">
        <v>34141.42</v>
      </c>
      <c r="U47" s="380">
        <v>0</v>
      </c>
      <c r="V47" s="380">
        <v>17654.310000000001</v>
      </c>
      <c r="W47" s="380">
        <v>38396.800000000003</v>
      </c>
      <c r="X47" s="380">
        <v>20341.86</v>
      </c>
      <c r="Y47" s="380">
        <v>38396.800000000003</v>
      </c>
      <c r="Z47" s="380">
        <v>20242.03</v>
      </c>
      <c r="AA47" s="376" t="s">
        <v>367</v>
      </c>
      <c r="AB47" s="376" t="s">
        <v>368</v>
      </c>
      <c r="AC47" s="376" t="s">
        <v>369</v>
      </c>
      <c r="AD47" s="376" t="s">
        <v>370</v>
      </c>
      <c r="AE47" s="376" t="s">
        <v>366</v>
      </c>
      <c r="AF47" s="376" t="s">
        <v>279</v>
      </c>
      <c r="AG47" s="376" t="s">
        <v>177</v>
      </c>
      <c r="AH47" s="381">
        <v>18.46</v>
      </c>
      <c r="AI47" s="379">
        <v>16594</v>
      </c>
      <c r="AJ47" s="376" t="s">
        <v>178</v>
      </c>
      <c r="AK47" s="376" t="s">
        <v>179</v>
      </c>
      <c r="AL47" s="376" t="s">
        <v>180</v>
      </c>
      <c r="AM47" s="376" t="s">
        <v>181</v>
      </c>
      <c r="AN47" s="376" t="s">
        <v>68</v>
      </c>
      <c r="AO47" s="379">
        <v>80</v>
      </c>
      <c r="AP47" s="460">
        <v>1</v>
      </c>
      <c r="AQ47" s="460">
        <v>1</v>
      </c>
      <c r="AR47" s="458" t="s">
        <v>182</v>
      </c>
      <c r="AS47" s="462">
        <f t="shared" si="0"/>
        <v>1</v>
      </c>
      <c r="AT47">
        <f t="shared" si="1"/>
        <v>1</v>
      </c>
      <c r="AU47" s="462">
        <f>IF(AT47=0,"",IF(AND(AT47=1,M47="F",SUMIF(C2:C698,C47,AS2:AS698)&lt;=1),SUMIF(C2:C698,C47,AS2:AS698),IF(AND(AT47=1,M47="F",SUMIF(C2:C698,C47,AS2:AS698)&gt;1),1,"")))</f>
        <v>1</v>
      </c>
      <c r="AV47" s="462" t="str">
        <f>IF(AT47=0,"",IF(AND(AT47=3,M47="F",SUMIF(C2:C698,C47,AS2:AS698)&lt;=1),SUMIF(C2:C698,C47,AS2:AS698),IF(AND(AT47=3,M47="F",SUMIF(C2:C698,C47,AS2:AS698)&gt;1),1,"")))</f>
        <v/>
      </c>
      <c r="AW47" s="462">
        <f>SUMIF(C2:C698,C47,O2:O698)</f>
        <v>7</v>
      </c>
      <c r="AX47" s="462">
        <f>IF(AND(M47="F",AS47&lt;&gt;0),SUMIF(C2:C698,C47,W2:W698),0)</f>
        <v>38396.800000000003</v>
      </c>
      <c r="AY47" s="462">
        <f t="shared" si="2"/>
        <v>38396.800000000003</v>
      </c>
      <c r="AZ47" s="462" t="str">
        <f t="shared" si="3"/>
        <v/>
      </c>
      <c r="BA47" s="462">
        <f t="shared" si="4"/>
        <v>0</v>
      </c>
      <c r="BB47" s="462">
        <f>IF(AND(AT47=1,AK47="E",AU47&gt;=0.75,AW47=1),Health,IF(AND(AT47=1,AK47="E",AU47&gt;=0.75),Health*P47,IF(AND(AT47=1,AK47="E",AU47&gt;=0.5,AW47=1),PTHealth,IF(AND(AT47=1,AK47="E",AU47&gt;=0.5),PTHealth*P47,0))))</f>
        <v>11650</v>
      </c>
      <c r="BC47" s="462">
        <f>IF(AND(AT47=3,AK47="E",AV47&gt;=0.75,AW47=1),Health,IF(AND(AT47=3,AK47="E",AV47&gt;=0.75),Health*P47,IF(AND(AT47=3,AK47="E",AV47&gt;=0.5,AW47=1),PTHealth,IF(AND(AT47=3,AK47="E",AV47&gt;=0.5),PTHealth*P47,0))))</f>
        <v>0</v>
      </c>
      <c r="BD47" s="462">
        <f>IF(AND(AT47&lt;&gt;0,AX47&gt;=MAXSSDI),SSDI*MAXSSDI*P47,IF(AT47&lt;&gt;0,SSDI*W47,0))</f>
        <v>2380.6016</v>
      </c>
      <c r="BE47" s="462">
        <f>IF(AT47&lt;&gt;0,SSHI*W47,0)</f>
        <v>556.75360000000012</v>
      </c>
      <c r="BF47" s="462">
        <f>IF(AND(AT47&lt;&gt;0,AN47&lt;&gt;"NE"),VLOOKUP(AN47,Retirement_Rates,3,FALSE)*W47,0)</f>
        <v>4584.5779200000006</v>
      </c>
      <c r="BG47" s="462">
        <f>IF(AND(AT47&lt;&gt;0,AJ47&lt;&gt;"PF"),Life*W47,0)</f>
        <v>276.84092800000002</v>
      </c>
      <c r="BH47" s="462">
        <f>IF(AND(AT47&lt;&gt;0,AM47="Y"),UI*W47,0)</f>
        <v>188.14432000000002</v>
      </c>
      <c r="BI47" s="462">
        <f>IF(AND(AT47&lt;&gt;0,N47&lt;&gt;"NR"),DHR*W47,0)</f>
        <v>117.494208</v>
      </c>
      <c r="BJ47" s="462">
        <f>IF(AT47&lt;&gt;0,WC*W47,0)</f>
        <v>587.47104000000002</v>
      </c>
      <c r="BK47" s="462">
        <f>IF(OR(AND(AT47&lt;&gt;0,AJ47&lt;&gt;"PF",AN47&lt;&gt;"NE",AG47&lt;&gt;"A"),AND(AL47="E",OR(AT47=1,AT47=3))),Sick*W47,0)</f>
        <v>0</v>
      </c>
      <c r="BL47" s="462">
        <f t="shared" si="5"/>
        <v>8691.883616000001</v>
      </c>
      <c r="BM47" s="462">
        <f t="shared" si="6"/>
        <v>0</v>
      </c>
      <c r="BN47" s="462">
        <f>IF(AND(AT47=1,AK47="E",AU47&gt;=0.75,AW47=1),HealthBY,IF(AND(AT47=1,AK47="E",AU47&gt;=0.75),HealthBY*P47,IF(AND(AT47=1,AK47="E",AU47&gt;=0.5,AW47=1),PTHealthBY,IF(AND(AT47=1,AK47="E",AU47&gt;=0.5),PTHealthBY*P47,0))))</f>
        <v>11650</v>
      </c>
      <c r="BO47" s="462">
        <f>IF(AND(AT47=3,AK47="E",AV47&gt;=0.75,AW47=1),HealthBY,IF(AND(AT47=3,AK47="E",AV47&gt;=0.75),HealthBY*P47,IF(AND(AT47=3,AK47="E",AV47&gt;=0.5,AW47=1),PTHealthBY,IF(AND(AT47=3,AK47="E",AV47&gt;=0.5),PTHealthBY*P47,0))))</f>
        <v>0</v>
      </c>
      <c r="BP47" s="462">
        <f>IF(AND(AT47&lt;&gt;0,(AX47+BA47)&gt;=MAXSSDIBY),SSDIBY*MAXSSDIBY*P47,IF(AT47&lt;&gt;0,SSDIBY*W47,0))</f>
        <v>2380.6016</v>
      </c>
      <c r="BQ47" s="462">
        <f>IF(AT47&lt;&gt;0,SSHIBY*W47,0)</f>
        <v>556.75360000000012</v>
      </c>
      <c r="BR47" s="462">
        <f>IF(AND(AT47&lt;&gt;0,AN47&lt;&gt;"NE"),VLOOKUP(AN47,Retirement_Rates,4,FALSE)*W47,0)</f>
        <v>4584.5779200000006</v>
      </c>
      <c r="BS47" s="462">
        <f>IF(AND(AT47&lt;&gt;0,AJ47&lt;&gt;"PF"),LifeBY*W47,0)</f>
        <v>276.84092800000002</v>
      </c>
      <c r="BT47" s="462">
        <f>IF(AND(AT47&lt;&gt;0,AM47="Y"),UIBY*W47,0)</f>
        <v>0</v>
      </c>
      <c r="BU47" s="462">
        <f>IF(AND(AT47&lt;&gt;0,N47&lt;&gt;"NR"),DHRBY*W47,0)</f>
        <v>117.494208</v>
      </c>
      <c r="BV47" s="462">
        <f>IF(AT47&lt;&gt;0,WCBY*W47,0)</f>
        <v>675.78368000000012</v>
      </c>
      <c r="BW47" s="462">
        <f>IF(OR(AND(AT47&lt;&gt;0,AJ47&lt;&gt;"PF",AN47&lt;&gt;"NE",AG47&lt;&gt;"A"),AND(AL47="E",OR(AT47=1,AT47=3))),SickBY*W47,0)</f>
        <v>0</v>
      </c>
      <c r="BX47" s="462">
        <f t="shared" si="7"/>
        <v>8592.0519359999998</v>
      </c>
      <c r="BY47" s="462">
        <f t="shared" si="8"/>
        <v>0</v>
      </c>
      <c r="BZ47" s="462">
        <f t="shared" si="9"/>
        <v>0</v>
      </c>
      <c r="CA47" s="462">
        <f t="shared" si="10"/>
        <v>0</v>
      </c>
      <c r="CB47" s="462">
        <f t="shared" si="11"/>
        <v>0</v>
      </c>
      <c r="CC47" s="462">
        <f>IF(AT47&lt;&gt;0,SSHICHG*Y47,0)</f>
        <v>0</v>
      </c>
      <c r="CD47" s="462">
        <f>IF(AND(AT47&lt;&gt;0,AN47&lt;&gt;"NE"),VLOOKUP(AN47,Retirement_Rates,5,FALSE)*Y47,0)</f>
        <v>0</v>
      </c>
      <c r="CE47" s="462">
        <f>IF(AND(AT47&lt;&gt;0,AJ47&lt;&gt;"PF"),LifeCHG*Y47,0)</f>
        <v>0</v>
      </c>
      <c r="CF47" s="462">
        <f>IF(AND(AT47&lt;&gt;0,AM47="Y"),UICHG*Y47,0)</f>
        <v>-188.14432000000002</v>
      </c>
      <c r="CG47" s="462">
        <f>IF(AND(AT47&lt;&gt;0,N47&lt;&gt;"NR"),DHRCHG*Y47,0)</f>
        <v>0</v>
      </c>
      <c r="CH47" s="462">
        <f>IF(AT47&lt;&gt;0,WCCHG*Y47,0)</f>
        <v>88.312640000000073</v>
      </c>
      <c r="CI47" s="462">
        <f>IF(OR(AND(AT47&lt;&gt;0,AJ47&lt;&gt;"PF",AN47&lt;&gt;"NE",AG47&lt;&gt;"A"),AND(AL47="E",OR(AT47=1,AT47=3))),SickCHG*Y47,0)</f>
        <v>0</v>
      </c>
      <c r="CJ47" s="462">
        <f t="shared" si="12"/>
        <v>-99.831679999999949</v>
      </c>
      <c r="CK47" s="462" t="str">
        <f t="shared" si="13"/>
        <v/>
      </c>
      <c r="CL47" s="462" t="str">
        <f t="shared" si="14"/>
        <v/>
      </c>
      <c r="CM47" s="462" t="str">
        <f t="shared" si="15"/>
        <v/>
      </c>
      <c r="CN47" s="462" t="str">
        <f t="shared" si="16"/>
        <v>0001-00</v>
      </c>
    </row>
    <row r="48" spans="1:92" ht="15" thickBot="1" x14ac:dyDescent="0.35">
      <c r="A48" s="376" t="s">
        <v>161</v>
      </c>
      <c r="B48" s="376" t="s">
        <v>162</v>
      </c>
      <c r="C48" s="376" t="s">
        <v>371</v>
      </c>
      <c r="D48" s="376" t="s">
        <v>372</v>
      </c>
      <c r="E48" s="376" t="s">
        <v>165</v>
      </c>
      <c r="F48" s="377" t="s">
        <v>166</v>
      </c>
      <c r="G48" s="376" t="s">
        <v>356</v>
      </c>
      <c r="H48" s="378"/>
      <c r="I48" s="378"/>
      <c r="J48" s="376" t="s">
        <v>185</v>
      </c>
      <c r="K48" s="376" t="s">
        <v>373</v>
      </c>
      <c r="L48" s="376" t="s">
        <v>374</v>
      </c>
      <c r="M48" s="376" t="s">
        <v>170</v>
      </c>
      <c r="N48" s="376" t="s">
        <v>202</v>
      </c>
      <c r="O48" s="379">
        <v>1</v>
      </c>
      <c r="P48" s="460">
        <v>0.5</v>
      </c>
      <c r="Q48" s="460">
        <v>0.5</v>
      </c>
      <c r="R48" s="380">
        <v>80</v>
      </c>
      <c r="S48" s="460">
        <v>0.5</v>
      </c>
      <c r="T48" s="380">
        <v>41811.94</v>
      </c>
      <c r="U48" s="380">
        <v>0</v>
      </c>
      <c r="V48" s="380">
        <v>14577.08</v>
      </c>
      <c r="W48" s="380">
        <v>43357.599999999999</v>
      </c>
      <c r="X48" s="380">
        <v>15639.84</v>
      </c>
      <c r="Y48" s="380">
        <v>43357.599999999999</v>
      </c>
      <c r="Z48" s="380">
        <v>15527.11</v>
      </c>
      <c r="AA48" s="376" t="s">
        <v>375</v>
      </c>
      <c r="AB48" s="376" t="s">
        <v>376</v>
      </c>
      <c r="AC48" s="376" t="s">
        <v>377</v>
      </c>
      <c r="AD48" s="376" t="s">
        <v>225</v>
      </c>
      <c r="AE48" s="376" t="s">
        <v>373</v>
      </c>
      <c r="AF48" s="376" t="s">
        <v>378</v>
      </c>
      <c r="AG48" s="376" t="s">
        <v>177</v>
      </c>
      <c r="AH48" s="381">
        <v>41.69</v>
      </c>
      <c r="AI48" s="379">
        <v>17599</v>
      </c>
      <c r="AJ48" s="376" t="s">
        <v>178</v>
      </c>
      <c r="AK48" s="376" t="s">
        <v>179</v>
      </c>
      <c r="AL48" s="376" t="s">
        <v>180</v>
      </c>
      <c r="AM48" s="376" t="s">
        <v>181</v>
      </c>
      <c r="AN48" s="376" t="s">
        <v>68</v>
      </c>
      <c r="AO48" s="379">
        <v>80</v>
      </c>
      <c r="AP48" s="460">
        <v>1</v>
      </c>
      <c r="AQ48" s="460">
        <v>0.5</v>
      </c>
      <c r="AR48" s="458" t="s">
        <v>182</v>
      </c>
      <c r="AS48" s="462">
        <f t="shared" si="0"/>
        <v>0.5</v>
      </c>
      <c r="AT48">
        <f t="shared" si="1"/>
        <v>1</v>
      </c>
      <c r="AU48" s="462">
        <f>IF(AT48=0,"",IF(AND(AT48=1,M48="F",SUMIF(C2:C698,C48,AS2:AS698)&lt;=1),SUMIF(C2:C698,C48,AS2:AS698),IF(AND(AT48=1,M48="F",SUMIF(C2:C698,C48,AS2:AS698)&gt;1),1,"")))</f>
        <v>1</v>
      </c>
      <c r="AV48" s="462" t="str">
        <f>IF(AT48=0,"",IF(AND(AT48=3,M48="F",SUMIF(C2:C698,C48,AS2:AS698)&lt;=1),SUMIF(C2:C698,C48,AS2:AS698),IF(AND(AT48=3,M48="F",SUMIF(C2:C698,C48,AS2:AS698)&gt;1),1,"")))</f>
        <v/>
      </c>
      <c r="AW48" s="462">
        <f>SUMIF(C2:C698,C48,O2:O698)</f>
        <v>2</v>
      </c>
      <c r="AX48" s="462">
        <f>IF(AND(M48="F",AS48&lt;&gt;0),SUMIF(C2:C698,C48,W2:W698),0)</f>
        <v>86715.199999999997</v>
      </c>
      <c r="AY48" s="462">
        <f t="shared" si="2"/>
        <v>43357.599999999999</v>
      </c>
      <c r="AZ48" s="462" t="str">
        <f t="shared" si="3"/>
        <v/>
      </c>
      <c r="BA48" s="462">
        <f t="shared" si="4"/>
        <v>0</v>
      </c>
      <c r="BB48" s="462">
        <f>IF(AND(AT48=1,AK48="E",AU48&gt;=0.75,AW48=1),Health,IF(AND(AT48=1,AK48="E",AU48&gt;=0.75),Health*P48,IF(AND(AT48=1,AK48="E",AU48&gt;=0.5,AW48=1),PTHealth,IF(AND(AT48=1,AK48="E",AU48&gt;=0.5),PTHealth*P48,0))))</f>
        <v>5825</v>
      </c>
      <c r="BC48" s="462">
        <f>IF(AND(AT48=3,AK48="E",AV48&gt;=0.75,AW48=1),Health,IF(AND(AT48=3,AK48="E",AV48&gt;=0.75),Health*P48,IF(AND(AT48=3,AK48="E",AV48&gt;=0.5,AW48=1),PTHealth,IF(AND(AT48=3,AK48="E",AV48&gt;=0.5),PTHealth*P48,0))))</f>
        <v>0</v>
      </c>
      <c r="BD48" s="462">
        <f>IF(AND(AT48&lt;&gt;0,AX48&gt;=MAXSSDI),SSDI*MAXSSDI*P48,IF(AT48&lt;&gt;0,SSDI*W48,0))</f>
        <v>2688.1711999999998</v>
      </c>
      <c r="BE48" s="462">
        <f>IF(AT48&lt;&gt;0,SSHI*W48,0)</f>
        <v>628.68520000000001</v>
      </c>
      <c r="BF48" s="462">
        <f>IF(AND(AT48&lt;&gt;0,AN48&lt;&gt;"NE"),VLOOKUP(AN48,Retirement_Rates,3,FALSE)*W48,0)</f>
        <v>5176.8974399999997</v>
      </c>
      <c r="BG48" s="462">
        <f>IF(AND(AT48&lt;&gt;0,AJ48&lt;&gt;"PF"),Life*W48,0)</f>
        <v>312.608296</v>
      </c>
      <c r="BH48" s="462">
        <f>IF(AND(AT48&lt;&gt;0,AM48="Y"),UI*W48,0)</f>
        <v>212.45223999999999</v>
      </c>
      <c r="BI48" s="462">
        <f>IF(AND(AT48&lt;&gt;0,N48&lt;&gt;"NR"),DHR*W48,0)</f>
        <v>132.67425599999999</v>
      </c>
      <c r="BJ48" s="462">
        <f>IF(AT48&lt;&gt;0,WC*W48,0)</f>
        <v>663.37127999999996</v>
      </c>
      <c r="BK48" s="462">
        <f>IF(OR(AND(AT48&lt;&gt;0,AJ48&lt;&gt;"PF",AN48&lt;&gt;"NE",AG48&lt;&gt;"A"),AND(AL48="E",OR(AT48=1,AT48=3))),Sick*W48,0)</f>
        <v>0</v>
      </c>
      <c r="BL48" s="462">
        <f t="shared" si="5"/>
        <v>9814.8599119999999</v>
      </c>
      <c r="BM48" s="462">
        <f t="shared" si="6"/>
        <v>0</v>
      </c>
      <c r="BN48" s="462">
        <f>IF(AND(AT48=1,AK48="E",AU48&gt;=0.75,AW48=1),HealthBY,IF(AND(AT48=1,AK48="E",AU48&gt;=0.75),HealthBY*P48,IF(AND(AT48=1,AK48="E",AU48&gt;=0.5,AW48=1),PTHealthBY,IF(AND(AT48=1,AK48="E",AU48&gt;=0.5),PTHealthBY*P48,0))))</f>
        <v>5825</v>
      </c>
      <c r="BO48" s="462">
        <f>IF(AND(AT48=3,AK48="E",AV48&gt;=0.75,AW48=1),HealthBY,IF(AND(AT48=3,AK48="E",AV48&gt;=0.75),HealthBY*P48,IF(AND(AT48=3,AK48="E",AV48&gt;=0.5,AW48=1),PTHealthBY,IF(AND(AT48=3,AK48="E",AV48&gt;=0.5),PTHealthBY*P48,0))))</f>
        <v>0</v>
      </c>
      <c r="BP48" s="462">
        <f>IF(AND(AT48&lt;&gt;0,(AX48+BA48)&gt;=MAXSSDIBY),SSDIBY*MAXSSDIBY*P48,IF(AT48&lt;&gt;0,SSDIBY*W48,0))</f>
        <v>2688.1711999999998</v>
      </c>
      <c r="BQ48" s="462">
        <f>IF(AT48&lt;&gt;0,SSHIBY*W48,0)</f>
        <v>628.68520000000001</v>
      </c>
      <c r="BR48" s="462">
        <f>IF(AND(AT48&lt;&gt;0,AN48&lt;&gt;"NE"),VLOOKUP(AN48,Retirement_Rates,4,FALSE)*W48,0)</f>
        <v>5176.8974399999997</v>
      </c>
      <c r="BS48" s="462">
        <f>IF(AND(AT48&lt;&gt;0,AJ48&lt;&gt;"PF"),LifeBY*W48,0)</f>
        <v>312.608296</v>
      </c>
      <c r="BT48" s="462">
        <f>IF(AND(AT48&lt;&gt;0,AM48="Y"),UIBY*W48,0)</f>
        <v>0</v>
      </c>
      <c r="BU48" s="462">
        <f>IF(AND(AT48&lt;&gt;0,N48&lt;&gt;"NR"),DHRBY*W48,0)</f>
        <v>132.67425599999999</v>
      </c>
      <c r="BV48" s="462">
        <f>IF(AT48&lt;&gt;0,WCBY*W48,0)</f>
        <v>763.09375999999997</v>
      </c>
      <c r="BW48" s="462">
        <f>IF(OR(AND(AT48&lt;&gt;0,AJ48&lt;&gt;"PF",AN48&lt;&gt;"NE",AG48&lt;&gt;"A"),AND(AL48="E",OR(AT48=1,AT48=3))),SickBY*W48,0)</f>
        <v>0</v>
      </c>
      <c r="BX48" s="462">
        <f t="shared" si="7"/>
        <v>9702.1301519999997</v>
      </c>
      <c r="BY48" s="462">
        <f t="shared" si="8"/>
        <v>0</v>
      </c>
      <c r="BZ48" s="462">
        <f t="shared" si="9"/>
        <v>0</v>
      </c>
      <c r="CA48" s="462">
        <f t="shared" si="10"/>
        <v>0</v>
      </c>
      <c r="CB48" s="462">
        <f t="shared" si="11"/>
        <v>0</v>
      </c>
      <c r="CC48" s="462">
        <f>IF(AT48&lt;&gt;0,SSHICHG*Y48,0)</f>
        <v>0</v>
      </c>
      <c r="CD48" s="462">
        <f>IF(AND(AT48&lt;&gt;0,AN48&lt;&gt;"NE"),VLOOKUP(AN48,Retirement_Rates,5,FALSE)*Y48,0)</f>
        <v>0</v>
      </c>
      <c r="CE48" s="462">
        <f>IF(AND(AT48&lt;&gt;0,AJ48&lt;&gt;"PF"),LifeCHG*Y48,0)</f>
        <v>0</v>
      </c>
      <c r="CF48" s="462">
        <f>IF(AND(AT48&lt;&gt;0,AM48="Y"),UICHG*Y48,0)</f>
        <v>-212.45223999999999</v>
      </c>
      <c r="CG48" s="462">
        <f>IF(AND(AT48&lt;&gt;0,N48&lt;&gt;"NR"),DHRCHG*Y48,0)</f>
        <v>0</v>
      </c>
      <c r="CH48" s="462">
        <f>IF(AT48&lt;&gt;0,WCCHG*Y48,0)</f>
        <v>99.722480000000076</v>
      </c>
      <c r="CI48" s="462">
        <f>IF(OR(AND(AT48&lt;&gt;0,AJ48&lt;&gt;"PF",AN48&lt;&gt;"NE",AG48&lt;&gt;"A"),AND(AL48="E",OR(AT48=1,AT48=3))),SickCHG*Y48,0)</f>
        <v>0</v>
      </c>
      <c r="CJ48" s="462">
        <f t="shared" si="12"/>
        <v>-112.72975999999991</v>
      </c>
      <c r="CK48" s="462" t="str">
        <f t="shared" si="13"/>
        <v/>
      </c>
      <c r="CL48" s="462" t="str">
        <f t="shared" si="14"/>
        <v/>
      </c>
      <c r="CM48" s="462" t="str">
        <f t="shared" si="15"/>
        <v/>
      </c>
      <c r="CN48" s="462" t="str">
        <f t="shared" si="16"/>
        <v>0001-00</v>
      </c>
    </row>
    <row r="49" spans="1:92" ht="15" thickBot="1" x14ac:dyDescent="0.35">
      <c r="A49" s="376" t="s">
        <v>161</v>
      </c>
      <c r="B49" s="376" t="s">
        <v>162</v>
      </c>
      <c r="C49" s="376" t="s">
        <v>379</v>
      </c>
      <c r="D49" s="376" t="s">
        <v>380</v>
      </c>
      <c r="E49" s="376" t="s">
        <v>165</v>
      </c>
      <c r="F49" s="377" t="s">
        <v>166</v>
      </c>
      <c r="G49" s="376" t="s">
        <v>356</v>
      </c>
      <c r="H49" s="378"/>
      <c r="I49" s="378"/>
      <c r="J49" s="376" t="s">
        <v>168</v>
      </c>
      <c r="K49" s="376" t="s">
        <v>381</v>
      </c>
      <c r="L49" s="376" t="s">
        <v>247</v>
      </c>
      <c r="M49" s="376" t="s">
        <v>225</v>
      </c>
      <c r="N49" s="376" t="s">
        <v>202</v>
      </c>
      <c r="O49" s="379">
        <v>0</v>
      </c>
      <c r="P49" s="460">
        <v>0</v>
      </c>
      <c r="Q49" s="460">
        <v>0</v>
      </c>
      <c r="R49" s="380">
        <v>80</v>
      </c>
      <c r="S49" s="460">
        <v>0</v>
      </c>
      <c r="T49" s="380">
        <v>0</v>
      </c>
      <c r="U49" s="380">
        <v>0</v>
      </c>
      <c r="V49" s="380">
        <v>-485.42</v>
      </c>
      <c r="W49" s="380">
        <v>0</v>
      </c>
      <c r="X49" s="380">
        <v>0</v>
      </c>
      <c r="Y49" s="380">
        <v>0</v>
      </c>
      <c r="Z49" s="380">
        <v>0</v>
      </c>
      <c r="AA49" s="378"/>
      <c r="AB49" s="376" t="s">
        <v>45</v>
      </c>
      <c r="AC49" s="376" t="s">
        <v>45</v>
      </c>
      <c r="AD49" s="378"/>
      <c r="AE49" s="378"/>
      <c r="AF49" s="378"/>
      <c r="AG49" s="378"/>
      <c r="AH49" s="379">
        <v>0</v>
      </c>
      <c r="AI49" s="379">
        <v>0</v>
      </c>
      <c r="AJ49" s="378"/>
      <c r="AK49" s="378"/>
      <c r="AL49" s="376" t="s">
        <v>180</v>
      </c>
      <c r="AM49" s="378"/>
      <c r="AN49" s="378"/>
      <c r="AO49" s="379">
        <v>0</v>
      </c>
      <c r="AP49" s="460">
        <v>0</v>
      </c>
      <c r="AQ49" s="460">
        <v>0</v>
      </c>
      <c r="AR49" s="459"/>
      <c r="AS49" s="462">
        <f t="shared" si="0"/>
        <v>0</v>
      </c>
      <c r="AT49">
        <f t="shared" si="1"/>
        <v>0</v>
      </c>
      <c r="AU49" s="462" t="str">
        <f>IF(AT49=0,"",IF(AND(AT49=1,M49="F",SUMIF(C2:C698,C49,AS2:AS698)&lt;=1),SUMIF(C2:C698,C49,AS2:AS698),IF(AND(AT49=1,M49="F",SUMIF(C2:C698,C49,AS2:AS698)&gt;1),1,"")))</f>
        <v/>
      </c>
      <c r="AV49" s="462" t="str">
        <f>IF(AT49=0,"",IF(AND(AT49=3,M49="F",SUMIF(C2:C698,C49,AS2:AS698)&lt;=1),SUMIF(C2:C698,C49,AS2:AS698),IF(AND(AT49=3,M49="F",SUMIF(C2:C698,C49,AS2:AS698)&gt;1),1,"")))</f>
        <v/>
      </c>
      <c r="AW49" s="462">
        <f>SUMIF(C2:C698,C49,O2:O698)</f>
        <v>0</v>
      </c>
      <c r="AX49" s="462">
        <f>IF(AND(M49="F",AS49&lt;&gt;0),SUMIF(C2:C698,C49,W2:W698),0)</f>
        <v>0</v>
      </c>
      <c r="AY49" s="462" t="str">
        <f t="shared" si="2"/>
        <v/>
      </c>
      <c r="AZ49" s="462" t="str">
        <f t="shared" si="3"/>
        <v/>
      </c>
      <c r="BA49" s="462">
        <f t="shared" si="4"/>
        <v>0</v>
      </c>
      <c r="BB49" s="462">
        <f>IF(AND(AT49=1,AK49="E",AU49&gt;=0.75,AW49=1),Health,IF(AND(AT49=1,AK49="E",AU49&gt;=0.75),Health*P49,IF(AND(AT49=1,AK49="E",AU49&gt;=0.5,AW49=1),PTHealth,IF(AND(AT49=1,AK49="E",AU49&gt;=0.5),PTHealth*P49,0))))</f>
        <v>0</v>
      </c>
      <c r="BC49" s="462">
        <f>IF(AND(AT49=3,AK49="E",AV49&gt;=0.75,AW49=1),Health,IF(AND(AT49=3,AK49="E",AV49&gt;=0.75),Health*P49,IF(AND(AT49=3,AK49="E",AV49&gt;=0.5,AW49=1),PTHealth,IF(AND(AT49=3,AK49="E",AV49&gt;=0.5),PTHealth*P49,0))))</f>
        <v>0</v>
      </c>
      <c r="BD49" s="462">
        <f>IF(AND(AT49&lt;&gt;0,AX49&gt;=MAXSSDI),SSDI*MAXSSDI*P49,IF(AT49&lt;&gt;0,SSDI*W49,0))</f>
        <v>0</v>
      </c>
      <c r="BE49" s="462">
        <f>IF(AT49&lt;&gt;0,SSHI*W49,0)</f>
        <v>0</v>
      </c>
      <c r="BF49" s="462">
        <f>IF(AND(AT49&lt;&gt;0,AN49&lt;&gt;"NE"),VLOOKUP(AN49,Retirement_Rates,3,FALSE)*W49,0)</f>
        <v>0</v>
      </c>
      <c r="BG49" s="462">
        <f>IF(AND(AT49&lt;&gt;0,AJ49&lt;&gt;"PF"),Life*W49,0)</f>
        <v>0</v>
      </c>
      <c r="BH49" s="462">
        <f>IF(AND(AT49&lt;&gt;0,AM49="Y"),UI*W49,0)</f>
        <v>0</v>
      </c>
      <c r="BI49" s="462">
        <f>IF(AND(AT49&lt;&gt;0,N49&lt;&gt;"NR"),DHR*W49,0)</f>
        <v>0</v>
      </c>
      <c r="BJ49" s="462">
        <f>IF(AT49&lt;&gt;0,WC*W49,0)</f>
        <v>0</v>
      </c>
      <c r="BK49" s="462">
        <f>IF(OR(AND(AT49&lt;&gt;0,AJ49&lt;&gt;"PF",AN49&lt;&gt;"NE",AG49&lt;&gt;"A"),AND(AL49="E",OR(AT49=1,AT49=3))),Sick*W49,0)</f>
        <v>0</v>
      </c>
      <c r="BL49" s="462">
        <f t="shared" si="5"/>
        <v>0</v>
      </c>
      <c r="BM49" s="462">
        <f t="shared" si="6"/>
        <v>0</v>
      </c>
      <c r="BN49" s="462">
        <f>IF(AND(AT49=1,AK49="E",AU49&gt;=0.75,AW49=1),HealthBY,IF(AND(AT49=1,AK49="E",AU49&gt;=0.75),HealthBY*P49,IF(AND(AT49=1,AK49="E",AU49&gt;=0.5,AW49=1),PTHealthBY,IF(AND(AT49=1,AK49="E",AU49&gt;=0.5),PTHealthBY*P49,0))))</f>
        <v>0</v>
      </c>
      <c r="BO49" s="462">
        <f>IF(AND(AT49=3,AK49="E",AV49&gt;=0.75,AW49=1),HealthBY,IF(AND(AT49=3,AK49="E",AV49&gt;=0.75),HealthBY*P49,IF(AND(AT49=3,AK49="E",AV49&gt;=0.5,AW49=1),PTHealthBY,IF(AND(AT49=3,AK49="E",AV49&gt;=0.5),PTHealthBY*P49,0))))</f>
        <v>0</v>
      </c>
      <c r="BP49" s="462">
        <f>IF(AND(AT49&lt;&gt;0,(AX49+BA49)&gt;=MAXSSDIBY),SSDIBY*MAXSSDIBY*P49,IF(AT49&lt;&gt;0,SSDIBY*W49,0))</f>
        <v>0</v>
      </c>
      <c r="BQ49" s="462">
        <f>IF(AT49&lt;&gt;0,SSHIBY*W49,0)</f>
        <v>0</v>
      </c>
      <c r="BR49" s="462">
        <f>IF(AND(AT49&lt;&gt;0,AN49&lt;&gt;"NE"),VLOOKUP(AN49,Retirement_Rates,4,FALSE)*W49,0)</f>
        <v>0</v>
      </c>
      <c r="BS49" s="462">
        <f>IF(AND(AT49&lt;&gt;0,AJ49&lt;&gt;"PF"),LifeBY*W49,0)</f>
        <v>0</v>
      </c>
      <c r="BT49" s="462">
        <f>IF(AND(AT49&lt;&gt;0,AM49="Y"),UIBY*W49,0)</f>
        <v>0</v>
      </c>
      <c r="BU49" s="462">
        <f>IF(AND(AT49&lt;&gt;0,N49&lt;&gt;"NR"),DHRBY*W49,0)</f>
        <v>0</v>
      </c>
      <c r="BV49" s="462">
        <f>IF(AT49&lt;&gt;0,WCBY*W49,0)</f>
        <v>0</v>
      </c>
      <c r="BW49" s="462">
        <f>IF(OR(AND(AT49&lt;&gt;0,AJ49&lt;&gt;"PF",AN49&lt;&gt;"NE",AG49&lt;&gt;"A"),AND(AL49="E",OR(AT49=1,AT49=3))),SickBY*W49,0)</f>
        <v>0</v>
      </c>
      <c r="BX49" s="462">
        <f t="shared" si="7"/>
        <v>0</v>
      </c>
      <c r="BY49" s="462">
        <f t="shared" si="8"/>
        <v>0</v>
      </c>
      <c r="BZ49" s="462">
        <f t="shared" si="9"/>
        <v>0</v>
      </c>
      <c r="CA49" s="462">
        <f t="shared" si="10"/>
        <v>0</v>
      </c>
      <c r="CB49" s="462">
        <f t="shared" si="11"/>
        <v>0</v>
      </c>
      <c r="CC49" s="462">
        <f>IF(AT49&lt;&gt;0,SSHICHG*Y49,0)</f>
        <v>0</v>
      </c>
      <c r="CD49" s="462">
        <f>IF(AND(AT49&lt;&gt;0,AN49&lt;&gt;"NE"),VLOOKUP(AN49,Retirement_Rates,5,FALSE)*Y49,0)</f>
        <v>0</v>
      </c>
      <c r="CE49" s="462">
        <f>IF(AND(AT49&lt;&gt;0,AJ49&lt;&gt;"PF"),LifeCHG*Y49,0)</f>
        <v>0</v>
      </c>
      <c r="CF49" s="462">
        <f>IF(AND(AT49&lt;&gt;0,AM49="Y"),UICHG*Y49,0)</f>
        <v>0</v>
      </c>
      <c r="CG49" s="462">
        <f>IF(AND(AT49&lt;&gt;0,N49&lt;&gt;"NR"),DHRCHG*Y49,0)</f>
        <v>0</v>
      </c>
      <c r="CH49" s="462">
        <f>IF(AT49&lt;&gt;0,WCCHG*Y49,0)</f>
        <v>0</v>
      </c>
      <c r="CI49" s="462">
        <f>IF(OR(AND(AT49&lt;&gt;0,AJ49&lt;&gt;"PF",AN49&lt;&gt;"NE",AG49&lt;&gt;"A"),AND(AL49="E",OR(AT49=1,AT49=3))),SickCHG*Y49,0)</f>
        <v>0</v>
      </c>
      <c r="CJ49" s="462">
        <f t="shared" si="12"/>
        <v>0</v>
      </c>
      <c r="CK49" s="462" t="str">
        <f t="shared" si="13"/>
        <v/>
      </c>
      <c r="CL49" s="462" t="str">
        <f t="shared" si="14"/>
        <v/>
      </c>
      <c r="CM49" s="462" t="str">
        <f t="shared" si="15"/>
        <v/>
      </c>
      <c r="CN49" s="462" t="str">
        <f t="shared" si="16"/>
        <v>0001-00</v>
      </c>
    </row>
    <row r="50" spans="1:92" ht="15" thickBot="1" x14ac:dyDescent="0.35">
      <c r="A50" s="376" t="s">
        <v>161</v>
      </c>
      <c r="B50" s="376" t="s">
        <v>162</v>
      </c>
      <c r="C50" s="376" t="s">
        <v>382</v>
      </c>
      <c r="D50" s="376" t="s">
        <v>250</v>
      </c>
      <c r="E50" s="376" t="s">
        <v>165</v>
      </c>
      <c r="F50" s="377" t="s">
        <v>166</v>
      </c>
      <c r="G50" s="376" t="s">
        <v>356</v>
      </c>
      <c r="H50" s="378"/>
      <c r="I50" s="378"/>
      <c r="J50" s="376" t="s">
        <v>168</v>
      </c>
      <c r="K50" s="376" t="s">
        <v>251</v>
      </c>
      <c r="L50" s="376" t="s">
        <v>180</v>
      </c>
      <c r="M50" s="376" t="s">
        <v>170</v>
      </c>
      <c r="N50" s="376" t="s">
        <v>202</v>
      </c>
      <c r="O50" s="379">
        <v>1</v>
      </c>
      <c r="P50" s="460">
        <v>1</v>
      </c>
      <c r="Q50" s="460">
        <v>1</v>
      </c>
      <c r="R50" s="380">
        <v>80</v>
      </c>
      <c r="S50" s="460">
        <v>1</v>
      </c>
      <c r="T50" s="380">
        <v>63363.839999999997</v>
      </c>
      <c r="U50" s="380">
        <v>0</v>
      </c>
      <c r="V50" s="380">
        <v>23443.89</v>
      </c>
      <c r="W50" s="380">
        <v>65083.199999999997</v>
      </c>
      <c r="X50" s="380">
        <v>26382.84</v>
      </c>
      <c r="Y50" s="380">
        <v>65083.199999999997</v>
      </c>
      <c r="Z50" s="380">
        <v>26213.63</v>
      </c>
      <c r="AA50" s="376" t="s">
        <v>383</v>
      </c>
      <c r="AB50" s="376" t="s">
        <v>384</v>
      </c>
      <c r="AC50" s="376" t="s">
        <v>385</v>
      </c>
      <c r="AD50" s="376" t="s">
        <v>224</v>
      </c>
      <c r="AE50" s="376" t="s">
        <v>251</v>
      </c>
      <c r="AF50" s="376" t="s">
        <v>256</v>
      </c>
      <c r="AG50" s="376" t="s">
        <v>177</v>
      </c>
      <c r="AH50" s="381">
        <v>31.29</v>
      </c>
      <c r="AI50" s="379">
        <v>6472</v>
      </c>
      <c r="AJ50" s="376" t="s">
        <v>178</v>
      </c>
      <c r="AK50" s="376" t="s">
        <v>179</v>
      </c>
      <c r="AL50" s="376" t="s">
        <v>180</v>
      </c>
      <c r="AM50" s="376" t="s">
        <v>181</v>
      </c>
      <c r="AN50" s="376" t="s">
        <v>68</v>
      </c>
      <c r="AO50" s="379">
        <v>80</v>
      </c>
      <c r="AP50" s="460">
        <v>1</v>
      </c>
      <c r="AQ50" s="460">
        <v>1</v>
      </c>
      <c r="AR50" s="458" t="s">
        <v>182</v>
      </c>
      <c r="AS50" s="462">
        <f t="shared" si="0"/>
        <v>1</v>
      </c>
      <c r="AT50">
        <f t="shared" si="1"/>
        <v>1</v>
      </c>
      <c r="AU50" s="462">
        <f>IF(AT50=0,"",IF(AND(AT50=1,M50="F",SUMIF(C2:C698,C50,AS2:AS698)&lt;=1),SUMIF(C2:C698,C50,AS2:AS698),IF(AND(AT50=1,M50="F",SUMIF(C2:C698,C50,AS2:AS698)&gt;1),1,"")))</f>
        <v>1</v>
      </c>
      <c r="AV50" s="462" t="str">
        <f>IF(AT50=0,"",IF(AND(AT50=3,M50="F",SUMIF(C2:C698,C50,AS2:AS698)&lt;=1),SUMIF(C2:C698,C50,AS2:AS698),IF(AND(AT50=3,M50="F",SUMIF(C2:C698,C50,AS2:AS698)&gt;1),1,"")))</f>
        <v/>
      </c>
      <c r="AW50" s="462">
        <f>SUMIF(C2:C698,C50,O2:O698)</f>
        <v>1</v>
      </c>
      <c r="AX50" s="462">
        <f>IF(AND(M50="F",AS50&lt;&gt;0),SUMIF(C2:C698,C50,W2:W698),0)</f>
        <v>65083.199999999997</v>
      </c>
      <c r="AY50" s="462">
        <f t="shared" si="2"/>
        <v>65083.199999999997</v>
      </c>
      <c r="AZ50" s="462" t="str">
        <f t="shared" si="3"/>
        <v/>
      </c>
      <c r="BA50" s="462">
        <f t="shared" si="4"/>
        <v>0</v>
      </c>
      <c r="BB50" s="462">
        <f>IF(AND(AT50=1,AK50="E",AU50&gt;=0.75,AW50=1),Health,IF(AND(AT50=1,AK50="E",AU50&gt;=0.75),Health*P50,IF(AND(AT50=1,AK50="E",AU50&gt;=0.5,AW50=1),PTHealth,IF(AND(AT50=1,AK50="E",AU50&gt;=0.5),PTHealth*P50,0))))</f>
        <v>11650</v>
      </c>
      <c r="BC50" s="462">
        <f>IF(AND(AT50=3,AK50="E",AV50&gt;=0.75,AW50=1),Health,IF(AND(AT50=3,AK50="E",AV50&gt;=0.75),Health*P50,IF(AND(AT50=3,AK50="E",AV50&gt;=0.5,AW50=1),PTHealth,IF(AND(AT50=3,AK50="E",AV50&gt;=0.5),PTHealth*P50,0))))</f>
        <v>0</v>
      </c>
      <c r="BD50" s="462">
        <f>IF(AND(AT50&lt;&gt;0,AX50&gt;=MAXSSDI),SSDI*MAXSSDI*P50,IF(AT50&lt;&gt;0,SSDI*W50,0))</f>
        <v>4035.1583999999998</v>
      </c>
      <c r="BE50" s="462">
        <f>IF(AT50&lt;&gt;0,SSHI*W50,0)</f>
        <v>943.70640000000003</v>
      </c>
      <c r="BF50" s="462">
        <f>IF(AND(AT50&lt;&gt;0,AN50&lt;&gt;"NE"),VLOOKUP(AN50,Retirement_Rates,3,FALSE)*W50,0)</f>
        <v>7770.93408</v>
      </c>
      <c r="BG50" s="462">
        <f>IF(AND(AT50&lt;&gt;0,AJ50&lt;&gt;"PF"),Life*W50,0)</f>
        <v>469.24987199999998</v>
      </c>
      <c r="BH50" s="462">
        <f>IF(AND(AT50&lt;&gt;0,AM50="Y"),UI*W50,0)</f>
        <v>318.90767999999997</v>
      </c>
      <c r="BI50" s="462">
        <f>IF(AND(AT50&lt;&gt;0,N50&lt;&gt;"NR"),DHR*W50,0)</f>
        <v>199.15459199999998</v>
      </c>
      <c r="BJ50" s="462">
        <f>IF(AT50&lt;&gt;0,WC*W50,0)</f>
        <v>995.7729599999999</v>
      </c>
      <c r="BK50" s="462">
        <f>IF(OR(AND(AT50&lt;&gt;0,AJ50&lt;&gt;"PF",AN50&lt;&gt;"NE",AG50&lt;&gt;"A"),AND(AL50="E",OR(AT50=1,AT50=3))),Sick*W50,0)</f>
        <v>0</v>
      </c>
      <c r="BL50" s="462">
        <f t="shared" si="5"/>
        <v>14732.883984</v>
      </c>
      <c r="BM50" s="462">
        <f t="shared" si="6"/>
        <v>0</v>
      </c>
      <c r="BN50" s="462">
        <f>IF(AND(AT50=1,AK50="E",AU50&gt;=0.75,AW50=1),HealthBY,IF(AND(AT50=1,AK50="E",AU50&gt;=0.75),HealthBY*P50,IF(AND(AT50=1,AK50="E",AU50&gt;=0.5,AW50=1),PTHealthBY,IF(AND(AT50=1,AK50="E",AU50&gt;=0.5),PTHealthBY*P50,0))))</f>
        <v>11650</v>
      </c>
      <c r="BO50" s="462">
        <f>IF(AND(AT50=3,AK50="E",AV50&gt;=0.75,AW50=1),HealthBY,IF(AND(AT50=3,AK50="E",AV50&gt;=0.75),HealthBY*P50,IF(AND(AT50=3,AK50="E",AV50&gt;=0.5,AW50=1),PTHealthBY,IF(AND(AT50=3,AK50="E",AV50&gt;=0.5),PTHealthBY*P50,0))))</f>
        <v>0</v>
      </c>
      <c r="BP50" s="462">
        <f>IF(AND(AT50&lt;&gt;0,(AX50+BA50)&gt;=MAXSSDIBY),SSDIBY*MAXSSDIBY*P50,IF(AT50&lt;&gt;0,SSDIBY*W50,0))</f>
        <v>4035.1583999999998</v>
      </c>
      <c r="BQ50" s="462">
        <f>IF(AT50&lt;&gt;0,SSHIBY*W50,0)</f>
        <v>943.70640000000003</v>
      </c>
      <c r="BR50" s="462">
        <f>IF(AND(AT50&lt;&gt;0,AN50&lt;&gt;"NE"),VLOOKUP(AN50,Retirement_Rates,4,FALSE)*W50,0)</f>
        <v>7770.93408</v>
      </c>
      <c r="BS50" s="462">
        <f>IF(AND(AT50&lt;&gt;0,AJ50&lt;&gt;"PF"),LifeBY*W50,0)</f>
        <v>469.24987199999998</v>
      </c>
      <c r="BT50" s="462">
        <f>IF(AND(AT50&lt;&gt;0,AM50="Y"),UIBY*W50,0)</f>
        <v>0</v>
      </c>
      <c r="BU50" s="462">
        <f>IF(AND(AT50&lt;&gt;0,N50&lt;&gt;"NR"),DHRBY*W50,0)</f>
        <v>199.15459199999998</v>
      </c>
      <c r="BV50" s="462">
        <f>IF(AT50&lt;&gt;0,WCBY*W50,0)</f>
        <v>1145.46432</v>
      </c>
      <c r="BW50" s="462">
        <f>IF(OR(AND(AT50&lt;&gt;0,AJ50&lt;&gt;"PF",AN50&lt;&gt;"NE",AG50&lt;&gt;"A"),AND(AL50="E",OR(AT50=1,AT50=3))),SickBY*W50,0)</f>
        <v>0</v>
      </c>
      <c r="BX50" s="462">
        <f t="shared" si="7"/>
        <v>14563.667664000001</v>
      </c>
      <c r="BY50" s="462">
        <f t="shared" si="8"/>
        <v>0</v>
      </c>
      <c r="BZ50" s="462">
        <f t="shared" si="9"/>
        <v>0</v>
      </c>
      <c r="CA50" s="462">
        <f t="shared" si="10"/>
        <v>0</v>
      </c>
      <c r="CB50" s="462">
        <f t="shared" si="11"/>
        <v>0</v>
      </c>
      <c r="CC50" s="462">
        <f>IF(AT50&lt;&gt;0,SSHICHG*Y50,0)</f>
        <v>0</v>
      </c>
      <c r="CD50" s="462">
        <f>IF(AND(AT50&lt;&gt;0,AN50&lt;&gt;"NE"),VLOOKUP(AN50,Retirement_Rates,5,FALSE)*Y50,0)</f>
        <v>0</v>
      </c>
      <c r="CE50" s="462">
        <f>IF(AND(AT50&lt;&gt;0,AJ50&lt;&gt;"PF"),LifeCHG*Y50,0)</f>
        <v>0</v>
      </c>
      <c r="CF50" s="462">
        <f>IF(AND(AT50&lt;&gt;0,AM50="Y"),UICHG*Y50,0)</f>
        <v>-318.90767999999997</v>
      </c>
      <c r="CG50" s="462">
        <f>IF(AND(AT50&lt;&gt;0,N50&lt;&gt;"NR"),DHRCHG*Y50,0)</f>
        <v>0</v>
      </c>
      <c r="CH50" s="462">
        <f>IF(AT50&lt;&gt;0,WCCHG*Y50,0)</f>
        <v>149.69136000000012</v>
      </c>
      <c r="CI50" s="462">
        <f>IF(OR(AND(AT50&lt;&gt;0,AJ50&lt;&gt;"PF",AN50&lt;&gt;"NE",AG50&lt;&gt;"A"),AND(AL50="E",OR(AT50=1,AT50=3))),SickCHG*Y50,0)</f>
        <v>0</v>
      </c>
      <c r="CJ50" s="462">
        <f t="shared" si="12"/>
        <v>-169.21631999999985</v>
      </c>
      <c r="CK50" s="462" t="str">
        <f t="shared" si="13"/>
        <v/>
      </c>
      <c r="CL50" s="462" t="str">
        <f t="shared" si="14"/>
        <v/>
      </c>
      <c r="CM50" s="462" t="str">
        <f t="shared" si="15"/>
        <v/>
      </c>
      <c r="CN50" s="462" t="str">
        <f t="shared" si="16"/>
        <v>0001-00</v>
      </c>
    </row>
    <row r="51" spans="1:92" ht="15" thickBot="1" x14ac:dyDescent="0.35">
      <c r="A51" s="376" t="s">
        <v>161</v>
      </c>
      <c r="B51" s="376" t="s">
        <v>162</v>
      </c>
      <c r="C51" s="376" t="s">
        <v>386</v>
      </c>
      <c r="D51" s="376" t="s">
        <v>355</v>
      </c>
      <c r="E51" s="376" t="s">
        <v>165</v>
      </c>
      <c r="F51" s="377" t="s">
        <v>166</v>
      </c>
      <c r="G51" s="376" t="s">
        <v>356</v>
      </c>
      <c r="H51" s="378"/>
      <c r="I51" s="378"/>
      <c r="J51" s="376" t="s">
        <v>168</v>
      </c>
      <c r="K51" s="376" t="s">
        <v>357</v>
      </c>
      <c r="L51" s="376" t="s">
        <v>220</v>
      </c>
      <c r="M51" s="376" t="s">
        <v>170</v>
      </c>
      <c r="N51" s="376" t="s">
        <v>202</v>
      </c>
      <c r="O51" s="379">
        <v>1</v>
      </c>
      <c r="P51" s="460">
        <v>0</v>
      </c>
      <c r="Q51" s="460">
        <v>0</v>
      </c>
      <c r="R51" s="380">
        <v>80</v>
      </c>
      <c r="S51" s="460">
        <v>0</v>
      </c>
      <c r="T51" s="380">
        <v>21619.82</v>
      </c>
      <c r="U51" s="380">
        <v>0</v>
      </c>
      <c r="V51" s="380">
        <v>10990.59</v>
      </c>
      <c r="W51" s="380">
        <v>0</v>
      </c>
      <c r="X51" s="380">
        <v>0</v>
      </c>
      <c r="Y51" s="380">
        <v>0</v>
      </c>
      <c r="Z51" s="380">
        <v>0</v>
      </c>
      <c r="AA51" s="376" t="s">
        <v>387</v>
      </c>
      <c r="AB51" s="376" t="s">
        <v>388</v>
      </c>
      <c r="AC51" s="376" t="s">
        <v>389</v>
      </c>
      <c r="AD51" s="376" t="s">
        <v>225</v>
      </c>
      <c r="AE51" s="376" t="s">
        <v>357</v>
      </c>
      <c r="AF51" s="376" t="s">
        <v>264</v>
      </c>
      <c r="AG51" s="376" t="s">
        <v>177</v>
      </c>
      <c r="AH51" s="379">
        <v>20</v>
      </c>
      <c r="AI51" s="381">
        <v>3759.3</v>
      </c>
      <c r="AJ51" s="376" t="s">
        <v>178</v>
      </c>
      <c r="AK51" s="376" t="s">
        <v>179</v>
      </c>
      <c r="AL51" s="376" t="s">
        <v>180</v>
      </c>
      <c r="AM51" s="376" t="s">
        <v>181</v>
      </c>
      <c r="AN51" s="376" t="s">
        <v>68</v>
      </c>
      <c r="AO51" s="379">
        <v>80</v>
      </c>
      <c r="AP51" s="460">
        <v>1</v>
      </c>
      <c r="AQ51" s="460">
        <v>0</v>
      </c>
      <c r="AR51" s="458" t="s">
        <v>182</v>
      </c>
      <c r="AS51" s="462">
        <f t="shared" si="0"/>
        <v>0</v>
      </c>
      <c r="AT51">
        <f t="shared" si="1"/>
        <v>0</v>
      </c>
      <c r="AU51" s="462" t="str">
        <f>IF(AT51=0,"",IF(AND(AT51=1,M51="F",SUMIF(C2:C698,C51,AS2:AS698)&lt;=1),SUMIF(C2:C698,C51,AS2:AS698),IF(AND(AT51=1,M51="F",SUMIF(C2:C698,C51,AS2:AS698)&gt;1),1,"")))</f>
        <v/>
      </c>
      <c r="AV51" s="462" t="str">
        <f>IF(AT51=0,"",IF(AND(AT51=3,M51="F",SUMIF(C2:C698,C51,AS2:AS698)&lt;=1),SUMIF(C2:C698,C51,AS2:AS698),IF(AND(AT51=3,M51="F",SUMIF(C2:C698,C51,AS2:AS698)&gt;1),1,"")))</f>
        <v/>
      </c>
      <c r="AW51" s="462">
        <f>SUMIF(C2:C698,C51,O2:O698)</f>
        <v>3</v>
      </c>
      <c r="AX51" s="462">
        <f>IF(AND(M51="F",AS51&lt;&gt;0),SUMIF(C2:C698,C51,W2:W698),0)</f>
        <v>0</v>
      </c>
      <c r="AY51" s="462" t="str">
        <f t="shared" si="2"/>
        <v/>
      </c>
      <c r="AZ51" s="462" t="str">
        <f t="shared" si="3"/>
        <v/>
      </c>
      <c r="BA51" s="462">
        <f t="shared" si="4"/>
        <v>0</v>
      </c>
      <c r="BB51" s="462">
        <f>IF(AND(AT51=1,AK51="E",AU51&gt;=0.75,AW51=1),Health,IF(AND(AT51=1,AK51="E",AU51&gt;=0.75),Health*P51,IF(AND(AT51=1,AK51="E",AU51&gt;=0.5,AW51=1),PTHealth,IF(AND(AT51=1,AK51="E",AU51&gt;=0.5),PTHealth*P51,0))))</f>
        <v>0</v>
      </c>
      <c r="BC51" s="462">
        <f>IF(AND(AT51=3,AK51="E",AV51&gt;=0.75,AW51=1),Health,IF(AND(AT51=3,AK51="E",AV51&gt;=0.75),Health*P51,IF(AND(AT51=3,AK51="E",AV51&gt;=0.5,AW51=1),PTHealth,IF(AND(AT51=3,AK51="E",AV51&gt;=0.5),PTHealth*P51,0))))</f>
        <v>0</v>
      </c>
      <c r="BD51" s="462">
        <f>IF(AND(AT51&lt;&gt;0,AX51&gt;=MAXSSDI),SSDI*MAXSSDI*P51,IF(AT51&lt;&gt;0,SSDI*W51,0))</f>
        <v>0</v>
      </c>
      <c r="BE51" s="462">
        <f>IF(AT51&lt;&gt;0,SSHI*W51,0)</f>
        <v>0</v>
      </c>
      <c r="BF51" s="462">
        <f>IF(AND(AT51&lt;&gt;0,AN51&lt;&gt;"NE"),VLOOKUP(AN51,Retirement_Rates,3,FALSE)*W51,0)</f>
        <v>0</v>
      </c>
      <c r="BG51" s="462">
        <f>IF(AND(AT51&lt;&gt;0,AJ51&lt;&gt;"PF"),Life*W51,0)</f>
        <v>0</v>
      </c>
      <c r="BH51" s="462">
        <f>IF(AND(AT51&lt;&gt;0,AM51="Y"),UI*W51,0)</f>
        <v>0</v>
      </c>
      <c r="BI51" s="462">
        <f>IF(AND(AT51&lt;&gt;0,N51&lt;&gt;"NR"),DHR*W51,0)</f>
        <v>0</v>
      </c>
      <c r="BJ51" s="462">
        <f>IF(AT51&lt;&gt;0,WC*W51,0)</f>
        <v>0</v>
      </c>
      <c r="BK51" s="462">
        <f>IF(OR(AND(AT51&lt;&gt;0,AJ51&lt;&gt;"PF",AN51&lt;&gt;"NE",AG51&lt;&gt;"A"),AND(AL51="E",OR(AT51=1,AT51=3))),Sick*W51,0)</f>
        <v>0</v>
      </c>
      <c r="BL51" s="462">
        <f t="shared" si="5"/>
        <v>0</v>
      </c>
      <c r="BM51" s="462">
        <f t="shared" si="6"/>
        <v>0</v>
      </c>
      <c r="BN51" s="462">
        <f>IF(AND(AT51=1,AK51="E",AU51&gt;=0.75,AW51=1),HealthBY,IF(AND(AT51=1,AK51="E",AU51&gt;=0.75),HealthBY*P51,IF(AND(AT51=1,AK51="E",AU51&gt;=0.5,AW51=1),PTHealthBY,IF(AND(AT51=1,AK51="E",AU51&gt;=0.5),PTHealthBY*P51,0))))</f>
        <v>0</v>
      </c>
      <c r="BO51" s="462">
        <f>IF(AND(AT51=3,AK51="E",AV51&gt;=0.75,AW51=1),HealthBY,IF(AND(AT51=3,AK51="E",AV51&gt;=0.75),HealthBY*P51,IF(AND(AT51=3,AK51="E",AV51&gt;=0.5,AW51=1),PTHealthBY,IF(AND(AT51=3,AK51="E",AV51&gt;=0.5),PTHealthBY*P51,0))))</f>
        <v>0</v>
      </c>
      <c r="BP51" s="462">
        <f>IF(AND(AT51&lt;&gt;0,(AX51+BA51)&gt;=MAXSSDIBY),SSDIBY*MAXSSDIBY*P51,IF(AT51&lt;&gt;0,SSDIBY*W51,0))</f>
        <v>0</v>
      </c>
      <c r="BQ51" s="462">
        <f>IF(AT51&lt;&gt;0,SSHIBY*W51,0)</f>
        <v>0</v>
      </c>
      <c r="BR51" s="462">
        <f>IF(AND(AT51&lt;&gt;0,AN51&lt;&gt;"NE"),VLOOKUP(AN51,Retirement_Rates,4,FALSE)*W51,0)</f>
        <v>0</v>
      </c>
      <c r="BS51" s="462">
        <f>IF(AND(AT51&lt;&gt;0,AJ51&lt;&gt;"PF"),LifeBY*W51,0)</f>
        <v>0</v>
      </c>
      <c r="BT51" s="462">
        <f>IF(AND(AT51&lt;&gt;0,AM51="Y"),UIBY*W51,0)</f>
        <v>0</v>
      </c>
      <c r="BU51" s="462">
        <f>IF(AND(AT51&lt;&gt;0,N51&lt;&gt;"NR"),DHRBY*W51,0)</f>
        <v>0</v>
      </c>
      <c r="BV51" s="462">
        <f>IF(AT51&lt;&gt;0,WCBY*W51,0)</f>
        <v>0</v>
      </c>
      <c r="BW51" s="462">
        <f>IF(OR(AND(AT51&lt;&gt;0,AJ51&lt;&gt;"PF",AN51&lt;&gt;"NE",AG51&lt;&gt;"A"),AND(AL51="E",OR(AT51=1,AT51=3))),SickBY*W51,0)</f>
        <v>0</v>
      </c>
      <c r="BX51" s="462">
        <f t="shared" si="7"/>
        <v>0</v>
      </c>
      <c r="BY51" s="462">
        <f t="shared" si="8"/>
        <v>0</v>
      </c>
      <c r="BZ51" s="462">
        <f t="shared" si="9"/>
        <v>0</v>
      </c>
      <c r="CA51" s="462">
        <f t="shared" si="10"/>
        <v>0</v>
      </c>
      <c r="CB51" s="462">
        <f t="shared" si="11"/>
        <v>0</v>
      </c>
      <c r="CC51" s="462">
        <f>IF(AT51&lt;&gt;0,SSHICHG*Y51,0)</f>
        <v>0</v>
      </c>
      <c r="CD51" s="462">
        <f>IF(AND(AT51&lt;&gt;0,AN51&lt;&gt;"NE"),VLOOKUP(AN51,Retirement_Rates,5,FALSE)*Y51,0)</f>
        <v>0</v>
      </c>
      <c r="CE51" s="462">
        <f>IF(AND(AT51&lt;&gt;0,AJ51&lt;&gt;"PF"),LifeCHG*Y51,0)</f>
        <v>0</v>
      </c>
      <c r="CF51" s="462">
        <f>IF(AND(AT51&lt;&gt;0,AM51="Y"),UICHG*Y51,0)</f>
        <v>0</v>
      </c>
      <c r="CG51" s="462">
        <f>IF(AND(AT51&lt;&gt;0,N51&lt;&gt;"NR"),DHRCHG*Y51,0)</f>
        <v>0</v>
      </c>
      <c r="CH51" s="462">
        <f>IF(AT51&lt;&gt;0,WCCHG*Y51,0)</f>
        <v>0</v>
      </c>
      <c r="CI51" s="462">
        <f>IF(OR(AND(AT51&lt;&gt;0,AJ51&lt;&gt;"PF",AN51&lt;&gt;"NE",AG51&lt;&gt;"A"),AND(AL51="E",OR(AT51=1,AT51=3))),SickCHG*Y51,0)</f>
        <v>0</v>
      </c>
      <c r="CJ51" s="462">
        <f t="shared" si="12"/>
        <v>0</v>
      </c>
      <c r="CK51" s="462" t="str">
        <f t="shared" si="13"/>
        <v/>
      </c>
      <c r="CL51" s="462" t="str">
        <f t="shared" si="14"/>
        <v/>
      </c>
      <c r="CM51" s="462" t="str">
        <f t="shared" si="15"/>
        <v/>
      </c>
      <c r="CN51" s="462" t="str">
        <f t="shared" si="16"/>
        <v>0001-00</v>
      </c>
    </row>
    <row r="52" spans="1:92" ht="15" thickBot="1" x14ac:dyDescent="0.35">
      <c r="A52" s="376" t="s">
        <v>161</v>
      </c>
      <c r="B52" s="376" t="s">
        <v>162</v>
      </c>
      <c r="C52" s="376" t="s">
        <v>390</v>
      </c>
      <c r="D52" s="376" t="s">
        <v>339</v>
      </c>
      <c r="E52" s="376" t="s">
        <v>165</v>
      </c>
      <c r="F52" s="377" t="s">
        <v>166</v>
      </c>
      <c r="G52" s="376" t="s">
        <v>356</v>
      </c>
      <c r="H52" s="378"/>
      <c r="I52" s="378"/>
      <c r="J52" s="376" t="s">
        <v>185</v>
      </c>
      <c r="K52" s="376" t="s">
        <v>340</v>
      </c>
      <c r="L52" s="376" t="s">
        <v>247</v>
      </c>
      <c r="M52" s="376" t="s">
        <v>170</v>
      </c>
      <c r="N52" s="376" t="s">
        <v>202</v>
      </c>
      <c r="O52" s="379">
        <v>1</v>
      </c>
      <c r="P52" s="460">
        <v>0.5</v>
      </c>
      <c r="Q52" s="460">
        <v>0.5</v>
      </c>
      <c r="R52" s="380">
        <v>80</v>
      </c>
      <c r="S52" s="460">
        <v>0.5</v>
      </c>
      <c r="T52" s="380">
        <v>1646</v>
      </c>
      <c r="U52" s="380">
        <v>0</v>
      </c>
      <c r="V52" s="380">
        <v>598.6</v>
      </c>
      <c r="W52" s="380">
        <v>42796</v>
      </c>
      <c r="X52" s="380">
        <v>15512.71</v>
      </c>
      <c r="Y52" s="380">
        <v>42796</v>
      </c>
      <c r="Z52" s="380">
        <v>15401.44</v>
      </c>
      <c r="AA52" s="376" t="s">
        <v>391</v>
      </c>
      <c r="AB52" s="376" t="s">
        <v>392</v>
      </c>
      <c r="AC52" s="376" t="s">
        <v>393</v>
      </c>
      <c r="AD52" s="376" t="s">
        <v>394</v>
      </c>
      <c r="AE52" s="376" t="s">
        <v>340</v>
      </c>
      <c r="AF52" s="376" t="s">
        <v>299</v>
      </c>
      <c r="AG52" s="376" t="s">
        <v>177</v>
      </c>
      <c r="AH52" s="381">
        <v>41.15</v>
      </c>
      <c r="AI52" s="379">
        <v>33121</v>
      </c>
      <c r="AJ52" s="376" t="s">
        <v>178</v>
      </c>
      <c r="AK52" s="376" t="s">
        <v>179</v>
      </c>
      <c r="AL52" s="376" t="s">
        <v>180</v>
      </c>
      <c r="AM52" s="376" t="s">
        <v>181</v>
      </c>
      <c r="AN52" s="376" t="s">
        <v>68</v>
      </c>
      <c r="AO52" s="379">
        <v>80</v>
      </c>
      <c r="AP52" s="460">
        <v>1</v>
      </c>
      <c r="AQ52" s="460">
        <v>0.5</v>
      </c>
      <c r="AR52" s="458" t="s">
        <v>182</v>
      </c>
      <c r="AS52" s="462">
        <f t="shared" si="0"/>
        <v>0.5</v>
      </c>
      <c r="AT52">
        <f t="shared" si="1"/>
        <v>1</v>
      </c>
      <c r="AU52" s="462">
        <f>IF(AT52=0,"",IF(AND(AT52=1,M52="F",SUMIF(C2:C698,C52,AS2:AS698)&lt;=1),SUMIF(C2:C698,C52,AS2:AS698),IF(AND(AT52=1,M52="F",SUMIF(C2:C698,C52,AS2:AS698)&gt;1),1,"")))</f>
        <v>1</v>
      </c>
      <c r="AV52" s="462" t="str">
        <f>IF(AT52=0,"",IF(AND(AT52=3,M52="F",SUMIF(C2:C698,C52,AS2:AS698)&lt;=1),SUMIF(C2:C698,C52,AS2:AS698),IF(AND(AT52=3,M52="F",SUMIF(C2:C698,C52,AS2:AS698)&gt;1),1,"")))</f>
        <v/>
      </c>
      <c r="AW52" s="462">
        <f>SUMIF(C2:C698,C52,O2:O698)</f>
        <v>6</v>
      </c>
      <c r="AX52" s="462">
        <f>IF(AND(M52="F",AS52&lt;&gt;0),SUMIF(C2:C698,C52,W2:W698),0)</f>
        <v>85592</v>
      </c>
      <c r="AY52" s="462">
        <f t="shared" si="2"/>
        <v>42796</v>
      </c>
      <c r="AZ52" s="462" t="str">
        <f t="shared" si="3"/>
        <v/>
      </c>
      <c r="BA52" s="462">
        <f t="shared" si="4"/>
        <v>0</v>
      </c>
      <c r="BB52" s="462">
        <f>IF(AND(AT52=1,AK52="E",AU52&gt;=0.75,AW52=1),Health,IF(AND(AT52=1,AK52="E",AU52&gt;=0.75),Health*P52,IF(AND(AT52=1,AK52="E",AU52&gt;=0.5,AW52=1),PTHealth,IF(AND(AT52=1,AK52="E",AU52&gt;=0.5),PTHealth*P52,0))))</f>
        <v>5825</v>
      </c>
      <c r="BC52" s="462">
        <f>IF(AND(AT52=3,AK52="E",AV52&gt;=0.75,AW52=1),Health,IF(AND(AT52=3,AK52="E",AV52&gt;=0.75),Health*P52,IF(AND(AT52=3,AK52="E",AV52&gt;=0.5,AW52=1),PTHealth,IF(AND(AT52=3,AK52="E",AV52&gt;=0.5),PTHealth*P52,0))))</f>
        <v>0</v>
      </c>
      <c r="BD52" s="462">
        <f>IF(AND(AT52&lt;&gt;0,AX52&gt;=MAXSSDI),SSDI*MAXSSDI*P52,IF(AT52&lt;&gt;0,SSDI*W52,0))</f>
        <v>2653.3519999999999</v>
      </c>
      <c r="BE52" s="462">
        <f>IF(AT52&lt;&gt;0,SSHI*W52,0)</f>
        <v>620.54200000000003</v>
      </c>
      <c r="BF52" s="462">
        <f>IF(AND(AT52&lt;&gt;0,AN52&lt;&gt;"NE"),VLOOKUP(AN52,Retirement_Rates,3,FALSE)*W52,0)</f>
        <v>5109.8424000000005</v>
      </c>
      <c r="BG52" s="462">
        <f>IF(AND(AT52&lt;&gt;0,AJ52&lt;&gt;"PF"),Life*W52,0)</f>
        <v>308.55916000000002</v>
      </c>
      <c r="BH52" s="462">
        <f>IF(AND(AT52&lt;&gt;0,AM52="Y"),UI*W52,0)</f>
        <v>209.7004</v>
      </c>
      <c r="BI52" s="462">
        <f>IF(AND(AT52&lt;&gt;0,N52&lt;&gt;"NR"),DHR*W52,0)</f>
        <v>130.95576</v>
      </c>
      <c r="BJ52" s="462">
        <f>IF(AT52&lt;&gt;0,WC*W52,0)</f>
        <v>654.77879999999993</v>
      </c>
      <c r="BK52" s="462">
        <f>IF(OR(AND(AT52&lt;&gt;0,AJ52&lt;&gt;"PF",AN52&lt;&gt;"NE",AG52&lt;&gt;"A"),AND(AL52="E",OR(AT52=1,AT52=3))),Sick*W52,0)</f>
        <v>0</v>
      </c>
      <c r="BL52" s="462">
        <f t="shared" si="5"/>
        <v>9687.730520000001</v>
      </c>
      <c r="BM52" s="462">
        <f t="shared" si="6"/>
        <v>0</v>
      </c>
      <c r="BN52" s="462">
        <f>IF(AND(AT52=1,AK52="E",AU52&gt;=0.75,AW52=1),HealthBY,IF(AND(AT52=1,AK52="E",AU52&gt;=0.75),HealthBY*P52,IF(AND(AT52=1,AK52="E",AU52&gt;=0.5,AW52=1),PTHealthBY,IF(AND(AT52=1,AK52="E",AU52&gt;=0.5),PTHealthBY*P52,0))))</f>
        <v>5825</v>
      </c>
      <c r="BO52" s="462">
        <f>IF(AND(AT52=3,AK52="E",AV52&gt;=0.75,AW52=1),HealthBY,IF(AND(AT52=3,AK52="E",AV52&gt;=0.75),HealthBY*P52,IF(AND(AT52=3,AK52="E",AV52&gt;=0.5,AW52=1),PTHealthBY,IF(AND(AT52=3,AK52="E",AV52&gt;=0.5),PTHealthBY*P52,0))))</f>
        <v>0</v>
      </c>
      <c r="BP52" s="462">
        <f>IF(AND(AT52&lt;&gt;0,(AX52+BA52)&gt;=MAXSSDIBY),SSDIBY*MAXSSDIBY*P52,IF(AT52&lt;&gt;0,SSDIBY*W52,0))</f>
        <v>2653.3519999999999</v>
      </c>
      <c r="BQ52" s="462">
        <f>IF(AT52&lt;&gt;0,SSHIBY*W52,0)</f>
        <v>620.54200000000003</v>
      </c>
      <c r="BR52" s="462">
        <f>IF(AND(AT52&lt;&gt;0,AN52&lt;&gt;"NE"),VLOOKUP(AN52,Retirement_Rates,4,FALSE)*W52,0)</f>
        <v>5109.8424000000005</v>
      </c>
      <c r="BS52" s="462">
        <f>IF(AND(AT52&lt;&gt;0,AJ52&lt;&gt;"PF"),LifeBY*W52,0)</f>
        <v>308.55916000000002</v>
      </c>
      <c r="BT52" s="462">
        <f>IF(AND(AT52&lt;&gt;0,AM52="Y"),UIBY*W52,0)</f>
        <v>0</v>
      </c>
      <c r="BU52" s="462">
        <f>IF(AND(AT52&lt;&gt;0,N52&lt;&gt;"NR"),DHRBY*W52,0)</f>
        <v>130.95576</v>
      </c>
      <c r="BV52" s="462">
        <f>IF(AT52&lt;&gt;0,WCBY*W52,0)</f>
        <v>753.20960000000002</v>
      </c>
      <c r="BW52" s="462">
        <f>IF(OR(AND(AT52&lt;&gt;0,AJ52&lt;&gt;"PF",AN52&lt;&gt;"NE",AG52&lt;&gt;"A"),AND(AL52="E",OR(AT52=1,AT52=3))),SickBY*W52,0)</f>
        <v>0</v>
      </c>
      <c r="BX52" s="462">
        <f t="shared" si="7"/>
        <v>9576.4609200000014</v>
      </c>
      <c r="BY52" s="462">
        <f t="shared" si="8"/>
        <v>0</v>
      </c>
      <c r="BZ52" s="462">
        <f t="shared" si="9"/>
        <v>0</v>
      </c>
      <c r="CA52" s="462">
        <f t="shared" si="10"/>
        <v>0</v>
      </c>
      <c r="CB52" s="462">
        <f t="shared" si="11"/>
        <v>0</v>
      </c>
      <c r="CC52" s="462">
        <f>IF(AT52&lt;&gt;0,SSHICHG*Y52,0)</f>
        <v>0</v>
      </c>
      <c r="CD52" s="462">
        <f>IF(AND(AT52&lt;&gt;0,AN52&lt;&gt;"NE"),VLOOKUP(AN52,Retirement_Rates,5,FALSE)*Y52,0)</f>
        <v>0</v>
      </c>
      <c r="CE52" s="462">
        <f>IF(AND(AT52&lt;&gt;0,AJ52&lt;&gt;"PF"),LifeCHG*Y52,0)</f>
        <v>0</v>
      </c>
      <c r="CF52" s="462">
        <f>IF(AND(AT52&lt;&gt;0,AM52="Y"),UICHG*Y52,0)</f>
        <v>-209.7004</v>
      </c>
      <c r="CG52" s="462">
        <f>IF(AND(AT52&lt;&gt;0,N52&lt;&gt;"NR"),DHRCHG*Y52,0)</f>
        <v>0</v>
      </c>
      <c r="CH52" s="462">
        <f>IF(AT52&lt;&gt;0,WCCHG*Y52,0)</f>
        <v>98.430800000000076</v>
      </c>
      <c r="CI52" s="462">
        <f>IF(OR(AND(AT52&lt;&gt;0,AJ52&lt;&gt;"PF",AN52&lt;&gt;"NE",AG52&lt;&gt;"A"),AND(AL52="E",OR(AT52=1,AT52=3))),SickCHG*Y52,0)</f>
        <v>0</v>
      </c>
      <c r="CJ52" s="462">
        <f t="shared" si="12"/>
        <v>-111.26959999999993</v>
      </c>
      <c r="CK52" s="462" t="str">
        <f t="shared" si="13"/>
        <v/>
      </c>
      <c r="CL52" s="462" t="str">
        <f t="shared" si="14"/>
        <v/>
      </c>
      <c r="CM52" s="462" t="str">
        <f t="shared" si="15"/>
        <v/>
      </c>
      <c r="CN52" s="462" t="str">
        <f t="shared" si="16"/>
        <v>0001-00</v>
      </c>
    </row>
    <row r="53" spans="1:92" ht="15" thickBot="1" x14ac:dyDescent="0.35">
      <c r="A53" s="376" t="s">
        <v>161</v>
      </c>
      <c r="B53" s="376" t="s">
        <v>162</v>
      </c>
      <c r="C53" s="376" t="s">
        <v>395</v>
      </c>
      <c r="D53" s="376" t="s">
        <v>362</v>
      </c>
      <c r="E53" s="376" t="s">
        <v>165</v>
      </c>
      <c r="F53" s="377" t="s">
        <v>166</v>
      </c>
      <c r="G53" s="376" t="s">
        <v>356</v>
      </c>
      <c r="H53" s="378"/>
      <c r="I53" s="378"/>
      <c r="J53" s="376" t="s">
        <v>168</v>
      </c>
      <c r="K53" s="376" t="s">
        <v>363</v>
      </c>
      <c r="L53" s="376" t="s">
        <v>200</v>
      </c>
      <c r="M53" s="376" t="s">
        <v>170</v>
      </c>
      <c r="N53" s="376" t="s">
        <v>202</v>
      </c>
      <c r="O53" s="379">
        <v>1</v>
      </c>
      <c r="P53" s="460">
        <v>1</v>
      </c>
      <c r="Q53" s="460">
        <v>1</v>
      </c>
      <c r="R53" s="380">
        <v>80</v>
      </c>
      <c r="S53" s="460">
        <v>1</v>
      </c>
      <c r="T53" s="380">
        <v>39881.25</v>
      </c>
      <c r="U53" s="380">
        <v>0</v>
      </c>
      <c r="V53" s="380">
        <v>19251.580000000002</v>
      </c>
      <c r="W53" s="380">
        <v>46800</v>
      </c>
      <c r="X53" s="380">
        <v>22244.1</v>
      </c>
      <c r="Y53" s="380">
        <v>46800</v>
      </c>
      <c r="Z53" s="380">
        <v>22122.42</v>
      </c>
      <c r="AA53" s="376" t="s">
        <v>396</v>
      </c>
      <c r="AB53" s="376" t="s">
        <v>397</v>
      </c>
      <c r="AC53" s="376" t="s">
        <v>231</v>
      </c>
      <c r="AD53" s="376" t="s">
        <v>215</v>
      </c>
      <c r="AE53" s="376" t="s">
        <v>363</v>
      </c>
      <c r="AF53" s="376" t="s">
        <v>210</v>
      </c>
      <c r="AG53" s="376" t="s">
        <v>177</v>
      </c>
      <c r="AH53" s="381">
        <v>22.5</v>
      </c>
      <c r="AI53" s="379">
        <v>5648</v>
      </c>
      <c r="AJ53" s="376" t="s">
        <v>178</v>
      </c>
      <c r="AK53" s="376" t="s">
        <v>179</v>
      </c>
      <c r="AL53" s="376" t="s">
        <v>180</v>
      </c>
      <c r="AM53" s="376" t="s">
        <v>181</v>
      </c>
      <c r="AN53" s="376" t="s">
        <v>68</v>
      </c>
      <c r="AO53" s="379">
        <v>80</v>
      </c>
      <c r="AP53" s="460">
        <v>1</v>
      </c>
      <c r="AQ53" s="460">
        <v>1</v>
      </c>
      <c r="AR53" s="458" t="s">
        <v>182</v>
      </c>
      <c r="AS53" s="462">
        <f t="shared" si="0"/>
        <v>1</v>
      </c>
      <c r="AT53">
        <f t="shared" si="1"/>
        <v>1</v>
      </c>
      <c r="AU53" s="462">
        <f>IF(AT53=0,"",IF(AND(AT53=1,M53="F",SUMIF(C2:C698,C53,AS2:AS698)&lt;=1),SUMIF(C2:C698,C53,AS2:AS698),IF(AND(AT53=1,M53="F",SUMIF(C2:C698,C53,AS2:AS698)&gt;1),1,"")))</f>
        <v>1</v>
      </c>
      <c r="AV53" s="462" t="str">
        <f>IF(AT53=0,"",IF(AND(AT53=3,M53="F",SUMIF(C2:C698,C53,AS2:AS698)&lt;=1),SUMIF(C2:C698,C53,AS2:AS698),IF(AND(AT53=3,M53="F",SUMIF(C2:C698,C53,AS2:AS698)&gt;1),1,"")))</f>
        <v/>
      </c>
      <c r="AW53" s="462">
        <f>SUMIF(C2:C698,C53,O2:O698)</f>
        <v>4</v>
      </c>
      <c r="AX53" s="462">
        <f>IF(AND(M53="F",AS53&lt;&gt;0),SUMIF(C2:C698,C53,W2:W698),0)</f>
        <v>46800</v>
      </c>
      <c r="AY53" s="462">
        <f t="shared" si="2"/>
        <v>46800</v>
      </c>
      <c r="AZ53" s="462" t="str">
        <f t="shared" si="3"/>
        <v/>
      </c>
      <c r="BA53" s="462">
        <f t="shared" si="4"/>
        <v>0</v>
      </c>
      <c r="BB53" s="462">
        <f>IF(AND(AT53=1,AK53="E",AU53&gt;=0.75,AW53=1),Health,IF(AND(AT53=1,AK53="E",AU53&gt;=0.75),Health*P53,IF(AND(AT53=1,AK53="E",AU53&gt;=0.5,AW53=1),PTHealth,IF(AND(AT53=1,AK53="E",AU53&gt;=0.5),PTHealth*P53,0))))</f>
        <v>11650</v>
      </c>
      <c r="BC53" s="462">
        <f>IF(AND(AT53=3,AK53="E",AV53&gt;=0.75,AW53=1),Health,IF(AND(AT53=3,AK53="E",AV53&gt;=0.75),Health*P53,IF(AND(AT53=3,AK53="E",AV53&gt;=0.5,AW53=1),PTHealth,IF(AND(AT53=3,AK53="E",AV53&gt;=0.5),PTHealth*P53,0))))</f>
        <v>0</v>
      </c>
      <c r="BD53" s="462">
        <f>IF(AND(AT53&lt;&gt;0,AX53&gt;=MAXSSDI),SSDI*MAXSSDI*P53,IF(AT53&lt;&gt;0,SSDI*W53,0))</f>
        <v>2901.6</v>
      </c>
      <c r="BE53" s="462">
        <f>IF(AT53&lt;&gt;0,SSHI*W53,0)</f>
        <v>678.6</v>
      </c>
      <c r="BF53" s="462">
        <f>IF(AND(AT53&lt;&gt;0,AN53&lt;&gt;"NE"),VLOOKUP(AN53,Retirement_Rates,3,FALSE)*W53,0)</f>
        <v>5587.92</v>
      </c>
      <c r="BG53" s="462">
        <f>IF(AND(AT53&lt;&gt;0,AJ53&lt;&gt;"PF"),Life*W53,0)</f>
        <v>337.428</v>
      </c>
      <c r="BH53" s="462">
        <f>IF(AND(AT53&lt;&gt;0,AM53="Y"),UI*W53,0)</f>
        <v>229.32</v>
      </c>
      <c r="BI53" s="462">
        <f>IF(AND(AT53&lt;&gt;0,N53&lt;&gt;"NR"),DHR*W53,0)</f>
        <v>143.208</v>
      </c>
      <c r="BJ53" s="462">
        <f>IF(AT53&lt;&gt;0,WC*W53,0)</f>
        <v>716.04</v>
      </c>
      <c r="BK53" s="462">
        <f>IF(OR(AND(AT53&lt;&gt;0,AJ53&lt;&gt;"PF",AN53&lt;&gt;"NE",AG53&lt;&gt;"A"),AND(AL53="E",OR(AT53=1,AT53=3))),Sick*W53,0)</f>
        <v>0</v>
      </c>
      <c r="BL53" s="462">
        <f t="shared" si="5"/>
        <v>10594.115999999998</v>
      </c>
      <c r="BM53" s="462">
        <f t="shared" si="6"/>
        <v>0</v>
      </c>
      <c r="BN53" s="462">
        <f>IF(AND(AT53=1,AK53="E",AU53&gt;=0.75,AW53=1),HealthBY,IF(AND(AT53=1,AK53="E",AU53&gt;=0.75),HealthBY*P53,IF(AND(AT53=1,AK53="E",AU53&gt;=0.5,AW53=1),PTHealthBY,IF(AND(AT53=1,AK53="E",AU53&gt;=0.5),PTHealthBY*P53,0))))</f>
        <v>11650</v>
      </c>
      <c r="BO53" s="462">
        <f>IF(AND(AT53=3,AK53="E",AV53&gt;=0.75,AW53=1),HealthBY,IF(AND(AT53=3,AK53="E",AV53&gt;=0.75),HealthBY*P53,IF(AND(AT53=3,AK53="E",AV53&gt;=0.5,AW53=1),PTHealthBY,IF(AND(AT53=3,AK53="E",AV53&gt;=0.5),PTHealthBY*P53,0))))</f>
        <v>0</v>
      </c>
      <c r="BP53" s="462">
        <f>IF(AND(AT53&lt;&gt;0,(AX53+BA53)&gt;=MAXSSDIBY),SSDIBY*MAXSSDIBY*P53,IF(AT53&lt;&gt;0,SSDIBY*W53,0))</f>
        <v>2901.6</v>
      </c>
      <c r="BQ53" s="462">
        <f>IF(AT53&lt;&gt;0,SSHIBY*W53,0)</f>
        <v>678.6</v>
      </c>
      <c r="BR53" s="462">
        <f>IF(AND(AT53&lt;&gt;0,AN53&lt;&gt;"NE"),VLOOKUP(AN53,Retirement_Rates,4,FALSE)*W53,0)</f>
        <v>5587.92</v>
      </c>
      <c r="BS53" s="462">
        <f>IF(AND(AT53&lt;&gt;0,AJ53&lt;&gt;"PF"),LifeBY*W53,0)</f>
        <v>337.428</v>
      </c>
      <c r="BT53" s="462">
        <f>IF(AND(AT53&lt;&gt;0,AM53="Y"),UIBY*W53,0)</f>
        <v>0</v>
      </c>
      <c r="BU53" s="462">
        <f>IF(AND(AT53&lt;&gt;0,N53&lt;&gt;"NR"),DHRBY*W53,0)</f>
        <v>143.208</v>
      </c>
      <c r="BV53" s="462">
        <f>IF(AT53&lt;&gt;0,WCBY*W53,0)</f>
        <v>823.68000000000006</v>
      </c>
      <c r="BW53" s="462">
        <f>IF(OR(AND(AT53&lt;&gt;0,AJ53&lt;&gt;"PF",AN53&lt;&gt;"NE",AG53&lt;&gt;"A"),AND(AL53="E",OR(AT53=1,AT53=3))),SickBY*W53,0)</f>
        <v>0</v>
      </c>
      <c r="BX53" s="462">
        <f t="shared" si="7"/>
        <v>10472.436</v>
      </c>
      <c r="BY53" s="462">
        <f t="shared" si="8"/>
        <v>0</v>
      </c>
      <c r="BZ53" s="462">
        <f t="shared" si="9"/>
        <v>0</v>
      </c>
      <c r="CA53" s="462">
        <f t="shared" si="10"/>
        <v>0</v>
      </c>
      <c r="CB53" s="462">
        <f t="shared" si="11"/>
        <v>0</v>
      </c>
      <c r="CC53" s="462">
        <f>IF(AT53&lt;&gt;0,SSHICHG*Y53,0)</f>
        <v>0</v>
      </c>
      <c r="CD53" s="462">
        <f>IF(AND(AT53&lt;&gt;0,AN53&lt;&gt;"NE"),VLOOKUP(AN53,Retirement_Rates,5,FALSE)*Y53,0)</f>
        <v>0</v>
      </c>
      <c r="CE53" s="462">
        <f>IF(AND(AT53&lt;&gt;0,AJ53&lt;&gt;"PF"),LifeCHG*Y53,0)</f>
        <v>0</v>
      </c>
      <c r="CF53" s="462">
        <f>IF(AND(AT53&lt;&gt;0,AM53="Y"),UICHG*Y53,0)</f>
        <v>-229.32</v>
      </c>
      <c r="CG53" s="462">
        <f>IF(AND(AT53&lt;&gt;0,N53&lt;&gt;"NR"),DHRCHG*Y53,0)</f>
        <v>0</v>
      </c>
      <c r="CH53" s="462">
        <f>IF(AT53&lt;&gt;0,WCCHG*Y53,0)</f>
        <v>107.64000000000009</v>
      </c>
      <c r="CI53" s="462">
        <f>IF(OR(AND(AT53&lt;&gt;0,AJ53&lt;&gt;"PF",AN53&lt;&gt;"NE",AG53&lt;&gt;"A"),AND(AL53="E",OR(AT53=1,AT53=3))),SickCHG*Y53,0)</f>
        <v>0</v>
      </c>
      <c r="CJ53" s="462">
        <f t="shared" si="12"/>
        <v>-121.67999999999991</v>
      </c>
      <c r="CK53" s="462" t="str">
        <f t="shared" si="13"/>
        <v/>
      </c>
      <c r="CL53" s="462" t="str">
        <f t="shared" si="14"/>
        <v/>
      </c>
      <c r="CM53" s="462" t="str">
        <f t="shared" si="15"/>
        <v/>
      </c>
      <c r="CN53" s="462" t="str">
        <f t="shared" si="16"/>
        <v>0001-00</v>
      </c>
    </row>
    <row r="54" spans="1:92" ht="15" thickBot="1" x14ac:dyDescent="0.35">
      <c r="A54" s="376" t="s">
        <v>161</v>
      </c>
      <c r="B54" s="376" t="s">
        <v>162</v>
      </c>
      <c r="C54" s="376" t="s">
        <v>398</v>
      </c>
      <c r="D54" s="376" t="s">
        <v>365</v>
      </c>
      <c r="E54" s="376" t="s">
        <v>165</v>
      </c>
      <c r="F54" s="377" t="s">
        <v>166</v>
      </c>
      <c r="G54" s="376" t="s">
        <v>356</v>
      </c>
      <c r="H54" s="378"/>
      <c r="I54" s="378"/>
      <c r="J54" s="376" t="s">
        <v>168</v>
      </c>
      <c r="K54" s="376" t="s">
        <v>366</v>
      </c>
      <c r="L54" s="376" t="s">
        <v>274</v>
      </c>
      <c r="M54" s="376" t="s">
        <v>170</v>
      </c>
      <c r="N54" s="376" t="s">
        <v>202</v>
      </c>
      <c r="O54" s="379">
        <v>1</v>
      </c>
      <c r="P54" s="460">
        <v>1</v>
      </c>
      <c r="Q54" s="460">
        <v>1</v>
      </c>
      <c r="R54" s="380">
        <v>80</v>
      </c>
      <c r="S54" s="460">
        <v>1</v>
      </c>
      <c r="T54" s="380">
        <v>32307.91</v>
      </c>
      <c r="U54" s="380">
        <v>0</v>
      </c>
      <c r="V54" s="380">
        <v>17362.73</v>
      </c>
      <c r="W54" s="380">
        <v>35137.440000000002</v>
      </c>
      <c r="X54" s="380">
        <v>19604.05</v>
      </c>
      <c r="Y54" s="380">
        <v>35137.440000000002</v>
      </c>
      <c r="Z54" s="380">
        <v>19512.689999999999</v>
      </c>
      <c r="AA54" s="376" t="s">
        <v>399</v>
      </c>
      <c r="AB54" s="376" t="s">
        <v>400</v>
      </c>
      <c r="AC54" s="376" t="s">
        <v>319</v>
      </c>
      <c r="AD54" s="376" t="s">
        <v>401</v>
      </c>
      <c r="AE54" s="376" t="s">
        <v>366</v>
      </c>
      <c r="AF54" s="376" t="s">
        <v>279</v>
      </c>
      <c r="AG54" s="376" t="s">
        <v>177</v>
      </c>
      <c r="AH54" s="381">
        <v>18.77</v>
      </c>
      <c r="AI54" s="381">
        <v>35305.5</v>
      </c>
      <c r="AJ54" s="376" t="s">
        <v>313</v>
      </c>
      <c r="AK54" s="376" t="s">
        <v>179</v>
      </c>
      <c r="AL54" s="376" t="s">
        <v>180</v>
      </c>
      <c r="AM54" s="376" t="s">
        <v>181</v>
      </c>
      <c r="AN54" s="376" t="s">
        <v>68</v>
      </c>
      <c r="AO54" s="379">
        <v>72</v>
      </c>
      <c r="AP54" s="460">
        <v>1</v>
      </c>
      <c r="AQ54" s="460">
        <v>0.9</v>
      </c>
      <c r="AR54" s="458" t="s">
        <v>182</v>
      </c>
      <c r="AS54" s="462">
        <f t="shared" si="0"/>
        <v>0.9</v>
      </c>
      <c r="AT54">
        <f t="shared" si="1"/>
        <v>1</v>
      </c>
      <c r="AU54" s="462">
        <f>IF(AT54=0,"",IF(AND(AT54=1,M54="F",SUMIF(C2:C698,C54,AS2:AS698)&lt;=1),SUMIF(C2:C698,C54,AS2:AS698),IF(AND(AT54=1,M54="F",SUMIF(C2:C698,C54,AS2:AS698)&gt;1),1,"")))</f>
        <v>0.9</v>
      </c>
      <c r="AV54" s="462" t="str">
        <f>IF(AT54=0,"",IF(AND(AT54=3,M54="F",SUMIF(C2:C698,C54,AS2:AS698)&lt;=1),SUMIF(C2:C698,C54,AS2:AS698),IF(AND(AT54=3,M54="F",SUMIF(C2:C698,C54,AS2:AS698)&gt;1),1,"")))</f>
        <v/>
      </c>
      <c r="AW54" s="462">
        <f>SUMIF(C2:C698,C54,O2:O698)</f>
        <v>5</v>
      </c>
      <c r="AX54" s="462">
        <f>IF(AND(M54="F",AS54&lt;&gt;0),SUMIF(C2:C698,C54,W2:W698),0)</f>
        <v>35137.440000000002</v>
      </c>
      <c r="AY54" s="462">
        <f t="shared" si="2"/>
        <v>35137.440000000002</v>
      </c>
      <c r="AZ54" s="462" t="str">
        <f t="shared" si="3"/>
        <v/>
      </c>
      <c r="BA54" s="462">
        <f t="shared" si="4"/>
        <v>0</v>
      </c>
      <c r="BB54" s="462">
        <f>IF(AND(AT54=1,AK54="E",AU54&gt;=0.75,AW54=1),Health,IF(AND(AT54=1,AK54="E",AU54&gt;=0.75),Health*P54,IF(AND(AT54=1,AK54="E",AU54&gt;=0.5,AW54=1),PTHealth,IF(AND(AT54=1,AK54="E",AU54&gt;=0.5),PTHealth*P54,0))))</f>
        <v>11650</v>
      </c>
      <c r="BC54" s="462">
        <f>IF(AND(AT54=3,AK54="E",AV54&gt;=0.75,AW54=1),Health,IF(AND(AT54=3,AK54="E",AV54&gt;=0.75),Health*P54,IF(AND(AT54=3,AK54="E",AV54&gt;=0.5,AW54=1),PTHealth,IF(AND(AT54=3,AK54="E",AV54&gt;=0.5),PTHealth*P54,0))))</f>
        <v>0</v>
      </c>
      <c r="BD54" s="462">
        <f>IF(AND(AT54&lt;&gt;0,AX54&gt;=MAXSSDI),SSDI*MAXSSDI*P54,IF(AT54&lt;&gt;0,SSDI*W54,0))</f>
        <v>2178.5212799999999</v>
      </c>
      <c r="BE54" s="462">
        <f>IF(AT54&lt;&gt;0,SSHI*W54,0)</f>
        <v>509.49288000000007</v>
      </c>
      <c r="BF54" s="462">
        <f>IF(AND(AT54&lt;&gt;0,AN54&lt;&gt;"NE"),VLOOKUP(AN54,Retirement_Rates,3,FALSE)*W54,0)</f>
        <v>4195.4103360000008</v>
      </c>
      <c r="BG54" s="462">
        <f>IF(AND(AT54&lt;&gt;0,AJ54&lt;&gt;"PF"),Life*W54,0)</f>
        <v>253.34094240000002</v>
      </c>
      <c r="BH54" s="462">
        <f>IF(AND(AT54&lt;&gt;0,AM54="Y"),UI*W54,0)</f>
        <v>172.17345600000002</v>
      </c>
      <c r="BI54" s="462">
        <f>IF(AND(AT54&lt;&gt;0,N54&lt;&gt;"NR"),DHR*W54,0)</f>
        <v>107.52056639999999</v>
      </c>
      <c r="BJ54" s="462">
        <f>IF(AT54&lt;&gt;0,WC*W54,0)</f>
        <v>537.60283200000003</v>
      </c>
      <c r="BK54" s="462">
        <f>IF(OR(AND(AT54&lt;&gt;0,AJ54&lt;&gt;"PF",AN54&lt;&gt;"NE",AG54&lt;&gt;"A"),AND(AL54="E",OR(AT54=1,AT54=3))),Sick*W54,0)</f>
        <v>0</v>
      </c>
      <c r="BL54" s="462">
        <f t="shared" si="5"/>
        <v>7954.0622928000012</v>
      </c>
      <c r="BM54" s="462">
        <f t="shared" si="6"/>
        <v>0</v>
      </c>
      <c r="BN54" s="462">
        <f>IF(AND(AT54=1,AK54="E",AU54&gt;=0.75,AW54=1),HealthBY,IF(AND(AT54=1,AK54="E",AU54&gt;=0.75),HealthBY*P54,IF(AND(AT54=1,AK54="E",AU54&gt;=0.5,AW54=1),PTHealthBY,IF(AND(AT54=1,AK54="E",AU54&gt;=0.5),PTHealthBY*P54,0))))</f>
        <v>11650</v>
      </c>
      <c r="BO54" s="462">
        <f>IF(AND(AT54=3,AK54="E",AV54&gt;=0.75,AW54=1),HealthBY,IF(AND(AT54=3,AK54="E",AV54&gt;=0.75),HealthBY*P54,IF(AND(AT54=3,AK54="E",AV54&gt;=0.5,AW54=1),PTHealthBY,IF(AND(AT54=3,AK54="E",AV54&gt;=0.5),PTHealthBY*P54,0))))</f>
        <v>0</v>
      </c>
      <c r="BP54" s="462">
        <f>IF(AND(AT54&lt;&gt;0,(AX54+BA54)&gt;=MAXSSDIBY),SSDIBY*MAXSSDIBY*P54,IF(AT54&lt;&gt;0,SSDIBY*W54,0))</f>
        <v>2178.5212799999999</v>
      </c>
      <c r="BQ54" s="462">
        <f>IF(AT54&lt;&gt;0,SSHIBY*W54,0)</f>
        <v>509.49288000000007</v>
      </c>
      <c r="BR54" s="462">
        <f>IF(AND(AT54&lt;&gt;0,AN54&lt;&gt;"NE"),VLOOKUP(AN54,Retirement_Rates,4,FALSE)*W54,0)</f>
        <v>4195.4103360000008</v>
      </c>
      <c r="BS54" s="462">
        <f>IF(AND(AT54&lt;&gt;0,AJ54&lt;&gt;"PF"),LifeBY*W54,0)</f>
        <v>253.34094240000002</v>
      </c>
      <c r="BT54" s="462">
        <f>IF(AND(AT54&lt;&gt;0,AM54="Y"),UIBY*W54,0)</f>
        <v>0</v>
      </c>
      <c r="BU54" s="462">
        <f>IF(AND(AT54&lt;&gt;0,N54&lt;&gt;"NR"),DHRBY*W54,0)</f>
        <v>107.52056639999999</v>
      </c>
      <c r="BV54" s="462">
        <f>IF(AT54&lt;&gt;0,WCBY*W54,0)</f>
        <v>618.41894400000012</v>
      </c>
      <c r="BW54" s="462">
        <f>IF(OR(AND(AT54&lt;&gt;0,AJ54&lt;&gt;"PF",AN54&lt;&gt;"NE",AG54&lt;&gt;"A"),AND(AL54="E",OR(AT54=1,AT54=3))),SickBY*W54,0)</f>
        <v>0</v>
      </c>
      <c r="BX54" s="462">
        <f t="shared" si="7"/>
        <v>7862.7049488000011</v>
      </c>
      <c r="BY54" s="462">
        <f t="shared" si="8"/>
        <v>0</v>
      </c>
      <c r="BZ54" s="462">
        <f t="shared" si="9"/>
        <v>0</v>
      </c>
      <c r="CA54" s="462">
        <f t="shared" si="10"/>
        <v>0</v>
      </c>
      <c r="CB54" s="462">
        <f t="shared" si="11"/>
        <v>0</v>
      </c>
      <c r="CC54" s="462">
        <f>IF(AT54&lt;&gt;0,SSHICHG*Y54,0)</f>
        <v>0</v>
      </c>
      <c r="CD54" s="462">
        <f>IF(AND(AT54&lt;&gt;0,AN54&lt;&gt;"NE"),VLOOKUP(AN54,Retirement_Rates,5,FALSE)*Y54,0)</f>
        <v>0</v>
      </c>
      <c r="CE54" s="462">
        <f>IF(AND(AT54&lt;&gt;0,AJ54&lt;&gt;"PF"),LifeCHG*Y54,0)</f>
        <v>0</v>
      </c>
      <c r="CF54" s="462">
        <f>IF(AND(AT54&lt;&gt;0,AM54="Y"),UICHG*Y54,0)</f>
        <v>-172.17345600000002</v>
      </c>
      <c r="CG54" s="462">
        <f>IF(AND(AT54&lt;&gt;0,N54&lt;&gt;"NR"),DHRCHG*Y54,0)</f>
        <v>0</v>
      </c>
      <c r="CH54" s="462">
        <f>IF(AT54&lt;&gt;0,WCCHG*Y54,0)</f>
        <v>80.816112000000061</v>
      </c>
      <c r="CI54" s="462">
        <f>IF(OR(AND(AT54&lt;&gt;0,AJ54&lt;&gt;"PF",AN54&lt;&gt;"NE",AG54&lt;&gt;"A"),AND(AL54="E",OR(AT54=1,AT54=3))),SickCHG*Y54,0)</f>
        <v>0</v>
      </c>
      <c r="CJ54" s="462">
        <f t="shared" si="12"/>
        <v>-91.357343999999955</v>
      </c>
      <c r="CK54" s="462" t="str">
        <f t="shared" si="13"/>
        <v/>
      </c>
      <c r="CL54" s="462" t="str">
        <f t="shared" si="14"/>
        <v/>
      </c>
      <c r="CM54" s="462" t="str">
        <f t="shared" si="15"/>
        <v/>
      </c>
      <c r="CN54" s="462" t="str">
        <f t="shared" si="16"/>
        <v>0001-00</v>
      </c>
    </row>
    <row r="55" spans="1:92" ht="15" thickBot="1" x14ac:dyDescent="0.35">
      <c r="A55" s="376" t="s">
        <v>161</v>
      </c>
      <c r="B55" s="376" t="s">
        <v>162</v>
      </c>
      <c r="C55" s="376" t="s">
        <v>402</v>
      </c>
      <c r="D55" s="376" t="s">
        <v>362</v>
      </c>
      <c r="E55" s="376" t="s">
        <v>165</v>
      </c>
      <c r="F55" s="377" t="s">
        <v>166</v>
      </c>
      <c r="G55" s="376" t="s">
        <v>356</v>
      </c>
      <c r="H55" s="378"/>
      <c r="I55" s="378"/>
      <c r="J55" s="376" t="s">
        <v>168</v>
      </c>
      <c r="K55" s="376" t="s">
        <v>363</v>
      </c>
      <c r="L55" s="376" t="s">
        <v>200</v>
      </c>
      <c r="M55" s="376" t="s">
        <v>170</v>
      </c>
      <c r="N55" s="376" t="s">
        <v>202</v>
      </c>
      <c r="O55" s="379">
        <v>1</v>
      </c>
      <c r="P55" s="460">
        <v>1</v>
      </c>
      <c r="Q55" s="460">
        <v>1</v>
      </c>
      <c r="R55" s="380">
        <v>80</v>
      </c>
      <c r="S55" s="460">
        <v>1</v>
      </c>
      <c r="T55" s="380">
        <v>18812.61</v>
      </c>
      <c r="U55" s="380">
        <v>0</v>
      </c>
      <c r="V55" s="380">
        <v>8954.44</v>
      </c>
      <c r="W55" s="380">
        <v>46800</v>
      </c>
      <c r="X55" s="380">
        <v>22244.1</v>
      </c>
      <c r="Y55" s="380">
        <v>46800</v>
      </c>
      <c r="Z55" s="380">
        <v>22122.42</v>
      </c>
      <c r="AA55" s="376" t="s">
        <v>403</v>
      </c>
      <c r="AB55" s="376" t="s">
        <v>404</v>
      </c>
      <c r="AC55" s="376" t="s">
        <v>405</v>
      </c>
      <c r="AD55" s="376" t="s">
        <v>190</v>
      </c>
      <c r="AE55" s="376" t="s">
        <v>363</v>
      </c>
      <c r="AF55" s="376" t="s">
        <v>210</v>
      </c>
      <c r="AG55" s="376" t="s">
        <v>177</v>
      </c>
      <c r="AH55" s="381">
        <v>22.5</v>
      </c>
      <c r="AI55" s="381">
        <v>12098.3</v>
      </c>
      <c r="AJ55" s="376" t="s">
        <v>178</v>
      </c>
      <c r="AK55" s="376" t="s">
        <v>179</v>
      </c>
      <c r="AL55" s="376" t="s">
        <v>180</v>
      </c>
      <c r="AM55" s="376" t="s">
        <v>181</v>
      </c>
      <c r="AN55" s="376" t="s">
        <v>68</v>
      </c>
      <c r="AO55" s="379">
        <v>80</v>
      </c>
      <c r="AP55" s="460">
        <v>1</v>
      </c>
      <c r="AQ55" s="460">
        <v>1</v>
      </c>
      <c r="AR55" s="458" t="s">
        <v>182</v>
      </c>
      <c r="AS55" s="462">
        <f t="shared" si="0"/>
        <v>1</v>
      </c>
      <c r="AT55">
        <f t="shared" si="1"/>
        <v>1</v>
      </c>
      <c r="AU55" s="462">
        <f>IF(AT55=0,"",IF(AND(AT55=1,M55="F",SUMIF(C2:C698,C55,AS2:AS698)&lt;=1),SUMIF(C2:C698,C55,AS2:AS698),IF(AND(AT55=1,M55="F",SUMIF(C2:C698,C55,AS2:AS698)&gt;1),1,"")))</f>
        <v>1</v>
      </c>
      <c r="AV55" s="462" t="str">
        <f>IF(AT55=0,"",IF(AND(AT55=3,M55="F",SUMIF(C2:C698,C55,AS2:AS698)&lt;=1),SUMIF(C2:C698,C55,AS2:AS698),IF(AND(AT55=3,M55="F",SUMIF(C2:C698,C55,AS2:AS698)&gt;1),1,"")))</f>
        <v/>
      </c>
      <c r="AW55" s="462">
        <f>SUMIF(C2:C698,C55,O2:O698)</f>
        <v>5</v>
      </c>
      <c r="AX55" s="462">
        <f>IF(AND(M55="F",AS55&lt;&gt;0),SUMIF(C2:C698,C55,W2:W698),0)</f>
        <v>46800</v>
      </c>
      <c r="AY55" s="462">
        <f t="shared" si="2"/>
        <v>46800</v>
      </c>
      <c r="AZ55" s="462" t="str">
        <f t="shared" si="3"/>
        <v/>
      </c>
      <c r="BA55" s="462">
        <f t="shared" si="4"/>
        <v>0</v>
      </c>
      <c r="BB55" s="462">
        <f>IF(AND(AT55=1,AK55="E",AU55&gt;=0.75,AW55=1),Health,IF(AND(AT55=1,AK55="E",AU55&gt;=0.75),Health*P55,IF(AND(AT55=1,AK55="E",AU55&gt;=0.5,AW55=1),PTHealth,IF(AND(AT55=1,AK55="E",AU55&gt;=0.5),PTHealth*P55,0))))</f>
        <v>11650</v>
      </c>
      <c r="BC55" s="462">
        <f>IF(AND(AT55=3,AK55="E",AV55&gt;=0.75,AW55=1),Health,IF(AND(AT55=3,AK55="E",AV55&gt;=0.75),Health*P55,IF(AND(AT55=3,AK55="E",AV55&gt;=0.5,AW55=1),PTHealth,IF(AND(AT55=3,AK55="E",AV55&gt;=0.5),PTHealth*P55,0))))</f>
        <v>0</v>
      </c>
      <c r="BD55" s="462">
        <f>IF(AND(AT55&lt;&gt;0,AX55&gt;=MAXSSDI),SSDI*MAXSSDI*P55,IF(AT55&lt;&gt;0,SSDI*W55,0))</f>
        <v>2901.6</v>
      </c>
      <c r="BE55" s="462">
        <f>IF(AT55&lt;&gt;0,SSHI*W55,0)</f>
        <v>678.6</v>
      </c>
      <c r="BF55" s="462">
        <f>IF(AND(AT55&lt;&gt;0,AN55&lt;&gt;"NE"),VLOOKUP(AN55,Retirement_Rates,3,FALSE)*W55,0)</f>
        <v>5587.92</v>
      </c>
      <c r="BG55" s="462">
        <f>IF(AND(AT55&lt;&gt;0,AJ55&lt;&gt;"PF"),Life*W55,0)</f>
        <v>337.428</v>
      </c>
      <c r="BH55" s="462">
        <f>IF(AND(AT55&lt;&gt;0,AM55="Y"),UI*W55,0)</f>
        <v>229.32</v>
      </c>
      <c r="BI55" s="462">
        <f>IF(AND(AT55&lt;&gt;0,N55&lt;&gt;"NR"),DHR*W55,0)</f>
        <v>143.208</v>
      </c>
      <c r="BJ55" s="462">
        <f>IF(AT55&lt;&gt;0,WC*W55,0)</f>
        <v>716.04</v>
      </c>
      <c r="BK55" s="462">
        <f>IF(OR(AND(AT55&lt;&gt;0,AJ55&lt;&gt;"PF",AN55&lt;&gt;"NE",AG55&lt;&gt;"A"),AND(AL55="E",OR(AT55=1,AT55=3))),Sick*W55,0)</f>
        <v>0</v>
      </c>
      <c r="BL55" s="462">
        <f t="shared" si="5"/>
        <v>10594.115999999998</v>
      </c>
      <c r="BM55" s="462">
        <f t="shared" si="6"/>
        <v>0</v>
      </c>
      <c r="BN55" s="462">
        <f>IF(AND(AT55=1,AK55="E",AU55&gt;=0.75,AW55=1),HealthBY,IF(AND(AT55=1,AK55="E",AU55&gt;=0.75),HealthBY*P55,IF(AND(AT55=1,AK55="E",AU55&gt;=0.5,AW55=1),PTHealthBY,IF(AND(AT55=1,AK55="E",AU55&gt;=0.5),PTHealthBY*P55,0))))</f>
        <v>11650</v>
      </c>
      <c r="BO55" s="462">
        <f>IF(AND(AT55=3,AK55="E",AV55&gt;=0.75,AW55=1),HealthBY,IF(AND(AT55=3,AK55="E",AV55&gt;=0.75),HealthBY*P55,IF(AND(AT55=3,AK55="E",AV55&gt;=0.5,AW55=1),PTHealthBY,IF(AND(AT55=3,AK55="E",AV55&gt;=0.5),PTHealthBY*P55,0))))</f>
        <v>0</v>
      </c>
      <c r="BP55" s="462">
        <f>IF(AND(AT55&lt;&gt;0,(AX55+BA55)&gt;=MAXSSDIBY),SSDIBY*MAXSSDIBY*P55,IF(AT55&lt;&gt;0,SSDIBY*W55,0))</f>
        <v>2901.6</v>
      </c>
      <c r="BQ55" s="462">
        <f>IF(AT55&lt;&gt;0,SSHIBY*W55,0)</f>
        <v>678.6</v>
      </c>
      <c r="BR55" s="462">
        <f>IF(AND(AT55&lt;&gt;0,AN55&lt;&gt;"NE"),VLOOKUP(AN55,Retirement_Rates,4,FALSE)*W55,0)</f>
        <v>5587.92</v>
      </c>
      <c r="BS55" s="462">
        <f>IF(AND(AT55&lt;&gt;0,AJ55&lt;&gt;"PF"),LifeBY*W55,0)</f>
        <v>337.428</v>
      </c>
      <c r="BT55" s="462">
        <f>IF(AND(AT55&lt;&gt;0,AM55="Y"),UIBY*W55,0)</f>
        <v>0</v>
      </c>
      <c r="BU55" s="462">
        <f>IF(AND(AT55&lt;&gt;0,N55&lt;&gt;"NR"),DHRBY*W55,0)</f>
        <v>143.208</v>
      </c>
      <c r="BV55" s="462">
        <f>IF(AT55&lt;&gt;0,WCBY*W55,0)</f>
        <v>823.68000000000006</v>
      </c>
      <c r="BW55" s="462">
        <f>IF(OR(AND(AT55&lt;&gt;0,AJ55&lt;&gt;"PF",AN55&lt;&gt;"NE",AG55&lt;&gt;"A"),AND(AL55="E",OR(AT55=1,AT55=3))),SickBY*W55,0)</f>
        <v>0</v>
      </c>
      <c r="BX55" s="462">
        <f t="shared" si="7"/>
        <v>10472.436</v>
      </c>
      <c r="BY55" s="462">
        <f t="shared" si="8"/>
        <v>0</v>
      </c>
      <c r="BZ55" s="462">
        <f t="shared" si="9"/>
        <v>0</v>
      </c>
      <c r="CA55" s="462">
        <f t="shared" si="10"/>
        <v>0</v>
      </c>
      <c r="CB55" s="462">
        <f t="shared" si="11"/>
        <v>0</v>
      </c>
      <c r="CC55" s="462">
        <f>IF(AT55&lt;&gt;0,SSHICHG*Y55,0)</f>
        <v>0</v>
      </c>
      <c r="CD55" s="462">
        <f>IF(AND(AT55&lt;&gt;0,AN55&lt;&gt;"NE"),VLOOKUP(AN55,Retirement_Rates,5,FALSE)*Y55,0)</f>
        <v>0</v>
      </c>
      <c r="CE55" s="462">
        <f>IF(AND(AT55&lt;&gt;0,AJ55&lt;&gt;"PF"),LifeCHG*Y55,0)</f>
        <v>0</v>
      </c>
      <c r="CF55" s="462">
        <f>IF(AND(AT55&lt;&gt;0,AM55="Y"),UICHG*Y55,0)</f>
        <v>-229.32</v>
      </c>
      <c r="CG55" s="462">
        <f>IF(AND(AT55&lt;&gt;0,N55&lt;&gt;"NR"),DHRCHG*Y55,0)</f>
        <v>0</v>
      </c>
      <c r="CH55" s="462">
        <f>IF(AT55&lt;&gt;0,WCCHG*Y55,0)</f>
        <v>107.64000000000009</v>
      </c>
      <c r="CI55" s="462">
        <f>IF(OR(AND(AT55&lt;&gt;0,AJ55&lt;&gt;"PF",AN55&lt;&gt;"NE",AG55&lt;&gt;"A"),AND(AL55="E",OR(AT55=1,AT55=3))),SickCHG*Y55,0)</f>
        <v>0</v>
      </c>
      <c r="CJ55" s="462">
        <f t="shared" si="12"/>
        <v>-121.67999999999991</v>
      </c>
      <c r="CK55" s="462" t="str">
        <f t="shared" si="13"/>
        <v/>
      </c>
      <c r="CL55" s="462" t="str">
        <f t="shared" si="14"/>
        <v/>
      </c>
      <c r="CM55" s="462" t="str">
        <f t="shared" si="15"/>
        <v/>
      </c>
      <c r="CN55" s="462" t="str">
        <f t="shared" si="16"/>
        <v>0001-00</v>
      </c>
    </row>
    <row r="56" spans="1:92" ht="15" thickBot="1" x14ac:dyDescent="0.35">
      <c r="A56" s="376" t="s">
        <v>161</v>
      </c>
      <c r="B56" s="376" t="s">
        <v>162</v>
      </c>
      <c r="C56" s="376" t="s">
        <v>406</v>
      </c>
      <c r="D56" s="376" t="s">
        <v>250</v>
      </c>
      <c r="E56" s="376" t="s">
        <v>165</v>
      </c>
      <c r="F56" s="377" t="s">
        <v>166</v>
      </c>
      <c r="G56" s="376" t="s">
        <v>356</v>
      </c>
      <c r="H56" s="378"/>
      <c r="I56" s="378"/>
      <c r="J56" s="376" t="s">
        <v>168</v>
      </c>
      <c r="K56" s="376" t="s">
        <v>407</v>
      </c>
      <c r="L56" s="376" t="s">
        <v>247</v>
      </c>
      <c r="M56" s="376" t="s">
        <v>170</v>
      </c>
      <c r="N56" s="376" t="s">
        <v>202</v>
      </c>
      <c r="O56" s="379">
        <v>1</v>
      </c>
      <c r="P56" s="460">
        <v>0</v>
      </c>
      <c r="Q56" s="460">
        <v>0</v>
      </c>
      <c r="R56" s="380">
        <v>80</v>
      </c>
      <c r="S56" s="460">
        <v>0</v>
      </c>
      <c r="T56" s="380">
        <v>31.69</v>
      </c>
      <c r="U56" s="380">
        <v>0</v>
      </c>
      <c r="V56" s="380">
        <v>13.13</v>
      </c>
      <c r="W56" s="380">
        <v>0</v>
      </c>
      <c r="X56" s="380">
        <v>0</v>
      </c>
      <c r="Y56" s="380">
        <v>0</v>
      </c>
      <c r="Z56" s="380">
        <v>0</v>
      </c>
      <c r="AA56" s="376" t="s">
        <v>408</v>
      </c>
      <c r="AB56" s="376" t="s">
        <v>409</v>
      </c>
      <c r="AC56" s="376" t="s">
        <v>410</v>
      </c>
      <c r="AD56" s="376" t="s">
        <v>411</v>
      </c>
      <c r="AE56" s="376" t="s">
        <v>407</v>
      </c>
      <c r="AF56" s="376" t="s">
        <v>299</v>
      </c>
      <c r="AG56" s="376" t="s">
        <v>177</v>
      </c>
      <c r="AH56" s="379">
        <v>28</v>
      </c>
      <c r="AI56" s="381">
        <v>6915.2</v>
      </c>
      <c r="AJ56" s="376" t="s">
        <v>178</v>
      </c>
      <c r="AK56" s="376" t="s">
        <v>179</v>
      </c>
      <c r="AL56" s="376" t="s">
        <v>180</v>
      </c>
      <c r="AM56" s="376" t="s">
        <v>181</v>
      </c>
      <c r="AN56" s="376" t="s">
        <v>68</v>
      </c>
      <c r="AO56" s="379">
        <v>80</v>
      </c>
      <c r="AP56" s="460">
        <v>1</v>
      </c>
      <c r="AQ56" s="460">
        <v>0</v>
      </c>
      <c r="AR56" s="458" t="s">
        <v>182</v>
      </c>
      <c r="AS56" s="462">
        <f t="shared" si="0"/>
        <v>0</v>
      </c>
      <c r="AT56">
        <f t="shared" si="1"/>
        <v>0</v>
      </c>
      <c r="AU56" s="462" t="str">
        <f>IF(AT56=0,"",IF(AND(AT56=1,M56="F",SUMIF(C2:C698,C56,AS2:AS698)&lt;=1),SUMIF(C2:C698,C56,AS2:AS698),IF(AND(AT56=1,M56="F",SUMIF(C2:C698,C56,AS2:AS698)&gt;1),1,"")))</f>
        <v/>
      </c>
      <c r="AV56" s="462" t="str">
        <f>IF(AT56=0,"",IF(AND(AT56=3,M56="F",SUMIF(C2:C698,C56,AS2:AS698)&lt;=1),SUMIF(C2:C698,C56,AS2:AS698),IF(AND(AT56=3,M56="F",SUMIF(C2:C698,C56,AS2:AS698)&gt;1),1,"")))</f>
        <v/>
      </c>
      <c r="AW56" s="462">
        <f>SUMIF(C2:C698,C56,O2:O698)</f>
        <v>5</v>
      </c>
      <c r="AX56" s="462">
        <f>IF(AND(M56="F",AS56&lt;&gt;0),SUMIF(C2:C698,C56,W2:W698),0)</f>
        <v>0</v>
      </c>
      <c r="AY56" s="462" t="str">
        <f t="shared" si="2"/>
        <v/>
      </c>
      <c r="AZ56" s="462" t="str">
        <f t="shared" si="3"/>
        <v/>
      </c>
      <c r="BA56" s="462">
        <f t="shared" si="4"/>
        <v>0</v>
      </c>
      <c r="BB56" s="462">
        <f>IF(AND(AT56=1,AK56="E",AU56&gt;=0.75,AW56=1),Health,IF(AND(AT56=1,AK56="E",AU56&gt;=0.75),Health*P56,IF(AND(AT56=1,AK56="E",AU56&gt;=0.5,AW56=1),PTHealth,IF(AND(AT56=1,AK56="E",AU56&gt;=0.5),PTHealth*P56,0))))</f>
        <v>0</v>
      </c>
      <c r="BC56" s="462">
        <f>IF(AND(AT56=3,AK56="E",AV56&gt;=0.75,AW56=1),Health,IF(AND(AT56=3,AK56="E",AV56&gt;=0.75),Health*P56,IF(AND(AT56=3,AK56="E",AV56&gt;=0.5,AW56=1),PTHealth,IF(AND(AT56=3,AK56="E",AV56&gt;=0.5),PTHealth*P56,0))))</f>
        <v>0</v>
      </c>
      <c r="BD56" s="462">
        <f>IF(AND(AT56&lt;&gt;0,AX56&gt;=MAXSSDI),SSDI*MAXSSDI*P56,IF(AT56&lt;&gt;0,SSDI*W56,0))</f>
        <v>0</v>
      </c>
      <c r="BE56" s="462">
        <f>IF(AT56&lt;&gt;0,SSHI*W56,0)</f>
        <v>0</v>
      </c>
      <c r="BF56" s="462">
        <f>IF(AND(AT56&lt;&gt;0,AN56&lt;&gt;"NE"),VLOOKUP(AN56,Retirement_Rates,3,FALSE)*W56,0)</f>
        <v>0</v>
      </c>
      <c r="BG56" s="462">
        <f>IF(AND(AT56&lt;&gt;0,AJ56&lt;&gt;"PF"),Life*W56,0)</f>
        <v>0</v>
      </c>
      <c r="BH56" s="462">
        <f>IF(AND(AT56&lt;&gt;0,AM56="Y"),UI*W56,0)</f>
        <v>0</v>
      </c>
      <c r="BI56" s="462">
        <f>IF(AND(AT56&lt;&gt;0,N56&lt;&gt;"NR"),DHR*W56,0)</f>
        <v>0</v>
      </c>
      <c r="BJ56" s="462">
        <f>IF(AT56&lt;&gt;0,WC*W56,0)</f>
        <v>0</v>
      </c>
      <c r="BK56" s="462">
        <f>IF(OR(AND(AT56&lt;&gt;0,AJ56&lt;&gt;"PF",AN56&lt;&gt;"NE",AG56&lt;&gt;"A"),AND(AL56="E",OR(AT56=1,AT56=3))),Sick*W56,0)</f>
        <v>0</v>
      </c>
      <c r="BL56" s="462">
        <f t="shared" si="5"/>
        <v>0</v>
      </c>
      <c r="BM56" s="462">
        <f t="shared" si="6"/>
        <v>0</v>
      </c>
      <c r="BN56" s="462">
        <f>IF(AND(AT56=1,AK56="E",AU56&gt;=0.75,AW56=1),HealthBY,IF(AND(AT56=1,AK56="E",AU56&gt;=0.75),HealthBY*P56,IF(AND(AT56=1,AK56="E",AU56&gt;=0.5,AW56=1),PTHealthBY,IF(AND(AT56=1,AK56="E",AU56&gt;=0.5),PTHealthBY*P56,0))))</f>
        <v>0</v>
      </c>
      <c r="BO56" s="462">
        <f>IF(AND(AT56=3,AK56="E",AV56&gt;=0.75,AW56=1),HealthBY,IF(AND(AT56=3,AK56="E",AV56&gt;=0.75),HealthBY*P56,IF(AND(AT56=3,AK56="E",AV56&gt;=0.5,AW56=1),PTHealthBY,IF(AND(AT56=3,AK56="E",AV56&gt;=0.5),PTHealthBY*P56,0))))</f>
        <v>0</v>
      </c>
      <c r="BP56" s="462">
        <f>IF(AND(AT56&lt;&gt;0,(AX56+BA56)&gt;=MAXSSDIBY),SSDIBY*MAXSSDIBY*P56,IF(AT56&lt;&gt;0,SSDIBY*W56,0))</f>
        <v>0</v>
      </c>
      <c r="BQ56" s="462">
        <f>IF(AT56&lt;&gt;0,SSHIBY*W56,0)</f>
        <v>0</v>
      </c>
      <c r="BR56" s="462">
        <f>IF(AND(AT56&lt;&gt;0,AN56&lt;&gt;"NE"),VLOOKUP(AN56,Retirement_Rates,4,FALSE)*W56,0)</f>
        <v>0</v>
      </c>
      <c r="BS56" s="462">
        <f>IF(AND(AT56&lt;&gt;0,AJ56&lt;&gt;"PF"),LifeBY*W56,0)</f>
        <v>0</v>
      </c>
      <c r="BT56" s="462">
        <f>IF(AND(AT56&lt;&gt;0,AM56="Y"),UIBY*W56,0)</f>
        <v>0</v>
      </c>
      <c r="BU56" s="462">
        <f>IF(AND(AT56&lt;&gt;0,N56&lt;&gt;"NR"),DHRBY*W56,0)</f>
        <v>0</v>
      </c>
      <c r="BV56" s="462">
        <f>IF(AT56&lt;&gt;0,WCBY*W56,0)</f>
        <v>0</v>
      </c>
      <c r="BW56" s="462">
        <f>IF(OR(AND(AT56&lt;&gt;0,AJ56&lt;&gt;"PF",AN56&lt;&gt;"NE",AG56&lt;&gt;"A"),AND(AL56="E",OR(AT56=1,AT56=3))),SickBY*W56,0)</f>
        <v>0</v>
      </c>
      <c r="BX56" s="462">
        <f t="shared" si="7"/>
        <v>0</v>
      </c>
      <c r="BY56" s="462">
        <f t="shared" si="8"/>
        <v>0</v>
      </c>
      <c r="BZ56" s="462">
        <f t="shared" si="9"/>
        <v>0</v>
      </c>
      <c r="CA56" s="462">
        <f t="shared" si="10"/>
        <v>0</v>
      </c>
      <c r="CB56" s="462">
        <f t="shared" si="11"/>
        <v>0</v>
      </c>
      <c r="CC56" s="462">
        <f>IF(AT56&lt;&gt;0,SSHICHG*Y56,0)</f>
        <v>0</v>
      </c>
      <c r="CD56" s="462">
        <f>IF(AND(AT56&lt;&gt;0,AN56&lt;&gt;"NE"),VLOOKUP(AN56,Retirement_Rates,5,FALSE)*Y56,0)</f>
        <v>0</v>
      </c>
      <c r="CE56" s="462">
        <f>IF(AND(AT56&lt;&gt;0,AJ56&lt;&gt;"PF"),LifeCHG*Y56,0)</f>
        <v>0</v>
      </c>
      <c r="CF56" s="462">
        <f>IF(AND(AT56&lt;&gt;0,AM56="Y"),UICHG*Y56,0)</f>
        <v>0</v>
      </c>
      <c r="CG56" s="462">
        <f>IF(AND(AT56&lt;&gt;0,N56&lt;&gt;"NR"),DHRCHG*Y56,0)</f>
        <v>0</v>
      </c>
      <c r="CH56" s="462">
        <f>IF(AT56&lt;&gt;0,WCCHG*Y56,0)</f>
        <v>0</v>
      </c>
      <c r="CI56" s="462">
        <f>IF(OR(AND(AT56&lt;&gt;0,AJ56&lt;&gt;"PF",AN56&lt;&gt;"NE",AG56&lt;&gt;"A"),AND(AL56="E",OR(AT56=1,AT56=3))),SickCHG*Y56,0)</f>
        <v>0</v>
      </c>
      <c r="CJ56" s="462">
        <f t="shared" si="12"/>
        <v>0</v>
      </c>
      <c r="CK56" s="462" t="str">
        <f t="shared" si="13"/>
        <v/>
      </c>
      <c r="CL56" s="462" t="str">
        <f t="shared" si="14"/>
        <v/>
      </c>
      <c r="CM56" s="462" t="str">
        <f t="shared" si="15"/>
        <v/>
      </c>
      <c r="CN56" s="462" t="str">
        <f t="shared" si="16"/>
        <v>0001-00</v>
      </c>
    </row>
    <row r="57" spans="1:92" ht="15" thickBot="1" x14ac:dyDescent="0.35">
      <c r="A57" s="376" t="s">
        <v>161</v>
      </c>
      <c r="B57" s="376" t="s">
        <v>162</v>
      </c>
      <c r="C57" s="376" t="s">
        <v>412</v>
      </c>
      <c r="D57" s="376" t="s">
        <v>287</v>
      </c>
      <c r="E57" s="376" t="s">
        <v>165</v>
      </c>
      <c r="F57" s="377" t="s">
        <v>166</v>
      </c>
      <c r="G57" s="376" t="s">
        <v>356</v>
      </c>
      <c r="H57" s="378"/>
      <c r="I57" s="378"/>
      <c r="J57" s="376" t="s">
        <v>168</v>
      </c>
      <c r="K57" s="376" t="s">
        <v>290</v>
      </c>
      <c r="L57" s="376" t="s">
        <v>166</v>
      </c>
      <c r="M57" s="376" t="s">
        <v>201</v>
      </c>
      <c r="N57" s="376" t="s">
        <v>291</v>
      </c>
      <c r="O57" s="379">
        <v>0</v>
      </c>
      <c r="P57" s="460">
        <v>0</v>
      </c>
      <c r="Q57" s="460">
        <v>0</v>
      </c>
      <c r="R57" s="380">
        <v>0</v>
      </c>
      <c r="S57" s="460">
        <v>0</v>
      </c>
      <c r="T57" s="380">
        <v>205.5</v>
      </c>
      <c r="U57" s="380">
        <v>0</v>
      </c>
      <c r="V57" s="380">
        <v>19.96</v>
      </c>
      <c r="W57" s="380">
        <v>0</v>
      </c>
      <c r="X57" s="380">
        <v>0</v>
      </c>
      <c r="Y57" s="380">
        <v>0</v>
      </c>
      <c r="Z57" s="380">
        <v>0</v>
      </c>
      <c r="AA57" s="378"/>
      <c r="AB57" s="376" t="s">
        <v>45</v>
      </c>
      <c r="AC57" s="376" t="s">
        <v>45</v>
      </c>
      <c r="AD57" s="378"/>
      <c r="AE57" s="378"/>
      <c r="AF57" s="378"/>
      <c r="AG57" s="378"/>
      <c r="AH57" s="379">
        <v>0</v>
      </c>
      <c r="AI57" s="379">
        <v>0</v>
      </c>
      <c r="AJ57" s="378"/>
      <c r="AK57" s="378"/>
      <c r="AL57" s="376" t="s">
        <v>180</v>
      </c>
      <c r="AM57" s="378"/>
      <c r="AN57" s="378"/>
      <c r="AO57" s="379">
        <v>0</v>
      </c>
      <c r="AP57" s="460">
        <v>0</v>
      </c>
      <c r="AQ57" s="460">
        <v>0</v>
      </c>
      <c r="AR57" s="459"/>
      <c r="AS57" s="462">
        <f t="shared" si="0"/>
        <v>0</v>
      </c>
      <c r="AT57">
        <f t="shared" si="1"/>
        <v>0</v>
      </c>
      <c r="AU57" s="462" t="str">
        <f>IF(AT57=0,"",IF(AND(AT57=1,M57="F",SUMIF(C2:C698,C57,AS2:AS698)&lt;=1),SUMIF(C2:C698,C57,AS2:AS698),IF(AND(AT57=1,M57="F",SUMIF(C2:C698,C57,AS2:AS698)&gt;1),1,"")))</f>
        <v/>
      </c>
      <c r="AV57" s="462" t="str">
        <f>IF(AT57=0,"",IF(AND(AT57=3,M57="F",SUMIF(C2:C698,C57,AS2:AS698)&lt;=1),SUMIF(C2:C698,C57,AS2:AS698),IF(AND(AT57=3,M57="F",SUMIF(C2:C698,C57,AS2:AS698)&gt;1),1,"")))</f>
        <v/>
      </c>
      <c r="AW57" s="462">
        <f>SUMIF(C2:C698,C57,O2:O698)</f>
        <v>0</v>
      </c>
      <c r="AX57" s="462">
        <f>IF(AND(M57="F",AS57&lt;&gt;0),SUMIF(C2:C698,C57,W2:W698),0)</f>
        <v>0</v>
      </c>
      <c r="AY57" s="462" t="str">
        <f t="shared" si="2"/>
        <v/>
      </c>
      <c r="AZ57" s="462" t="str">
        <f t="shared" si="3"/>
        <v/>
      </c>
      <c r="BA57" s="462">
        <f t="shared" si="4"/>
        <v>0</v>
      </c>
      <c r="BB57" s="462">
        <f>IF(AND(AT57=1,AK57="E",AU57&gt;=0.75,AW57=1),Health,IF(AND(AT57=1,AK57="E",AU57&gt;=0.75),Health*P57,IF(AND(AT57=1,AK57="E",AU57&gt;=0.5,AW57=1),PTHealth,IF(AND(AT57=1,AK57="E",AU57&gt;=0.5),PTHealth*P57,0))))</f>
        <v>0</v>
      </c>
      <c r="BC57" s="462">
        <f>IF(AND(AT57=3,AK57="E",AV57&gt;=0.75,AW57=1),Health,IF(AND(AT57=3,AK57="E",AV57&gt;=0.75),Health*P57,IF(AND(AT57=3,AK57="E",AV57&gt;=0.5,AW57=1),PTHealth,IF(AND(AT57=3,AK57="E",AV57&gt;=0.5),PTHealth*P57,0))))</f>
        <v>0</v>
      </c>
      <c r="BD57" s="462">
        <f>IF(AND(AT57&lt;&gt;0,AX57&gt;=MAXSSDI),SSDI*MAXSSDI*P57,IF(AT57&lt;&gt;0,SSDI*W57,0))</f>
        <v>0</v>
      </c>
      <c r="BE57" s="462">
        <f>IF(AT57&lt;&gt;0,SSHI*W57,0)</f>
        <v>0</v>
      </c>
      <c r="BF57" s="462">
        <f>IF(AND(AT57&lt;&gt;0,AN57&lt;&gt;"NE"),VLOOKUP(AN57,Retirement_Rates,3,FALSE)*W57,0)</f>
        <v>0</v>
      </c>
      <c r="BG57" s="462">
        <f>IF(AND(AT57&lt;&gt;0,AJ57&lt;&gt;"PF"),Life*W57,0)</f>
        <v>0</v>
      </c>
      <c r="BH57" s="462">
        <f>IF(AND(AT57&lt;&gt;0,AM57="Y"),UI*W57,0)</f>
        <v>0</v>
      </c>
      <c r="BI57" s="462">
        <f>IF(AND(AT57&lt;&gt;0,N57&lt;&gt;"NR"),DHR*W57,0)</f>
        <v>0</v>
      </c>
      <c r="BJ57" s="462">
        <f>IF(AT57&lt;&gt;0,WC*W57,0)</f>
        <v>0</v>
      </c>
      <c r="BK57" s="462">
        <f>IF(OR(AND(AT57&lt;&gt;0,AJ57&lt;&gt;"PF",AN57&lt;&gt;"NE",AG57&lt;&gt;"A"),AND(AL57="E",OR(AT57=1,AT57=3))),Sick*W57,0)</f>
        <v>0</v>
      </c>
      <c r="BL57" s="462">
        <f t="shared" si="5"/>
        <v>0</v>
      </c>
      <c r="BM57" s="462">
        <f t="shared" si="6"/>
        <v>0</v>
      </c>
      <c r="BN57" s="462">
        <f>IF(AND(AT57=1,AK57="E",AU57&gt;=0.75,AW57=1),HealthBY,IF(AND(AT57=1,AK57="E",AU57&gt;=0.75),HealthBY*P57,IF(AND(AT57=1,AK57="E",AU57&gt;=0.5,AW57=1),PTHealthBY,IF(AND(AT57=1,AK57="E",AU57&gt;=0.5),PTHealthBY*P57,0))))</f>
        <v>0</v>
      </c>
      <c r="BO57" s="462">
        <f>IF(AND(AT57=3,AK57="E",AV57&gt;=0.75,AW57=1),HealthBY,IF(AND(AT57=3,AK57="E",AV57&gt;=0.75),HealthBY*P57,IF(AND(AT57=3,AK57="E",AV57&gt;=0.5,AW57=1),PTHealthBY,IF(AND(AT57=3,AK57="E",AV57&gt;=0.5),PTHealthBY*P57,0))))</f>
        <v>0</v>
      </c>
      <c r="BP57" s="462">
        <f>IF(AND(AT57&lt;&gt;0,(AX57+BA57)&gt;=MAXSSDIBY),SSDIBY*MAXSSDIBY*P57,IF(AT57&lt;&gt;0,SSDIBY*W57,0))</f>
        <v>0</v>
      </c>
      <c r="BQ57" s="462">
        <f>IF(AT57&lt;&gt;0,SSHIBY*W57,0)</f>
        <v>0</v>
      </c>
      <c r="BR57" s="462">
        <f>IF(AND(AT57&lt;&gt;0,AN57&lt;&gt;"NE"),VLOOKUP(AN57,Retirement_Rates,4,FALSE)*W57,0)</f>
        <v>0</v>
      </c>
      <c r="BS57" s="462">
        <f>IF(AND(AT57&lt;&gt;0,AJ57&lt;&gt;"PF"),LifeBY*W57,0)</f>
        <v>0</v>
      </c>
      <c r="BT57" s="462">
        <f>IF(AND(AT57&lt;&gt;0,AM57="Y"),UIBY*W57,0)</f>
        <v>0</v>
      </c>
      <c r="BU57" s="462">
        <f>IF(AND(AT57&lt;&gt;0,N57&lt;&gt;"NR"),DHRBY*W57,0)</f>
        <v>0</v>
      </c>
      <c r="BV57" s="462">
        <f>IF(AT57&lt;&gt;0,WCBY*W57,0)</f>
        <v>0</v>
      </c>
      <c r="BW57" s="462">
        <f>IF(OR(AND(AT57&lt;&gt;0,AJ57&lt;&gt;"PF",AN57&lt;&gt;"NE",AG57&lt;&gt;"A"),AND(AL57="E",OR(AT57=1,AT57=3))),SickBY*W57,0)</f>
        <v>0</v>
      </c>
      <c r="BX57" s="462">
        <f t="shared" si="7"/>
        <v>0</v>
      </c>
      <c r="BY57" s="462">
        <f t="shared" si="8"/>
        <v>0</v>
      </c>
      <c r="BZ57" s="462">
        <f t="shared" si="9"/>
        <v>0</v>
      </c>
      <c r="CA57" s="462">
        <f t="shared" si="10"/>
        <v>0</v>
      </c>
      <c r="CB57" s="462">
        <f t="shared" si="11"/>
        <v>0</v>
      </c>
      <c r="CC57" s="462">
        <f>IF(AT57&lt;&gt;0,SSHICHG*Y57,0)</f>
        <v>0</v>
      </c>
      <c r="CD57" s="462">
        <f>IF(AND(AT57&lt;&gt;0,AN57&lt;&gt;"NE"),VLOOKUP(AN57,Retirement_Rates,5,FALSE)*Y57,0)</f>
        <v>0</v>
      </c>
      <c r="CE57" s="462">
        <f>IF(AND(AT57&lt;&gt;0,AJ57&lt;&gt;"PF"),LifeCHG*Y57,0)</f>
        <v>0</v>
      </c>
      <c r="CF57" s="462">
        <f>IF(AND(AT57&lt;&gt;0,AM57="Y"),UICHG*Y57,0)</f>
        <v>0</v>
      </c>
      <c r="CG57" s="462">
        <f>IF(AND(AT57&lt;&gt;0,N57&lt;&gt;"NR"),DHRCHG*Y57,0)</f>
        <v>0</v>
      </c>
      <c r="CH57" s="462">
        <f>IF(AT57&lt;&gt;0,WCCHG*Y57,0)</f>
        <v>0</v>
      </c>
      <c r="CI57" s="462">
        <f>IF(OR(AND(AT57&lt;&gt;0,AJ57&lt;&gt;"PF",AN57&lt;&gt;"NE",AG57&lt;&gt;"A"),AND(AL57="E",OR(AT57=1,AT57=3))),SickCHG*Y57,0)</f>
        <v>0</v>
      </c>
      <c r="CJ57" s="462">
        <f t="shared" si="12"/>
        <v>0</v>
      </c>
      <c r="CK57" s="462" t="str">
        <f t="shared" si="13"/>
        <v/>
      </c>
      <c r="CL57" s="462">
        <f t="shared" si="14"/>
        <v>205.5</v>
      </c>
      <c r="CM57" s="462">
        <f t="shared" si="15"/>
        <v>19.96</v>
      </c>
      <c r="CN57" s="462" t="str">
        <f t="shared" si="16"/>
        <v>0001-00</v>
      </c>
    </row>
    <row r="58" spans="1:92" ht="15" thickBot="1" x14ac:dyDescent="0.35">
      <c r="A58" s="376" t="s">
        <v>161</v>
      </c>
      <c r="B58" s="376" t="s">
        <v>162</v>
      </c>
      <c r="C58" s="376" t="s">
        <v>413</v>
      </c>
      <c r="D58" s="376" t="s">
        <v>362</v>
      </c>
      <c r="E58" s="376" t="s">
        <v>165</v>
      </c>
      <c r="F58" s="377" t="s">
        <v>166</v>
      </c>
      <c r="G58" s="376" t="s">
        <v>356</v>
      </c>
      <c r="H58" s="378"/>
      <c r="I58" s="378"/>
      <c r="J58" s="376" t="s">
        <v>168</v>
      </c>
      <c r="K58" s="376" t="s">
        <v>363</v>
      </c>
      <c r="L58" s="376" t="s">
        <v>200</v>
      </c>
      <c r="M58" s="376" t="s">
        <v>170</v>
      </c>
      <c r="N58" s="376" t="s">
        <v>202</v>
      </c>
      <c r="O58" s="379">
        <v>1</v>
      </c>
      <c r="P58" s="460">
        <v>1</v>
      </c>
      <c r="Q58" s="460">
        <v>1</v>
      </c>
      <c r="R58" s="380">
        <v>80</v>
      </c>
      <c r="S58" s="460">
        <v>1</v>
      </c>
      <c r="T58" s="380">
        <v>24799.19</v>
      </c>
      <c r="U58" s="380">
        <v>0</v>
      </c>
      <c r="V58" s="380">
        <v>10905.11</v>
      </c>
      <c r="W58" s="380">
        <v>51958.400000000001</v>
      </c>
      <c r="X58" s="380">
        <v>23411.8</v>
      </c>
      <c r="Y58" s="380">
        <v>51958.400000000001</v>
      </c>
      <c r="Z58" s="380">
        <v>23276.71</v>
      </c>
      <c r="AA58" s="376" t="s">
        <v>414</v>
      </c>
      <c r="AB58" s="376" t="s">
        <v>415</v>
      </c>
      <c r="AC58" s="376" t="s">
        <v>189</v>
      </c>
      <c r="AD58" s="376" t="s">
        <v>416</v>
      </c>
      <c r="AE58" s="376" t="s">
        <v>363</v>
      </c>
      <c r="AF58" s="376" t="s">
        <v>210</v>
      </c>
      <c r="AG58" s="376" t="s">
        <v>177</v>
      </c>
      <c r="AH58" s="381">
        <v>24.98</v>
      </c>
      <c r="AI58" s="381">
        <v>61708.3</v>
      </c>
      <c r="AJ58" s="376" t="s">
        <v>178</v>
      </c>
      <c r="AK58" s="376" t="s">
        <v>179</v>
      </c>
      <c r="AL58" s="376" t="s">
        <v>180</v>
      </c>
      <c r="AM58" s="376" t="s">
        <v>181</v>
      </c>
      <c r="AN58" s="376" t="s">
        <v>68</v>
      </c>
      <c r="AO58" s="379">
        <v>80</v>
      </c>
      <c r="AP58" s="460">
        <v>1</v>
      </c>
      <c r="AQ58" s="460">
        <v>1</v>
      </c>
      <c r="AR58" s="458" t="s">
        <v>182</v>
      </c>
      <c r="AS58" s="462">
        <f t="shared" si="0"/>
        <v>1</v>
      </c>
      <c r="AT58">
        <f t="shared" si="1"/>
        <v>1</v>
      </c>
      <c r="AU58" s="462">
        <f>IF(AT58=0,"",IF(AND(AT58=1,M58="F",SUMIF(C2:C698,C58,AS2:AS698)&lt;=1),SUMIF(C2:C698,C58,AS2:AS698),IF(AND(AT58=1,M58="F",SUMIF(C2:C698,C58,AS2:AS698)&gt;1),1,"")))</f>
        <v>1</v>
      </c>
      <c r="AV58" s="462" t="str">
        <f>IF(AT58=0,"",IF(AND(AT58=3,M58="F",SUMIF(C2:C698,C58,AS2:AS698)&lt;=1),SUMIF(C2:C698,C58,AS2:AS698),IF(AND(AT58=3,M58="F",SUMIF(C2:C698,C58,AS2:AS698)&gt;1),1,"")))</f>
        <v/>
      </c>
      <c r="AW58" s="462">
        <f>SUMIF(C2:C698,C58,O2:O698)</f>
        <v>4</v>
      </c>
      <c r="AX58" s="462">
        <f>IF(AND(M58="F",AS58&lt;&gt;0),SUMIF(C2:C698,C58,W2:W698),0)</f>
        <v>51958.400000000001</v>
      </c>
      <c r="AY58" s="462">
        <f t="shared" si="2"/>
        <v>51958.400000000001</v>
      </c>
      <c r="AZ58" s="462" t="str">
        <f t="shared" si="3"/>
        <v/>
      </c>
      <c r="BA58" s="462">
        <f t="shared" si="4"/>
        <v>0</v>
      </c>
      <c r="BB58" s="462">
        <f>IF(AND(AT58=1,AK58="E",AU58&gt;=0.75,AW58=1),Health,IF(AND(AT58=1,AK58="E",AU58&gt;=0.75),Health*P58,IF(AND(AT58=1,AK58="E",AU58&gt;=0.5,AW58=1),PTHealth,IF(AND(AT58=1,AK58="E",AU58&gt;=0.5),PTHealth*P58,0))))</f>
        <v>11650</v>
      </c>
      <c r="BC58" s="462">
        <f>IF(AND(AT58=3,AK58="E",AV58&gt;=0.75,AW58=1),Health,IF(AND(AT58=3,AK58="E",AV58&gt;=0.75),Health*P58,IF(AND(AT58=3,AK58="E",AV58&gt;=0.5,AW58=1),PTHealth,IF(AND(AT58=3,AK58="E",AV58&gt;=0.5),PTHealth*P58,0))))</f>
        <v>0</v>
      </c>
      <c r="BD58" s="462">
        <f>IF(AND(AT58&lt;&gt;0,AX58&gt;=MAXSSDI),SSDI*MAXSSDI*P58,IF(AT58&lt;&gt;0,SSDI*W58,0))</f>
        <v>3221.4207999999999</v>
      </c>
      <c r="BE58" s="462">
        <f>IF(AT58&lt;&gt;0,SSHI*W58,0)</f>
        <v>753.3968000000001</v>
      </c>
      <c r="BF58" s="462">
        <f>IF(AND(AT58&lt;&gt;0,AN58&lt;&gt;"NE"),VLOOKUP(AN58,Retirement_Rates,3,FALSE)*W58,0)</f>
        <v>6203.8329600000006</v>
      </c>
      <c r="BG58" s="462">
        <f>IF(AND(AT58&lt;&gt;0,AJ58&lt;&gt;"PF"),Life*W58,0)</f>
        <v>374.62006400000001</v>
      </c>
      <c r="BH58" s="462">
        <f>IF(AND(AT58&lt;&gt;0,AM58="Y"),UI*W58,0)</f>
        <v>254.59616</v>
      </c>
      <c r="BI58" s="462">
        <f>IF(AND(AT58&lt;&gt;0,N58&lt;&gt;"NR"),DHR*W58,0)</f>
        <v>158.992704</v>
      </c>
      <c r="BJ58" s="462">
        <f>IF(AT58&lt;&gt;0,WC*W58,0)</f>
        <v>794.96352000000002</v>
      </c>
      <c r="BK58" s="462">
        <f>IF(OR(AND(AT58&lt;&gt;0,AJ58&lt;&gt;"PF",AN58&lt;&gt;"NE",AG58&lt;&gt;"A"),AND(AL58="E",OR(AT58=1,AT58=3))),Sick*W58,0)</f>
        <v>0</v>
      </c>
      <c r="BL58" s="462">
        <f t="shared" si="5"/>
        <v>11761.823007999999</v>
      </c>
      <c r="BM58" s="462">
        <f t="shared" si="6"/>
        <v>0</v>
      </c>
      <c r="BN58" s="462">
        <f>IF(AND(AT58=1,AK58="E",AU58&gt;=0.75,AW58=1),HealthBY,IF(AND(AT58=1,AK58="E",AU58&gt;=0.75),HealthBY*P58,IF(AND(AT58=1,AK58="E",AU58&gt;=0.5,AW58=1),PTHealthBY,IF(AND(AT58=1,AK58="E",AU58&gt;=0.5),PTHealthBY*P58,0))))</f>
        <v>11650</v>
      </c>
      <c r="BO58" s="462">
        <f>IF(AND(AT58=3,AK58="E",AV58&gt;=0.75,AW58=1),HealthBY,IF(AND(AT58=3,AK58="E",AV58&gt;=0.75),HealthBY*P58,IF(AND(AT58=3,AK58="E",AV58&gt;=0.5,AW58=1),PTHealthBY,IF(AND(AT58=3,AK58="E",AV58&gt;=0.5),PTHealthBY*P58,0))))</f>
        <v>0</v>
      </c>
      <c r="BP58" s="462">
        <f>IF(AND(AT58&lt;&gt;0,(AX58+BA58)&gt;=MAXSSDIBY),SSDIBY*MAXSSDIBY*P58,IF(AT58&lt;&gt;0,SSDIBY*W58,0))</f>
        <v>3221.4207999999999</v>
      </c>
      <c r="BQ58" s="462">
        <f>IF(AT58&lt;&gt;0,SSHIBY*W58,0)</f>
        <v>753.3968000000001</v>
      </c>
      <c r="BR58" s="462">
        <f>IF(AND(AT58&lt;&gt;0,AN58&lt;&gt;"NE"),VLOOKUP(AN58,Retirement_Rates,4,FALSE)*W58,0)</f>
        <v>6203.8329600000006</v>
      </c>
      <c r="BS58" s="462">
        <f>IF(AND(AT58&lt;&gt;0,AJ58&lt;&gt;"PF"),LifeBY*W58,0)</f>
        <v>374.62006400000001</v>
      </c>
      <c r="BT58" s="462">
        <f>IF(AND(AT58&lt;&gt;0,AM58="Y"),UIBY*W58,0)</f>
        <v>0</v>
      </c>
      <c r="BU58" s="462">
        <f>IF(AND(AT58&lt;&gt;0,N58&lt;&gt;"NR"),DHRBY*W58,0)</f>
        <v>158.992704</v>
      </c>
      <c r="BV58" s="462">
        <f>IF(AT58&lt;&gt;0,WCBY*W58,0)</f>
        <v>914.46784000000014</v>
      </c>
      <c r="BW58" s="462">
        <f>IF(OR(AND(AT58&lt;&gt;0,AJ58&lt;&gt;"PF",AN58&lt;&gt;"NE",AG58&lt;&gt;"A"),AND(AL58="E",OR(AT58=1,AT58=3))),SickBY*W58,0)</f>
        <v>0</v>
      </c>
      <c r="BX58" s="462">
        <f t="shared" si="7"/>
        <v>11626.731168</v>
      </c>
      <c r="BY58" s="462">
        <f t="shared" si="8"/>
        <v>0</v>
      </c>
      <c r="BZ58" s="462">
        <f t="shared" si="9"/>
        <v>0</v>
      </c>
      <c r="CA58" s="462">
        <f t="shared" si="10"/>
        <v>0</v>
      </c>
      <c r="CB58" s="462">
        <f t="shared" si="11"/>
        <v>0</v>
      </c>
      <c r="CC58" s="462">
        <f>IF(AT58&lt;&gt;0,SSHICHG*Y58,0)</f>
        <v>0</v>
      </c>
      <c r="CD58" s="462">
        <f>IF(AND(AT58&lt;&gt;0,AN58&lt;&gt;"NE"),VLOOKUP(AN58,Retirement_Rates,5,FALSE)*Y58,0)</f>
        <v>0</v>
      </c>
      <c r="CE58" s="462">
        <f>IF(AND(AT58&lt;&gt;0,AJ58&lt;&gt;"PF"),LifeCHG*Y58,0)</f>
        <v>0</v>
      </c>
      <c r="CF58" s="462">
        <f>IF(AND(AT58&lt;&gt;0,AM58="Y"),UICHG*Y58,0)</f>
        <v>-254.59616</v>
      </c>
      <c r="CG58" s="462">
        <f>IF(AND(AT58&lt;&gt;0,N58&lt;&gt;"NR"),DHRCHG*Y58,0)</f>
        <v>0</v>
      </c>
      <c r="CH58" s="462">
        <f>IF(AT58&lt;&gt;0,WCCHG*Y58,0)</f>
        <v>119.50432000000009</v>
      </c>
      <c r="CI58" s="462">
        <f>IF(OR(AND(AT58&lt;&gt;0,AJ58&lt;&gt;"PF",AN58&lt;&gt;"NE",AG58&lt;&gt;"A"),AND(AL58="E",OR(AT58=1,AT58=3))),SickCHG*Y58,0)</f>
        <v>0</v>
      </c>
      <c r="CJ58" s="462">
        <f t="shared" si="12"/>
        <v>-135.09183999999991</v>
      </c>
      <c r="CK58" s="462" t="str">
        <f t="shared" si="13"/>
        <v/>
      </c>
      <c r="CL58" s="462" t="str">
        <f t="shared" si="14"/>
        <v/>
      </c>
      <c r="CM58" s="462" t="str">
        <f t="shared" si="15"/>
        <v/>
      </c>
      <c r="CN58" s="462" t="str">
        <f t="shared" si="16"/>
        <v>0001-00</v>
      </c>
    </row>
    <row r="59" spans="1:92" ht="15" thickBot="1" x14ac:dyDescent="0.35">
      <c r="A59" s="376" t="s">
        <v>161</v>
      </c>
      <c r="B59" s="376" t="s">
        <v>162</v>
      </c>
      <c r="C59" s="376" t="s">
        <v>417</v>
      </c>
      <c r="D59" s="376" t="s">
        <v>418</v>
      </c>
      <c r="E59" s="376" t="s">
        <v>165</v>
      </c>
      <c r="F59" s="377" t="s">
        <v>166</v>
      </c>
      <c r="G59" s="376" t="s">
        <v>356</v>
      </c>
      <c r="H59" s="378"/>
      <c r="I59" s="378"/>
      <c r="J59" s="376" t="s">
        <v>168</v>
      </c>
      <c r="K59" s="376" t="s">
        <v>419</v>
      </c>
      <c r="L59" s="376" t="s">
        <v>177</v>
      </c>
      <c r="M59" s="376" t="s">
        <v>170</v>
      </c>
      <c r="N59" s="376" t="s">
        <v>291</v>
      </c>
      <c r="O59" s="379">
        <v>0</v>
      </c>
      <c r="P59" s="460">
        <v>0</v>
      </c>
      <c r="Q59" s="460">
        <v>0</v>
      </c>
      <c r="R59" s="380">
        <v>0</v>
      </c>
      <c r="S59" s="460">
        <v>0</v>
      </c>
      <c r="T59" s="380">
        <v>45</v>
      </c>
      <c r="U59" s="380">
        <v>0</v>
      </c>
      <c r="V59" s="380">
        <v>6.62</v>
      </c>
      <c r="W59" s="380">
        <v>0</v>
      </c>
      <c r="X59" s="380">
        <v>0</v>
      </c>
      <c r="Y59" s="380">
        <v>0</v>
      </c>
      <c r="Z59" s="380">
        <v>0</v>
      </c>
      <c r="AA59" s="378"/>
      <c r="AB59" s="376" t="s">
        <v>45</v>
      </c>
      <c r="AC59" s="376" t="s">
        <v>45</v>
      </c>
      <c r="AD59" s="378"/>
      <c r="AE59" s="378"/>
      <c r="AF59" s="378"/>
      <c r="AG59" s="378"/>
      <c r="AH59" s="379">
        <v>0</v>
      </c>
      <c r="AI59" s="379">
        <v>0</v>
      </c>
      <c r="AJ59" s="378"/>
      <c r="AK59" s="378"/>
      <c r="AL59" s="376" t="s">
        <v>180</v>
      </c>
      <c r="AM59" s="378"/>
      <c r="AN59" s="378"/>
      <c r="AO59" s="379">
        <v>0</v>
      </c>
      <c r="AP59" s="460">
        <v>0</v>
      </c>
      <c r="AQ59" s="460">
        <v>0</v>
      </c>
      <c r="AR59" s="459"/>
      <c r="AS59" s="462">
        <f t="shared" si="0"/>
        <v>0</v>
      </c>
      <c r="AT59">
        <f t="shared" si="1"/>
        <v>0</v>
      </c>
      <c r="AU59" s="462" t="str">
        <f>IF(AT59=0,"",IF(AND(AT59=1,M59="F",SUMIF(C2:C698,C59,AS2:AS698)&lt;=1),SUMIF(C2:C698,C59,AS2:AS698),IF(AND(AT59=1,M59="F",SUMIF(C2:C698,C59,AS2:AS698)&gt;1),1,"")))</f>
        <v/>
      </c>
      <c r="AV59" s="462" t="str">
        <f>IF(AT59=0,"",IF(AND(AT59=3,M59="F",SUMIF(C2:C698,C59,AS2:AS698)&lt;=1),SUMIF(C2:C698,C59,AS2:AS698),IF(AND(AT59=3,M59="F",SUMIF(C2:C698,C59,AS2:AS698)&gt;1),1,"")))</f>
        <v/>
      </c>
      <c r="AW59" s="462">
        <f>SUMIF(C2:C698,C59,O2:O698)</f>
        <v>0</v>
      </c>
      <c r="AX59" s="462">
        <f>IF(AND(M59="F",AS59&lt;&gt;0),SUMIF(C2:C698,C59,W2:W698),0)</f>
        <v>0</v>
      </c>
      <c r="AY59" s="462" t="str">
        <f t="shared" si="2"/>
        <v/>
      </c>
      <c r="AZ59" s="462" t="str">
        <f t="shared" si="3"/>
        <v/>
      </c>
      <c r="BA59" s="462">
        <f t="shared" si="4"/>
        <v>0</v>
      </c>
      <c r="BB59" s="462">
        <f>IF(AND(AT59=1,AK59="E",AU59&gt;=0.75,AW59=1),Health,IF(AND(AT59=1,AK59="E",AU59&gt;=0.75),Health*P59,IF(AND(AT59=1,AK59="E",AU59&gt;=0.5,AW59=1),PTHealth,IF(AND(AT59=1,AK59="E",AU59&gt;=0.5),PTHealth*P59,0))))</f>
        <v>0</v>
      </c>
      <c r="BC59" s="462">
        <f>IF(AND(AT59=3,AK59="E",AV59&gt;=0.75,AW59=1),Health,IF(AND(AT59=3,AK59="E",AV59&gt;=0.75),Health*P59,IF(AND(AT59=3,AK59="E",AV59&gt;=0.5,AW59=1),PTHealth,IF(AND(AT59=3,AK59="E",AV59&gt;=0.5),PTHealth*P59,0))))</f>
        <v>0</v>
      </c>
      <c r="BD59" s="462">
        <f>IF(AND(AT59&lt;&gt;0,AX59&gt;=MAXSSDI),SSDI*MAXSSDI*P59,IF(AT59&lt;&gt;0,SSDI*W59,0))</f>
        <v>0</v>
      </c>
      <c r="BE59" s="462">
        <f>IF(AT59&lt;&gt;0,SSHI*W59,0)</f>
        <v>0</v>
      </c>
      <c r="BF59" s="462">
        <f>IF(AND(AT59&lt;&gt;0,AN59&lt;&gt;"NE"),VLOOKUP(AN59,Retirement_Rates,3,FALSE)*W59,0)</f>
        <v>0</v>
      </c>
      <c r="BG59" s="462">
        <f>IF(AND(AT59&lt;&gt;0,AJ59&lt;&gt;"PF"),Life*W59,0)</f>
        <v>0</v>
      </c>
      <c r="BH59" s="462">
        <f>IF(AND(AT59&lt;&gt;0,AM59="Y"),UI*W59,0)</f>
        <v>0</v>
      </c>
      <c r="BI59" s="462">
        <f>IF(AND(AT59&lt;&gt;0,N59&lt;&gt;"NR"),DHR*W59,0)</f>
        <v>0</v>
      </c>
      <c r="BJ59" s="462">
        <f>IF(AT59&lt;&gt;0,WC*W59,0)</f>
        <v>0</v>
      </c>
      <c r="BK59" s="462">
        <f>IF(OR(AND(AT59&lt;&gt;0,AJ59&lt;&gt;"PF",AN59&lt;&gt;"NE",AG59&lt;&gt;"A"),AND(AL59="E",OR(AT59=1,AT59=3))),Sick*W59,0)</f>
        <v>0</v>
      </c>
      <c r="BL59" s="462">
        <f t="shared" si="5"/>
        <v>0</v>
      </c>
      <c r="BM59" s="462">
        <f t="shared" si="6"/>
        <v>0</v>
      </c>
      <c r="BN59" s="462">
        <f>IF(AND(AT59=1,AK59="E",AU59&gt;=0.75,AW59=1),HealthBY,IF(AND(AT59=1,AK59="E",AU59&gt;=0.75),HealthBY*P59,IF(AND(AT59=1,AK59="E",AU59&gt;=0.5,AW59=1),PTHealthBY,IF(AND(AT59=1,AK59="E",AU59&gt;=0.5),PTHealthBY*P59,0))))</f>
        <v>0</v>
      </c>
      <c r="BO59" s="462">
        <f>IF(AND(AT59=3,AK59="E",AV59&gt;=0.75,AW59=1),HealthBY,IF(AND(AT59=3,AK59="E",AV59&gt;=0.75),HealthBY*P59,IF(AND(AT59=3,AK59="E",AV59&gt;=0.5,AW59=1),PTHealthBY,IF(AND(AT59=3,AK59="E",AV59&gt;=0.5),PTHealthBY*P59,0))))</f>
        <v>0</v>
      </c>
      <c r="BP59" s="462">
        <f>IF(AND(AT59&lt;&gt;0,(AX59+BA59)&gt;=MAXSSDIBY),SSDIBY*MAXSSDIBY*P59,IF(AT59&lt;&gt;0,SSDIBY*W59,0))</f>
        <v>0</v>
      </c>
      <c r="BQ59" s="462">
        <f>IF(AT59&lt;&gt;0,SSHIBY*W59,0)</f>
        <v>0</v>
      </c>
      <c r="BR59" s="462">
        <f>IF(AND(AT59&lt;&gt;0,AN59&lt;&gt;"NE"),VLOOKUP(AN59,Retirement_Rates,4,FALSE)*W59,0)</f>
        <v>0</v>
      </c>
      <c r="BS59" s="462">
        <f>IF(AND(AT59&lt;&gt;0,AJ59&lt;&gt;"PF"),LifeBY*W59,0)</f>
        <v>0</v>
      </c>
      <c r="BT59" s="462">
        <f>IF(AND(AT59&lt;&gt;0,AM59="Y"),UIBY*W59,0)</f>
        <v>0</v>
      </c>
      <c r="BU59" s="462">
        <f>IF(AND(AT59&lt;&gt;0,N59&lt;&gt;"NR"),DHRBY*W59,0)</f>
        <v>0</v>
      </c>
      <c r="BV59" s="462">
        <f>IF(AT59&lt;&gt;0,WCBY*W59,0)</f>
        <v>0</v>
      </c>
      <c r="BW59" s="462">
        <f>IF(OR(AND(AT59&lt;&gt;0,AJ59&lt;&gt;"PF",AN59&lt;&gt;"NE",AG59&lt;&gt;"A"),AND(AL59="E",OR(AT59=1,AT59=3))),SickBY*W59,0)</f>
        <v>0</v>
      </c>
      <c r="BX59" s="462">
        <f t="shared" si="7"/>
        <v>0</v>
      </c>
      <c r="BY59" s="462">
        <f t="shared" si="8"/>
        <v>0</v>
      </c>
      <c r="BZ59" s="462">
        <f t="shared" si="9"/>
        <v>0</v>
      </c>
      <c r="CA59" s="462">
        <f t="shared" si="10"/>
        <v>0</v>
      </c>
      <c r="CB59" s="462">
        <f t="shared" si="11"/>
        <v>0</v>
      </c>
      <c r="CC59" s="462">
        <f>IF(AT59&lt;&gt;0,SSHICHG*Y59,0)</f>
        <v>0</v>
      </c>
      <c r="CD59" s="462">
        <f>IF(AND(AT59&lt;&gt;0,AN59&lt;&gt;"NE"),VLOOKUP(AN59,Retirement_Rates,5,FALSE)*Y59,0)</f>
        <v>0</v>
      </c>
      <c r="CE59" s="462">
        <f>IF(AND(AT59&lt;&gt;0,AJ59&lt;&gt;"PF"),LifeCHG*Y59,0)</f>
        <v>0</v>
      </c>
      <c r="CF59" s="462">
        <f>IF(AND(AT59&lt;&gt;0,AM59="Y"),UICHG*Y59,0)</f>
        <v>0</v>
      </c>
      <c r="CG59" s="462">
        <f>IF(AND(AT59&lt;&gt;0,N59&lt;&gt;"NR"),DHRCHG*Y59,0)</f>
        <v>0</v>
      </c>
      <c r="CH59" s="462">
        <f>IF(AT59&lt;&gt;0,WCCHG*Y59,0)</f>
        <v>0</v>
      </c>
      <c r="CI59" s="462">
        <f>IF(OR(AND(AT59&lt;&gt;0,AJ59&lt;&gt;"PF",AN59&lt;&gt;"NE",AG59&lt;&gt;"A"),AND(AL59="E",OR(AT59=1,AT59=3))),SickCHG*Y59,0)</f>
        <v>0</v>
      </c>
      <c r="CJ59" s="462">
        <f t="shared" si="12"/>
        <v>0</v>
      </c>
      <c r="CK59" s="462" t="str">
        <f t="shared" si="13"/>
        <v/>
      </c>
      <c r="CL59" s="462">
        <f t="shared" si="14"/>
        <v>45</v>
      </c>
      <c r="CM59" s="462">
        <f t="shared" si="15"/>
        <v>6.62</v>
      </c>
      <c r="CN59" s="462" t="str">
        <f t="shared" si="16"/>
        <v>0001-00</v>
      </c>
    </row>
    <row r="60" spans="1:92" ht="15" thickBot="1" x14ac:dyDescent="0.35">
      <c r="A60" s="376" t="s">
        <v>161</v>
      </c>
      <c r="B60" s="376" t="s">
        <v>162</v>
      </c>
      <c r="C60" s="376" t="s">
        <v>420</v>
      </c>
      <c r="D60" s="376" t="s">
        <v>421</v>
      </c>
      <c r="E60" s="376" t="s">
        <v>165</v>
      </c>
      <c r="F60" s="377" t="s">
        <v>166</v>
      </c>
      <c r="G60" s="376" t="s">
        <v>356</v>
      </c>
      <c r="H60" s="378"/>
      <c r="I60" s="378"/>
      <c r="J60" s="376" t="s">
        <v>168</v>
      </c>
      <c r="K60" s="376" t="s">
        <v>422</v>
      </c>
      <c r="L60" s="376" t="s">
        <v>243</v>
      </c>
      <c r="M60" s="376" t="s">
        <v>170</v>
      </c>
      <c r="N60" s="376" t="s">
        <v>202</v>
      </c>
      <c r="O60" s="379">
        <v>1</v>
      </c>
      <c r="P60" s="460">
        <v>1</v>
      </c>
      <c r="Q60" s="460">
        <v>1</v>
      </c>
      <c r="R60" s="380">
        <v>80</v>
      </c>
      <c r="S60" s="460">
        <v>1</v>
      </c>
      <c r="T60" s="380">
        <v>78810.55</v>
      </c>
      <c r="U60" s="380">
        <v>0</v>
      </c>
      <c r="V60" s="380">
        <v>27176.46</v>
      </c>
      <c r="W60" s="380">
        <v>86632</v>
      </c>
      <c r="X60" s="380">
        <v>31260.85</v>
      </c>
      <c r="Y60" s="380">
        <v>86632</v>
      </c>
      <c r="Z60" s="380">
        <v>31035.62</v>
      </c>
      <c r="AA60" s="376" t="s">
        <v>423</v>
      </c>
      <c r="AB60" s="376" t="s">
        <v>424</v>
      </c>
      <c r="AC60" s="376" t="s">
        <v>425</v>
      </c>
      <c r="AD60" s="376" t="s">
        <v>247</v>
      </c>
      <c r="AE60" s="376" t="s">
        <v>422</v>
      </c>
      <c r="AF60" s="376" t="s">
        <v>248</v>
      </c>
      <c r="AG60" s="376" t="s">
        <v>177</v>
      </c>
      <c r="AH60" s="381">
        <v>41.65</v>
      </c>
      <c r="AI60" s="381">
        <v>34827.5</v>
      </c>
      <c r="AJ60" s="376" t="s">
        <v>178</v>
      </c>
      <c r="AK60" s="376" t="s">
        <v>179</v>
      </c>
      <c r="AL60" s="376" t="s">
        <v>180</v>
      </c>
      <c r="AM60" s="376" t="s">
        <v>181</v>
      </c>
      <c r="AN60" s="376" t="s">
        <v>68</v>
      </c>
      <c r="AO60" s="379">
        <v>80</v>
      </c>
      <c r="AP60" s="460">
        <v>1</v>
      </c>
      <c r="AQ60" s="460">
        <v>1</v>
      </c>
      <c r="AR60" s="458" t="s">
        <v>182</v>
      </c>
      <c r="AS60" s="462">
        <f t="shared" si="0"/>
        <v>1</v>
      </c>
      <c r="AT60">
        <f t="shared" si="1"/>
        <v>1</v>
      </c>
      <c r="AU60" s="462">
        <f>IF(AT60=0,"",IF(AND(AT60=1,M60="F",SUMIF(C2:C698,C60,AS2:AS698)&lt;=1),SUMIF(C2:C698,C60,AS2:AS698),IF(AND(AT60=1,M60="F",SUMIF(C2:C698,C60,AS2:AS698)&gt;1),1,"")))</f>
        <v>1</v>
      </c>
      <c r="AV60" s="462" t="str">
        <f>IF(AT60=0,"",IF(AND(AT60=3,M60="F",SUMIF(C2:C698,C60,AS2:AS698)&lt;=1),SUMIF(C2:C698,C60,AS2:AS698),IF(AND(AT60=3,M60="F",SUMIF(C2:C698,C60,AS2:AS698)&gt;1),1,"")))</f>
        <v/>
      </c>
      <c r="AW60" s="462">
        <f>SUMIF(C2:C698,C60,O2:O698)</f>
        <v>2</v>
      </c>
      <c r="AX60" s="462">
        <f>IF(AND(M60="F",AS60&lt;&gt;0),SUMIF(C2:C698,C60,W2:W698),0)</f>
        <v>86632</v>
      </c>
      <c r="AY60" s="462">
        <f t="shared" si="2"/>
        <v>86632</v>
      </c>
      <c r="AZ60" s="462" t="str">
        <f t="shared" si="3"/>
        <v/>
      </c>
      <c r="BA60" s="462">
        <f t="shared" si="4"/>
        <v>0</v>
      </c>
      <c r="BB60" s="462">
        <f>IF(AND(AT60=1,AK60="E",AU60&gt;=0.75,AW60=1),Health,IF(AND(AT60=1,AK60="E",AU60&gt;=0.75),Health*P60,IF(AND(AT60=1,AK60="E",AU60&gt;=0.5,AW60=1),PTHealth,IF(AND(AT60=1,AK60="E",AU60&gt;=0.5),PTHealth*P60,0))))</f>
        <v>11650</v>
      </c>
      <c r="BC60" s="462">
        <f>IF(AND(AT60=3,AK60="E",AV60&gt;=0.75,AW60=1),Health,IF(AND(AT60=3,AK60="E",AV60&gt;=0.75),Health*P60,IF(AND(AT60=3,AK60="E",AV60&gt;=0.5,AW60=1),PTHealth,IF(AND(AT60=3,AK60="E",AV60&gt;=0.5),PTHealth*P60,0))))</f>
        <v>0</v>
      </c>
      <c r="BD60" s="462">
        <f>IF(AND(AT60&lt;&gt;0,AX60&gt;=MAXSSDI),SSDI*MAXSSDI*P60,IF(AT60&lt;&gt;0,SSDI*W60,0))</f>
        <v>5371.1840000000002</v>
      </c>
      <c r="BE60" s="462">
        <f>IF(AT60&lt;&gt;0,SSHI*W60,0)</f>
        <v>1256.164</v>
      </c>
      <c r="BF60" s="462">
        <f>IF(AND(AT60&lt;&gt;0,AN60&lt;&gt;"NE"),VLOOKUP(AN60,Retirement_Rates,3,FALSE)*W60,0)</f>
        <v>10343.8608</v>
      </c>
      <c r="BG60" s="462">
        <f>IF(AND(AT60&lt;&gt;0,AJ60&lt;&gt;"PF"),Life*W60,0)</f>
        <v>624.61671999999999</v>
      </c>
      <c r="BH60" s="462">
        <f>IF(AND(AT60&lt;&gt;0,AM60="Y"),UI*W60,0)</f>
        <v>424.49680000000001</v>
      </c>
      <c r="BI60" s="462">
        <f>IF(AND(AT60&lt;&gt;0,N60&lt;&gt;"NR"),DHR*W60,0)</f>
        <v>265.09391999999997</v>
      </c>
      <c r="BJ60" s="462">
        <f>IF(AT60&lt;&gt;0,WC*W60,0)</f>
        <v>1325.4695999999999</v>
      </c>
      <c r="BK60" s="462">
        <f>IF(OR(AND(AT60&lt;&gt;0,AJ60&lt;&gt;"PF",AN60&lt;&gt;"NE",AG60&lt;&gt;"A"),AND(AL60="E",OR(AT60=1,AT60=3))),Sick*W60,0)</f>
        <v>0</v>
      </c>
      <c r="BL60" s="462">
        <f t="shared" si="5"/>
        <v>19610.885839999999</v>
      </c>
      <c r="BM60" s="462">
        <f t="shared" si="6"/>
        <v>0</v>
      </c>
      <c r="BN60" s="462">
        <f>IF(AND(AT60=1,AK60="E",AU60&gt;=0.75,AW60=1),HealthBY,IF(AND(AT60=1,AK60="E",AU60&gt;=0.75),HealthBY*P60,IF(AND(AT60=1,AK60="E",AU60&gt;=0.5,AW60=1),PTHealthBY,IF(AND(AT60=1,AK60="E",AU60&gt;=0.5),PTHealthBY*P60,0))))</f>
        <v>11650</v>
      </c>
      <c r="BO60" s="462">
        <f>IF(AND(AT60=3,AK60="E",AV60&gt;=0.75,AW60=1),HealthBY,IF(AND(AT60=3,AK60="E",AV60&gt;=0.75),HealthBY*P60,IF(AND(AT60=3,AK60="E",AV60&gt;=0.5,AW60=1),PTHealthBY,IF(AND(AT60=3,AK60="E",AV60&gt;=0.5),PTHealthBY*P60,0))))</f>
        <v>0</v>
      </c>
      <c r="BP60" s="462">
        <f>IF(AND(AT60&lt;&gt;0,(AX60+BA60)&gt;=MAXSSDIBY),SSDIBY*MAXSSDIBY*P60,IF(AT60&lt;&gt;0,SSDIBY*W60,0))</f>
        <v>5371.1840000000002</v>
      </c>
      <c r="BQ60" s="462">
        <f>IF(AT60&lt;&gt;0,SSHIBY*W60,0)</f>
        <v>1256.164</v>
      </c>
      <c r="BR60" s="462">
        <f>IF(AND(AT60&lt;&gt;0,AN60&lt;&gt;"NE"),VLOOKUP(AN60,Retirement_Rates,4,FALSE)*W60,0)</f>
        <v>10343.8608</v>
      </c>
      <c r="BS60" s="462">
        <f>IF(AND(AT60&lt;&gt;0,AJ60&lt;&gt;"PF"),LifeBY*W60,0)</f>
        <v>624.61671999999999</v>
      </c>
      <c r="BT60" s="462">
        <f>IF(AND(AT60&lt;&gt;0,AM60="Y"),UIBY*W60,0)</f>
        <v>0</v>
      </c>
      <c r="BU60" s="462">
        <f>IF(AND(AT60&lt;&gt;0,N60&lt;&gt;"NR"),DHRBY*W60,0)</f>
        <v>265.09391999999997</v>
      </c>
      <c r="BV60" s="462">
        <f>IF(AT60&lt;&gt;0,WCBY*W60,0)</f>
        <v>1524.7232000000001</v>
      </c>
      <c r="BW60" s="462">
        <f>IF(OR(AND(AT60&lt;&gt;0,AJ60&lt;&gt;"PF",AN60&lt;&gt;"NE",AG60&lt;&gt;"A"),AND(AL60="E",OR(AT60=1,AT60=3))),SickBY*W60,0)</f>
        <v>0</v>
      </c>
      <c r="BX60" s="462">
        <f t="shared" si="7"/>
        <v>19385.642639999998</v>
      </c>
      <c r="BY60" s="462">
        <f t="shared" si="8"/>
        <v>0</v>
      </c>
      <c r="BZ60" s="462">
        <f t="shared" si="9"/>
        <v>0</v>
      </c>
      <c r="CA60" s="462">
        <f t="shared" si="10"/>
        <v>0</v>
      </c>
      <c r="CB60" s="462">
        <f t="shared" si="11"/>
        <v>0</v>
      </c>
      <c r="CC60" s="462">
        <f>IF(AT60&lt;&gt;0,SSHICHG*Y60,0)</f>
        <v>0</v>
      </c>
      <c r="CD60" s="462">
        <f>IF(AND(AT60&lt;&gt;0,AN60&lt;&gt;"NE"),VLOOKUP(AN60,Retirement_Rates,5,FALSE)*Y60,0)</f>
        <v>0</v>
      </c>
      <c r="CE60" s="462">
        <f>IF(AND(AT60&lt;&gt;0,AJ60&lt;&gt;"PF"),LifeCHG*Y60,0)</f>
        <v>0</v>
      </c>
      <c r="CF60" s="462">
        <f>IF(AND(AT60&lt;&gt;0,AM60="Y"),UICHG*Y60,0)</f>
        <v>-424.49680000000001</v>
      </c>
      <c r="CG60" s="462">
        <f>IF(AND(AT60&lt;&gt;0,N60&lt;&gt;"NR"),DHRCHG*Y60,0)</f>
        <v>0</v>
      </c>
      <c r="CH60" s="462">
        <f>IF(AT60&lt;&gt;0,WCCHG*Y60,0)</f>
        <v>199.25360000000015</v>
      </c>
      <c r="CI60" s="462">
        <f>IF(OR(AND(AT60&lt;&gt;0,AJ60&lt;&gt;"PF",AN60&lt;&gt;"NE",AG60&lt;&gt;"A"),AND(AL60="E",OR(AT60=1,AT60=3))),SickCHG*Y60,0)</f>
        <v>0</v>
      </c>
      <c r="CJ60" s="462">
        <f t="shared" si="12"/>
        <v>-225.24319999999986</v>
      </c>
      <c r="CK60" s="462" t="str">
        <f t="shared" si="13"/>
        <v/>
      </c>
      <c r="CL60" s="462" t="str">
        <f t="shared" si="14"/>
        <v/>
      </c>
      <c r="CM60" s="462" t="str">
        <f t="shared" si="15"/>
        <v/>
      </c>
      <c r="CN60" s="462" t="str">
        <f t="shared" si="16"/>
        <v>0001-00</v>
      </c>
    </row>
    <row r="61" spans="1:92" ht="15" thickBot="1" x14ac:dyDescent="0.35">
      <c r="A61" s="376" t="s">
        <v>161</v>
      </c>
      <c r="B61" s="376" t="s">
        <v>162</v>
      </c>
      <c r="C61" s="376" t="s">
        <v>426</v>
      </c>
      <c r="D61" s="376" t="s">
        <v>427</v>
      </c>
      <c r="E61" s="376" t="s">
        <v>165</v>
      </c>
      <c r="F61" s="377" t="s">
        <v>166</v>
      </c>
      <c r="G61" s="376" t="s">
        <v>356</v>
      </c>
      <c r="H61" s="378"/>
      <c r="I61" s="378"/>
      <c r="J61" s="376" t="s">
        <v>185</v>
      </c>
      <c r="K61" s="376" t="s">
        <v>428</v>
      </c>
      <c r="L61" s="376" t="s">
        <v>166</v>
      </c>
      <c r="M61" s="376" t="s">
        <v>170</v>
      </c>
      <c r="N61" s="376" t="s">
        <v>171</v>
      </c>
      <c r="O61" s="379">
        <v>1</v>
      </c>
      <c r="P61" s="460">
        <v>0.9</v>
      </c>
      <c r="Q61" s="460">
        <v>0.9</v>
      </c>
      <c r="R61" s="380">
        <v>80</v>
      </c>
      <c r="S61" s="460">
        <v>0.9</v>
      </c>
      <c r="T61" s="380">
        <v>107640.41</v>
      </c>
      <c r="U61" s="380">
        <v>0</v>
      </c>
      <c r="V61" s="380">
        <v>32755.58</v>
      </c>
      <c r="W61" s="380">
        <v>104925.6</v>
      </c>
      <c r="X61" s="380">
        <v>33915.9</v>
      </c>
      <c r="Y61" s="380">
        <v>104925.6</v>
      </c>
      <c r="Z61" s="380">
        <v>33643.089999999997</v>
      </c>
      <c r="AA61" s="376" t="s">
        <v>429</v>
      </c>
      <c r="AB61" s="376" t="s">
        <v>430</v>
      </c>
      <c r="AC61" s="376" t="s">
        <v>431</v>
      </c>
      <c r="AD61" s="376" t="s">
        <v>278</v>
      </c>
      <c r="AE61" s="376" t="s">
        <v>428</v>
      </c>
      <c r="AF61" s="376" t="s">
        <v>176</v>
      </c>
      <c r="AG61" s="376" t="s">
        <v>177</v>
      </c>
      <c r="AH61" s="381">
        <v>56.05</v>
      </c>
      <c r="AI61" s="379">
        <v>20344</v>
      </c>
      <c r="AJ61" s="376" t="s">
        <v>178</v>
      </c>
      <c r="AK61" s="376" t="s">
        <v>179</v>
      </c>
      <c r="AL61" s="376" t="s">
        <v>180</v>
      </c>
      <c r="AM61" s="376" t="s">
        <v>181</v>
      </c>
      <c r="AN61" s="376" t="s">
        <v>68</v>
      </c>
      <c r="AO61" s="379">
        <v>80</v>
      </c>
      <c r="AP61" s="460">
        <v>1</v>
      </c>
      <c r="AQ61" s="460">
        <v>0.9</v>
      </c>
      <c r="AR61" s="458" t="s">
        <v>182</v>
      </c>
      <c r="AS61" s="462">
        <f t="shared" si="0"/>
        <v>0.9</v>
      </c>
      <c r="AT61">
        <f t="shared" si="1"/>
        <v>1</v>
      </c>
      <c r="AU61" s="462">
        <f>IF(AT61=0,"",IF(AND(AT61=1,M61="F",SUMIF(C2:C698,C61,AS2:AS698)&lt;=1),SUMIF(C2:C698,C61,AS2:AS698),IF(AND(AT61=1,M61="F",SUMIF(C2:C698,C61,AS2:AS698)&gt;1),1,"")))</f>
        <v>1</v>
      </c>
      <c r="AV61" s="462" t="str">
        <f>IF(AT61=0,"",IF(AND(AT61=3,M61="F",SUMIF(C2:C698,C61,AS2:AS698)&lt;=1),SUMIF(C2:C698,C61,AS2:AS698),IF(AND(AT61=3,M61="F",SUMIF(C2:C698,C61,AS2:AS698)&gt;1),1,"")))</f>
        <v/>
      </c>
      <c r="AW61" s="462">
        <f>SUMIF(C2:C698,C61,O2:O698)</f>
        <v>3</v>
      </c>
      <c r="AX61" s="462">
        <f>IF(AND(M61="F",AS61&lt;&gt;0),SUMIF(C2:C698,C61,W2:W698),0)</f>
        <v>116584</v>
      </c>
      <c r="AY61" s="462">
        <f t="shared" si="2"/>
        <v>104925.6</v>
      </c>
      <c r="AZ61" s="462" t="str">
        <f t="shared" si="3"/>
        <v/>
      </c>
      <c r="BA61" s="462">
        <f t="shared" si="4"/>
        <v>0</v>
      </c>
      <c r="BB61" s="462">
        <f>IF(AND(AT61=1,AK61="E",AU61&gt;=0.75,AW61=1),Health,IF(AND(AT61=1,AK61="E",AU61&gt;=0.75),Health*P61,IF(AND(AT61=1,AK61="E",AU61&gt;=0.5,AW61=1),PTHealth,IF(AND(AT61=1,AK61="E",AU61&gt;=0.5),PTHealth*P61,0))))</f>
        <v>10485</v>
      </c>
      <c r="BC61" s="462">
        <f>IF(AND(AT61=3,AK61="E",AV61&gt;=0.75,AW61=1),Health,IF(AND(AT61=3,AK61="E",AV61&gt;=0.75),Health*P61,IF(AND(AT61=3,AK61="E",AV61&gt;=0.5,AW61=1),PTHealth,IF(AND(AT61=3,AK61="E",AV61&gt;=0.5),PTHealth*P61,0))))</f>
        <v>0</v>
      </c>
      <c r="BD61" s="462">
        <f>IF(AND(AT61&lt;&gt;0,AX61&gt;=MAXSSDI),SSDI*MAXSSDI*P61,IF(AT61&lt;&gt;0,SSDI*W61,0))</f>
        <v>6505.3872000000001</v>
      </c>
      <c r="BE61" s="462">
        <f>IF(AT61&lt;&gt;0,SSHI*W61,0)</f>
        <v>1521.4212000000002</v>
      </c>
      <c r="BF61" s="462">
        <f>IF(AND(AT61&lt;&gt;0,AN61&lt;&gt;"NE"),VLOOKUP(AN61,Retirement_Rates,3,FALSE)*W61,0)</f>
        <v>12528.116640000002</v>
      </c>
      <c r="BG61" s="462">
        <f>IF(AND(AT61&lt;&gt;0,AJ61&lt;&gt;"PF"),Life*W61,0)</f>
        <v>756.51357600000006</v>
      </c>
      <c r="BH61" s="462">
        <f>IF(AND(AT61&lt;&gt;0,AM61="Y"),UI*W61,0)</f>
        <v>514.13544000000002</v>
      </c>
      <c r="BI61" s="462">
        <f>IF(AND(AT61&lt;&gt;0,N61&lt;&gt;"NR"),DHR*W61,0)</f>
        <v>0</v>
      </c>
      <c r="BJ61" s="462">
        <f>IF(AT61&lt;&gt;0,WC*W61,0)</f>
        <v>1605.36168</v>
      </c>
      <c r="BK61" s="462">
        <f>IF(OR(AND(AT61&lt;&gt;0,AJ61&lt;&gt;"PF",AN61&lt;&gt;"NE",AG61&lt;&gt;"A"),AND(AL61="E",OR(AT61=1,AT61=3))),Sick*W61,0)</f>
        <v>0</v>
      </c>
      <c r="BL61" s="462">
        <f t="shared" si="5"/>
        <v>23430.935736000007</v>
      </c>
      <c r="BM61" s="462">
        <f t="shared" si="6"/>
        <v>0</v>
      </c>
      <c r="BN61" s="462">
        <f>IF(AND(AT61=1,AK61="E",AU61&gt;=0.75,AW61=1),HealthBY,IF(AND(AT61=1,AK61="E",AU61&gt;=0.75),HealthBY*P61,IF(AND(AT61=1,AK61="E",AU61&gt;=0.5,AW61=1),PTHealthBY,IF(AND(AT61=1,AK61="E",AU61&gt;=0.5),PTHealthBY*P61,0))))</f>
        <v>10485</v>
      </c>
      <c r="BO61" s="462">
        <f>IF(AND(AT61=3,AK61="E",AV61&gt;=0.75,AW61=1),HealthBY,IF(AND(AT61=3,AK61="E",AV61&gt;=0.75),HealthBY*P61,IF(AND(AT61=3,AK61="E",AV61&gt;=0.5,AW61=1),PTHealthBY,IF(AND(AT61=3,AK61="E",AV61&gt;=0.5),PTHealthBY*P61,0))))</f>
        <v>0</v>
      </c>
      <c r="BP61" s="462">
        <f>IF(AND(AT61&lt;&gt;0,(AX61+BA61)&gt;=MAXSSDIBY),SSDIBY*MAXSSDIBY*P61,IF(AT61&lt;&gt;0,SSDIBY*W61,0))</f>
        <v>6505.3872000000001</v>
      </c>
      <c r="BQ61" s="462">
        <f>IF(AT61&lt;&gt;0,SSHIBY*W61,0)</f>
        <v>1521.4212000000002</v>
      </c>
      <c r="BR61" s="462">
        <f>IF(AND(AT61&lt;&gt;0,AN61&lt;&gt;"NE"),VLOOKUP(AN61,Retirement_Rates,4,FALSE)*W61,0)</f>
        <v>12528.116640000002</v>
      </c>
      <c r="BS61" s="462">
        <f>IF(AND(AT61&lt;&gt;0,AJ61&lt;&gt;"PF"),LifeBY*W61,0)</f>
        <v>756.51357600000006</v>
      </c>
      <c r="BT61" s="462">
        <f>IF(AND(AT61&lt;&gt;0,AM61="Y"),UIBY*W61,0)</f>
        <v>0</v>
      </c>
      <c r="BU61" s="462">
        <f>IF(AND(AT61&lt;&gt;0,N61&lt;&gt;"NR"),DHRBY*W61,0)</f>
        <v>0</v>
      </c>
      <c r="BV61" s="462">
        <f>IF(AT61&lt;&gt;0,WCBY*W61,0)</f>
        <v>1846.6905600000002</v>
      </c>
      <c r="BW61" s="462">
        <f>IF(OR(AND(AT61&lt;&gt;0,AJ61&lt;&gt;"PF",AN61&lt;&gt;"NE",AG61&lt;&gt;"A"),AND(AL61="E",OR(AT61=1,AT61=3))),SickBY*W61,0)</f>
        <v>0</v>
      </c>
      <c r="BX61" s="462">
        <f t="shared" si="7"/>
        <v>23158.129176000002</v>
      </c>
      <c r="BY61" s="462">
        <f t="shared" si="8"/>
        <v>0</v>
      </c>
      <c r="BZ61" s="462">
        <f t="shared" si="9"/>
        <v>0</v>
      </c>
      <c r="CA61" s="462">
        <f t="shared" si="10"/>
        <v>0</v>
      </c>
      <c r="CB61" s="462">
        <f t="shared" si="11"/>
        <v>0</v>
      </c>
      <c r="CC61" s="462">
        <f>IF(AT61&lt;&gt;0,SSHICHG*Y61,0)</f>
        <v>0</v>
      </c>
      <c r="CD61" s="462">
        <f>IF(AND(AT61&lt;&gt;0,AN61&lt;&gt;"NE"),VLOOKUP(AN61,Retirement_Rates,5,FALSE)*Y61,0)</f>
        <v>0</v>
      </c>
      <c r="CE61" s="462">
        <f>IF(AND(AT61&lt;&gt;0,AJ61&lt;&gt;"PF"),LifeCHG*Y61,0)</f>
        <v>0</v>
      </c>
      <c r="CF61" s="462">
        <f>IF(AND(AT61&lt;&gt;0,AM61="Y"),UICHG*Y61,0)</f>
        <v>-514.13544000000002</v>
      </c>
      <c r="CG61" s="462">
        <f>IF(AND(AT61&lt;&gt;0,N61&lt;&gt;"NR"),DHRCHG*Y61,0)</f>
        <v>0</v>
      </c>
      <c r="CH61" s="462">
        <f>IF(AT61&lt;&gt;0,WCCHG*Y61,0)</f>
        <v>241.3288800000002</v>
      </c>
      <c r="CI61" s="462">
        <f>IF(OR(AND(AT61&lt;&gt;0,AJ61&lt;&gt;"PF",AN61&lt;&gt;"NE",AG61&lt;&gt;"A"),AND(AL61="E",OR(AT61=1,AT61=3))),SickCHG*Y61,0)</f>
        <v>0</v>
      </c>
      <c r="CJ61" s="462">
        <f t="shared" si="12"/>
        <v>-272.80655999999982</v>
      </c>
      <c r="CK61" s="462" t="str">
        <f t="shared" si="13"/>
        <v/>
      </c>
      <c r="CL61" s="462" t="str">
        <f t="shared" si="14"/>
        <v/>
      </c>
      <c r="CM61" s="462" t="str">
        <f t="shared" si="15"/>
        <v/>
      </c>
      <c r="CN61" s="462" t="str">
        <f t="shared" si="16"/>
        <v>0001-00</v>
      </c>
    </row>
    <row r="62" spans="1:92" ht="15" thickBot="1" x14ac:dyDescent="0.35">
      <c r="A62" s="376" t="s">
        <v>161</v>
      </c>
      <c r="B62" s="376" t="s">
        <v>162</v>
      </c>
      <c r="C62" s="376" t="s">
        <v>432</v>
      </c>
      <c r="D62" s="376" t="s">
        <v>418</v>
      </c>
      <c r="E62" s="376" t="s">
        <v>165</v>
      </c>
      <c r="F62" s="377" t="s">
        <v>166</v>
      </c>
      <c r="G62" s="376" t="s">
        <v>356</v>
      </c>
      <c r="H62" s="378"/>
      <c r="I62" s="378"/>
      <c r="J62" s="376" t="s">
        <v>168</v>
      </c>
      <c r="K62" s="376" t="s">
        <v>419</v>
      </c>
      <c r="L62" s="376" t="s">
        <v>177</v>
      </c>
      <c r="M62" s="376" t="s">
        <v>170</v>
      </c>
      <c r="N62" s="376" t="s">
        <v>202</v>
      </c>
      <c r="O62" s="379">
        <v>1</v>
      </c>
      <c r="P62" s="460">
        <v>0</v>
      </c>
      <c r="Q62" s="460">
        <v>0</v>
      </c>
      <c r="R62" s="380">
        <v>80</v>
      </c>
      <c r="S62" s="460">
        <v>0</v>
      </c>
      <c r="T62" s="380">
        <v>2356</v>
      </c>
      <c r="U62" s="380">
        <v>0</v>
      </c>
      <c r="V62" s="380">
        <v>820.84</v>
      </c>
      <c r="W62" s="380">
        <v>0</v>
      </c>
      <c r="X62" s="380">
        <v>0</v>
      </c>
      <c r="Y62" s="380">
        <v>0</v>
      </c>
      <c r="Z62" s="380">
        <v>0</v>
      </c>
      <c r="AA62" s="376" t="s">
        <v>433</v>
      </c>
      <c r="AB62" s="376" t="s">
        <v>434</v>
      </c>
      <c r="AC62" s="376" t="s">
        <v>435</v>
      </c>
      <c r="AD62" s="376" t="s">
        <v>179</v>
      </c>
      <c r="AE62" s="376" t="s">
        <v>419</v>
      </c>
      <c r="AF62" s="376" t="s">
        <v>436</v>
      </c>
      <c r="AG62" s="376" t="s">
        <v>177</v>
      </c>
      <c r="AH62" s="381">
        <v>15.5</v>
      </c>
      <c r="AI62" s="381">
        <v>1605.8</v>
      </c>
      <c r="AJ62" s="376" t="s">
        <v>178</v>
      </c>
      <c r="AK62" s="376" t="s">
        <v>179</v>
      </c>
      <c r="AL62" s="376" t="s">
        <v>180</v>
      </c>
      <c r="AM62" s="376" t="s">
        <v>181</v>
      </c>
      <c r="AN62" s="376" t="s">
        <v>68</v>
      </c>
      <c r="AO62" s="379">
        <v>80</v>
      </c>
      <c r="AP62" s="460">
        <v>1</v>
      </c>
      <c r="AQ62" s="460">
        <v>0</v>
      </c>
      <c r="AR62" s="458" t="s">
        <v>182</v>
      </c>
      <c r="AS62" s="462">
        <f t="shared" si="0"/>
        <v>0</v>
      </c>
      <c r="AT62">
        <f t="shared" si="1"/>
        <v>0</v>
      </c>
      <c r="AU62" s="462" t="str">
        <f>IF(AT62=0,"",IF(AND(AT62=1,M62="F",SUMIF(C2:C698,C62,AS2:AS698)&lt;=1),SUMIF(C2:C698,C62,AS2:AS698),IF(AND(AT62=1,M62="F",SUMIF(C2:C698,C62,AS2:AS698)&gt;1),1,"")))</f>
        <v/>
      </c>
      <c r="AV62" s="462" t="str">
        <f>IF(AT62=0,"",IF(AND(AT62=3,M62="F",SUMIF(C2:C698,C62,AS2:AS698)&lt;=1),SUMIF(C2:C698,C62,AS2:AS698),IF(AND(AT62=3,M62="F",SUMIF(C2:C698,C62,AS2:AS698)&gt;1),1,"")))</f>
        <v/>
      </c>
      <c r="AW62" s="462">
        <f>SUMIF(C2:C698,C62,O2:O698)</f>
        <v>2</v>
      </c>
      <c r="AX62" s="462">
        <f>IF(AND(M62="F",AS62&lt;&gt;0),SUMIF(C2:C698,C62,W2:W698),0)</f>
        <v>0</v>
      </c>
      <c r="AY62" s="462" t="str">
        <f t="shared" si="2"/>
        <v/>
      </c>
      <c r="AZ62" s="462" t="str">
        <f t="shared" si="3"/>
        <v/>
      </c>
      <c r="BA62" s="462">
        <f t="shared" si="4"/>
        <v>0</v>
      </c>
      <c r="BB62" s="462">
        <f>IF(AND(AT62=1,AK62="E",AU62&gt;=0.75,AW62=1),Health,IF(AND(AT62=1,AK62="E",AU62&gt;=0.75),Health*P62,IF(AND(AT62=1,AK62="E",AU62&gt;=0.5,AW62=1),PTHealth,IF(AND(AT62=1,AK62="E",AU62&gt;=0.5),PTHealth*P62,0))))</f>
        <v>0</v>
      </c>
      <c r="BC62" s="462">
        <f>IF(AND(AT62=3,AK62="E",AV62&gt;=0.75,AW62=1),Health,IF(AND(AT62=3,AK62="E",AV62&gt;=0.75),Health*P62,IF(AND(AT62=3,AK62="E",AV62&gt;=0.5,AW62=1),PTHealth,IF(AND(AT62=3,AK62="E",AV62&gt;=0.5),PTHealth*P62,0))))</f>
        <v>0</v>
      </c>
      <c r="BD62" s="462">
        <f>IF(AND(AT62&lt;&gt;0,AX62&gt;=MAXSSDI),SSDI*MAXSSDI*P62,IF(AT62&lt;&gt;0,SSDI*W62,0))</f>
        <v>0</v>
      </c>
      <c r="BE62" s="462">
        <f>IF(AT62&lt;&gt;0,SSHI*W62,0)</f>
        <v>0</v>
      </c>
      <c r="BF62" s="462">
        <f>IF(AND(AT62&lt;&gt;0,AN62&lt;&gt;"NE"),VLOOKUP(AN62,Retirement_Rates,3,FALSE)*W62,0)</f>
        <v>0</v>
      </c>
      <c r="BG62" s="462">
        <f>IF(AND(AT62&lt;&gt;0,AJ62&lt;&gt;"PF"),Life*W62,0)</f>
        <v>0</v>
      </c>
      <c r="BH62" s="462">
        <f>IF(AND(AT62&lt;&gt;0,AM62="Y"),UI*W62,0)</f>
        <v>0</v>
      </c>
      <c r="BI62" s="462">
        <f>IF(AND(AT62&lt;&gt;0,N62&lt;&gt;"NR"),DHR*W62,0)</f>
        <v>0</v>
      </c>
      <c r="BJ62" s="462">
        <f>IF(AT62&lt;&gt;0,WC*W62,0)</f>
        <v>0</v>
      </c>
      <c r="BK62" s="462">
        <f>IF(OR(AND(AT62&lt;&gt;0,AJ62&lt;&gt;"PF",AN62&lt;&gt;"NE",AG62&lt;&gt;"A"),AND(AL62="E",OR(AT62=1,AT62=3))),Sick*W62,0)</f>
        <v>0</v>
      </c>
      <c r="BL62" s="462">
        <f t="shared" si="5"/>
        <v>0</v>
      </c>
      <c r="BM62" s="462">
        <f t="shared" si="6"/>
        <v>0</v>
      </c>
      <c r="BN62" s="462">
        <f>IF(AND(AT62=1,AK62="E",AU62&gt;=0.75,AW62=1),HealthBY,IF(AND(AT62=1,AK62="E",AU62&gt;=0.75),HealthBY*P62,IF(AND(AT62=1,AK62="E",AU62&gt;=0.5,AW62=1),PTHealthBY,IF(AND(AT62=1,AK62="E",AU62&gt;=0.5),PTHealthBY*P62,0))))</f>
        <v>0</v>
      </c>
      <c r="BO62" s="462">
        <f>IF(AND(AT62=3,AK62="E",AV62&gt;=0.75,AW62=1),HealthBY,IF(AND(AT62=3,AK62="E",AV62&gt;=0.75),HealthBY*P62,IF(AND(AT62=3,AK62="E",AV62&gt;=0.5,AW62=1),PTHealthBY,IF(AND(AT62=3,AK62="E",AV62&gt;=0.5),PTHealthBY*P62,0))))</f>
        <v>0</v>
      </c>
      <c r="BP62" s="462">
        <f>IF(AND(AT62&lt;&gt;0,(AX62+BA62)&gt;=MAXSSDIBY),SSDIBY*MAXSSDIBY*P62,IF(AT62&lt;&gt;0,SSDIBY*W62,0))</f>
        <v>0</v>
      </c>
      <c r="BQ62" s="462">
        <f>IF(AT62&lt;&gt;0,SSHIBY*W62,0)</f>
        <v>0</v>
      </c>
      <c r="BR62" s="462">
        <f>IF(AND(AT62&lt;&gt;0,AN62&lt;&gt;"NE"),VLOOKUP(AN62,Retirement_Rates,4,FALSE)*W62,0)</f>
        <v>0</v>
      </c>
      <c r="BS62" s="462">
        <f>IF(AND(AT62&lt;&gt;0,AJ62&lt;&gt;"PF"),LifeBY*W62,0)</f>
        <v>0</v>
      </c>
      <c r="BT62" s="462">
        <f>IF(AND(AT62&lt;&gt;0,AM62="Y"),UIBY*W62,0)</f>
        <v>0</v>
      </c>
      <c r="BU62" s="462">
        <f>IF(AND(AT62&lt;&gt;0,N62&lt;&gt;"NR"),DHRBY*W62,0)</f>
        <v>0</v>
      </c>
      <c r="BV62" s="462">
        <f>IF(AT62&lt;&gt;0,WCBY*W62,0)</f>
        <v>0</v>
      </c>
      <c r="BW62" s="462">
        <f>IF(OR(AND(AT62&lt;&gt;0,AJ62&lt;&gt;"PF",AN62&lt;&gt;"NE",AG62&lt;&gt;"A"),AND(AL62="E",OR(AT62=1,AT62=3))),SickBY*W62,0)</f>
        <v>0</v>
      </c>
      <c r="BX62" s="462">
        <f t="shared" si="7"/>
        <v>0</v>
      </c>
      <c r="BY62" s="462">
        <f t="shared" si="8"/>
        <v>0</v>
      </c>
      <c r="BZ62" s="462">
        <f t="shared" si="9"/>
        <v>0</v>
      </c>
      <c r="CA62" s="462">
        <f t="shared" si="10"/>
        <v>0</v>
      </c>
      <c r="CB62" s="462">
        <f t="shared" si="11"/>
        <v>0</v>
      </c>
      <c r="CC62" s="462">
        <f>IF(AT62&lt;&gt;0,SSHICHG*Y62,0)</f>
        <v>0</v>
      </c>
      <c r="CD62" s="462">
        <f>IF(AND(AT62&lt;&gt;0,AN62&lt;&gt;"NE"),VLOOKUP(AN62,Retirement_Rates,5,FALSE)*Y62,0)</f>
        <v>0</v>
      </c>
      <c r="CE62" s="462">
        <f>IF(AND(AT62&lt;&gt;0,AJ62&lt;&gt;"PF"),LifeCHG*Y62,0)</f>
        <v>0</v>
      </c>
      <c r="CF62" s="462">
        <f>IF(AND(AT62&lt;&gt;0,AM62="Y"),UICHG*Y62,0)</f>
        <v>0</v>
      </c>
      <c r="CG62" s="462">
        <f>IF(AND(AT62&lt;&gt;0,N62&lt;&gt;"NR"),DHRCHG*Y62,0)</f>
        <v>0</v>
      </c>
      <c r="CH62" s="462">
        <f>IF(AT62&lt;&gt;0,WCCHG*Y62,0)</f>
        <v>0</v>
      </c>
      <c r="CI62" s="462">
        <f>IF(OR(AND(AT62&lt;&gt;0,AJ62&lt;&gt;"PF",AN62&lt;&gt;"NE",AG62&lt;&gt;"A"),AND(AL62="E",OR(AT62=1,AT62=3))),SickCHG*Y62,0)</f>
        <v>0</v>
      </c>
      <c r="CJ62" s="462">
        <f t="shared" si="12"/>
        <v>0</v>
      </c>
      <c r="CK62" s="462" t="str">
        <f t="shared" si="13"/>
        <v/>
      </c>
      <c r="CL62" s="462" t="str">
        <f t="shared" si="14"/>
        <v/>
      </c>
      <c r="CM62" s="462" t="str">
        <f t="shared" si="15"/>
        <v/>
      </c>
      <c r="CN62" s="462" t="str">
        <f t="shared" si="16"/>
        <v>0001-00</v>
      </c>
    </row>
    <row r="63" spans="1:92" ht="15" thickBot="1" x14ac:dyDescent="0.35">
      <c r="A63" s="376" t="s">
        <v>161</v>
      </c>
      <c r="B63" s="376" t="s">
        <v>162</v>
      </c>
      <c r="C63" s="376" t="s">
        <v>437</v>
      </c>
      <c r="D63" s="376" t="s">
        <v>362</v>
      </c>
      <c r="E63" s="376" t="s">
        <v>165</v>
      </c>
      <c r="F63" s="377" t="s">
        <v>166</v>
      </c>
      <c r="G63" s="376" t="s">
        <v>356</v>
      </c>
      <c r="H63" s="378"/>
      <c r="I63" s="378"/>
      <c r="J63" s="376" t="s">
        <v>168</v>
      </c>
      <c r="K63" s="376" t="s">
        <v>363</v>
      </c>
      <c r="L63" s="376" t="s">
        <v>200</v>
      </c>
      <c r="M63" s="376" t="s">
        <v>170</v>
      </c>
      <c r="N63" s="376" t="s">
        <v>202</v>
      </c>
      <c r="O63" s="379">
        <v>1</v>
      </c>
      <c r="P63" s="460">
        <v>1</v>
      </c>
      <c r="Q63" s="460">
        <v>1</v>
      </c>
      <c r="R63" s="380">
        <v>80</v>
      </c>
      <c r="S63" s="460">
        <v>1</v>
      </c>
      <c r="T63" s="380">
        <v>44448.66</v>
      </c>
      <c r="U63" s="380">
        <v>0</v>
      </c>
      <c r="V63" s="380">
        <v>20866.02</v>
      </c>
      <c r="W63" s="380">
        <v>46800</v>
      </c>
      <c r="X63" s="380">
        <v>22244.1</v>
      </c>
      <c r="Y63" s="380">
        <v>46800</v>
      </c>
      <c r="Z63" s="380">
        <v>22122.42</v>
      </c>
      <c r="AA63" s="376" t="s">
        <v>438</v>
      </c>
      <c r="AB63" s="376" t="s">
        <v>439</v>
      </c>
      <c r="AC63" s="376" t="s">
        <v>440</v>
      </c>
      <c r="AD63" s="376" t="s">
        <v>224</v>
      </c>
      <c r="AE63" s="376" t="s">
        <v>363</v>
      </c>
      <c r="AF63" s="376" t="s">
        <v>210</v>
      </c>
      <c r="AG63" s="376" t="s">
        <v>177</v>
      </c>
      <c r="AH63" s="381">
        <v>22.5</v>
      </c>
      <c r="AI63" s="379">
        <v>9840</v>
      </c>
      <c r="AJ63" s="376" t="s">
        <v>178</v>
      </c>
      <c r="AK63" s="376" t="s">
        <v>179</v>
      </c>
      <c r="AL63" s="376" t="s">
        <v>180</v>
      </c>
      <c r="AM63" s="376" t="s">
        <v>181</v>
      </c>
      <c r="AN63" s="376" t="s">
        <v>68</v>
      </c>
      <c r="AO63" s="379">
        <v>80</v>
      </c>
      <c r="AP63" s="460">
        <v>1</v>
      </c>
      <c r="AQ63" s="460">
        <v>1</v>
      </c>
      <c r="AR63" s="458" t="s">
        <v>182</v>
      </c>
      <c r="AS63" s="462">
        <f t="shared" si="0"/>
        <v>1</v>
      </c>
      <c r="AT63">
        <f t="shared" si="1"/>
        <v>1</v>
      </c>
      <c r="AU63" s="462">
        <f>IF(AT63=0,"",IF(AND(AT63=1,M63="F",SUMIF(C2:C698,C63,AS2:AS698)&lt;=1),SUMIF(C2:C698,C63,AS2:AS698),IF(AND(AT63=1,M63="F",SUMIF(C2:C698,C63,AS2:AS698)&gt;1),1,"")))</f>
        <v>1</v>
      </c>
      <c r="AV63" s="462" t="str">
        <f>IF(AT63=0,"",IF(AND(AT63=3,M63="F",SUMIF(C2:C698,C63,AS2:AS698)&lt;=1),SUMIF(C2:C698,C63,AS2:AS698),IF(AND(AT63=3,M63="F",SUMIF(C2:C698,C63,AS2:AS698)&gt;1),1,"")))</f>
        <v/>
      </c>
      <c r="AW63" s="462">
        <f>SUMIF(C2:C698,C63,O2:O698)</f>
        <v>2</v>
      </c>
      <c r="AX63" s="462">
        <f>IF(AND(M63="F",AS63&lt;&gt;0),SUMIF(C2:C698,C63,W2:W698),0)</f>
        <v>46800</v>
      </c>
      <c r="AY63" s="462">
        <f t="shared" si="2"/>
        <v>46800</v>
      </c>
      <c r="AZ63" s="462" t="str">
        <f t="shared" si="3"/>
        <v/>
      </c>
      <c r="BA63" s="462">
        <f t="shared" si="4"/>
        <v>0</v>
      </c>
      <c r="BB63" s="462">
        <f>IF(AND(AT63=1,AK63="E",AU63&gt;=0.75,AW63=1),Health,IF(AND(AT63=1,AK63="E",AU63&gt;=0.75),Health*P63,IF(AND(AT63=1,AK63="E",AU63&gt;=0.5,AW63=1),PTHealth,IF(AND(AT63=1,AK63="E",AU63&gt;=0.5),PTHealth*P63,0))))</f>
        <v>11650</v>
      </c>
      <c r="BC63" s="462">
        <f>IF(AND(AT63=3,AK63="E",AV63&gt;=0.75,AW63=1),Health,IF(AND(AT63=3,AK63="E",AV63&gt;=0.75),Health*P63,IF(AND(AT63=3,AK63="E",AV63&gt;=0.5,AW63=1),PTHealth,IF(AND(AT63=3,AK63="E",AV63&gt;=0.5),PTHealth*P63,0))))</f>
        <v>0</v>
      </c>
      <c r="BD63" s="462">
        <f>IF(AND(AT63&lt;&gt;0,AX63&gt;=MAXSSDI),SSDI*MAXSSDI*P63,IF(AT63&lt;&gt;0,SSDI*W63,0))</f>
        <v>2901.6</v>
      </c>
      <c r="BE63" s="462">
        <f>IF(AT63&lt;&gt;0,SSHI*W63,0)</f>
        <v>678.6</v>
      </c>
      <c r="BF63" s="462">
        <f>IF(AND(AT63&lt;&gt;0,AN63&lt;&gt;"NE"),VLOOKUP(AN63,Retirement_Rates,3,FALSE)*W63,0)</f>
        <v>5587.92</v>
      </c>
      <c r="BG63" s="462">
        <f>IF(AND(AT63&lt;&gt;0,AJ63&lt;&gt;"PF"),Life*W63,0)</f>
        <v>337.428</v>
      </c>
      <c r="BH63" s="462">
        <f>IF(AND(AT63&lt;&gt;0,AM63="Y"),UI*W63,0)</f>
        <v>229.32</v>
      </c>
      <c r="BI63" s="462">
        <f>IF(AND(AT63&lt;&gt;0,N63&lt;&gt;"NR"),DHR*W63,0)</f>
        <v>143.208</v>
      </c>
      <c r="BJ63" s="462">
        <f>IF(AT63&lt;&gt;0,WC*W63,0)</f>
        <v>716.04</v>
      </c>
      <c r="BK63" s="462">
        <f>IF(OR(AND(AT63&lt;&gt;0,AJ63&lt;&gt;"PF",AN63&lt;&gt;"NE",AG63&lt;&gt;"A"),AND(AL63="E",OR(AT63=1,AT63=3))),Sick*W63,0)</f>
        <v>0</v>
      </c>
      <c r="BL63" s="462">
        <f t="shared" si="5"/>
        <v>10594.115999999998</v>
      </c>
      <c r="BM63" s="462">
        <f t="shared" si="6"/>
        <v>0</v>
      </c>
      <c r="BN63" s="462">
        <f>IF(AND(AT63=1,AK63="E",AU63&gt;=0.75,AW63=1),HealthBY,IF(AND(AT63=1,AK63="E",AU63&gt;=0.75),HealthBY*P63,IF(AND(AT63=1,AK63="E",AU63&gt;=0.5,AW63=1),PTHealthBY,IF(AND(AT63=1,AK63="E",AU63&gt;=0.5),PTHealthBY*P63,0))))</f>
        <v>11650</v>
      </c>
      <c r="BO63" s="462">
        <f>IF(AND(AT63=3,AK63="E",AV63&gt;=0.75,AW63=1),HealthBY,IF(AND(AT63=3,AK63="E",AV63&gt;=0.75),HealthBY*P63,IF(AND(AT63=3,AK63="E",AV63&gt;=0.5,AW63=1),PTHealthBY,IF(AND(AT63=3,AK63="E",AV63&gt;=0.5),PTHealthBY*P63,0))))</f>
        <v>0</v>
      </c>
      <c r="BP63" s="462">
        <f>IF(AND(AT63&lt;&gt;0,(AX63+BA63)&gt;=MAXSSDIBY),SSDIBY*MAXSSDIBY*P63,IF(AT63&lt;&gt;0,SSDIBY*W63,0))</f>
        <v>2901.6</v>
      </c>
      <c r="BQ63" s="462">
        <f>IF(AT63&lt;&gt;0,SSHIBY*W63,0)</f>
        <v>678.6</v>
      </c>
      <c r="BR63" s="462">
        <f>IF(AND(AT63&lt;&gt;0,AN63&lt;&gt;"NE"),VLOOKUP(AN63,Retirement_Rates,4,FALSE)*W63,0)</f>
        <v>5587.92</v>
      </c>
      <c r="BS63" s="462">
        <f>IF(AND(AT63&lt;&gt;0,AJ63&lt;&gt;"PF"),LifeBY*W63,0)</f>
        <v>337.428</v>
      </c>
      <c r="BT63" s="462">
        <f>IF(AND(AT63&lt;&gt;0,AM63="Y"),UIBY*W63,0)</f>
        <v>0</v>
      </c>
      <c r="BU63" s="462">
        <f>IF(AND(AT63&lt;&gt;0,N63&lt;&gt;"NR"),DHRBY*W63,0)</f>
        <v>143.208</v>
      </c>
      <c r="BV63" s="462">
        <f>IF(AT63&lt;&gt;0,WCBY*W63,0)</f>
        <v>823.68000000000006</v>
      </c>
      <c r="BW63" s="462">
        <f>IF(OR(AND(AT63&lt;&gt;0,AJ63&lt;&gt;"PF",AN63&lt;&gt;"NE",AG63&lt;&gt;"A"),AND(AL63="E",OR(AT63=1,AT63=3))),SickBY*W63,0)</f>
        <v>0</v>
      </c>
      <c r="BX63" s="462">
        <f t="shared" si="7"/>
        <v>10472.436</v>
      </c>
      <c r="BY63" s="462">
        <f t="shared" si="8"/>
        <v>0</v>
      </c>
      <c r="BZ63" s="462">
        <f t="shared" si="9"/>
        <v>0</v>
      </c>
      <c r="CA63" s="462">
        <f t="shared" si="10"/>
        <v>0</v>
      </c>
      <c r="CB63" s="462">
        <f t="shared" si="11"/>
        <v>0</v>
      </c>
      <c r="CC63" s="462">
        <f>IF(AT63&lt;&gt;0,SSHICHG*Y63,0)</f>
        <v>0</v>
      </c>
      <c r="CD63" s="462">
        <f>IF(AND(AT63&lt;&gt;0,AN63&lt;&gt;"NE"),VLOOKUP(AN63,Retirement_Rates,5,FALSE)*Y63,0)</f>
        <v>0</v>
      </c>
      <c r="CE63" s="462">
        <f>IF(AND(AT63&lt;&gt;0,AJ63&lt;&gt;"PF"),LifeCHG*Y63,0)</f>
        <v>0</v>
      </c>
      <c r="CF63" s="462">
        <f>IF(AND(AT63&lt;&gt;0,AM63="Y"),UICHG*Y63,0)</f>
        <v>-229.32</v>
      </c>
      <c r="CG63" s="462">
        <f>IF(AND(AT63&lt;&gt;0,N63&lt;&gt;"NR"),DHRCHG*Y63,0)</f>
        <v>0</v>
      </c>
      <c r="CH63" s="462">
        <f>IF(AT63&lt;&gt;0,WCCHG*Y63,0)</f>
        <v>107.64000000000009</v>
      </c>
      <c r="CI63" s="462">
        <f>IF(OR(AND(AT63&lt;&gt;0,AJ63&lt;&gt;"PF",AN63&lt;&gt;"NE",AG63&lt;&gt;"A"),AND(AL63="E",OR(AT63=1,AT63=3))),SickCHG*Y63,0)</f>
        <v>0</v>
      </c>
      <c r="CJ63" s="462">
        <f t="shared" si="12"/>
        <v>-121.67999999999991</v>
      </c>
      <c r="CK63" s="462" t="str">
        <f t="shared" si="13"/>
        <v/>
      </c>
      <c r="CL63" s="462" t="str">
        <f t="shared" si="14"/>
        <v/>
      </c>
      <c r="CM63" s="462" t="str">
        <f t="shared" si="15"/>
        <v/>
      </c>
      <c r="CN63" s="462" t="str">
        <f t="shared" si="16"/>
        <v>0001-00</v>
      </c>
    </row>
    <row r="64" spans="1:92" ht="15" thickBot="1" x14ac:dyDescent="0.35">
      <c r="A64" s="376" t="s">
        <v>161</v>
      </c>
      <c r="B64" s="376" t="s">
        <v>162</v>
      </c>
      <c r="C64" s="376" t="s">
        <v>441</v>
      </c>
      <c r="D64" s="376" t="s">
        <v>362</v>
      </c>
      <c r="E64" s="376" t="s">
        <v>165</v>
      </c>
      <c r="F64" s="377" t="s">
        <v>166</v>
      </c>
      <c r="G64" s="376" t="s">
        <v>356</v>
      </c>
      <c r="H64" s="378"/>
      <c r="I64" s="378"/>
      <c r="J64" s="376" t="s">
        <v>185</v>
      </c>
      <c r="K64" s="376" t="s">
        <v>363</v>
      </c>
      <c r="L64" s="376" t="s">
        <v>200</v>
      </c>
      <c r="M64" s="376" t="s">
        <v>170</v>
      </c>
      <c r="N64" s="376" t="s">
        <v>202</v>
      </c>
      <c r="O64" s="379">
        <v>1</v>
      </c>
      <c r="P64" s="460">
        <v>0.5</v>
      </c>
      <c r="Q64" s="460">
        <v>0.5</v>
      </c>
      <c r="R64" s="380">
        <v>80</v>
      </c>
      <c r="S64" s="460">
        <v>0.5</v>
      </c>
      <c r="T64" s="380">
        <v>9131.74</v>
      </c>
      <c r="U64" s="380">
        <v>0</v>
      </c>
      <c r="V64" s="380">
        <v>4411.93</v>
      </c>
      <c r="W64" s="380">
        <v>23400</v>
      </c>
      <c r="X64" s="380">
        <v>11122.05</v>
      </c>
      <c r="Y64" s="380">
        <v>23400</v>
      </c>
      <c r="Z64" s="380">
        <v>11061.21</v>
      </c>
      <c r="AA64" s="376" t="s">
        <v>442</v>
      </c>
      <c r="AB64" s="376" t="s">
        <v>443</v>
      </c>
      <c r="AC64" s="376" t="s">
        <v>444</v>
      </c>
      <c r="AD64" s="376" t="s">
        <v>445</v>
      </c>
      <c r="AE64" s="376" t="s">
        <v>363</v>
      </c>
      <c r="AF64" s="376" t="s">
        <v>210</v>
      </c>
      <c r="AG64" s="376" t="s">
        <v>177</v>
      </c>
      <c r="AH64" s="381">
        <v>22.5</v>
      </c>
      <c r="AI64" s="379">
        <v>11400</v>
      </c>
      <c r="AJ64" s="376" t="s">
        <v>178</v>
      </c>
      <c r="AK64" s="376" t="s">
        <v>179</v>
      </c>
      <c r="AL64" s="376" t="s">
        <v>180</v>
      </c>
      <c r="AM64" s="376" t="s">
        <v>181</v>
      </c>
      <c r="AN64" s="376" t="s">
        <v>68</v>
      </c>
      <c r="AO64" s="379">
        <v>80</v>
      </c>
      <c r="AP64" s="460">
        <v>1</v>
      </c>
      <c r="AQ64" s="460">
        <v>0.5</v>
      </c>
      <c r="AR64" s="458" t="s">
        <v>182</v>
      </c>
      <c r="AS64" s="462">
        <f t="shared" si="0"/>
        <v>0.5</v>
      </c>
      <c r="AT64">
        <f t="shared" si="1"/>
        <v>1</v>
      </c>
      <c r="AU64" s="462">
        <f>IF(AT64=0,"",IF(AND(AT64=1,M64="F",SUMIF(C2:C698,C64,AS2:AS698)&lt;=1),SUMIF(C2:C698,C64,AS2:AS698),IF(AND(AT64=1,M64="F",SUMIF(C2:C698,C64,AS2:AS698)&gt;1),1,"")))</f>
        <v>1</v>
      </c>
      <c r="AV64" s="462" t="str">
        <f>IF(AT64=0,"",IF(AND(AT64=3,M64="F",SUMIF(C2:C698,C64,AS2:AS698)&lt;=1),SUMIF(C2:C698,C64,AS2:AS698),IF(AND(AT64=3,M64="F",SUMIF(C2:C698,C64,AS2:AS698)&gt;1),1,"")))</f>
        <v/>
      </c>
      <c r="AW64" s="462">
        <f>SUMIF(C2:C698,C64,O2:O698)</f>
        <v>3</v>
      </c>
      <c r="AX64" s="462">
        <f>IF(AND(M64="F",AS64&lt;&gt;0),SUMIF(C2:C698,C64,W2:W698),0)</f>
        <v>46800</v>
      </c>
      <c r="AY64" s="462">
        <f t="shared" si="2"/>
        <v>23400</v>
      </c>
      <c r="AZ64" s="462" t="str">
        <f t="shared" si="3"/>
        <v/>
      </c>
      <c r="BA64" s="462">
        <f t="shared" si="4"/>
        <v>0</v>
      </c>
      <c r="BB64" s="462">
        <f>IF(AND(AT64=1,AK64="E",AU64&gt;=0.75,AW64=1),Health,IF(AND(AT64=1,AK64="E",AU64&gt;=0.75),Health*P64,IF(AND(AT64=1,AK64="E",AU64&gt;=0.5,AW64=1),PTHealth,IF(AND(AT64=1,AK64="E",AU64&gt;=0.5),PTHealth*P64,0))))</f>
        <v>5825</v>
      </c>
      <c r="BC64" s="462">
        <f>IF(AND(AT64=3,AK64="E",AV64&gt;=0.75,AW64=1),Health,IF(AND(AT64=3,AK64="E",AV64&gt;=0.75),Health*P64,IF(AND(AT64=3,AK64="E",AV64&gt;=0.5,AW64=1),PTHealth,IF(AND(AT64=3,AK64="E",AV64&gt;=0.5),PTHealth*P64,0))))</f>
        <v>0</v>
      </c>
      <c r="BD64" s="462">
        <f>IF(AND(AT64&lt;&gt;0,AX64&gt;=MAXSSDI),SSDI*MAXSSDI*P64,IF(AT64&lt;&gt;0,SSDI*W64,0))</f>
        <v>1450.8</v>
      </c>
      <c r="BE64" s="462">
        <f>IF(AT64&lt;&gt;0,SSHI*W64,0)</f>
        <v>339.3</v>
      </c>
      <c r="BF64" s="462">
        <f>IF(AND(AT64&lt;&gt;0,AN64&lt;&gt;"NE"),VLOOKUP(AN64,Retirement_Rates,3,FALSE)*W64,0)</f>
        <v>2793.96</v>
      </c>
      <c r="BG64" s="462">
        <f>IF(AND(AT64&lt;&gt;0,AJ64&lt;&gt;"PF"),Life*W64,0)</f>
        <v>168.714</v>
      </c>
      <c r="BH64" s="462">
        <f>IF(AND(AT64&lt;&gt;0,AM64="Y"),UI*W64,0)</f>
        <v>114.66</v>
      </c>
      <c r="BI64" s="462">
        <f>IF(AND(AT64&lt;&gt;0,N64&lt;&gt;"NR"),DHR*W64,0)</f>
        <v>71.603999999999999</v>
      </c>
      <c r="BJ64" s="462">
        <f>IF(AT64&lt;&gt;0,WC*W64,0)</f>
        <v>358.02</v>
      </c>
      <c r="BK64" s="462">
        <f>IF(OR(AND(AT64&lt;&gt;0,AJ64&lt;&gt;"PF",AN64&lt;&gt;"NE",AG64&lt;&gt;"A"),AND(AL64="E",OR(AT64=1,AT64=3))),Sick*W64,0)</f>
        <v>0</v>
      </c>
      <c r="BL64" s="462">
        <f t="shared" si="5"/>
        <v>5297.0579999999991</v>
      </c>
      <c r="BM64" s="462">
        <f t="shared" si="6"/>
        <v>0</v>
      </c>
      <c r="BN64" s="462">
        <f>IF(AND(AT64=1,AK64="E",AU64&gt;=0.75,AW64=1),HealthBY,IF(AND(AT64=1,AK64="E",AU64&gt;=0.75),HealthBY*P64,IF(AND(AT64=1,AK64="E",AU64&gt;=0.5,AW64=1),PTHealthBY,IF(AND(AT64=1,AK64="E",AU64&gt;=0.5),PTHealthBY*P64,0))))</f>
        <v>5825</v>
      </c>
      <c r="BO64" s="462">
        <f>IF(AND(AT64=3,AK64="E",AV64&gt;=0.75,AW64=1),HealthBY,IF(AND(AT64=3,AK64="E",AV64&gt;=0.75),HealthBY*P64,IF(AND(AT64=3,AK64="E",AV64&gt;=0.5,AW64=1),PTHealthBY,IF(AND(AT64=3,AK64="E",AV64&gt;=0.5),PTHealthBY*P64,0))))</f>
        <v>0</v>
      </c>
      <c r="BP64" s="462">
        <f>IF(AND(AT64&lt;&gt;0,(AX64+BA64)&gt;=MAXSSDIBY),SSDIBY*MAXSSDIBY*P64,IF(AT64&lt;&gt;0,SSDIBY*W64,0))</f>
        <v>1450.8</v>
      </c>
      <c r="BQ64" s="462">
        <f>IF(AT64&lt;&gt;0,SSHIBY*W64,0)</f>
        <v>339.3</v>
      </c>
      <c r="BR64" s="462">
        <f>IF(AND(AT64&lt;&gt;0,AN64&lt;&gt;"NE"),VLOOKUP(AN64,Retirement_Rates,4,FALSE)*W64,0)</f>
        <v>2793.96</v>
      </c>
      <c r="BS64" s="462">
        <f>IF(AND(AT64&lt;&gt;0,AJ64&lt;&gt;"PF"),LifeBY*W64,0)</f>
        <v>168.714</v>
      </c>
      <c r="BT64" s="462">
        <f>IF(AND(AT64&lt;&gt;0,AM64="Y"),UIBY*W64,0)</f>
        <v>0</v>
      </c>
      <c r="BU64" s="462">
        <f>IF(AND(AT64&lt;&gt;0,N64&lt;&gt;"NR"),DHRBY*W64,0)</f>
        <v>71.603999999999999</v>
      </c>
      <c r="BV64" s="462">
        <f>IF(AT64&lt;&gt;0,WCBY*W64,0)</f>
        <v>411.84000000000003</v>
      </c>
      <c r="BW64" s="462">
        <f>IF(OR(AND(AT64&lt;&gt;0,AJ64&lt;&gt;"PF",AN64&lt;&gt;"NE",AG64&lt;&gt;"A"),AND(AL64="E",OR(AT64=1,AT64=3))),SickBY*W64,0)</f>
        <v>0</v>
      </c>
      <c r="BX64" s="462">
        <f t="shared" si="7"/>
        <v>5236.2179999999998</v>
      </c>
      <c r="BY64" s="462">
        <f t="shared" si="8"/>
        <v>0</v>
      </c>
      <c r="BZ64" s="462">
        <f t="shared" si="9"/>
        <v>0</v>
      </c>
      <c r="CA64" s="462">
        <f t="shared" si="10"/>
        <v>0</v>
      </c>
      <c r="CB64" s="462">
        <f t="shared" si="11"/>
        <v>0</v>
      </c>
      <c r="CC64" s="462">
        <f>IF(AT64&lt;&gt;0,SSHICHG*Y64,0)</f>
        <v>0</v>
      </c>
      <c r="CD64" s="462">
        <f>IF(AND(AT64&lt;&gt;0,AN64&lt;&gt;"NE"),VLOOKUP(AN64,Retirement_Rates,5,FALSE)*Y64,0)</f>
        <v>0</v>
      </c>
      <c r="CE64" s="462">
        <f>IF(AND(AT64&lt;&gt;0,AJ64&lt;&gt;"PF"),LifeCHG*Y64,0)</f>
        <v>0</v>
      </c>
      <c r="CF64" s="462">
        <f>IF(AND(AT64&lt;&gt;0,AM64="Y"),UICHG*Y64,0)</f>
        <v>-114.66</v>
      </c>
      <c r="CG64" s="462">
        <f>IF(AND(AT64&lt;&gt;0,N64&lt;&gt;"NR"),DHRCHG*Y64,0)</f>
        <v>0</v>
      </c>
      <c r="CH64" s="462">
        <f>IF(AT64&lt;&gt;0,WCCHG*Y64,0)</f>
        <v>53.820000000000043</v>
      </c>
      <c r="CI64" s="462">
        <f>IF(OR(AND(AT64&lt;&gt;0,AJ64&lt;&gt;"PF",AN64&lt;&gt;"NE",AG64&lt;&gt;"A"),AND(AL64="E",OR(AT64=1,AT64=3))),SickCHG*Y64,0)</f>
        <v>0</v>
      </c>
      <c r="CJ64" s="462">
        <f t="shared" si="12"/>
        <v>-60.839999999999954</v>
      </c>
      <c r="CK64" s="462" t="str">
        <f t="shared" si="13"/>
        <v/>
      </c>
      <c r="CL64" s="462" t="str">
        <f t="shared" si="14"/>
        <v/>
      </c>
      <c r="CM64" s="462" t="str">
        <f t="shared" si="15"/>
        <v/>
      </c>
      <c r="CN64" s="462" t="str">
        <f t="shared" si="16"/>
        <v>0001-00</v>
      </c>
    </row>
    <row r="65" spans="1:92" ht="15" thickBot="1" x14ac:dyDescent="0.35">
      <c r="A65" s="376" t="s">
        <v>161</v>
      </c>
      <c r="B65" s="376" t="s">
        <v>162</v>
      </c>
      <c r="C65" s="376" t="s">
        <v>446</v>
      </c>
      <c r="D65" s="376" t="s">
        <v>365</v>
      </c>
      <c r="E65" s="376" t="s">
        <v>165</v>
      </c>
      <c r="F65" s="377" t="s">
        <v>166</v>
      </c>
      <c r="G65" s="376" t="s">
        <v>356</v>
      </c>
      <c r="H65" s="378"/>
      <c r="I65" s="378"/>
      <c r="J65" s="376" t="s">
        <v>185</v>
      </c>
      <c r="K65" s="376" t="s">
        <v>366</v>
      </c>
      <c r="L65" s="376" t="s">
        <v>274</v>
      </c>
      <c r="M65" s="376" t="s">
        <v>170</v>
      </c>
      <c r="N65" s="376" t="s">
        <v>202</v>
      </c>
      <c r="O65" s="379">
        <v>1</v>
      </c>
      <c r="P65" s="460">
        <v>0.75</v>
      </c>
      <c r="Q65" s="460">
        <v>0.75</v>
      </c>
      <c r="R65" s="380">
        <v>80</v>
      </c>
      <c r="S65" s="460">
        <v>0.75</v>
      </c>
      <c r="T65" s="380">
        <v>35416.42</v>
      </c>
      <c r="U65" s="380">
        <v>0</v>
      </c>
      <c r="V65" s="380">
        <v>19354.259999999998</v>
      </c>
      <c r="W65" s="380">
        <v>27830.400000000001</v>
      </c>
      <c r="X65" s="380">
        <v>15037.44</v>
      </c>
      <c r="Y65" s="380">
        <v>27830.400000000001</v>
      </c>
      <c r="Z65" s="380">
        <v>14965.08</v>
      </c>
      <c r="AA65" s="376" t="s">
        <v>447</v>
      </c>
      <c r="AB65" s="376" t="s">
        <v>448</v>
      </c>
      <c r="AC65" s="376" t="s">
        <v>449</v>
      </c>
      <c r="AD65" s="376" t="s">
        <v>220</v>
      </c>
      <c r="AE65" s="376" t="s">
        <v>366</v>
      </c>
      <c r="AF65" s="376" t="s">
        <v>279</v>
      </c>
      <c r="AG65" s="376" t="s">
        <v>177</v>
      </c>
      <c r="AH65" s="381">
        <v>17.84</v>
      </c>
      <c r="AI65" s="379">
        <v>6160</v>
      </c>
      <c r="AJ65" s="376" t="s">
        <v>178</v>
      </c>
      <c r="AK65" s="376" t="s">
        <v>179</v>
      </c>
      <c r="AL65" s="376" t="s">
        <v>180</v>
      </c>
      <c r="AM65" s="376" t="s">
        <v>181</v>
      </c>
      <c r="AN65" s="376" t="s">
        <v>68</v>
      </c>
      <c r="AO65" s="379">
        <v>80</v>
      </c>
      <c r="AP65" s="460">
        <v>1</v>
      </c>
      <c r="AQ65" s="460">
        <v>0.75</v>
      </c>
      <c r="AR65" s="458" t="s">
        <v>182</v>
      </c>
      <c r="AS65" s="462">
        <f t="shared" si="0"/>
        <v>0.75</v>
      </c>
      <c r="AT65">
        <f t="shared" si="1"/>
        <v>1</v>
      </c>
      <c r="AU65" s="462">
        <f>IF(AT65=0,"",IF(AND(AT65=1,M65="F",SUMIF(C2:C698,C65,AS2:AS698)&lt;=1),SUMIF(C2:C698,C65,AS2:AS698),IF(AND(AT65=1,M65="F",SUMIF(C2:C698,C65,AS2:AS698)&gt;1),1,"")))</f>
        <v>1</v>
      </c>
      <c r="AV65" s="462" t="str">
        <f>IF(AT65=0,"",IF(AND(AT65=3,M65="F",SUMIF(C2:C698,C65,AS2:AS698)&lt;=1),SUMIF(C2:C698,C65,AS2:AS698),IF(AND(AT65=3,M65="F",SUMIF(C2:C698,C65,AS2:AS698)&gt;1),1,"")))</f>
        <v/>
      </c>
      <c r="AW65" s="462">
        <f>SUMIF(C2:C698,C65,O2:O698)</f>
        <v>3</v>
      </c>
      <c r="AX65" s="462">
        <f>IF(AND(M65="F",AS65&lt;&gt;0),SUMIF(C2:C698,C65,W2:W698),0)</f>
        <v>37107.199999999997</v>
      </c>
      <c r="AY65" s="462">
        <f t="shared" si="2"/>
        <v>27830.400000000001</v>
      </c>
      <c r="AZ65" s="462" t="str">
        <f t="shared" si="3"/>
        <v/>
      </c>
      <c r="BA65" s="462">
        <f t="shared" si="4"/>
        <v>0</v>
      </c>
      <c r="BB65" s="462">
        <f>IF(AND(AT65=1,AK65="E",AU65&gt;=0.75,AW65=1),Health,IF(AND(AT65=1,AK65="E",AU65&gt;=0.75),Health*P65,IF(AND(AT65=1,AK65="E",AU65&gt;=0.5,AW65=1),PTHealth,IF(AND(AT65=1,AK65="E",AU65&gt;=0.5),PTHealth*P65,0))))</f>
        <v>8737.5</v>
      </c>
      <c r="BC65" s="462">
        <f>IF(AND(AT65=3,AK65="E",AV65&gt;=0.75,AW65=1),Health,IF(AND(AT65=3,AK65="E",AV65&gt;=0.75),Health*P65,IF(AND(AT65=3,AK65="E",AV65&gt;=0.5,AW65=1),PTHealth,IF(AND(AT65=3,AK65="E",AV65&gt;=0.5),PTHealth*P65,0))))</f>
        <v>0</v>
      </c>
      <c r="BD65" s="462">
        <f>IF(AND(AT65&lt;&gt;0,AX65&gt;=MAXSSDI),SSDI*MAXSSDI*P65,IF(AT65&lt;&gt;0,SSDI*W65,0))</f>
        <v>1725.4848000000002</v>
      </c>
      <c r="BE65" s="462">
        <f>IF(AT65&lt;&gt;0,SSHI*W65,0)</f>
        <v>403.54080000000005</v>
      </c>
      <c r="BF65" s="462">
        <f>IF(AND(AT65&lt;&gt;0,AN65&lt;&gt;"NE"),VLOOKUP(AN65,Retirement_Rates,3,FALSE)*W65,0)</f>
        <v>3322.9497600000004</v>
      </c>
      <c r="BG65" s="462">
        <f>IF(AND(AT65&lt;&gt;0,AJ65&lt;&gt;"PF"),Life*W65,0)</f>
        <v>200.65718400000003</v>
      </c>
      <c r="BH65" s="462">
        <f>IF(AND(AT65&lt;&gt;0,AM65="Y"),UI*W65,0)</f>
        <v>136.36896000000002</v>
      </c>
      <c r="BI65" s="462">
        <f>IF(AND(AT65&lt;&gt;0,N65&lt;&gt;"NR"),DHR*W65,0)</f>
        <v>85.161023999999998</v>
      </c>
      <c r="BJ65" s="462">
        <f>IF(AT65&lt;&gt;0,WC*W65,0)</f>
        <v>425.80511999999999</v>
      </c>
      <c r="BK65" s="462">
        <f>IF(OR(AND(AT65&lt;&gt;0,AJ65&lt;&gt;"PF",AN65&lt;&gt;"NE",AG65&lt;&gt;"A"),AND(AL65="E",OR(AT65=1,AT65=3))),Sick*W65,0)</f>
        <v>0</v>
      </c>
      <c r="BL65" s="462">
        <f t="shared" si="5"/>
        <v>6299.9676479999998</v>
      </c>
      <c r="BM65" s="462">
        <f t="shared" si="6"/>
        <v>0</v>
      </c>
      <c r="BN65" s="462">
        <f>IF(AND(AT65=1,AK65="E",AU65&gt;=0.75,AW65=1),HealthBY,IF(AND(AT65=1,AK65="E",AU65&gt;=0.75),HealthBY*P65,IF(AND(AT65=1,AK65="E",AU65&gt;=0.5,AW65=1),PTHealthBY,IF(AND(AT65=1,AK65="E",AU65&gt;=0.5),PTHealthBY*P65,0))))</f>
        <v>8737.5</v>
      </c>
      <c r="BO65" s="462">
        <f>IF(AND(AT65=3,AK65="E",AV65&gt;=0.75,AW65=1),HealthBY,IF(AND(AT65=3,AK65="E",AV65&gt;=0.75),HealthBY*P65,IF(AND(AT65=3,AK65="E",AV65&gt;=0.5,AW65=1),PTHealthBY,IF(AND(AT65=3,AK65="E",AV65&gt;=0.5),PTHealthBY*P65,0))))</f>
        <v>0</v>
      </c>
      <c r="BP65" s="462">
        <f>IF(AND(AT65&lt;&gt;0,(AX65+BA65)&gt;=MAXSSDIBY),SSDIBY*MAXSSDIBY*P65,IF(AT65&lt;&gt;0,SSDIBY*W65,0))</f>
        <v>1725.4848000000002</v>
      </c>
      <c r="BQ65" s="462">
        <f>IF(AT65&lt;&gt;0,SSHIBY*W65,0)</f>
        <v>403.54080000000005</v>
      </c>
      <c r="BR65" s="462">
        <f>IF(AND(AT65&lt;&gt;0,AN65&lt;&gt;"NE"),VLOOKUP(AN65,Retirement_Rates,4,FALSE)*W65,0)</f>
        <v>3322.9497600000004</v>
      </c>
      <c r="BS65" s="462">
        <f>IF(AND(AT65&lt;&gt;0,AJ65&lt;&gt;"PF"),LifeBY*W65,0)</f>
        <v>200.65718400000003</v>
      </c>
      <c r="BT65" s="462">
        <f>IF(AND(AT65&lt;&gt;0,AM65="Y"),UIBY*W65,0)</f>
        <v>0</v>
      </c>
      <c r="BU65" s="462">
        <f>IF(AND(AT65&lt;&gt;0,N65&lt;&gt;"NR"),DHRBY*W65,0)</f>
        <v>85.161023999999998</v>
      </c>
      <c r="BV65" s="462">
        <f>IF(AT65&lt;&gt;0,WCBY*W65,0)</f>
        <v>489.81504000000007</v>
      </c>
      <c r="BW65" s="462">
        <f>IF(OR(AND(AT65&lt;&gt;0,AJ65&lt;&gt;"PF",AN65&lt;&gt;"NE",AG65&lt;&gt;"A"),AND(AL65="E",OR(AT65=1,AT65=3))),SickBY*W65,0)</f>
        <v>0</v>
      </c>
      <c r="BX65" s="462">
        <f t="shared" si="7"/>
        <v>6227.6086080000005</v>
      </c>
      <c r="BY65" s="462">
        <f t="shared" si="8"/>
        <v>0</v>
      </c>
      <c r="BZ65" s="462">
        <f t="shared" si="9"/>
        <v>0</v>
      </c>
      <c r="CA65" s="462">
        <f t="shared" si="10"/>
        <v>0</v>
      </c>
      <c r="CB65" s="462">
        <f t="shared" si="11"/>
        <v>0</v>
      </c>
      <c r="CC65" s="462">
        <f>IF(AT65&lt;&gt;0,SSHICHG*Y65,0)</f>
        <v>0</v>
      </c>
      <c r="CD65" s="462">
        <f>IF(AND(AT65&lt;&gt;0,AN65&lt;&gt;"NE"),VLOOKUP(AN65,Retirement_Rates,5,FALSE)*Y65,0)</f>
        <v>0</v>
      </c>
      <c r="CE65" s="462">
        <f>IF(AND(AT65&lt;&gt;0,AJ65&lt;&gt;"PF"),LifeCHG*Y65,0)</f>
        <v>0</v>
      </c>
      <c r="CF65" s="462">
        <f>IF(AND(AT65&lt;&gt;0,AM65="Y"),UICHG*Y65,0)</f>
        <v>-136.36896000000002</v>
      </c>
      <c r="CG65" s="462">
        <f>IF(AND(AT65&lt;&gt;0,N65&lt;&gt;"NR"),DHRCHG*Y65,0)</f>
        <v>0</v>
      </c>
      <c r="CH65" s="462">
        <f>IF(AT65&lt;&gt;0,WCCHG*Y65,0)</f>
        <v>64.009920000000051</v>
      </c>
      <c r="CI65" s="462">
        <f>IF(OR(AND(AT65&lt;&gt;0,AJ65&lt;&gt;"PF",AN65&lt;&gt;"NE",AG65&lt;&gt;"A"),AND(AL65="E",OR(AT65=1,AT65=3))),SickCHG*Y65,0)</f>
        <v>0</v>
      </c>
      <c r="CJ65" s="462">
        <f t="shared" si="12"/>
        <v>-72.359039999999965</v>
      </c>
      <c r="CK65" s="462" t="str">
        <f t="shared" si="13"/>
        <v/>
      </c>
      <c r="CL65" s="462" t="str">
        <f t="shared" si="14"/>
        <v/>
      </c>
      <c r="CM65" s="462" t="str">
        <f t="shared" si="15"/>
        <v/>
      </c>
      <c r="CN65" s="462" t="str">
        <f t="shared" si="16"/>
        <v>0001-00</v>
      </c>
    </row>
    <row r="66" spans="1:92" ht="15" thickBot="1" x14ac:dyDescent="0.35">
      <c r="A66" s="376" t="s">
        <v>161</v>
      </c>
      <c r="B66" s="376" t="s">
        <v>162</v>
      </c>
      <c r="C66" s="376" t="s">
        <v>450</v>
      </c>
      <c r="D66" s="376" t="s">
        <v>272</v>
      </c>
      <c r="E66" s="376" t="s">
        <v>165</v>
      </c>
      <c r="F66" s="377" t="s">
        <v>166</v>
      </c>
      <c r="G66" s="376" t="s">
        <v>356</v>
      </c>
      <c r="H66" s="378"/>
      <c r="I66" s="378"/>
      <c r="J66" s="376" t="s">
        <v>185</v>
      </c>
      <c r="K66" s="376" t="s">
        <v>273</v>
      </c>
      <c r="L66" s="376" t="s">
        <v>274</v>
      </c>
      <c r="M66" s="376" t="s">
        <v>170</v>
      </c>
      <c r="N66" s="376" t="s">
        <v>202</v>
      </c>
      <c r="O66" s="379">
        <v>1</v>
      </c>
      <c r="P66" s="460">
        <v>0.81</v>
      </c>
      <c r="Q66" s="460">
        <v>0.81</v>
      </c>
      <c r="R66" s="380">
        <v>80</v>
      </c>
      <c r="S66" s="460">
        <v>0.81</v>
      </c>
      <c r="T66" s="380">
        <v>52685.59</v>
      </c>
      <c r="U66" s="380">
        <v>0</v>
      </c>
      <c r="V66" s="380">
        <v>21887.1</v>
      </c>
      <c r="W66" s="380">
        <v>46129.82</v>
      </c>
      <c r="X66" s="380">
        <v>19878.88</v>
      </c>
      <c r="Y66" s="380">
        <v>46129.82</v>
      </c>
      <c r="Z66" s="380">
        <v>19758.939999999999</v>
      </c>
      <c r="AA66" s="376" t="s">
        <v>451</v>
      </c>
      <c r="AB66" s="376" t="s">
        <v>452</v>
      </c>
      <c r="AC66" s="376" t="s">
        <v>453</v>
      </c>
      <c r="AD66" s="376" t="s">
        <v>370</v>
      </c>
      <c r="AE66" s="376" t="s">
        <v>273</v>
      </c>
      <c r="AF66" s="376" t="s">
        <v>279</v>
      </c>
      <c r="AG66" s="376" t="s">
        <v>177</v>
      </c>
      <c r="AH66" s="381">
        <v>27.38</v>
      </c>
      <c r="AI66" s="381">
        <v>100037.7</v>
      </c>
      <c r="AJ66" s="376" t="s">
        <v>178</v>
      </c>
      <c r="AK66" s="376" t="s">
        <v>179</v>
      </c>
      <c r="AL66" s="376" t="s">
        <v>180</v>
      </c>
      <c r="AM66" s="376" t="s">
        <v>181</v>
      </c>
      <c r="AN66" s="376" t="s">
        <v>68</v>
      </c>
      <c r="AO66" s="379">
        <v>80</v>
      </c>
      <c r="AP66" s="460">
        <v>1</v>
      </c>
      <c r="AQ66" s="460">
        <v>0.81</v>
      </c>
      <c r="AR66" s="458" t="s">
        <v>182</v>
      </c>
      <c r="AS66" s="462">
        <f t="shared" si="0"/>
        <v>0.81</v>
      </c>
      <c r="AT66">
        <f t="shared" si="1"/>
        <v>1</v>
      </c>
      <c r="AU66" s="462">
        <f>IF(AT66=0,"",IF(AND(AT66=1,M66="F",SUMIF(C2:C698,C66,AS2:AS698)&lt;=1),SUMIF(C2:C698,C66,AS2:AS698),IF(AND(AT66=1,M66="F",SUMIF(C2:C698,C66,AS2:AS698)&gt;1),1,"")))</f>
        <v>1</v>
      </c>
      <c r="AV66" s="462" t="str">
        <f>IF(AT66=0,"",IF(AND(AT66=3,M66="F",SUMIF(C2:C698,C66,AS2:AS698)&lt;=1),SUMIF(C2:C698,C66,AS2:AS698),IF(AND(AT66=3,M66="F",SUMIF(C2:C698,C66,AS2:AS698)&gt;1),1,"")))</f>
        <v/>
      </c>
      <c r="AW66" s="462">
        <f>SUMIF(C2:C698,C66,O2:O698)</f>
        <v>6</v>
      </c>
      <c r="AX66" s="462">
        <f>IF(AND(M66="F",AS66&lt;&gt;0),SUMIF(C2:C698,C66,W2:W698),0)</f>
        <v>56950.39</v>
      </c>
      <c r="AY66" s="462">
        <f t="shared" si="2"/>
        <v>46129.82</v>
      </c>
      <c r="AZ66" s="462" t="str">
        <f t="shared" si="3"/>
        <v/>
      </c>
      <c r="BA66" s="462">
        <f t="shared" si="4"/>
        <v>0</v>
      </c>
      <c r="BB66" s="462">
        <f>IF(AND(AT66=1,AK66="E",AU66&gt;=0.75,AW66=1),Health,IF(AND(AT66=1,AK66="E",AU66&gt;=0.75),Health*P66,IF(AND(AT66=1,AK66="E",AU66&gt;=0.5,AW66=1),PTHealth,IF(AND(AT66=1,AK66="E",AU66&gt;=0.5),PTHealth*P66,0))))</f>
        <v>9436.5</v>
      </c>
      <c r="BC66" s="462">
        <f>IF(AND(AT66=3,AK66="E",AV66&gt;=0.75,AW66=1),Health,IF(AND(AT66=3,AK66="E",AV66&gt;=0.75),Health*P66,IF(AND(AT66=3,AK66="E",AV66&gt;=0.5,AW66=1),PTHealth,IF(AND(AT66=3,AK66="E",AV66&gt;=0.5),PTHealth*P66,0))))</f>
        <v>0</v>
      </c>
      <c r="BD66" s="462">
        <f>IF(AND(AT66&lt;&gt;0,AX66&gt;=MAXSSDI),SSDI*MAXSSDI*P66,IF(AT66&lt;&gt;0,SSDI*W66,0))</f>
        <v>2860.0488399999999</v>
      </c>
      <c r="BE66" s="462">
        <f>IF(AT66&lt;&gt;0,SSHI*W66,0)</f>
        <v>668.88238999999999</v>
      </c>
      <c r="BF66" s="462">
        <f>IF(AND(AT66&lt;&gt;0,AN66&lt;&gt;"NE"),VLOOKUP(AN66,Retirement_Rates,3,FALSE)*W66,0)</f>
        <v>5507.9005080000006</v>
      </c>
      <c r="BG66" s="462">
        <f>IF(AND(AT66&lt;&gt;0,AJ66&lt;&gt;"PF"),Life*W66,0)</f>
        <v>332.59600219999999</v>
      </c>
      <c r="BH66" s="462">
        <f>IF(AND(AT66&lt;&gt;0,AM66="Y"),UI*W66,0)</f>
        <v>226.03611799999999</v>
      </c>
      <c r="BI66" s="462">
        <f>IF(AND(AT66&lt;&gt;0,N66&lt;&gt;"NR"),DHR*W66,0)</f>
        <v>141.1572492</v>
      </c>
      <c r="BJ66" s="462">
        <f>IF(AT66&lt;&gt;0,WC*W66,0)</f>
        <v>705.78624600000001</v>
      </c>
      <c r="BK66" s="462">
        <f>IF(OR(AND(AT66&lt;&gt;0,AJ66&lt;&gt;"PF",AN66&lt;&gt;"NE",AG66&lt;&gt;"A"),AND(AL66="E",OR(AT66=1,AT66=3))),Sick*W66,0)</f>
        <v>0</v>
      </c>
      <c r="BL66" s="462">
        <f t="shared" si="5"/>
        <v>10442.4073534</v>
      </c>
      <c r="BM66" s="462">
        <f t="shared" si="6"/>
        <v>0</v>
      </c>
      <c r="BN66" s="462">
        <f>IF(AND(AT66=1,AK66="E",AU66&gt;=0.75,AW66=1),HealthBY,IF(AND(AT66=1,AK66="E",AU66&gt;=0.75),HealthBY*P66,IF(AND(AT66=1,AK66="E",AU66&gt;=0.5,AW66=1),PTHealthBY,IF(AND(AT66=1,AK66="E",AU66&gt;=0.5),PTHealthBY*P66,0))))</f>
        <v>9436.5</v>
      </c>
      <c r="BO66" s="462">
        <f>IF(AND(AT66=3,AK66="E",AV66&gt;=0.75,AW66=1),HealthBY,IF(AND(AT66=3,AK66="E",AV66&gt;=0.75),HealthBY*P66,IF(AND(AT66=3,AK66="E",AV66&gt;=0.5,AW66=1),PTHealthBY,IF(AND(AT66=3,AK66="E",AV66&gt;=0.5),PTHealthBY*P66,0))))</f>
        <v>0</v>
      </c>
      <c r="BP66" s="462">
        <f>IF(AND(AT66&lt;&gt;0,(AX66+BA66)&gt;=MAXSSDIBY),SSDIBY*MAXSSDIBY*P66,IF(AT66&lt;&gt;0,SSDIBY*W66,0))</f>
        <v>2860.0488399999999</v>
      </c>
      <c r="BQ66" s="462">
        <f>IF(AT66&lt;&gt;0,SSHIBY*W66,0)</f>
        <v>668.88238999999999</v>
      </c>
      <c r="BR66" s="462">
        <f>IF(AND(AT66&lt;&gt;0,AN66&lt;&gt;"NE"),VLOOKUP(AN66,Retirement_Rates,4,FALSE)*W66,0)</f>
        <v>5507.9005080000006</v>
      </c>
      <c r="BS66" s="462">
        <f>IF(AND(AT66&lt;&gt;0,AJ66&lt;&gt;"PF"),LifeBY*W66,0)</f>
        <v>332.59600219999999</v>
      </c>
      <c r="BT66" s="462">
        <f>IF(AND(AT66&lt;&gt;0,AM66="Y"),UIBY*W66,0)</f>
        <v>0</v>
      </c>
      <c r="BU66" s="462">
        <f>IF(AND(AT66&lt;&gt;0,N66&lt;&gt;"NR"),DHRBY*W66,0)</f>
        <v>141.1572492</v>
      </c>
      <c r="BV66" s="462">
        <f>IF(AT66&lt;&gt;0,WCBY*W66,0)</f>
        <v>811.88483200000007</v>
      </c>
      <c r="BW66" s="462">
        <f>IF(OR(AND(AT66&lt;&gt;0,AJ66&lt;&gt;"PF",AN66&lt;&gt;"NE",AG66&lt;&gt;"A"),AND(AL66="E",OR(AT66=1,AT66=3))),SickBY*W66,0)</f>
        <v>0</v>
      </c>
      <c r="BX66" s="462">
        <f t="shared" si="7"/>
        <v>10322.4698214</v>
      </c>
      <c r="BY66" s="462">
        <f t="shared" si="8"/>
        <v>0</v>
      </c>
      <c r="BZ66" s="462">
        <f t="shared" si="9"/>
        <v>0</v>
      </c>
      <c r="CA66" s="462">
        <f t="shared" si="10"/>
        <v>0</v>
      </c>
      <c r="CB66" s="462">
        <f t="shared" si="11"/>
        <v>0</v>
      </c>
      <c r="CC66" s="462">
        <f>IF(AT66&lt;&gt;0,SSHICHG*Y66,0)</f>
        <v>0</v>
      </c>
      <c r="CD66" s="462">
        <f>IF(AND(AT66&lt;&gt;0,AN66&lt;&gt;"NE"),VLOOKUP(AN66,Retirement_Rates,5,FALSE)*Y66,0)</f>
        <v>0</v>
      </c>
      <c r="CE66" s="462">
        <f>IF(AND(AT66&lt;&gt;0,AJ66&lt;&gt;"PF"),LifeCHG*Y66,0)</f>
        <v>0</v>
      </c>
      <c r="CF66" s="462">
        <f>IF(AND(AT66&lt;&gt;0,AM66="Y"),UICHG*Y66,0)</f>
        <v>-226.03611799999999</v>
      </c>
      <c r="CG66" s="462">
        <f>IF(AND(AT66&lt;&gt;0,N66&lt;&gt;"NR"),DHRCHG*Y66,0)</f>
        <v>0</v>
      </c>
      <c r="CH66" s="462">
        <f>IF(AT66&lt;&gt;0,WCCHG*Y66,0)</f>
        <v>106.09858600000008</v>
      </c>
      <c r="CI66" s="462">
        <f>IF(OR(AND(AT66&lt;&gt;0,AJ66&lt;&gt;"PF",AN66&lt;&gt;"NE",AG66&lt;&gt;"A"),AND(AL66="E",OR(AT66=1,AT66=3))),SickCHG*Y66,0)</f>
        <v>0</v>
      </c>
      <c r="CJ66" s="462">
        <f t="shared" si="12"/>
        <v>-119.9375319999999</v>
      </c>
      <c r="CK66" s="462" t="str">
        <f t="shared" si="13"/>
        <v/>
      </c>
      <c r="CL66" s="462" t="str">
        <f t="shared" si="14"/>
        <v/>
      </c>
      <c r="CM66" s="462" t="str">
        <f t="shared" si="15"/>
        <v/>
      </c>
      <c r="CN66" s="462" t="str">
        <f t="shared" si="16"/>
        <v>0001-00</v>
      </c>
    </row>
    <row r="67" spans="1:92" ht="15" thickBot="1" x14ac:dyDescent="0.35">
      <c r="A67" s="376" t="s">
        <v>161</v>
      </c>
      <c r="B67" s="376" t="s">
        <v>162</v>
      </c>
      <c r="C67" s="376" t="s">
        <v>454</v>
      </c>
      <c r="D67" s="376" t="s">
        <v>287</v>
      </c>
      <c r="E67" s="376" t="s">
        <v>165</v>
      </c>
      <c r="F67" s="377" t="s">
        <v>166</v>
      </c>
      <c r="G67" s="376" t="s">
        <v>356</v>
      </c>
      <c r="H67" s="378"/>
      <c r="I67" s="378"/>
      <c r="J67" s="376" t="s">
        <v>455</v>
      </c>
      <c r="K67" s="376" t="s">
        <v>290</v>
      </c>
      <c r="L67" s="376" t="s">
        <v>166</v>
      </c>
      <c r="M67" s="376" t="s">
        <v>201</v>
      </c>
      <c r="N67" s="376" t="s">
        <v>291</v>
      </c>
      <c r="O67" s="379">
        <v>0</v>
      </c>
      <c r="P67" s="460">
        <v>0.03</v>
      </c>
      <c r="Q67" s="460">
        <v>0</v>
      </c>
      <c r="R67" s="380">
        <v>0</v>
      </c>
      <c r="S67" s="460">
        <v>0</v>
      </c>
      <c r="T67" s="380">
        <v>0</v>
      </c>
      <c r="U67" s="380">
        <v>0</v>
      </c>
      <c r="V67" s="380">
        <v>0</v>
      </c>
      <c r="W67" s="380">
        <v>0</v>
      </c>
      <c r="X67" s="380">
        <v>0</v>
      </c>
      <c r="Y67" s="380">
        <v>0</v>
      </c>
      <c r="Z67" s="380">
        <v>0</v>
      </c>
      <c r="AA67" s="378"/>
      <c r="AB67" s="376" t="s">
        <v>45</v>
      </c>
      <c r="AC67" s="376" t="s">
        <v>45</v>
      </c>
      <c r="AD67" s="378"/>
      <c r="AE67" s="378"/>
      <c r="AF67" s="378"/>
      <c r="AG67" s="378"/>
      <c r="AH67" s="379">
        <v>0</v>
      </c>
      <c r="AI67" s="379">
        <v>0</v>
      </c>
      <c r="AJ67" s="378"/>
      <c r="AK67" s="378"/>
      <c r="AL67" s="376" t="s">
        <v>180</v>
      </c>
      <c r="AM67" s="378"/>
      <c r="AN67" s="378"/>
      <c r="AO67" s="379">
        <v>0</v>
      </c>
      <c r="AP67" s="460">
        <v>0</v>
      </c>
      <c r="AQ67" s="460">
        <v>0</v>
      </c>
      <c r="AR67" s="459"/>
      <c r="AS67" s="462">
        <f t="shared" ref="AS67:AS130" si="17">IF(((AO67/80)*AP67*P67)&gt;1,AQ67,((AO67/80)*AP67*P67))</f>
        <v>0</v>
      </c>
      <c r="AT67">
        <f t="shared" ref="AT67:AT130" si="18">IF(AND(M67="F",N67&lt;&gt;"NG",AS67&lt;&gt;0,AND(AR67&lt;&gt;6,AR67&lt;&gt;36,AR67&lt;&gt;56),AG67&lt;&gt;"A",OR(AG67="H",AJ67="FS")),1,IF(AND(M67="F",N67&lt;&gt;"NG",AS67&lt;&gt;0,AG67="A"),3,0))</f>
        <v>0</v>
      </c>
      <c r="AU67" s="462" t="str">
        <f>IF(AT67=0,"",IF(AND(AT67=1,M67="F",SUMIF(C2:C698,C67,AS2:AS698)&lt;=1),SUMIF(C2:C698,C67,AS2:AS698),IF(AND(AT67=1,M67="F",SUMIF(C2:C698,C67,AS2:AS698)&gt;1),1,"")))</f>
        <v/>
      </c>
      <c r="AV67" s="462" t="str">
        <f>IF(AT67=0,"",IF(AND(AT67=3,M67="F",SUMIF(C2:C698,C67,AS2:AS698)&lt;=1),SUMIF(C2:C698,C67,AS2:AS698),IF(AND(AT67=3,M67="F",SUMIF(C2:C698,C67,AS2:AS698)&gt;1),1,"")))</f>
        <v/>
      </c>
      <c r="AW67" s="462">
        <f>SUMIF(C2:C698,C67,O2:O698)</f>
        <v>0</v>
      </c>
      <c r="AX67" s="462">
        <f>IF(AND(M67="F",AS67&lt;&gt;0),SUMIF(C2:C698,C67,W2:W698),0)</f>
        <v>0</v>
      </c>
      <c r="AY67" s="462" t="str">
        <f t="shared" ref="AY67:AY130" si="19">IF(AT67=1,W67,"")</f>
        <v/>
      </c>
      <c r="AZ67" s="462" t="str">
        <f t="shared" ref="AZ67:AZ130" si="20">IF(AT67=3,W67,"")</f>
        <v/>
      </c>
      <c r="BA67" s="462">
        <f t="shared" ref="BA67:BA130" si="21">IF(AT67=1,Y67-W67,0)</f>
        <v>0</v>
      </c>
      <c r="BB67" s="462">
        <f>IF(AND(AT67=1,AK67="E",AU67&gt;=0.75,AW67=1),Health,IF(AND(AT67=1,AK67="E",AU67&gt;=0.75),Health*P67,IF(AND(AT67=1,AK67="E",AU67&gt;=0.5,AW67=1),PTHealth,IF(AND(AT67=1,AK67="E",AU67&gt;=0.5),PTHealth*P67,0))))</f>
        <v>0</v>
      </c>
      <c r="BC67" s="462">
        <f>IF(AND(AT67=3,AK67="E",AV67&gt;=0.75,AW67=1),Health,IF(AND(AT67=3,AK67="E",AV67&gt;=0.75),Health*P67,IF(AND(AT67=3,AK67="E",AV67&gt;=0.5,AW67=1),PTHealth,IF(AND(AT67=3,AK67="E",AV67&gt;=0.5),PTHealth*P67,0))))</f>
        <v>0</v>
      </c>
      <c r="BD67" s="462">
        <f>IF(AND(AT67&lt;&gt;0,AX67&gt;=MAXSSDI),SSDI*MAXSSDI*P67,IF(AT67&lt;&gt;0,SSDI*W67,0))</f>
        <v>0</v>
      </c>
      <c r="BE67" s="462">
        <f>IF(AT67&lt;&gt;0,SSHI*W67,0)</f>
        <v>0</v>
      </c>
      <c r="BF67" s="462">
        <f>IF(AND(AT67&lt;&gt;0,AN67&lt;&gt;"NE"),VLOOKUP(AN67,Retirement_Rates,3,FALSE)*W67,0)</f>
        <v>0</v>
      </c>
      <c r="BG67" s="462">
        <f>IF(AND(AT67&lt;&gt;0,AJ67&lt;&gt;"PF"),Life*W67,0)</f>
        <v>0</v>
      </c>
      <c r="BH67" s="462">
        <f>IF(AND(AT67&lt;&gt;0,AM67="Y"),UI*W67,0)</f>
        <v>0</v>
      </c>
      <c r="BI67" s="462">
        <f>IF(AND(AT67&lt;&gt;0,N67&lt;&gt;"NR"),DHR*W67,0)</f>
        <v>0</v>
      </c>
      <c r="BJ67" s="462">
        <f>IF(AT67&lt;&gt;0,WC*W67,0)</f>
        <v>0</v>
      </c>
      <c r="BK67" s="462">
        <f>IF(OR(AND(AT67&lt;&gt;0,AJ67&lt;&gt;"PF",AN67&lt;&gt;"NE",AG67&lt;&gt;"A"),AND(AL67="E",OR(AT67=1,AT67=3))),Sick*W67,0)</f>
        <v>0</v>
      </c>
      <c r="BL67" s="462">
        <f t="shared" ref="BL67:BL130" si="22">IF(AT67=1,SUM(BD67:BK67),0)</f>
        <v>0</v>
      </c>
      <c r="BM67" s="462">
        <f t="shared" ref="BM67:BM130" si="23">IF(AT67=3,SUM(BD67:BK67),0)</f>
        <v>0</v>
      </c>
      <c r="BN67" s="462">
        <f>IF(AND(AT67=1,AK67="E",AU67&gt;=0.75,AW67=1),HealthBY,IF(AND(AT67=1,AK67="E",AU67&gt;=0.75),HealthBY*P67,IF(AND(AT67=1,AK67="E",AU67&gt;=0.5,AW67=1),PTHealthBY,IF(AND(AT67=1,AK67="E",AU67&gt;=0.5),PTHealthBY*P67,0))))</f>
        <v>0</v>
      </c>
      <c r="BO67" s="462">
        <f>IF(AND(AT67=3,AK67="E",AV67&gt;=0.75,AW67=1),HealthBY,IF(AND(AT67=3,AK67="E",AV67&gt;=0.75),HealthBY*P67,IF(AND(AT67=3,AK67="E",AV67&gt;=0.5,AW67=1),PTHealthBY,IF(AND(AT67=3,AK67="E",AV67&gt;=0.5),PTHealthBY*P67,0))))</f>
        <v>0</v>
      </c>
      <c r="BP67" s="462">
        <f>IF(AND(AT67&lt;&gt;0,(AX67+BA67)&gt;=MAXSSDIBY),SSDIBY*MAXSSDIBY*P67,IF(AT67&lt;&gt;0,SSDIBY*W67,0))</f>
        <v>0</v>
      </c>
      <c r="BQ67" s="462">
        <f>IF(AT67&lt;&gt;0,SSHIBY*W67,0)</f>
        <v>0</v>
      </c>
      <c r="BR67" s="462">
        <f>IF(AND(AT67&lt;&gt;0,AN67&lt;&gt;"NE"),VLOOKUP(AN67,Retirement_Rates,4,FALSE)*W67,0)</f>
        <v>0</v>
      </c>
      <c r="BS67" s="462">
        <f>IF(AND(AT67&lt;&gt;0,AJ67&lt;&gt;"PF"),LifeBY*W67,0)</f>
        <v>0</v>
      </c>
      <c r="BT67" s="462">
        <f>IF(AND(AT67&lt;&gt;0,AM67="Y"),UIBY*W67,0)</f>
        <v>0</v>
      </c>
      <c r="BU67" s="462">
        <f>IF(AND(AT67&lt;&gt;0,N67&lt;&gt;"NR"),DHRBY*W67,0)</f>
        <v>0</v>
      </c>
      <c r="BV67" s="462">
        <f>IF(AT67&lt;&gt;0,WCBY*W67,0)</f>
        <v>0</v>
      </c>
      <c r="BW67" s="462">
        <f>IF(OR(AND(AT67&lt;&gt;0,AJ67&lt;&gt;"PF",AN67&lt;&gt;"NE",AG67&lt;&gt;"A"),AND(AL67="E",OR(AT67=1,AT67=3))),SickBY*W67,0)</f>
        <v>0</v>
      </c>
      <c r="BX67" s="462">
        <f t="shared" ref="BX67:BX130" si="24">IF(AT67=1,SUM(BP67:BW67),0)</f>
        <v>0</v>
      </c>
      <c r="BY67" s="462">
        <f t="shared" ref="BY67:BY130" si="25">IF(AT67=3,SUM(BP67:BW67),0)</f>
        <v>0</v>
      </c>
      <c r="BZ67" s="462">
        <f t="shared" ref="BZ67:BZ130" si="26">IF(AT67=1,BN67-BB67,0)</f>
        <v>0</v>
      </c>
      <c r="CA67" s="462">
        <f t="shared" ref="CA67:CA130" si="27">IF(AT67=3,BO67-BC67,0)</f>
        <v>0</v>
      </c>
      <c r="CB67" s="462">
        <f t="shared" ref="CB67:CB130" si="28">BP67-BD67</f>
        <v>0</v>
      </c>
      <c r="CC67" s="462">
        <f>IF(AT67&lt;&gt;0,SSHICHG*Y67,0)</f>
        <v>0</v>
      </c>
      <c r="CD67" s="462">
        <f>IF(AND(AT67&lt;&gt;0,AN67&lt;&gt;"NE"),VLOOKUP(AN67,Retirement_Rates,5,FALSE)*Y67,0)</f>
        <v>0</v>
      </c>
      <c r="CE67" s="462">
        <f>IF(AND(AT67&lt;&gt;0,AJ67&lt;&gt;"PF"),LifeCHG*Y67,0)</f>
        <v>0</v>
      </c>
      <c r="CF67" s="462">
        <f>IF(AND(AT67&lt;&gt;0,AM67="Y"),UICHG*Y67,0)</f>
        <v>0</v>
      </c>
      <c r="CG67" s="462">
        <f>IF(AND(AT67&lt;&gt;0,N67&lt;&gt;"NR"),DHRCHG*Y67,0)</f>
        <v>0</v>
      </c>
      <c r="CH67" s="462">
        <f>IF(AT67&lt;&gt;0,WCCHG*Y67,0)</f>
        <v>0</v>
      </c>
      <c r="CI67" s="462">
        <f>IF(OR(AND(AT67&lt;&gt;0,AJ67&lt;&gt;"PF",AN67&lt;&gt;"NE",AG67&lt;&gt;"A"),AND(AL67="E",OR(AT67=1,AT67=3))),SickCHG*Y67,0)</f>
        <v>0</v>
      </c>
      <c r="CJ67" s="462">
        <f t="shared" ref="CJ67:CJ130" si="29">IF(AT67=1,SUM(CB67:CI67),0)</f>
        <v>0</v>
      </c>
      <c r="CK67" s="462" t="str">
        <f t="shared" ref="CK67:CK130" si="30">IF(AT67=3,SUM(CB67:CI67),"")</f>
        <v/>
      </c>
      <c r="CL67" s="462">
        <f t="shared" ref="CL67:CL130" si="31">IF(OR(N67="NG",AG67="D"),(T67+U67),"")</f>
        <v>0</v>
      </c>
      <c r="CM67" s="462">
        <f t="shared" ref="CM67:CM130" si="32">IF(OR(N67="NG",AG67="D"),V67,"")</f>
        <v>0</v>
      </c>
      <c r="CN67" s="462" t="str">
        <f t="shared" ref="CN67:CN130" si="33">E67 &amp; "-" &amp; F67</f>
        <v>0001-00</v>
      </c>
    </row>
    <row r="68" spans="1:92" ht="15" thickBot="1" x14ac:dyDescent="0.35">
      <c r="A68" s="376" t="s">
        <v>161</v>
      </c>
      <c r="B68" s="376" t="s">
        <v>162</v>
      </c>
      <c r="C68" s="376" t="s">
        <v>456</v>
      </c>
      <c r="D68" s="376" t="s">
        <v>457</v>
      </c>
      <c r="E68" s="376" t="s">
        <v>165</v>
      </c>
      <c r="F68" s="377" t="s">
        <v>166</v>
      </c>
      <c r="G68" s="376" t="s">
        <v>356</v>
      </c>
      <c r="H68" s="378"/>
      <c r="I68" s="378"/>
      <c r="J68" s="376" t="s">
        <v>168</v>
      </c>
      <c r="K68" s="376" t="s">
        <v>458</v>
      </c>
      <c r="L68" s="376" t="s">
        <v>177</v>
      </c>
      <c r="M68" s="376" t="s">
        <v>170</v>
      </c>
      <c r="N68" s="376" t="s">
        <v>202</v>
      </c>
      <c r="O68" s="379">
        <v>1</v>
      </c>
      <c r="P68" s="460">
        <v>1</v>
      </c>
      <c r="Q68" s="460">
        <v>1</v>
      </c>
      <c r="R68" s="380">
        <v>80</v>
      </c>
      <c r="S68" s="460">
        <v>1</v>
      </c>
      <c r="T68" s="380">
        <v>20708</v>
      </c>
      <c r="U68" s="380">
        <v>0</v>
      </c>
      <c r="V68" s="380">
        <v>11009.41</v>
      </c>
      <c r="W68" s="380">
        <v>32240</v>
      </c>
      <c r="X68" s="380">
        <v>18948.150000000001</v>
      </c>
      <c r="Y68" s="380">
        <v>32240</v>
      </c>
      <c r="Z68" s="380">
        <v>18864.330000000002</v>
      </c>
      <c r="AA68" s="376" t="s">
        <v>459</v>
      </c>
      <c r="AB68" s="376" t="s">
        <v>460</v>
      </c>
      <c r="AC68" s="376" t="s">
        <v>461</v>
      </c>
      <c r="AD68" s="376" t="s">
        <v>462</v>
      </c>
      <c r="AE68" s="376" t="s">
        <v>458</v>
      </c>
      <c r="AF68" s="376" t="s">
        <v>436</v>
      </c>
      <c r="AG68" s="376" t="s">
        <v>177</v>
      </c>
      <c r="AH68" s="381">
        <v>15.5</v>
      </c>
      <c r="AI68" s="379">
        <v>2588</v>
      </c>
      <c r="AJ68" s="376" t="s">
        <v>178</v>
      </c>
      <c r="AK68" s="376" t="s">
        <v>179</v>
      </c>
      <c r="AL68" s="376" t="s">
        <v>180</v>
      </c>
      <c r="AM68" s="376" t="s">
        <v>181</v>
      </c>
      <c r="AN68" s="376" t="s">
        <v>68</v>
      </c>
      <c r="AO68" s="379">
        <v>80</v>
      </c>
      <c r="AP68" s="460">
        <v>1</v>
      </c>
      <c r="AQ68" s="460">
        <v>1</v>
      </c>
      <c r="AR68" s="458" t="s">
        <v>182</v>
      </c>
      <c r="AS68" s="462">
        <f t="shared" si="17"/>
        <v>1</v>
      </c>
      <c r="AT68">
        <f t="shared" si="18"/>
        <v>1</v>
      </c>
      <c r="AU68" s="462">
        <f>IF(AT68=0,"",IF(AND(AT68=1,M68="F",SUMIF(C2:C698,C68,AS2:AS698)&lt;=1),SUMIF(C2:C698,C68,AS2:AS698),IF(AND(AT68=1,M68="F",SUMIF(C2:C698,C68,AS2:AS698)&gt;1),1,"")))</f>
        <v>1</v>
      </c>
      <c r="AV68" s="462" t="str">
        <f>IF(AT68=0,"",IF(AND(AT68=3,M68="F",SUMIF(C2:C698,C68,AS2:AS698)&lt;=1),SUMIF(C2:C698,C68,AS2:AS698),IF(AND(AT68=3,M68="F",SUMIF(C2:C698,C68,AS2:AS698)&gt;1),1,"")))</f>
        <v/>
      </c>
      <c r="AW68" s="462">
        <f>SUMIF(C2:C698,C68,O2:O698)</f>
        <v>5</v>
      </c>
      <c r="AX68" s="462">
        <f>IF(AND(M68="F",AS68&lt;&gt;0),SUMIF(C2:C698,C68,W2:W698),0)</f>
        <v>32240</v>
      </c>
      <c r="AY68" s="462">
        <f t="shared" si="19"/>
        <v>32240</v>
      </c>
      <c r="AZ68" s="462" t="str">
        <f t="shared" si="20"/>
        <v/>
      </c>
      <c r="BA68" s="462">
        <f t="shared" si="21"/>
        <v>0</v>
      </c>
      <c r="BB68" s="462">
        <f>IF(AND(AT68=1,AK68="E",AU68&gt;=0.75,AW68=1),Health,IF(AND(AT68=1,AK68="E",AU68&gt;=0.75),Health*P68,IF(AND(AT68=1,AK68="E",AU68&gt;=0.5,AW68=1),PTHealth,IF(AND(AT68=1,AK68="E",AU68&gt;=0.5),PTHealth*P68,0))))</f>
        <v>11650</v>
      </c>
      <c r="BC68" s="462">
        <f>IF(AND(AT68=3,AK68="E",AV68&gt;=0.75,AW68=1),Health,IF(AND(AT68=3,AK68="E",AV68&gt;=0.75),Health*P68,IF(AND(AT68=3,AK68="E",AV68&gt;=0.5,AW68=1),PTHealth,IF(AND(AT68=3,AK68="E",AV68&gt;=0.5),PTHealth*P68,0))))</f>
        <v>0</v>
      </c>
      <c r="BD68" s="462">
        <f>IF(AND(AT68&lt;&gt;0,AX68&gt;=MAXSSDI),SSDI*MAXSSDI*P68,IF(AT68&lt;&gt;0,SSDI*W68,0))</f>
        <v>1998.8799999999999</v>
      </c>
      <c r="BE68" s="462">
        <f>IF(AT68&lt;&gt;0,SSHI*W68,0)</f>
        <v>467.48</v>
      </c>
      <c r="BF68" s="462">
        <f>IF(AND(AT68&lt;&gt;0,AN68&lt;&gt;"NE"),VLOOKUP(AN68,Retirement_Rates,3,FALSE)*W68,0)</f>
        <v>3849.4560000000001</v>
      </c>
      <c r="BG68" s="462">
        <f>IF(AND(AT68&lt;&gt;0,AJ68&lt;&gt;"PF"),Life*W68,0)</f>
        <v>232.4504</v>
      </c>
      <c r="BH68" s="462">
        <f>IF(AND(AT68&lt;&gt;0,AM68="Y"),UI*W68,0)</f>
        <v>157.976</v>
      </c>
      <c r="BI68" s="462">
        <f>IF(AND(AT68&lt;&gt;0,N68&lt;&gt;"NR"),DHR*W68,0)</f>
        <v>98.654399999999995</v>
      </c>
      <c r="BJ68" s="462">
        <f>IF(AT68&lt;&gt;0,WC*W68,0)</f>
        <v>493.27199999999999</v>
      </c>
      <c r="BK68" s="462">
        <f>IF(OR(AND(AT68&lt;&gt;0,AJ68&lt;&gt;"PF",AN68&lt;&gt;"NE",AG68&lt;&gt;"A"),AND(AL68="E",OR(AT68=1,AT68=3))),Sick*W68,0)</f>
        <v>0</v>
      </c>
      <c r="BL68" s="462">
        <f t="shared" si="22"/>
        <v>7298.1687999999995</v>
      </c>
      <c r="BM68" s="462">
        <f t="shared" si="23"/>
        <v>0</v>
      </c>
      <c r="BN68" s="462">
        <f>IF(AND(AT68=1,AK68="E",AU68&gt;=0.75,AW68=1),HealthBY,IF(AND(AT68=1,AK68="E",AU68&gt;=0.75),HealthBY*P68,IF(AND(AT68=1,AK68="E",AU68&gt;=0.5,AW68=1),PTHealthBY,IF(AND(AT68=1,AK68="E",AU68&gt;=0.5),PTHealthBY*P68,0))))</f>
        <v>11650</v>
      </c>
      <c r="BO68" s="462">
        <f>IF(AND(AT68=3,AK68="E",AV68&gt;=0.75,AW68=1),HealthBY,IF(AND(AT68=3,AK68="E",AV68&gt;=0.75),HealthBY*P68,IF(AND(AT68=3,AK68="E",AV68&gt;=0.5,AW68=1),PTHealthBY,IF(AND(AT68=3,AK68="E",AV68&gt;=0.5),PTHealthBY*P68,0))))</f>
        <v>0</v>
      </c>
      <c r="BP68" s="462">
        <f>IF(AND(AT68&lt;&gt;0,(AX68+BA68)&gt;=MAXSSDIBY),SSDIBY*MAXSSDIBY*P68,IF(AT68&lt;&gt;0,SSDIBY*W68,0))</f>
        <v>1998.8799999999999</v>
      </c>
      <c r="BQ68" s="462">
        <f>IF(AT68&lt;&gt;0,SSHIBY*W68,0)</f>
        <v>467.48</v>
      </c>
      <c r="BR68" s="462">
        <f>IF(AND(AT68&lt;&gt;0,AN68&lt;&gt;"NE"),VLOOKUP(AN68,Retirement_Rates,4,FALSE)*W68,0)</f>
        <v>3849.4560000000001</v>
      </c>
      <c r="BS68" s="462">
        <f>IF(AND(AT68&lt;&gt;0,AJ68&lt;&gt;"PF"),LifeBY*W68,0)</f>
        <v>232.4504</v>
      </c>
      <c r="BT68" s="462">
        <f>IF(AND(AT68&lt;&gt;0,AM68="Y"),UIBY*W68,0)</f>
        <v>0</v>
      </c>
      <c r="BU68" s="462">
        <f>IF(AND(AT68&lt;&gt;0,N68&lt;&gt;"NR"),DHRBY*W68,0)</f>
        <v>98.654399999999995</v>
      </c>
      <c r="BV68" s="462">
        <f>IF(AT68&lt;&gt;0,WCBY*W68,0)</f>
        <v>567.42399999999998</v>
      </c>
      <c r="BW68" s="462">
        <f>IF(OR(AND(AT68&lt;&gt;0,AJ68&lt;&gt;"PF",AN68&lt;&gt;"NE",AG68&lt;&gt;"A"),AND(AL68="E",OR(AT68=1,AT68=3))),SickBY*W68,0)</f>
        <v>0</v>
      </c>
      <c r="BX68" s="462">
        <f t="shared" si="24"/>
        <v>7214.3447999999999</v>
      </c>
      <c r="BY68" s="462">
        <f t="shared" si="25"/>
        <v>0</v>
      </c>
      <c r="BZ68" s="462">
        <f t="shared" si="26"/>
        <v>0</v>
      </c>
      <c r="CA68" s="462">
        <f t="shared" si="27"/>
        <v>0</v>
      </c>
      <c r="CB68" s="462">
        <f t="shared" si="28"/>
        <v>0</v>
      </c>
      <c r="CC68" s="462">
        <f>IF(AT68&lt;&gt;0,SSHICHG*Y68,0)</f>
        <v>0</v>
      </c>
      <c r="CD68" s="462">
        <f>IF(AND(AT68&lt;&gt;0,AN68&lt;&gt;"NE"),VLOOKUP(AN68,Retirement_Rates,5,FALSE)*Y68,0)</f>
        <v>0</v>
      </c>
      <c r="CE68" s="462">
        <f>IF(AND(AT68&lt;&gt;0,AJ68&lt;&gt;"PF"),LifeCHG*Y68,0)</f>
        <v>0</v>
      </c>
      <c r="CF68" s="462">
        <f>IF(AND(AT68&lt;&gt;0,AM68="Y"),UICHG*Y68,0)</f>
        <v>-157.976</v>
      </c>
      <c r="CG68" s="462">
        <f>IF(AND(AT68&lt;&gt;0,N68&lt;&gt;"NR"),DHRCHG*Y68,0)</f>
        <v>0</v>
      </c>
      <c r="CH68" s="462">
        <f>IF(AT68&lt;&gt;0,WCCHG*Y68,0)</f>
        <v>74.152000000000058</v>
      </c>
      <c r="CI68" s="462">
        <f>IF(OR(AND(AT68&lt;&gt;0,AJ68&lt;&gt;"PF",AN68&lt;&gt;"NE",AG68&lt;&gt;"A"),AND(AL68="E",OR(AT68=1,AT68=3))),SickCHG*Y68,0)</f>
        <v>0</v>
      </c>
      <c r="CJ68" s="462">
        <f t="shared" si="29"/>
        <v>-83.823999999999941</v>
      </c>
      <c r="CK68" s="462" t="str">
        <f t="shared" si="30"/>
        <v/>
      </c>
      <c r="CL68" s="462" t="str">
        <f t="shared" si="31"/>
        <v/>
      </c>
      <c r="CM68" s="462" t="str">
        <f t="shared" si="32"/>
        <v/>
      </c>
      <c r="CN68" s="462" t="str">
        <f t="shared" si="33"/>
        <v>0001-00</v>
      </c>
    </row>
    <row r="69" spans="1:92" ht="15" thickBot="1" x14ac:dyDescent="0.35">
      <c r="A69" s="376" t="s">
        <v>161</v>
      </c>
      <c r="B69" s="376" t="s">
        <v>162</v>
      </c>
      <c r="C69" s="376" t="s">
        <v>463</v>
      </c>
      <c r="D69" s="376" t="s">
        <v>250</v>
      </c>
      <c r="E69" s="376" t="s">
        <v>165</v>
      </c>
      <c r="F69" s="377" t="s">
        <v>166</v>
      </c>
      <c r="G69" s="376" t="s">
        <v>356</v>
      </c>
      <c r="H69" s="378"/>
      <c r="I69" s="378"/>
      <c r="J69" s="376" t="s">
        <v>168</v>
      </c>
      <c r="K69" s="376" t="s">
        <v>407</v>
      </c>
      <c r="L69" s="376" t="s">
        <v>247</v>
      </c>
      <c r="M69" s="376" t="s">
        <v>170</v>
      </c>
      <c r="N69" s="376" t="s">
        <v>202</v>
      </c>
      <c r="O69" s="379">
        <v>1</v>
      </c>
      <c r="P69" s="460">
        <v>0</v>
      </c>
      <c r="Q69" s="460">
        <v>0</v>
      </c>
      <c r="R69" s="380">
        <v>80</v>
      </c>
      <c r="S69" s="460">
        <v>0</v>
      </c>
      <c r="T69" s="380">
        <v>16093.73</v>
      </c>
      <c r="U69" s="380">
        <v>0</v>
      </c>
      <c r="V69" s="380">
        <v>6762.93</v>
      </c>
      <c r="W69" s="380">
        <v>0</v>
      </c>
      <c r="X69" s="380">
        <v>0</v>
      </c>
      <c r="Y69" s="380">
        <v>0</v>
      </c>
      <c r="Z69" s="380">
        <v>0</v>
      </c>
      <c r="AA69" s="376" t="s">
        <v>464</v>
      </c>
      <c r="AB69" s="376" t="s">
        <v>269</v>
      </c>
      <c r="AC69" s="376" t="s">
        <v>465</v>
      </c>
      <c r="AD69" s="376" t="s">
        <v>224</v>
      </c>
      <c r="AE69" s="376" t="s">
        <v>407</v>
      </c>
      <c r="AF69" s="376" t="s">
        <v>299</v>
      </c>
      <c r="AG69" s="376" t="s">
        <v>177</v>
      </c>
      <c r="AH69" s="381">
        <v>28.16</v>
      </c>
      <c r="AI69" s="381">
        <v>17926.2</v>
      </c>
      <c r="AJ69" s="376" t="s">
        <v>178</v>
      </c>
      <c r="AK69" s="376" t="s">
        <v>179</v>
      </c>
      <c r="AL69" s="376" t="s">
        <v>180</v>
      </c>
      <c r="AM69" s="376" t="s">
        <v>181</v>
      </c>
      <c r="AN69" s="376" t="s">
        <v>68</v>
      </c>
      <c r="AO69" s="379">
        <v>80</v>
      </c>
      <c r="AP69" s="460">
        <v>1</v>
      </c>
      <c r="AQ69" s="460">
        <v>0</v>
      </c>
      <c r="AR69" s="458" t="s">
        <v>182</v>
      </c>
      <c r="AS69" s="462">
        <f t="shared" si="17"/>
        <v>0</v>
      </c>
      <c r="AT69">
        <f t="shared" si="18"/>
        <v>0</v>
      </c>
      <c r="AU69" s="462" t="str">
        <f>IF(AT69=0,"",IF(AND(AT69=1,M69="F",SUMIF(C2:C698,C69,AS2:AS698)&lt;=1),SUMIF(C2:C698,C69,AS2:AS698),IF(AND(AT69=1,M69="F",SUMIF(C2:C698,C69,AS2:AS698)&gt;1),1,"")))</f>
        <v/>
      </c>
      <c r="AV69" s="462" t="str">
        <f>IF(AT69=0,"",IF(AND(AT69=3,M69="F",SUMIF(C2:C698,C69,AS2:AS698)&lt;=1),SUMIF(C2:C698,C69,AS2:AS698),IF(AND(AT69=3,M69="F",SUMIF(C2:C698,C69,AS2:AS698)&gt;1),1,"")))</f>
        <v/>
      </c>
      <c r="AW69" s="462">
        <f>SUMIF(C2:C698,C69,O2:O698)</f>
        <v>4</v>
      </c>
      <c r="AX69" s="462">
        <f>IF(AND(M69="F",AS69&lt;&gt;0),SUMIF(C2:C698,C69,W2:W698),0)</f>
        <v>0</v>
      </c>
      <c r="AY69" s="462" t="str">
        <f t="shared" si="19"/>
        <v/>
      </c>
      <c r="AZ69" s="462" t="str">
        <f t="shared" si="20"/>
        <v/>
      </c>
      <c r="BA69" s="462">
        <f t="shared" si="21"/>
        <v>0</v>
      </c>
      <c r="BB69" s="462">
        <f>IF(AND(AT69=1,AK69="E",AU69&gt;=0.75,AW69=1),Health,IF(AND(AT69=1,AK69="E",AU69&gt;=0.75),Health*P69,IF(AND(AT69=1,AK69="E",AU69&gt;=0.5,AW69=1),PTHealth,IF(AND(AT69=1,AK69="E",AU69&gt;=0.5),PTHealth*P69,0))))</f>
        <v>0</v>
      </c>
      <c r="BC69" s="462">
        <f>IF(AND(AT69=3,AK69="E",AV69&gt;=0.75,AW69=1),Health,IF(AND(AT69=3,AK69="E",AV69&gt;=0.75),Health*P69,IF(AND(AT69=3,AK69="E",AV69&gt;=0.5,AW69=1),PTHealth,IF(AND(AT69=3,AK69="E",AV69&gt;=0.5),PTHealth*P69,0))))</f>
        <v>0</v>
      </c>
      <c r="BD69" s="462">
        <f>IF(AND(AT69&lt;&gt;0,AX69&gt;=MAXSSDI),SSDI*MAXSSDI*P69,IF(AT69&lt;&gt;0,SSDI*W69,0))</f>
        <v>0</v>
      </c>
      <c r="BE69" s="462">
        <f>IF(AT69&lt;&gt;0,SSHI*W69,0)</f>
        <v>0</v>
      </c>
      <c r="BF69" s="462">
        <f>IF(AND(AT69&lt;&gt;0,AN69&lt;&gt;"NE"),VLOOKUP(AN69,Retirement_Rates,3,FALSE)*W69,0)</f>
        <v>0</v>
      </c>
      <c r="BG69" s="462">
        <f>IF(AND(AT69&lt;&gt;0,AJ69&lt;&gt;"PF"),Life*W69,0)</f>
        <v>0</v>
      </c>
      <c r="BH69" s="462">
        <f>IF(AND(AT69&lt;&gt;0,AM69="Y"),UI*W69,0)</f>
        <v>0</v>
      </c>
      <c r="BI69" s="462">
        <f>IF(AND(AT69&lt;&gt;0,N69&lt;&gt;"NR"),DHR*W69,0)</f>
        <v>0</v>
      </c>
      <c r="BJ69" s="462">
        <f>IF(AT69&lt;&gt;0,WC*W69,0)</f>
        <v>0</v>
      </c>
      <c r="BK69" s="462">
        <f>IF(OR(AND(AT69&lt;&gt;0,AJ69&lt;&gt;"PF",AN69&lt;&gt;"NE",AG69&lt;&gt;"A"),AND(AL69="E",OR(AT69=1,AT69=3))),Sick*W69,0)</f>
        <v>0</v>
      </c>
      <c r="BL69" s="462">
        <f t="shared" si="22"/>
        <v>0</v>
      </c>
      <c r="BM69" s="462">
        <f t="shared" si="23"/>
        <v>0</v>
      </c>
      <c r="BN69" s="462">
        <f>IF(AND(AT69=1,AK69="E",AU69&gt;=0.75,AW69=1),HealthBY,IF(AND(AT69=1,AK69="E",AU69&gt;=0.75),HealthBY*P69,IF(AND(AT69=1,AK69="E",AU69&gt;=0.5,AW69=1),PTHealthBY,IF(AND(AT69=1,AK69="E",AU69&gt;=0.5),PTHealthBY*P69,0))))</f>
        <v>0</v>
      </c>
      <c r="BO69" s="462">
        <f>IF(AND(AT69=3,AK69="E",AV69&gt;=0.75,AW69=1),HealthBY,IF(AND(AT69=3,AK69="E",AV69&gt;=0.75),HealthBY*P69,IF(AND(AT69=3,AK69="E",AV69&gt;=0.5,AW69=1),PTHealthBY,IF(AND(AT69=3,AK69="E",AV69&gt;=0.5),PTHealthBY*P69,0))))</f>
        <v>0</v>
      </c>
      <c r="BP69" s="462">
        <f>IF(AND(AT69&lt;&gt;0,(AX69+BA69)&gt;=MAXSSDIBY),SSDIBY*MAXSSDIBY*P69,IF(AT69&lt;&gt;0,SSDIBY*W69,0))</f>
        <v>0</v>
      </c>
      <c r="BQ69" s="462">
        <f>IF(AT69&lt;&gt;0,SSHIBY*W69,0)</f>
        <v>0</v>
      </c>
      <c r="BR69" s="462">
        <f>IF(AND(AT69&lt;&gt;0,AN69&lt;&gt;"NE"),VLOOKUP(AN69,Retirement_Rates,4,FALSE)*W69,0)</f>
        <v>0</v>
      </c>
      <c r="BS69" s="462">
        <f>IF(AND(AT69&lt;&gt;0,AJ69&lt;&gt;"PF"),LifeBY*W69,0)</f>
        <v>0</v>
      </c>
      <c r="BT69" s="462">
        <f>IF(AND(AT69&lt;&gt;0,AM69="Y"),UIBY*W69,0)</f>
        <v>0</v>
      </c>
      <c r="BU69" s="462">
        <f>IF(AND(AT69&lt;&gt;0,N69&lt;&gt;"NR"),DHRBY*W69,0)</f>
        <v>0</v>
      </c>
      <c r="BV69" s="462">
        <f>IF(AT69&lt;&gt;0,WCBY*W69,0)</f>
        <v>0</v>
      </c>
      <c r="BW69" s="462">
        <f>IF(OR(AND(AT69&lt;&gt;0,AJ69&lt;&gt;"PF",AN69&lt;&gt;"NE",AG69&lt;&gt;"A"),AND(AL69="E",OR(AT69=1,AT69=3))),SickBY*W69,0)</f>
        <v>0</v>
      </c>
      <c r="BX69" s="462">
        <f t="shared" si="24"/>
        <v>0</v>
      </c>
      <c r="BY69" s="462">
        <f t="shared" si="25"/>
        <v>0</v>
      </c>
      <c r="BZ69" s="462">
        <f t="shared" si="26"/>
        <v>0</v>
      </c>
      <c r="CA69" s="462">
        <f t="shared" si="27"/>
        <v>0</v>
      </c>
      <c r="CB69" s="462">
        <f t="shared" si="28"/>
        <v>0</v>
      </c>
      <c r="CC69" s="462">
        <f>IF(AT69&lt;&gt;0,SSHICHG*Y69,0)</f>
        <v>0</v>
      </c>
      <c r="CD69" s="462">
        <f>IF(AND(AT69&lt;&gt;0,AN69&lt;&gt;"NE"),VLOOKUP(AN69,Retirement_Rates,5,FALSE)*Y69,0)</f>
        <v>0</v>
      </c>
      <c r="CE69" s="462">
        <f>IF(AND(AT69&lt;&gt;0,AJ69&lt;&gt;"PF"),LifeCHG*Y69,0)</f>
        <v>0</v>
      </c>
      <c r="CF69" s="462">
        <f>IF(AND(AT69&lt;&gt;0,AM69="Y"),UICHG*Y69,0)</f>
        <v>0</v>
      </c>
      <c r="CG69" s="462">
        <f>IF(AND(AT69&lt;&gt;0,N69&lt;&gt;"NR"),DHRCHG*Y69,0)</f>
        <v>0</v>
      </c>
      <c r="CH69" s="462">
        <f>IF(AT69&lt;&gt;0,WCCHG*Y69,0)</f>
        <v>0</v>
      </c>
      <c r="CI69" s="462">
        <f>IF(OR(AND(AT69&lt;&gt;0,AJ69&lt;&gt;"PF",AN69&lt;&gt;"NE",AG69&lt;&gt;"A"),AND(AL69="E",OR(AT69=1,AT69=3))),SickCHG*Y69,0)</f>
        <v>0</v>
      </c>
      <c r="CJ69" s="462">
        <f t="shared" si="29"/>
        <v>0</v>
      </c>
      <c r="CK69" s="462" t="str">
        <f t="shared" si="30"/>
        <v/>
      </c>
      <c r="CL69" s="462" t="str">
        <f t="shared" si="31"/>
        <v/>
      </c>
      <c r="CM69" s="462" t="str">
        <f t="shared" si="32"/>
        <v/>
      </c>
      <c r="CN69" s="462" t="str">
        <f t="shared" si="33"/>
        <v>0001-00</v>
      </c>
    </row>
    <row r="70" spans="1:92" ht="15" thickBot="1" x14ac:dyDescent="0.35">
      <c r="A70" s="376" t="s">
        <v>161</v>
      </c>
      <c r="B70" s="376" t="s">
        <v>162</v>
      </c>
      <c r="C70" s="376" t="s">
        <v>466</v>
      </c>
      <c r="D70" s="376" t="s">
        <v>467</v>
      </c>
      <c r="E70" s="376" t="s">
        <v>165</v>
      </c>
      <c r="F70" s="377" t="s">
        <v>166</v>
      </c>
      <c r="G70" s="376" t="s">
        <v>356</v>
      </c>
      <c r="H70" s="378"/>
      <c r="I70" s="378"/>
      <c r="J70" s="376" t="s">
        <v>185</v>
      </c>
      <c r="K70" s="376" t="s">
        <v>468</v>
      </c>
      <c r="L70" s="376" t="s">
        <v>224</v>
      </c>
      <c r="M70" s="376" t="s">
        <v>170</v>
      </c>
      <c r="N70" s="376" t="s">
        <v>202</v>
      </c>
      <c r="O70" s="379">
        <v>1</v>
      </c>
      <c r="P70" s="460">
        <v>0.75</v>
      </c>
      <c r="Q70" s="460">
        <v>0.75</v>
      </c>
      <c r="R70" s="380">
        <v>80</v>
      </c>
      <c r="S70" s="460">
        <v>0.75</v>
      </c>
      <c r="T70" s="380">
        <v>47102.41</v>
      </c>
      <c r="U70" s="380">
        <v>0</v>
      </c>
      <c r="V70" s="380">
        <v>21571.54</v>
      </c>
      <c r="W70" s="380">
        <v>39218.400000000001</v>
      </c>
      <c r="X70" s="380">
        <v>17615.34</v>
      </c>
      <c r="Y70" s="380">
        <v>39218.400000000001</v>
      </c>
      <c r="Z70" s="380">
        <v>17513.37</v>
      </c>
      <c r="AA70" s="376" t="s">
        <v>469</v>
      </c>
      <c r="AB70" s="376" t="s">
        <v>470</v>
      </c>
      <c r="AC70" s="376" t="s">
        <v>471</v>
      </c>
      <c r="AD70" s="376" t="s">
        <v>215</v>
      </c>
      <c r="AE70" s="376" t="s">
        <v>468</v>
      </c>
      <c r="AF70" s="376" t="s">
        <v>232</v>
      </c>
      <c r="AG70" s="376" t="s">
        <v>177</v>
      </c>
      <c r="AH70" s="381">
        <v>25.14</v>
      </c>
      <c r="AI70" s="381">
        <v>6495.4</v>
      </c>
      <c r="AJ70" s="376" t="s">
        <v>178</v>
      </c>
      <c r="AK70" s="376" t="s">
        <v>179</v>
      </c>
      <c r="AL70" s="376" t="s">
        <v>180</v>
      </c>
      <c r="AM70" s="376" t="s">
        <v>181</v>
      </c>
      <c r="AN70" s="376" t="s">
        <v>68</v>
      </c>
      <c r="AO70" s="379">
        <v>80</v>
      </c>
      <c r="AP70" s="460">
        <v>1</v>
      </c>
      <c r="AQ70" s="460">
        <v>0.75</v>
      </c>
      <c r="AR70" s="458" t="s">
        <v>182</v>
      </c>
      <c r="AS70" s="462">
        <f t="shared" si="17"/>
        <v>0.75</v>
      </c>
      <c r="AT70">
        <f t="shared" si="18"/>
        <v>1</v>
      </c>
      <c r="AU70" s="462">
        <f>IF(AT70=0,"",IF(AND(AT70=1,M70="F",SUMIF(C2:C698,C70,AS2:AS698)&lt;=1),SUMIF(C2:C698,C70,AS2:AS698),IF(AND(AT70=1,M70="F",SUMIF(C2:C698,C70,AS2:AS698)&gt;1),1,"")))</f>
        <v>1</v>
      </c>
      <c r="AV70" s="462" t="str">
        <f>IF(AT70=0,"",IF(AND(AT70=3,M70="F",SUMIF(C2:C698,C70,AS2:AS698)&lt;=1),SUMIF(C2:C698,C70,AS2:AS698),IF(AND(AT70=3,M70="F",SUMIF(C2:C698,C70,AS2:AS698)&gt;1),1,"")))</f>
        <v/>
      </c>
      <c r="AW70" s="462">
        <f>SUMIF(C2:C698,C70,O2:O698)</f>
        <v>4</v>
      </c>
      <c r="AX70" s="462">
        <f>IF(AND(M70="F",AS70&lt;&gt;0),SUMIF(C2:C698,C70,W2:W698),0)</f>
        <v>52291.199999999997</v>
      </c>
      <c r="AY70" s="462">
        <f t="shared" si="19"/>
        <v>39218.400000000001</v>
      </c>
      <c r="AZ70" s="462" t="str">
        <f t="shared" si="20"/>
        <v/>
      </c>
      <c r="BA70" s="462">
        <f t="shared" si="21"/>
        <v>0</v>
      </c>
      <c r="BB70" s="462">
        <f>IF(AND(AT70=1,AK70="E",AU70&gt;=0.75,AW70=1),Health,IF(AND(AT70=1,AK70="E",AU70&gt;=0.75),Health*P70,IF(AND(AT70=1,AK70="E",AU70&gt;=0.5,AW70=1),PTHealth,IF(AND(AT70=1,AK70="E",AU70&gt;=0.5),PTHealth*P70,0))))</f>
        <v>8737.5</v>
      </c>
      <c r="BC70" s="462">
        <f>IF(AND(AT70=3,AK70="E",AV70&gt;=0.75,AW70=1),Health,IF(AND(AT70=3,AK70="E",AV70&gt;=0.75),Health*P70,IF(AND(AT70=3,AK70="E",AV70&gt;=0.5,AW70=1),PTHealth,IF(AND(AT70=3,AK70="E",AV70&gt;=0.5),PTHealth*P70,0))))</f>
        <v>0</v>
      </c>
      <c r="BD70" s="462">
        <f>IF(AND(AT70&lt;&gt;0,AX70&gt;=MAXSSDI),SSDI*MAXSSDI*P70,IF(AT70&lt;&gt;0,SSDI*W70,0))</f>
        <v>2431.5408000000002</v>
      </c>
      <c r="BE70" s="462">
        <f>IF(AT70&lt;&gt;0,SSHI*W70,0)</f>
        <v>568.66680000000008</v>
      </c>
      <c r="BF70" s="462">
        <f>IF(AND(AT70&lt;&gt;0,AN70&lt;&gt;"NE"),VLOOKUP(AN70,Retirement_Rates,3,FALSE)*W70,0)</f>
        <v>4682.6769600000007</v>
      </c>
      <c r="BG70" s="462">
        <f>IF(AND(AT70&lt;&gt;0,AJ70&lt;&gt;"PF"),Life*W70,0)</f>
        <v>282.76466400000004</v>
      </c>
      <c r="BH70" s="462">
        <f>IF(AND(AT70&lt;&gt;0,AM70="Y"),UI*W70,0)</f>
        <v>192.17016000000001</v>
      </c>
      <c r="BI70" s="462">
        <f>IF(AND(AT70&lt;&gt;0,N70&lt;&gt;"NR"),DHR*W70,0)</f>
        <v>120.008304</v>
      </c>
      <c r="BJ70" s="462">
        <f>IF(AT70&lt;&gt;0,WC*W70,0)</f>
        <v>600.04151999999999</v>
      </c>
      <c r="BK70" s="462">
        <f>IF(OR(AND(AT70&lt;&gt;0,AJ70&lt;&gt;"PF",AN70&lt;&gt;"NE",AG70&lt;&gt;"A"),AND(AL70="E",OR(AT70=1,AT70=3))),Sick*W70,0)</f>
        <v>0</v>
      </c>
      <c r="BL70" s="462">
        <f t="shared" si="22"/>
        <v>8877.8692080000019</v>
      </c>
      <c r="BM70" s="462">
        <f t="shared" si="23"/>
        <v>0</v>
      </c>
      <c r="BN70" s="462">
        <f>IF(AND(AT70=1,AK70="E",AU70&gt;=0.75,AW70=1),HealthBY,IF(AND(AT70=1,AK70="E",AU70&gt;=0.75),HealthBY*P70,IF(AND(AT70=1,AK70="E",AU70&gt;=0.5,AW70=1),PTHealthBY,IF(AND(AT70=1,AK70="E",AU70&gt;=0.5),PTHealthBY*P70,0))))</f>
        <v>8737.5</v>
      </c>
      <c r="BO70" s="462">
        <f>IF(AND(AT70=3,AK70="E",AV70&gt;=0.75,AW70=1),HealthBY,IF(AND(AT70=3,AK70="E",AV70&gt;=0.75),HealthBY*P70,IF(AND(AT70=3,AK70="E",AV70&gt;=0.5,AW70=1),PTHealthBY,IF(AND(AT70=3,AK70="E",AV70&gt;=0.5),PTHealthBY*P70,0))))</f>
        <v>0</v>
      </c>
      <c r="BP70" s="462">
        <f>IF(AND(AT70&lt;&gt;0,(AX70+BA70)&gt;=MAXSSDIBY),SSDIBY*MAXSSDIBY*P70,IF(AT70&lt;&gt;0,SSDIBY*W70,0))</f>
        <v>2431.5408000000002</v>
      </c>
      <c r="BQ70" s="462">
        <f>IF(AT70&lt;&gt;0,SSHIBY*W70,0)</f>
        <v>568.66680000000008</v>
      </c>
      <c r="BR70" s="462">
        <f>IF(AND(AT70&lt;&gt;0,AN70&lt;&gt;"NE"),VLOOKUP(AN70,Retirement_Rates,4,FALSE)*W70,0)</f>
        <v>4682.6769600000007</v>
      </c>
      <c r="BS70" s="462">
        <f>IF(AND(AT70&lt;&gt;0,AJ70&lt;&gt;"PF"),LifeBY*W70,0)</f>
        <v>282.76466400000004</v>
      </c>
      <c r="BT70" s="462">
        <f>IF(AND(AT70&lt;&gt;0,AM70="Y"),UIBY*W70,0)</f>
        <v>0</v>
      </c>
      <c r="BU70" s="462">
        <f>IF(AND(AT70&lt;&gt;0,N70&lt;&gt;"NR"),DHRBY*W70,0)</f>
        <v>120.008304</v>
      </c>
      <c r="BV70" s="462">
        <f>IF(AT70&lt;&gt;0,WCBY*W70,0)</f>
        <v>690.24384000000009</v>
      </c>
      <c r="BW70" s="462">
        <f>IF(OR(AND(AT70&lt;&gt;0,AJ70&lt;&gt;"PF",AN70&lt;&gt;"NE",AG70&lt;&gt;"A"),AND(AL70="E",OR(AT70=1,AT70=3))),SickBY*W70,0)</f>
        <v>0</v>
      </c>
      <c r="BX70" s="462">
        <f t="shared" si="24"/>
        <v>8775.9013680000007</v>
      </c>
      <c r="BY70" s="462">
        <f t="shared" si="25"/>
        <v>0</v>
      </c>
      <c r="BZ70" s="462">
        <f t="shared" si="26"/>
        <v>0</v>
      </c>
      <c r="CA70" s="462">
        <f t="shared" si="27"/>
        <v>0</v>
      </c>
      <c r="CB70" s="462">
        <f t="shared" si="28"/>
        <v>0</v>
      </c>
      <c r="CC70" s="462">
        <f>IF(AT70&lt;&gt;0,SSHICHG*Y70,0)</f>
        <v>0</v>
      </c>
      <c r="CD70" s="462">
        <f>IF(AND(AT70&lt;&gt;0,AN70&lt;&gt;"NE"),VLOOKUP(AN70,Retirement_Rates,5,FALSE)*Y70,0)</f>
        <v>0</v>
      </c>
      <c r="CE70" s="462">
        <f>IF(AND(AT70&lt;&gt;0,AJ70&lt;&gt;"PF"),LifeCHG*Y70,0)</f>
        <v>0</v>
      </c>
      <c r="CF70" s="462">
        <f>IF(AND(AT70&lt;&gt;0,AM70="Y"),UICHG*Y70,0)</f>
        <v>-192.17016000000001</v>
      </c>
      <c r="CG70" s="462">
        <f>IF(AND(AT70&lt;&gt;0,N70&lt;&gt;"NR"),DHRCHG*Y70,0)</f>
        <v>0</v>
      </c>
      <c r="CH70" s="462">
        <f>IF(AT70&lt;&gt;0,WCCHG*Y70,0)</f>
        <v>90.202320000000071</v>
      </c>
      <c r="CI70" s="462">
        <f>IF(OR(AND(AT70&lt;&gt;0,AJ70&lt;&gt;"PF",AN70&lt;&gt;"NE",AG70&lt;&gt;"A"),AND(AL70="E",OR(AT70=1,AT70=3))),SickCHG*Y70,0)</f>
        <v>0</v>
      </c>
      <c r="CJ70" s="462">
        <f t="shared" si="29"/>
        <v>-101.96783999999994</v>
      </c>
      <c r="CK70" s="462" t="str">
        <f t="shared" si="30"/>
        <v/>
      </c>
      <c r="CL70" s="462" t="str">
        <f t="shared" si="31"/>
        <v/>
      </c>
      <c r="CM70" s="462" t="str">
        <f t="shared" si="32"/>
        <v/>
      </c>
      <c r="CN70" s="462" t="str">
        <f t="shared" si="33"/>
        <v>0001-00</v>
      </c>
    </row>
    <row r="71" spans="1:92" ht="15" thickBot="1" x14ac:dyDescent="0.35">
      <c r="A71" s="376" t="s">
        <v>161</v>
      </c>
      <c r="B71" s="376" t="s">
        <v>162</v>
      </c>
      <c r="C71" s="376" t="s">
        <v>472</v>
      </c>
      <c r="D71" s="376" t="s">
        <v>380</v>
      </c>
      <c r="E71" s="376" t="s">
        <v>165</v>
      </c>
      <c r="F71" s="377" t="s">
        <v>166</v>
      </c>
      <c r="G71" s="376" t="s">
        <v>356</v>
      </c>
      <c r="H71" s="378"/>
      <c r="I71" s="378"/>
      <c r="J71" s="376" t="s">
        <v>168</v>
      </c>
      <c r="K71" s="376" t="s">
        <v>381</v>
      </c>
      <c r="L71" s="376" t="s">
        <v>247</v>
      </c>
      <c r="M71" s="376" t="s">
        <v>170</v>
      </c>
      <c r="N71" s="376" t="s">
        <v>202</v>
      </c>
      <c r="O71" s="379">
        <v>1</v>
      </c>
      <c r="P71" s="460">
        <v>1</v>
      </c>
      <c r="Q71" s="460">
        <v>1</v>
      </c>
      <c r="R71" s="380">
        <v>80</v>
      </c>
      <c r="S71" s="460">
        <v>1</v>
      </c>
      <c r="T71" s="380">
        <v>37504.559999999998</v>
      </c>
      <c r="U71" s="380">
        <v>0</v>
      </c>
      <c r="V71" s="380">
        <v>15825.19</v>
      </c>
      <c r="W71" s="380">
        <v>58572.800000000003</v>
      </c>
      <c r="X71" s="380">
        <v>24909.09</v>
      </c>
      <c r="Y71" s="380">
        <v>58572.800000000003</v>
      </c>
      <c r="Z71" s="380">
        <v>24756.81</v>
      </c>
      <c r="AA71" s="376" t="s">
        <v>473</v>
      </c>
      <c r="AB71" s="376" t="s">
        <v>474</v>
      </c>
      <c r="AC71" s="376" t="s">
        <v>475</v>
      </c>
      <c r="AD71" s="376" t="s">
        <v>476</v>
      </c>
      <c r="AE71" s="376" t="s">
        <v>381</v>
      </c>
      <c r="AF71" s="376" t="s">
        <v>299</v>
      </c>
      <c r="AG71" s="376" t="s">
        <v>177</v>
      </c>
      <c r="AH71" s="381">
        <v>28.16</v>
      </c>
      <c r="AI71" s="379">
        <v>6512</v>
      </c>
      <c r="AJ71" s="376" t="s">
        <v>178</v>
      </c>
      <c r="AK71" s="376" t="s">
        <v>179</v>
      </c>
      <c r="AL71" s="376" t="s">
        <v>180</v>
      </c>
      <c r="AM71" s="376" t="s">
        <v>181</v>
      </c>
      <c r="AN71" s="376" t="s">
        <v>68</v>
      </c>
      <c r="AO71" s="379">
        <v>80</v>
      </c>
      <c r="AP71" s="460">
        <v>1</v>
      </c>
      <c r="AQ71" s="460">
        <v>1</v>
      </c>
      <c r="AR71" s="458" t="s">
        <v>182</v>
      </c>
      <c r="AS71" s="462">
        <f t="shared" si="17"/>
        <v>1</v>
      </c>
      <c r="AT71">
        <f t="shared" si="18"/>
        <v>1</v>
      </c>
      <c r="AU71" s="462">
        <f>IF(AT71=0,"",IF(AND(AT71=1,M71="F",SUMIF(C2:C698,C71,AS2:AS698)&lt;=1),SUMIF(C2:C698,C71,AS2:AS698),IF(AND(AT71=1,M71="F",SUMIF(C2:C698,C71,AS2:AS698)&gt;1),1,"")))</f>
        <v>1</v>
      </c>
      <c r="AV71" s="462" t="str">
        <f>IF(AT71=0,"",IF(AND(AT71=3,M71="F",SUMIF(C2:C698,C71,AS2:AS698)&lt;=1),SUMIF(C2:C698,C71,AS2:AS698),IF(AND(AT71=3,M71="F",SUMIF(C2:C698,C71,AS2:AS698)&gt;1),1,"")))</f>
        <v/>
      </c>
      <c r="AW71" s="462">
        <f>SUMIF(C2:C698,C71,O2:O698)</f>
        <v>1</v>
      </c>
      <c r="AX71" s="462">
        <f>IF(AND(M71="F",AS71&lt;&gt;0),SUMIF(C2:C698,C71,W2:W698),0)</f>
        <v>58572.800000000003</v>
      </c>
      <c r="AY71" s="462">
        <f t="shared" si="19"/>
        <v>58572.800000000003</v>
      </c>
      <c r="AZ71" s="462" t="str">
        <f t="shared" si="20"/>
        <v/>
      </c>
      <c r="BA71" s="462">
        <f t="shared" si="21"/>
        <v>0</v>
      </c>
      <c r="BB71" s="462">
        <f>IF(AND(AT71=1,AK71="E",AU71&gt;=0.75,AW71=1),Health,IF(AND(AT71=1,AK71="E",AU71&gt;=0.75),Health*P71,IF(AND(AT71=1,AK71="E",AU71&gt;=0.5,AW71=1),PTHealth,IF(AND(AT71=1,AK71="E",AU71&gt;=0.5),PTHealth*P71,0))))</f>
        <v>11650</v>
      </c>
      <c r="BC71" s="462">
        <f>IF(AND(AT71=3,AK71="E",AV71&gt;=0.75,AW71=1),Health,IF(AND(AT71=3,AK71="E",AV71&gt;=0.75),Health*P71,IF(AND(AT71=3,AK71="E",AV71&gt;=0.5,AW71=1),PTHealth,IF(AND(AT71=3,AK71="E",AV71&gt;=0.5),PTHealth*P71,0))))</f>
        <v>0</v>
      </c>
      <c r="BD71" s="462">
        <f>IF(AND(AT71&lt;&gt;0,AX71&gt;=MAXSSDI),SSDI*MAXSSDI*P71,IF(AT71&lt;&gt;0,SSDI*W71,0))</f>
        <v>3631.5136000000002</v>
      </c>
      <c r="BE71" s="462">
        <f>IF(AT71&lt;&gt;0,SSHI*W71,0)</f>
        <v>849.30560000000014</v>
      </c>
      <c r="BF71" s="462">
        <f>IF(AND(AT71&lt;&gt;0,AN71&lt;&gt;"NE"),VLOOKUP(AN71,Retirement_Rates,3,FALSE)*W71,0)</f>
        <v>6993.5923200000007</v>
      </c>
      <c r="BG71" s="462">
        <f>IF(AND(AT71&lt;&gt;0,AJ71&lt;&gt;"PF"),Life*W71,0)</f>
        <v>422.30988800000006</v>
      </c>
      <c r="BH71" s="462">
        <f>IF(AND(AT71&lt;&gt;0,AM71="Y"),UI*W71,0)</f>
        <v>287.00672000000003</v>
      </c>
      <c r="BI71" s="462">
        <f>IF(AND(AT71&lt;&gt;0,N71&lt;&gt;"NR"),DHR*W71,0)</f>
        <v>179.23276799999999</v>
      </c>
      <c r="BJ71" s="462">
        <f>IF(AT71&lt;&gt;0,WC*W71,0)</f>
        <v>896.16384000000005</v>
      </c>
      <c r="BK71" s="462">
        <f>IF(OR(AND(AT71&lt;&gt;0,AJ71&lt;&gt;"PF",AN71&lt;&gt;"NE",AG71&lt;&gt;"A"),AND(AL71="E",OR(AT71=1,AT71=3))),Sick*W71,0)</f>
        <v>0</v>
      </c>
      <c r="BL71" s="462">
        <f t="shared" si="22"/>
        <v>13259.124736</v>
      </c>
      <c r="BM71" s="462">
        <f t="shared" si="23"/>
        <v>0</v>
      </c>
      <c r="BN71" s="462">
        <f>IF(AND(AT71=1,AK71="E",AU71&gt;=0.75,AW71=1),HealthBY,IF(AND(AT71=1,AK71="E",AU71&gt;=0.75),HealthBY*P71,IF(AND(AT71=1,AK71="E",AU71&gt;=0.5,AW71=1),PTHealthBY,IF(AND(AT71=1,AK71="E",AU71&gt;=0.5),PTHealthBY*P71,0))))</f>
        <v>11650</v>
      </c>
      <c r="BO71" s="462">
        <f>IF(AND(AT71=3,AK71="E",AV71&gt;=0.75,AW71=1),HealthBY,IF(AND(AT71=3,AK71="E",AV71&gt;=0.75),HealthBY*P71,IF(AND(AT71=3,AK71="E",AV71&gt;=0.5,AW71=1),PTHealthBY,IF(AND(AT71=3,AK71="E",AV71&gt;=0.5),PTHealthBY*P71,0))))</f>
        <v>0</v>
      </c>
      <c r="BP71" s="462">
        <f>IF(AND(AT71&lt;&gt;0,(AX71+BA71)&gt;=MAXSSDIBY),SSDIBY*MAXSSDIBY*P71,IF(AT71&lt;&gt;0,SSDIBY*W71,0))</f>
        <v>3631.5136000000002</v>
      </c>
      <c r="BQ71" s="462">
        <f>IF(AT71&lt;&gt;0,SSHIBY*W71,0)</f>
        <v>849.30560000000014</v>
      </c>
      <c r="BR71" s="462">
        <f>IF(AND(AT71&lt;&gt;0,AN71&lt;&gt;"NE"),VLOOKUP(AN71,Retirement_Rates,4,FALSE)*W71,0)</f>
        <v>6993.5923200000007</v>
      </c>
      <c r="BS71" s="462">
        <f>IF(AND(AT71&lt;&gt;0,AJ71&lt;&gt;"PF"),LifeBY*W71,0)</f>
        <v>422.30988800000006</v>
      </c>
      <c r="BT71" s="462">
        <f>IF(AND(AT71&lt;&gt;0,AM71="Y"),UIBY*W71,0)</f>
        <v>0</v>
      </c>
      <c r="BU71" s="462">
        <f>IF(AND(AT71&lt;&gt;0,N71&lt;&gt;"NR"),DHRBY*W71,0)</f>
        <v>179.23276799999999</v>
      </c>
      <c r="BV71" s="462">
        <f>IF(AT71&lt;&gt;0,WCBY*W71,0)</f>
        <v>1030.8812800000001</v>
      </c>
      <c r="BW71" s="462">
        <f>IF(OR(AND(AT71&lt;&gt;0,AJ71&lt;&gt;"PF",AN71&lt;&gt;"NE",AG71&lt;&gt;"A"),AND(AL71="E",OR(AT71=1,AT71=3))),SickBY*W71,0)</f>
        <v>0</v>
      </c>
      <c r="BX71" s="462">
        <f t="shared" si="24"/>
        <v>13106.835456000001</v>
      </c>
      <c r="BY71" s="462">
        <f t="shared" si="25"/>
        <v>0</v>
      </c>
      <c r="BZ71" s="462">
        <f t="shared" si="26"/>
        <v>0</v>
      </c>
      <c r="CA71" s="462">
        <f t="shared" si="27"/>
        <v>0</v>
      </c>
      <c r="CB71" s="462">
        <f t="shared" si="28"/>
        <v>0</v>
      </c>
      <c r="CC71" s="462">
        <f>IF(AT71&lt;&gt;0,SSHICHG*Y71,0)</f>
        <v>0</v>
      </c>
      <c r="CD71" s="462">
        <f>IF(AND(AT71&lt;&gt;0,AN71&lt;&gt;"NE"),VLOOKUP(AN71,Retirement_Rates,5,FALSE)*Y71,0)</f>
        <v>0</v>
      </c>
      <c r="CE71" s="462">
        <f>IF(AND(AT71&lt;&gt;0,AJ71&lt;&gt;"PF"),LifeCHG*Y71,0)</f>
        <v>0</v>
      </c>
      <c r="CF71" s="462">
        <f>IF(AND(AT71&lt;&gt;0,AM71="Y"),UICHG*Y71,0)</f>
        <v>-287.00672000000003</v>
      </c>
      <c r="CG71" s="462">
        <f>IF(AND(AT71&lt;&gt;0,N71&lt;&gt;"NR"),DHRCHG*Y71,0)</f>
        <v>0</v>
      </c>
      <c r="CH71" s="462">
        <f>IF(AT71&lt;&gt;0,WCCHG*Y71,0)</f>
        <v>134.7174400000001</v>
      </c>
      <c r="CI71" s="462">
        <f>IF(OR(AND(AT71&lt;&gt;0,AJ71&lt;&gt;"PF",AN71&lt;&gt;"NE",AG71&lt;&gt;"A"),AND(AL71="E",OR(AT71=1,AT71=3))),SickCHG*Y71,0)</f>
        <v>0</v>
      </c>
      <c r="CJ71" s="462">
        <f t="shared" si="29"/>
        <v>-152.28927999999993</v>
      </c>
      <c r="CK71" s="462" t="str">
        <f t="shared" si="30"/>
        <v/>
      </c>
      <c r="CL71" s="462" t="str">
        <f t="shared" si="31"/>
        <v/>
      </c>
      <c r="CM71" s="462" t="str">
        <f t="shared" si="32"/>
        <v/>
      </c>
      <c r="CN71" s="462" t="str">
        <f t="shared" si="33"/>
        <v>0001-00</v>
      </c>
    </row>
    <row r="72" spans="1:92" ht="15" thickBot="1" x14ac:dyDescent="0.35">
      <c r="A72" s="376" t="s">
        <v>161</v>
      </c>
      <c r="B72" s="376" t="s">
        <v>162</v>
      </c>
      <c r="C72" s="376" t="s">
        <v>477</v>
      </c>
      <c r="D72" s="376" t="s">
        <v>362</v>
      </c>
      <c r="E72" s="376" t="s">
        <v>165</v>
      </c>
      <c r="F72" s="377" t="s">
        <v>166</v>
      </c>
      <c r="G72" s="376" t="s">
        <v>356</v>
      </c>
      <c r="H72" s="378"/>
      <c r="I72" s="378"/>
      <c r="J72" s="376" t="s">
        <v>168</v>
      </c>
      <c r="K72" s="376" t="s">
        <v>363</v>
      </c>
      <c r="L72" s="376" t="s">
        <v>200</v>
      </c>
      <c r="M72" s="376" t="s">
        <v>201</v>
      </c>
      <c r="N72" s="376" t="s">
        <v>202</v>
      </c>
      <c r="O72" s="379">
        <v>0</v>
      </c>
      <c r="P72" s="460">
        <v>1</v>
      </c>
      <c r="Q72" s="460">
        <v>1</v>
      </c>
      <c r="R72" s="380">
        <v>80</v>
      </c>
      <c r="S72" s="460">
        <v>1</v>
      </c>
      <c r="T72" s="380">
        <v>46342.8</v>
      </c>
      <c r="U72" s="380">
        <v>0</v>
      </c>
      <c r="V72" s="380">
        <v>20215.740000000002</v>
      </c>
      <c r="W72" s="380">
        <v>47403.199999999997</v>
      </c>
      <c r="X72" s="380">
        <v>20762.599999999999</v>
      </c>
      <c r="Y72" s="380">
        <v>47403.199999999997</v>
      </c>
      <c r="Z72" s="380">
        <v>20525.580000000002</v>
      </c>
      <c r="AA72" s="378"/>
      <c r="AB72" s="376" t="s">
        <v>45</v>
      </c>
      <c r="AC72" s="376" t="s">
        <v>45</v>
      </c>
      <c r="AD72" s="378"/>
      <c r="AE72" s="378"/>
      <c r="AF72" s="378"/>
      <c r="AG72" s="378"/>
      <c r="AH72" s="379">
        <v>0</v>
      </c>
      <c r="AI72" s="379">
        <v>0</v>
      </c>
      <c r="AJ72" s="378"/>
      <c r="AK72" s="378"/>
      <c r="AL72" s="376" t="s">
        <v>180</v>
      </c>
      <c r="AM72" s="378"/>
      <c r="AN72" s="378"/>
      <c r="AO72" s="379">
        <v>0</v>
      </c>
      <c r="AP72" s="460">
        <v>0</v>
      </c>
      <c r="AQ72" s="460">
        <v>0</v>
      </c>
      <c r="AR72" s="459"/>
      <c r="AS72" s="462">
        <f t="shared" si="17"/>
        <v>0</v>
      </c>
      <c r="AT72">
        <f t="shared" si="18"/>
        <v>0</v>
      </c>
      <c r="AU72" s="462" t="str">
        <f>IF(AT72=0,"",IF(AND(AT72=1,M72="F",SUMIF(C2:C698,C72,AS2:AS698)&lt;=1),SUMIF(C2:C698,C72,AS2:AS698),IF(AND(AT72=1,M72="F",SUMIF(C2:C698,C72,AS2:AS698)&gt;1),1,"")))</f>
        <v/>
      </c>
      <c r="AV72" s="462" t="str">
        <f>IF(AT72=0,"",IF(AND(AT72=3,M72="F",SUMIF(C2:C698,C72,AS2:AS698)&lt;=1),SUMIF(C2:C698,C72,AS2:AS698),IF(AND(AT72=3,M72="F",SUMIF(C2:C698,C72,AS2:AS698)&gt;1),1,"")))</f>
        <v/>
      </c>
      <c r="AW72" s="462">
        <f>SUMIF(C2:C698,C72,O2:O698)</f>
        <v>0</v>
      </c>
      <c r="AX72" s="462">
        <f>IF(AND(M72="F",AS72&lt;&gt;0),SUMIF(C2:C698,C72,W2:W698),0)</f>
        <v>0</v>
      </c>
      <c r="AY72" s="462" t="str">
        <f t="shared" si="19"/>
        <v/>
      </c>
      <c r="AZ72" s="462" t="str">
        <f t="shared" si="20"/>
        <v/>
      </c>
      <c r="BA72" s="462">
        <f t="shared" si="21"/>
        <v>0</v>
      </c>
      <c r="BB72" s="462">
        <f>IF(AND(AT72=1,AK72="E",AU72&gt;=0.75,AW72=1),Health,IF(AND(AT72=1,AK72="E",AU72&gt;=0.75),Health*P72,IF(AND(AT72=1,AK72="E",AU72&gt;=0.5,AW72=1),PTHealth,IF(AND(AT72=1,AK72="E",AU72&gt;=0.5),PTHealth*P72,0))))</f>
        <v>0</v>
      </c>
      <c r="BC72" s="462">
        <f>IF(AND(AT72=3,AK72="E",AV72&gt;=0.75,AW72=1),Health,IF(AND(AT72=3,AK72="E",AV72&gt;=0.75),Health*P72,IF(AND(AT72=3,AK72="E",AV72&gt;=0.5,AW72=1),PTHealth,IF(AND(AT72=3,AK72="E",AV72&gt;=0.5),PTHealth*P72,0))))</f>
        <v>0</v>
      </c>
      <c r="BD72" s="462">
        <f>IF(AND(AT72&lt;&gt;0,AX72&gt;=MAXSSDI),SSDI*MAXSSDI*P72,IF(AT72&lt;&gt;0,SSDI*W72,0))</f>
        <v>0</v>
      </c>
      <c r="BE72" s="462">
        <f>IF(AT72&lt;&gt;0,SSHI*W72,0)</f>
        <v>0</v>
      </c>
      <c r="BF72" s="462">
        <f>IF(AND(AT72&lt;&gt;0,AN72&lt;&gt;"NE"),VLOOKUP(AN72,Retirement_Rates,3,FALSE)*W72,0)</f>
        <v>0</v>
      </c>
      <c r="BG72" s="462">
        <f>IF(AND(AT72&lt;&gt;0,AJ72&lt;&gt;"PF"),Life*W72,0)</f>
        <v>0</v>
      </c>
      <c r="BH72" s="462">
        <f>IF(AND(AT72&lt;&gt;0,AM72="Y"),UI*W72,0)</f>
        <v>0</v>
      </c>
      <c r="BI72" s="462">
        <f>IF(AND(AT72&lt;&gt;0,N72&lt;&gt;"NR"),DHR*W72,0)</f>
        <v>0</v>
      </c>
      <c r="BJ72" s="462">
        <f>IF(AT72&lt;&gt;0,WC*W72,0)</f>
        <v>0</v>
      </c>
      <c r="BK72" s="462">
        <f>IF(OR(AND(AT72&lt;&gt;0,AJ72&lt;&gt;"PF",AN72&lt;&gt;"NE",AG72&lt;&gt;"A"),AND(AL72="E",OR(AT72=1,AT72=3))),Sick*W72,0)</f>
        <v>0</v>
      </c>
      <c r="BL72" s="462">
        <f t="shared" si="22"/>
        <v>0</v>
      </c>
      <c r="BM72" s="462">
        <f t="shared" si="23"/>
        <v>0</v>
      </c>
      <c r="BN72" s="462">
        <f>IF(AND(AT72=1,AK72="E",AU72&gt;=0.75,AW72=1),HealthBY,IF(AND(AT72=1,AK72="E",AU72&gt;=0.75),HealthBY*P72,IF(AND(AT72=1,AK72="E",AU72&gt;=0.5,AW72=1),PTHealthBY,IF(AND(AT72=1,AK72="E",AU72&gt;=0.5),PTHealthBY*P72,0))))</f>
        <v>0</v>
      </c>
      <c r="BO72" s="462">
        <f>IF(AND(AT72=3,AK72="E",AV72&gt;=0.75,AW72=1),HealthBY,IF(AND(AT72=3,AK72="E",AV72&gt;=0.75),HealthBY*P72,IF(AND(AT72=3,AK72="E",AV72&gt;=0.5,AW72=1),PTHealthBY,IF(AND(AT72=3,AK72="E",AV72&gt;=0.5),PTHealthBY*P72,0))))</f>
        <v>0</v>
      </c>
      <c r="BP72" s="462">
        <f>IF(AND(AT72&lt;&gt;0,(AX72+BA72)&gt;=MAXSSDIBY),SSDIBY*MAXSSDIBY*P72,IF(AT72&lt;&gt;0,SSDIBY*W72,0))</f>
        <v>0</v>
      </c>
      <c r="BQ72" s="462">
        <f>IF(AT72&lt;&gt;0,SSHIBY*W72,0)</f>
        <v>0</v>
      </c>
      <c r="BR72" s="462">
        <f>IF(AND(AT72&lt;&gt;0,AN72&lt;&gt;"NE"),VLOOKUP(AN72,Retirement_Rates,4,FALSE)*W72,0)</f>
        <v>0</v>
      </c>
      <c r="BS72" s="462">
        <f>IF(AND(AT72&lt;&gt;0,AJ72&lt;&gt;"PF"),LifeBY*W72,0)</f>
        <v>0</v>
      </c>
      <c r="BT72" s="462">
        <f>IF(AND(AT72&lt;&gt;0,AM72="Y"),UIBY*W72,0)</f>
        <v>0</v>
      </c>
      <c r="BU72" s="462">
        <f>IF(AND(AT72&lt;&gt;0,N72&lt;&gt;"NR"),DHRBY*W72,0)</f>
        <v>0</v>
      </c>
      <c r="BV72" s="462">
        <f>IF(AT72&lt;&gt;0,WCBY*W72,0)</f>
        <v>0</v>
      </c>
      <c r="BW72" s="462">
        <f>IF(OR(AND(AT72&lt;&gt;0,AJ72&lt;&gt;"PF",AN72&lt;&gt;"NE",AG72&lt;&gt;"A"),AND(AL72="E",OR(AT72=1,AT72=3))),SickBY*W72,0)</f>
        <v>0</v>
      </c>
      <c r="BX72" s="462">
        <f t="shared" si="24"/>
        <v>0</v>
      </c>
      <c r="BY72" s="462">
        <f t="shared" si="25"/>
        <v>0</v>
      </c>
      <c r="BZ72" s="462">
        <f t="shared" si="26"/>
        <v>0</v>
      </c>
      <c r="CA72" s="462">
        <f t="shared" si="27"/>
        <v>0</v>
      </c>
      <c r="CB72" s="462">
        <f t="shared" si="28"/>
        <v>0</v>
      </c>
      <c r="CC72" s="462">
        <f>IF(AT72&lt;&gt;0,SSHICHG*Y72,0)</f>
        <v>0</v>
      </c>
      <c r="CD72" s="462">
        <f>IF(AND(AT72&lt;&gt;0,AN72&lt;&gt;"NE"),VLOOKUP(AN72,Retirement_Rates,5,FALSE)*Y72,0)</f>
        <v>0</v>
      </c>
      <c r="CE72" s="462">
        <f>IF(AND(AT72&lt;&gt;0,AJ72&lt;&gt;"PF"),LifeCHG*Y72,0)</f>
        <v>0</v>
      </c>
      <c r="CF72" s="462">
        <f>IF(AND(AT72&lt;&gt;0,AM72="Y"),UICHG*Y72,0)</f>
        <v>0</v>
      </c>
      <c r="CG72" s="462">
        <f>IF(AND(AT72&lt;&gt;0,N72&lt;&gt;"NR"),DHRCHG*Y72,0)</f>
        <v>0</v>
      </c>
      <c r="CH72" s="462">
        <f>IF(AT72&lt;&gt;0,WCCHG*Y72,0)</f>
        <v>0</v>
      </c>
      <c r="CI72" s="462">
        <f>IF(OR(AND(AT72&lt;&gt;0,AJ72&lt;&gt;"PF",AN72&lt;&gt;"NE",AG72&lt;&gt;"A"),AND(AL72="E",OR(AT72=1,AT72=3))),SickCHG*Y72,0)</f>
        <v>0</v>
      </c>
      <c r="CJ72" s="462">
        <f t="shared" si="29"/>
        <v>0</v>
      </c>
      <c r="CK72" s="462" t="str">
        <f t="shared" si="30"/>
        <v/>
      </c>
      <c r="CL72" s="462" t="str">
        <f t="shared" si="31"/>
        <v/>
      </c>
      <c r="CM72" s="462" t="str">
        <f t="shared" si="32"/>
        <v/>
      </c>
      <c r="CN72" s="462" t="str">
        <f t="shared" si="33"/>
        <v>0001-00</v>
      </c>
    </row>
    <row r="73" spans="1:92" ht="15" thickBot="1" x14ac:dyDescent="0.35">
      <c r="A73" s="376" t="s">
        <v>161</v>
      </c>
      <c r="B73" s="376" t="s">
        <v>162</v>
      </c>
      <c r="C73" s="376" t="s">
        <v>478</v>
      </c>
      <c r="D73" s="376" t="s">
        <v>479</v>
      </c>
      <c r="E73" s="376" t="s">
        <v>165</v>
      </c>
      <c r="F73" s="377" t="s">
        <v>166</v>
      </c>
      <c r="G73" s="376" t="s">
        <v>356</v>
      </c>
      <c r="H73" s="378"/>
      <c r="I73" s="378"/>
      <c r="J73" s="376" t="s">
        <v>185</v>
      </c>
      <c r="K73" s="376" t="s">
        <v>480</v>
      </c>
      <c r="L73" s="376" t="s">
        <v>180</v>
      </c>
      <c r="M73" s="376" t="s">
        <v>170</v>
      </c>
      <c r="N73" s="376" t="s">
        <v>202</v>
      </c>
      <c r="O73" s="379">
        <v>1</v>
      </c>
      <c r="P73" s="460">
        <v>0.57999999999999996</v>
      </c>
      <c r="Q73" s="460">
        <v>0.57999999999999996</v>
      </c>
      <c r="R73" s="380">
        <v>80</v>
      </c>
      <c r="S73" s="460">
        <v>0.57999999999999996</v>
      </c>
      <c r="T73" s="380">
        <v>27333.73</v>
      </c>
      <c r="U73" s="380">
        <v>0</v>
      </c>
      <c r="V73" s="380">
        <v>9588.58</v>
      </c>
      <c r="W73" s="380">
        <v>46012.09</v>
      </c>
      <c r="X73" s="380">
        <v>17172.73</v>
      </c>
      <c r="Y73" s="380">
        <v>46012.09</v>
      </c>
      <c r="Z73" s="380">
        <v>17053.099999999999</v>
      </c>
      <c r="AA73" s="376" t="s">
        <v>481</v>
      </c>
      <c r="AB73" s="376" t="s">
        <v>482</v>
      </c>
      <c r="AC73" s="376" t="s">
        <v>431</v>
      </c>
      <c r="AD73" s="376" t="s">
        <v>207</v>
      </c>
      <c r="AE73" s="376" t="s">
        <v>480</v>
      </c>
      <c r="AF73" s="376" t="s">
        <v>256</v>
      </c>
      <c r="AG73" s="376" t="s">
        <v>177</v>
      </c>
      <c r="AH73" s="381">
        <v>38.14</v>
      </c>
      <c r="AI73" s="381">
        <v>48337.9</v>
      </c>
      <c r="AJ73" s="376" t="s">
        <v>178</v>
      </c>
      <c r="AK73" s="376" t="s">
        <v>179</v>
      </c>
      <c r="AL73" s="376" t="s">
        <v>180</v>
      </c>
      <c r="AM73" s="376" t="s">
        <v>181</v>
      </c>
      <c r="AN73" s="376" t="s">
        <v>68</v>
      </c>
      <c r="AO73" s="379">
        <v>80</v>
      </c>
      <c r="AP73" s="460">
        <v>1</v>
      </c>
      <c r="AQ73" s="460">
        <v>0.57999999999999996</v>
      </c>
      <c r="AR73" s="458" t="s">
        <v>182</v>
      </c>
      <c r="AS73" s="462">
        <f t="shared" si="17"/>
        <v>0.57999999999999996</v>
      </c>
      <c r="AT73">
        <f t="shared" si="18"/>
        <v>1</v>
      </c>
      <c r="AU73" s="462">
        <f>IF(AT73=0,"",IF(AND(AT73=1,M73="F",SUMIF(C2:C698,C73,AS2:AS698)&lt;=1),SUMIF(C2:C698,C73,AS2:AS698),IF(AND(AT73=1,M73="F",SUMIF(C2:C698,C73,AS2:AS698)&gt;1),1,"")))</f>
        <v>1</v>
      </c>
      <c r="AV73" s="462" t="str">
        <f>IF(AT73=0,"",IF(AND(AT73=3,M73="F",SUMIF(C2:C698,C73,AS2:AS698)&lt;=1),SUMIF(C2:C698,C73,AS2:AS698),IF(AND(AT73=3,M73="F",SUMIF(C2:C698,C73,AS2:AS698)&gt;1),1,"")))</f>
        <v/>
      </c>
      <c r="AW73" s="462">
        <f>SUMIF(C2:C698,C73,O2:O698)</f>
        <v>3</v>
      </c>
      <c r="AX73" s="462">
        <f>IF(AND(M73="F",AS73&lt;&gt;0),SUMIF(C2:C698,C73,W2:W698),0)</f>
        <v>79331.19</v>
      </c>
      <c r="AY73" s="462">
        <f t="shared" si="19"/>
        <v>46012.09</v>
      </c>
      <c r="AZ73" s="462" t="str">
        <f t="shared" si="20"/>
        <v/>
      </c>
      <c r="BA73" s="462">
        <f t="shared" si="21"/>
        <v>0</v>
      </c>
      <c r="BB73" s="462">
        <f>IF(AND(AT73=1,AK73="E",AU73&gt;=0.75,AW73=1),Health,IF(AND(AT73=1,AK73="E",AU73&gt;=0.75),Health*P73,IF(AND(AT73=1,AK73="E",AU73&gt;=0.5,AW73=1),PTHealth,IF(AND(AT73=1,AK73="E",AU73&gt;=0.5),PTHealth*P73,0))))</f>
        <v>6756.9999999999991</v>
      </c>
      <c r="BC73" s="462">
        <f>IF(AND(AT73=3,AK73="E",AV73&gt;=0.75,AW73=1),Health,IF(AND(AT73=3,AK73="E",AV73&gt;=0.75),Health*P73,IF(AND(AT73=3,AK73="E",AV73&gt;=0.5,AW73=1),PTHealth,IF(AND(AT73=3,AK73="E",AV73&gt;=0.5),PTHealth*P73,0))))</f>
        <v>0</v>
      </c>
      <c r="BD73" s="462">
        <f>IF(AND(AT73&lt;&gt;0,AX73&gt;=MAXSSDI),SSDI*MAXSSDI*P73,IF(AT73&lt;&gt;0,SSDI*W73,0))</f>
        <v>2852.7495799999997</v>
      </c>
      <c r="BE73" s="462">
        <f>IF(AT73&lt;&gt;0,SSHI*W73,0)</f>
        <v>667.17530499999998</v>
      </c>
      <c r="BF73" s="462">
        <f>IF(AND(AT73&lt;&gt;0,AN73&lt;&gt;"NE"),VLOOKUP(AN73,Retirement_Rates,3,FALSE)*W73,0)</f>
        <v>5493.8435460000001</v>
      </c>
      <c r="BG73" s="462">
        <f>IF(AND(AT73&lt;&gt;0,AJ73&lt;&gt;"PF"),Life*W73,0)</f>
        <v>331.74716889999996</v>
      </c>
      <c r="BH73" s="462">
        <f>IF(AND(AT73&lt;&gt;0,AM73="Y"),UI*W73,0)</f>
        <v>225.45924099999996</v>
      </c>
      <c r="BI73" s="462">
        <f>IF(AND(AT73&lt;&gt;0,N73&lt;&gt;"NR"),DHR*W73,0)</f>
        <v>140.79699539999999</v>
      </c>
      <c r="BJ73" s="462">
        <f>IF(AT73&lt;&gt;0,WC*W73,0)</f>
        <v>703.98497699999996</v>
      </c>
      <c r="BK73" s="462">
        <f>IF(OR(AND(AT73&lt;&gt;0,AJ73&lt;&gt;"PF",AN73&lt;&gt;"NE",AG73&lt;&gt;"A"),AND(AL73="E",OR(AT73=1,AT73=3))),Sick*W73,0)</f>
        <v>0</v>
      </c>
      <c r="BL73" s="462">
        <f t="shared" si="22"/>
        <v>10415.7568133</v>
      </c>
      <c r="BM73" s="462">
        <f t="shared" si="23"/>
        <v>0</v>
      </c>
      <c r="BN73" s="462">
        <f>IF(AND(AT73=1,AK73="E",AU73&gt;=0.75,AW73=1),HealthBY,IF(AND(AT73=1,AK73="E",AU73&gt;=0.75),HealthBY*P73,IF(AND(AT73=1,AK73="E",AU73&gt;=0.5,AW73=1),PTHealthBY,IF(AND(AT73=1,AK73="E",AU73&gt;=0.5),PTHealthBY*P73,0))))</f>
        <v>6756.9999999999991</v>
      </c>
      <c r="BO73" s="462">
        <f>IF(AND(AT73=3,AK73="E",AV73&gt;=0.75,AW73=1),HealthBY,IF(AND(AT73=3,AK73="E",AV73&gt;=0.75),HealthBY*P73,IF(AND(AT73=3,AK73="E",AV73&gt;=0.5,AW73=1),PTHealthBY,IF(AND(AT73=3,AK73="E",AV73&gt;=0.5),PTHealthBY*P73,0))))</f>
        <v>0</v>
      </c>
      <c r="BP73" s="462">
        <f>IF(AND(AT73&lt;&gt;0,(AX73+BA73)&gt;=MAXSSDIBY),SSDIBY*MAXSSDIBY*P73,IF(AT73&lt;&gt;0,SSDIBY*W73,0))</f>
        <v>2852.7495799999997</v>
      </c>
      <c r="BQ73" s="462">
        <f>IF(AT73&lt;&gt;0,SSHIBY*W73,0)</f>
        <v>667.17530499999998</v>
      </c>
      <c r="BR73" s="462">
        <f>IF(AND(AT73&lt;&gt;0,AN73&lt;&gt;"NE"),VLOOKUP(AN73,Retirement_Rates,4,FALSE)*W73,0)</f>
        <v>5493.8435460000001</v>
      </c>
      <c r="BS73" s="462">
        <f>IF(AND(AT73&lt;&gt;0,AJ73&lt;&gt;"PF"),LifeBY*W73,0)</f>
        <v>331.74716889999996</v>
      </c>
      <c r="BT73" s="462">
        <f>IF(AND(AT73&lt;&gt;0,AM73="Y"),UIBY*W73,0)</f>
        <v>0</v>
      </c>
      <c r="BU73" s="462">
        <f>IF(AND(AT73&lt;&gt;0,N73&lt;&gt;"NR"),DHRBY*W73,0)</f>
        <v>140.79699539999999</v>
      </c>
      <c r="BV73" s="462">
        <f>IF(AT73&lt;&gt;0,WCBY*W73,0)</f>
        <v>809.81278399999997</v>
      </c>
      <c r="BW73" s="462">
        <f>IF(OR(AND(AT73&lt;&gt;0,AJ73&lt;&gt;"PF",AN73&lt;&gt;"NE",AG73&lt;&gt;"A"),AND(AL73="E",OR(AT73=1,AT73=3))),SickBY*W73,0)</f>
        <v>0</v>
      </c>
      <c r="BX73" s="462">
        <f t="shared" si="24"/>
        <v>10296.1253793</v>
      </c>
      <c r="BY73" s="462">
        <f t="shared" si="25"/>
        <v>0</v>
      </c>
      <c r="BZ73" s="462">
        <f t="shared" si="26"/>
        <v>0</v>
      </c>
      <c r="CA73" s="462">
        <f t="shared" si="27"/>
        <v>0</v>
      </c>
      <c r="CB73" s="462">
        <f t="shared" si="28"/>
        <v>0</v>
      </c>
      <c r="CC73" s="462">
        <f>IF(AT73&lt;&gt;0,SSHICHG*Y73,0)</f>
        <v>0</v>
      </c>
      <c r="CD73" s="462">
        <f>IF(AND(AT73&lt;&gt;0,AN73&lt;&gt;"NE"),VLOOKUP(AN73,Retirement_Rates,5,FALSE)*Y73,0)</f>
        <v>0</v>
      </c>
      <c r="CE73" s="462">
        <f>IF(AND(AT73&lt;&gt;0,AJ73&lt;&gt;"PF"),LifeCHG*Y73,0)</f>
        <v>0</v>
      </c>
      <c r="CF73" s="462">
        <f>IF(AND(AT73&lt;&gt;0,AM73="Y"),UICHG*Y73,0)</f>
        <v>-225.45924099999996</v>
      </c>
      <c r="CG73" s="462">
        <f>IF(AND(AT73&lt;&gt;0,N73&lt;&gt;"NR"),DHRCHG*Y73,0)</f>
        <v>0</v>
      </c>
      <c r="CH73" s="462">
        <f>IF(AT73&lt;&gt;0,WCCHG*Y73,0)</f>
        <v>105.82780700000006</v>
      </c>
      <c r="CI73" s="462">
        <f>IF(OR(AND(AT73&lt;&gt;0,AJ73&lt;&gt;"PF",AN73&lt;&gt;"NE",AG73&lt;&gt;"A"),AND(AL73="E",OR(AT73=1,AT73=3))),SickCHG*Y73,0)</f>
        <v>0</v>
      </c>
      <c r="CJ73" s="462">
        <f t="shared" si="29"/>
        <v>-119.6314339999999</v>
      </c>
      <c r="CK73" s="462" t="str">
        <f t="shared" si="30"/>
        <v/>
      </c>
      <c r="CL73" s="462" t="str">
        <f t="shared" si="31"/>
        <v/>
      </c>
      <c r="CM73" s="462" t="str">
        <f t="shared" si="32"/>
        <v/>
      </c>
      <c r="CN73" s="462" t="str">
        <f t="shared" si="33"/>
        <v>0001-00</v>
      </c>
    </row>
    <row r="74" spans="1:92" ht="15" thickBot="1" x14ac:dyDescent="0.35">
      <c r="A74" s="376" t="s">
        <v>161</v>
      </c>
      <c r="B74" s="376" t="s">
        <v>162</v>
      </c>
      <c r="C74" s="376" t="s">
        <v>483</v>
      </c>
      <c r="D74" s="376" t="s">
        <v>362</v>
      </c>
      <c r="E74" s="376" t="s">
        <v>165</v>
      </c>
      <c r="F74" s="377" t="s">
        <v>166</v>
      </c>
      <c r="G74" s="376" t="s">
        <v>356</v>
      </c>
      <c r="H74" s="378"/>
      <c r="I74" s="378"/>
      <c r="J74" s="376" t="s">
        <v>185</v>
      </c>
      <c r="K74" s="376" t="s">
        <v>363</v>
      </c>
      <c r="L74" s="376" t="s">
        <v>200</v>
      </c>
      <c r="M74" s="376" t="s">
        <v>170</v>
      </c>
      <c r="N74" s="376" t="s">
        <v>202</v>
      </c>
      <c r="O74" s="379">
        <v>1</v>
      </c>
      <c r="P74" s="460">
        <v>0.43</v>
      </c>
      <c r="Q74" s="460">
        <v>0.43</v>
      </c>
      <c r="R74" s="380">
        <v>80</v>
      </c>
      <c r="S74" s="460">
        <v>0.43</v>
      </c>
      <c r="T74" s="380">
        <v>39297.64</v>
      </c>
      <c r="U74" s="380">
        <v>0</v>
      </c>
      <c r="V74" s="380">
        <v>18548.12</v>
      </c>
      <c r="W74" s="380">
        <v>20124</v>
      </c>
      <c r="X74" s="380">
        <v>9564.9599999999991</v>
      </c>
      <c r="Y74" s="380">
        <v>20124</v>
      </c>
      <c r="Z74" s="380">
        <v>9512.64</v>
      </c>
      <c r="AA74" s="376" t="s">
        <v>484</v>
      </c>
      <c r="AB74" s="376" t="s">
        <v>485</v>
      </c>
      <c r="AC74" s="376" t="s">
        <v>231</v>
      </c>
      <c r="AD74" s="376" t="s">
        <v>486</v>
      </c>
      <c r="AE74" s="376" t="s">
        <v>363</v>
      </c>
      <c r="AF74" s="376" t="s">
        <v>210</v>
      </c>
      <c r="AG74" s="376" t="s">
        <v>177</v>
      </c>
      <c r="AH74" s="381">
        <v>22.5</v>
      </c>
      <c r="AI74" s="381">
        <v>13101.2</v>
      </c>
      <c r="AJ74" s="376" t="s">
        <v>178</v>
      </c>
      <c r="AK74" s="376" t="s">
        <v>179</v>
      </c>
      <c r="AL74" s="376" t="s">
        <v>180</v>
      </c>
      <c r="AM74" s="376" t="s">
        <v>181</v>
      </c>
      <c r="AN74" s="376" t="s">
        <v>68</v>
      </c>
      <c r="AO74" s="379">
        <v>80</v>
      </c>
      <c r="AP74" s="460">
        <v>1</v>
      </c>
      <c r="AQ74" s="460">
        <v>0.43</v>
      </c>
      <c r="AR74" s="458" t="s">
        <v>182</v>
      </c>
      <c r="AS74" s="462">
        <f t="shared" si="17"/>
        <v>0.43</v>
      </c>
      <c r="AT74">
        <f t="shared" si="18"/>
        <v>1</v>
      </c>
      <c r="AU74" s="462">
        <f>IF(AT74=0,"",IF(AND(AT74=1,M74="F",SUMIF(C2:C698,C74,AS2:AS698)&lt;=1),SUMIF(C2:C698,C74,AS2:AS698),IF(AND(AT74=1,M74="F",SUMIF(C2:C698,C74,AS2:AS698)&gt;1),1,"")))</f>
        <v>1</v>
      </c>
      <c r="AV74" s="462" t="str">
        <f>IF(AT74=0,"",IF(AND(AT74=3,M74="F",SUMIF(C2:C698,C74,AS2:AS698)&lt;=1),SUMIF(C2:C698,C74,AS2:AS698),IF(AND(AT74=3,M74="F",SUMIF(C2:C698,C74,AS2:AS698)&gt;1),1,"")))</f>
        <v/>
      </c>
      <c r="AW74" s="462">
        <f>SUMIF(C2:C698,C74,O2:O698)</f>
        <v>4</v>
      </c>
      <c r="AX74" s="462">
        <f>IF(AND(M74="F",AS74&lt;&gt;0),SUMIF(C2:C698,C74,W2:W698),0)</f>
        <v>46800</v>
      </c>
      <c r="AY74" s="462">
        <f t="shared" si="19"/>
        <v>20124</v>
      </c>
      <c r="AZ74" s="462" t="str">
        <f t="shared" si="20"/>
        <v/>
      </c>
      <c r="BA74" s="462">
        <f t="shared" si="21"/>
        <v>0</v>
      </c>
      <c r="BB74" s="462">
        <f>IF(AND(AT74=1,AK74="E",AU74&gt;=0.75,AW74=1),Health,IF(AND(AT74=1,AK74="E",AU74&gt;=0.75),Health*P74,IF(AND(AT74=1,AK74="E",AU74&gt;=0.5,AW74=1),PTHealth,IF(AND(AT74=1,AK74="E",AU74&gt;=0.5),PTHealth*P74,0))))</f>
        <v>5009.5</v>
      </c>
      <c r="BC74" s="462">
        <f>IF(AND(AT74=3,AK74="E",AV74&gt;=0.75,AW74=1),Health,IF(AND(AT74=3,AK74="E",AV74&gt;=0.75),Health*P74,IF(AND(AT74=3,AK74="E",AV74&gt;=0.5,AW74=1),PTHealth,IF(AND(AT74=3,AK74="E",AV74&gt;=0.5),PTHealth*P74,0))))</f>
        <v>0</v>
      </c>
      <c r="BD74" s="462">
        <f>IF(AND(AT74&lt;&gt;0,AX74&gt;=MAXSSDI),SSDI*MAXSSDI*P74,IF(AT74&lt;&gt;0,SSDI*W74,0))</f>
        <v>1247.6880000000001</v>
      </c>
      <c r="BE74" s="462">
        <f>IF(AT74&lt;&gt;0,SSHI*W74,0)</f>
        <v>291.798</v>
      </c>
      <c r="BF74" s="462">
        <f>IF(AND(AT74&lt;&gt;0,AN74&lt;&gt;"NE"),VLOOKUP(AN74,Retirement_Rates,3,FALSE)*W74,0)</f>
        <v>2402.8056000000001</v>
      </c>
      <c r="BG74" s="462">
        <f>IF(AND(AT74&lt;&gt;0,AJ74&lt;&gt;"PF"),Life*W74,0)</f>
        <v>145.09404000000001</v>
      </c>
      <c r="BH74" s="462">
        <f>IF(AND(AT74&lt;&gt;0,AM74="Y"),UI*W74,0)</f>
        <v>98.607599999999991</v>
      </c>
      <c r="BI74" s="462">
        <f>IF(AND(AT74&lt;&gt;0,N74&lt;&gt;"NR"),DHR*W74,0)</f>
        <v>61.579439999999998</v>
      </c>
      <c r="BJ74" s="462">
        <f>IF(AT74&lt;&gt;0,WC*W74,0)</f>
        <v>307.8972</v>
      </c>
      <c r="BK74" s="462">
        <f>IF(OR(AND(AT74&lt;&gt;0,AJ74&lt;&gt;"PF",AN74&lt;&gt;"NE",AG74&lt;&gt;"A"),AND(AL74="E",OR(AT74=1,AT74=3))),Sick*W74,0)</f>
        <v>0</v>
      </c>
      <c r="BL74" s="462">
        <f t="shared" si="22"/>
        <v>4555.4698800000015</v>
      </c>
      <c r="BM74" s="462">
        <f t="shared" si="23"/>
        <v>0</v>
      </c>
      <c r="BN74" s="462">
        <f>IF(AND(AT74=1,AK74="E",AU74&gt;=0.75,AW74=1),HealthBY,IF(AND(AT74=1,AK74="E",AU74&gt;=0.75),HealthBY*P74,IF(AND(AT74=1,AK74="E",AU74&gt;=0.5,AW74=1),PTHealthBY,IF(AND(AT74=1,AK74="E",AU74&gt;=0.5),PTHealthBY*P74,0))))</f>
        <v>5009.5</v>
      </c>
      <c r="BO74" s="462">
        <f>IF(AND(AT74=3,AK74="E",AV74&gt;=0.75,AW74=1),HealthBY,IF(AND(AT74=3,AK74="E",AV74&gt;=0.75),HealthBY*P74,IF(AND(AT74=3,AK74="E",AV74&gt;=0.5,AW74=1),PTHealthBY,IF(AND(AT74=3,AK74="E",AV74&gt;=0.5),PTHealthBY*P74,0))))</f>
        <v>0</v>
      </c>
      <c r="BP74" s="462">
        <f>IF(AND(AT74&lt;&gt;0,(AX74+BA74)&gt;=MAXSSDIBY),SSDIBY*MAXSSDIBY*P74,IF(AT74&lt;&gt;0,SSDIBY*W74,0))</f>
        <v>1247.6880000000001</v>
      </c>
      <c r="BQ74" s="462">
        <f>IF(AT74&lt;&gt;0,SSHIBY*W74,0)</f>
        <v>291.798</v>
      </c>
      <c r="BR74" s="462">
        <f>IF(AND(AT74&lt;&gt;0,AN74&lt;&gt;"NE"),VLOOKUP(AN74,Retirement_Rates,4,FALSE)*W74,0)</f>
        <v>2402.8056000000001</v>
      </c>
      <c r="BS74" s="462">
        <f>IF(AND(AT74&lt;&gt;0,AJ74&lt;&gt;"PF"),LifeBY*W74,0)</f>
        <v>145.09404000000001</v>
      </c>
      <c r="BT74" s="462">
        <f>IF(AND(AT74&lt;&gt;0,AM74="Y"),UIBY*W74,0)</f>
        <v>0</v>
      </c>
      <c r="BU74" s="462">
        <f>IF(AND(AT74&lt;&gt;0,N74&lt;&gt;"NR"),DHRBY*W74,0)</f>
        <v>61.579439999999998</v>
      </c>
      <c r="BV74" s="462">
        <f>IF(AT74&lt;&gt;0,WCBY*W74,0)</f>
        <v>354.18240000000003</v>
      </c>
      <c r="BW74" s="462">
        <f>IF(OR(AND(AT74&lt;&gt;0,AJ74&lt;&gt;"PF",AN74&lt;&gt;"NE",AG74&lt;&gt;"A"),AND(AL74="E",OR(AT74=1,AT74=3))),SickBY*W74,0)</f>
        <v>0</v>
      </c>
      <c r="BX74" s="462">
        <f t="shared" si="24"/>
        <v>4503.1474800000005</v>
      </c>
      <c r="BY74" s="462">
        <f t="shared" si="25"/>
        <v>0</v>
      </c>
      <c r="BZ74" s="462">
        <f t="shared" si="26"/>
        <v>0</v>
      </c>
      <c r="CA74" s="462">
        <f t="shared" si="27"/>
        <v>0</v>
      </c>
      <c r="CB74" s="462">
        <f t="shared" si="28"/>
        <v>0</v>
      </c>
      <c r="CC74" s="462">
        <f>IF(AT74&lt;&gt;0,SSHICHG*Y74,0)</f>
        <v>0</v>
      </c>
      <c r="CD74" s="462">
        <f>IF(AND(AT74&lt;&gt;0,AN74&lt;&gt;"NE"),VLOOKUP(AN74,Retirement_Rates,5,FALSE)*Y74,0)</f>
        <v>0</v>
      </c>
      <c r="CE74" s="462">
        <f>IF(AND(AT74&lt;&gt;0,AJ74&lt;&gt;"PF"),LifeCHG*Y74,0)</f>
        <v>0</v>
      </c>
      <c r="CF74" s="462">
        <f>IF(AND(AT74&lt;&gt;0,AM74="Y"),UICHG*Y74,0)</f>
        <v>-98.607599999999991</v>
      </c>
      <c r="CG74" s="462">
        <f>IF(AND(AT74&lt;&gt;0,N74&lt;&gt;"NR"),DHRCHG*Y74,0)</f>
        <v>0</v>
      </c>
      <c r="CH74" s="462">
        <f>IF(AT74&lt;&gt;0,WCCHG*Y74,0)</f>
        <v>46.285200000000032</v>
      </c>
      <c r="CI74" s="462">
        <f>IF(OR(AND(AT74&lt;&gt;0,AJ74&lt;&gt;"PF",AN74&lt;&gt;"NE",AG74&lt;&gt;"A"),AND(AL74="E",OR(AT74=1,AT74=3))),SickCHG*Y74,0)</f>
        <v>0</v>
      </c>
      <c r="CJ74" s="462">
        <f t="shared" si="29"/>
        <v>-52.322399999999959</v>
      </c>
      <c r="CK74" s="462" t="str">
        <f t="shared" si="30"/>
        <v/>
      </c>
      <c r="CL74" s="462" t="str">
        <f t="shared" si="31"/>
        <v/>
      </c>
      <c r="CM74" s="462" t="str">
        <f t="shared" si="32"/>
        <v/>
      </c>
      <c r="CN74" s="462" t="str">
        <f t="shared" si="33"/>
        <v>0001-00</v>
      </c>
    </row>
    <row r="75" spans="1:92" ht="15" thickBot="1" x14ac:dyDescent="0.35">
      <c r="A75" s="376" t="s">
        <v>161</v>
      </c>
      <c r="B75" s="376" t="s">
        <v>162</v>
      </c>
      <c r="C75" s="376" t="s">
        <v>487</v>
      </c>
      <c r="D75" s="376" t="s">
        <v>488</v>
      </c>
      <c r="E75" s="376" t="s">
        <v>165</v>
      </c>
      <c r="F75" s="377" t="s">
        <v>166</v>
      </c>
      <c r="G75" s="376" t="s">
        <v>356</v>
      </c>
      <c r="H75" s="378"/>
      <c r="I75" s="378"/>
      <c r="J75" s="376" t="s">
        <v>168</v>
      </c>
      <c r="K75" s="376" t="s">
        <v>489</v>
      </c>
      <c r="L75" s="376" t="s">
        <v>374</v>
      </c>
      <c r="M75" s="376" t="s">
        <v>201</v>
      </c>
      <c r="N75" s="376" t="s">
        <v>202</v>
      </c>
      <c r="O75" s="379">
        <v>0</v>
      </c>
      <c r="P75" s="460">
        <v>1</v>
      </c>
      <c r="Q75" s="460">
        <v>1</v>
      </c>
      <c r="R75" s="380">
        <v>80</v>
      </c>
      <c r="S75" s="460">
        <v>1</v>
      </c>
      <c r="T75" s="380">
        <v>63078.400000000001</v>
      </c>
      <c r="U75" s="380">
        <v>0</v>
      </c>
      <c r="V75" s="380">
        <v>20226.68</v>
      </c>
      <c r="W75" s="380">
        <v>79164.800000000003</v>
      </c>
      <c r="X75" s="380">
        <v>34674.18</v>
      </c>
      <c r="Y75" s="380">
        <v>79164.800000000003</v>
      </c>
      <c r="Z75" s="380">
        <v>34278.35</v>
      </c>
      <c r="AA75" s="378"/>
      <c r="AB75" s="376" t="s">
        <v>45</v>
      </c>
      <c r="AC75" s="376" t="s">
        <v>45</v>
      </c>
      <c r="AD75" s="378"/>
      <c r="AE75" s="378"/>
      <c r="AF75" s="378"/>
      <c r="AG75" s="378"/>
      <c r="AH75" s="379">
        <v>0</v>
      </c>
      <c r="AI75" s="379">
        <v>0</v>
      </c>
      <c r="AJ75" s="378"/>
      <c r="AK75" s="378"/>
      <c r="AL75" s="376" t="s">
        <v>180</v>
      </c>
      <c r="AM75" s="378"/>
      <c r="AN75" s="378"/>
      <c r="AO75" s="379">
        <v>0</v>
      </c>
      <c r="AP75" s="460">
        <v>0</v>
      </c>
      <c r="AQ75" s="460">
        <v>0</v>
      </c>
      <c r="AR75" s="459"/>
      <c r="AS75" s="462">
        <f t="shared" si="17"/>
        <v>0</v>
      </c>
      <c r="AT75">
        <f t="shared" si="18"/>
        <v>0</v>
      </c>
      <c r="AU75" s="462" t="str">
        <f>IF(AT75=0,"",IF(AND(AT75=1,M75="F",SUMIF(C2:C698,C75,AS2:AS698)&lt;=1),SUMIF(C2:C698,C75,AS2:AS698),IF(AND(AT75=1,M75="F",SUMIF(C2:C698,C75,AS2:AS698)&gt;1),1,"")))</f>
        <v/>
      </c>
      <c r="AV75" s="462" t="str">
        <f>IF(AT75=0,"",IF(AND(AT75=3,M75="F",SUMIF(C2:C698,C75,AS2:AS698)&lt;=1),SUMIF(C2:C698,C75,AS2:AS698),IF(AND(AT75=3,M75="F",SUMIF(C2:C698,C75,AS2:AS698)&gt;1),1,"")))</f>
        <v/>
      </c>
      <c r="AW75" s="462">
        <f>SUMIF(C2:C698,C75,O2:O698)</f>
        <v>0</v>
      </c>
      <c r="AX75" s="462">
        <f>IF(AND(M75="F",AS75&lt;&gt;0),SUMIF(C2:C698,C75,W2:W698),0)</f>
        <v>0</v>
      </c>
      <c r="AY75" s="462" t="str">
        <f t="shared" si="19"/>
        <v/>
      </c>
      <c r="AZ75" s="462" t="str">
        <f t="shared" si="20"/>
        <v/>
      </c>
      <c r="BA75" s="462">
        <f t="shared" si="21"/>
        <v>0</v>
      </c>
      <c r="BB75" s="462">
        <f>IF(AND(AT75=1,AK75="E",AU75&gt;=0.75,AW75=1),Health,IF(AND(AT75=1,AK75="E",AU75&gt;=0.75),Health*P75,IF(AND(AT75=1,AK75="E",AU75&gt;=0.5,AW75=1),PTHealth,IF(AND(AT75=1,AK75="E",AU75&gt;=0.5),PTHealth*P75,0))))</f>
        <v>0</v>
      </c>
      <c r="BC75" s="462">
        <f>IF(AND(AT75=3,AK75="E",AV75&gt;=0.75,AW75=1),Health,IF(AND(AT75=3,AK75="E",AV75&gt;=0.75),Health*P75,IF(AND(AT75=3,AK75="E",AV75&gt;=0.5,AW75=1),PTHealth,IF(AND(AT75=3,AK75="E",AV75&gt;=0.5),PTHealth*P75,0))))</f>
        <v>0</v>
      </c>
      <c r="BD75" s="462">
        <f>IF(AND(AT75&lt;&gt;0,AX75&gt;=MAXSSDI),SSDI*MAXSSDI*P75,IF(AT75&lt;&gt;0,SSDI*W75,0))</f>
        <v>0</v>
      </c>
      <c r="BE75" s="462">
        <f>IF(AT75&lt;&gt;0,SSHI*W75,0)</f>
        <v>0</v>
      </c>
      <c r="BF75" s="462">
        <f>IF(AND(AT75&lt;&gt;0,AN75&lt;&gt;"NE"),VLOOKUP(AN75,Retirement_Rates,3,FALSE)*W75,0)</f>
        <v>0</v>
      </c>
      <c r="BG75" s="462">
        <f>IF(AND(AT75&lt;&gt;0,AJ75&lt;&gt;"PF"),Life*W75,0)</f>
        <v>0</v>
      </c>
      <c r="BH75" s="462">
        <f>IF(AND(AT75&lt;&gt;0,AM75="Y"),UI*W75,0)</f>
        <v>0</v>
      </c>
      <c r="BI75" s="462">
        <f>IF(AND(AT75&lt;&gt;0,N75&lt;&gt;"NR"),DHR*W75,0)</f>
        <v>0</v>
      </c>
      <c r="BJ75" s="462">
        <f>IF(AT75&lt;&gt;0,WC*W75,0)</f>
        <v>0</v>
      </c>
      <c r="BK75" s="462">
        <f>IF(OR(AND(AT75&lt;&gt;0,AJ75&lt;&gt;"PF",AN75&lt;&gt;"NE",AG75&lt;&gt;"A"),AND(AL75="E",OR(AT75=1,AT75=3))),Sick*W75,0)</f>
        <v>0</v>
      </c>
      <c r="BL75" s="462">
        <f t="shared" si="22"/>
        <v>0</v>
      </c>
      <c r="BM75" s="462">
        <f t="shared" si="23"/>
        <v>0</v>
      </c>
      <c r="BN75" s="462">
        <f>IF(AND(AT75=1,AK75="E",AU75&gt;=0.75,AW75=1),HealthBY,IF(AND(AT75=1,AK75="E",AU75&gt;=0.75),HealthBY*P75,IF(AND(AT75=1,AK75="E",AU75&gt;=0.5,AW75=1),PTHealthBY,IF(AND(AT75=1,AK75="E",AU75&gt;=0.5),PTHealthBY*P75,0))))</f>
        <v>0</v>
      </c>
      <c r="BO75" s="462">
        <f>IF(AND(AT75=3,AK75="E",AV75&gt;=0.75,AW75=1),HealthBY,IF(AND(AT75=3,AK75="E",AV75&gt;=0.75),HealthBY*P75,IF(AND(AT75=3,AK75="E",AV75&gt;=0.5,AW75=1),PTHealthBY,IF(AND(AT75=3,AK75="E",AV75&gt;=0.5),PTHealthBY*P75,0))))</f>
        <v>0</v>
      </c>
      <c r="BP75" s="462">
        <f>IF(AND(AT75&lt;&gt;0,(AX75+BA75)&gt;=MAXSSDIBY),SSDIBY*MAXSSDIBY*P75,IF(AT75&lt;&gt;0,SSDIBY*W75,0))</f>
        <v>0</v>
      </c>
      <c r="BQ75" s="462">
        <f>IF(AT75&lt;&gt;0,SSHIBY*W75,0)</f>
        <v>0</v>
      </c>
      <c r="BR75" s="462">
        <f>IF(AND(AT75&lt;&gt;0,AN75&lt;&gt;"NE"),VLOOKUP(AN75,Retirement_Rates,4,FALSE)*W75,0)</f>
        <v>0</v>
      </c>
      <c r="BS75" s="462">
        <f>IF(AND(AT75&lt;&gt;0,AJ75&lt;&gt;"PF"),LifeBY*W75,0)</f>
        <v>0</v>
      </c>
      <c r="BT75" s="462">
        <f>IF(AND(AT75&lt;&gt;0,AM75="Y"),UIBY*W75,0)</f>
        <v>0</v>
      </c>
      <c r="BU75" s="462">
        <f>IF(AND(AT75&lt;&gt;0,N75&lt;&gt;"NR"),DHRBY*W75,0)</f>
        <v>0</v>
      </c>
      <c r="BV75" s="462">
        <f>IF(AT75&lt;&gt;0,WCBY*W75,0)</f>
        <v>0</v>
      </c>
      <c r="BW75" s="462">
        <f>IF(OR(AND(AT75&lt;&gt;0,AJ75&lt;&gt;"PF",AN75&lt;&gt;"NE",AG75&lt;&gt;"A"),AND(AL75="E",OR(AT75=1,AT75=3))),SickBY*W75,0)</f>
        <v>0</v>
      </c>
      <c r="BX75" s="462">
        <f t="shared" si="24"/>
        <v>0</v>
      </c>
      <c r="BY75" s="462">
        <f t="shared" si="25"/>
        <v>0</v>
      </c>
      <c r="BZ75" s="462">
        <f t="shared" si="26"/>
        <v>0</v>
      </c>
      <c r="CA75" s="462">
        <f t="shared" si="27"/>
        <v>0</v>
      </c>
      <c r="CB75" s="462">
        <f t="shared" si="28"/>
        <v>0</v>
      </c>
      <c r="CC75" s="462">
        <f>IF(AT75&lt;&gt;0,SSHICHG*Y75,0)</f>
        <v>0</v>
      </c>
      <c r="CD75" s="462">
        <f>IF(AND(AT75&lt;&gt;0,AN75&lt;&gt;"NE"),VLOOKUP(AN75,Retirement_Rates,5,FALSE)*Y75,0)</f>
        <v>0</v>
      </c>
      <c r="CE75" s="462">
        <f>IF(AND(AT75&lt;&gt;0,AJ75&lt;&gt;"PF"),LifeCHG*Y75,0)</f>
        <v>0</v>
      </c>
      <c r="CF75" s="462">
        <f>IF(AND(AT75&lt;&gt;0,AM75="Y"),UICHG*Y75,0)</f>
        <v>0</v>
      </c>
      <c r="CG75" s="462">
        <f>IF(AND(AT75&lt;&gt;0,N75&lt;&gt;"NR"),DHRCHG*Y75,0)</f>
        <v>0</v>
      </c>
      <c r="CH75" s="462">
        <f>IF(AT75&lt;&gt;0,WCCHG*Y75,0)</f>
        <v>0</v>
      </c>
      <c r="CI75" s="462">
        <f>IF(OR(AND(AT75&lt;&gt;0,AJ75&lt;&gt;"PF",AN75&lt;&gt;"NE",AG75&lt;&gt;"A"),AND(AL75="E",OR(AT75=1,AT75=3))),SickCHG*Y75,0)</f>
        <v>0</v>
      </c>
      <c r="CJ75" s="462">
        <f t="shared" si="29"/>
        <v>0</v>
      </c>
      <c r="CK75" s="462" t="str">
        <f t="shared" si="30"/>
        <v/>
      </c>
      <c r="CL75" s="462" t="str">
        <f t="shared" si="31"/>
        <v/>
      </c>
      <c r="CM75" s="462" t="str">
        <f t="shared" si="32"/>
        <v/>
      </c>
      <c r="CN75" s="462" t="str">
        <f t="shared" si="33"/>
        <v>0001-00</v>
      </c>
    </row>
    <row r="76" spans="1:92" ht="15" thickBot="1" x14ac:dyDescent="0.35">
      <c r="A76" s="376" t="s">
        <v>161</v>
      </c>
      <c r="B76" s="376" t="s">
        <v>162</v>
      </c>
      <c r="C76" s="376" t="s">
        <v>490</v>
      </c>
      <c r="D76" s="376" t="s">
        <v>457</v>
      </c>
      <c r="E76" s="376" t="s">
        <v>165</v>
      </c>
      <c r="F76" s="377" t="s">
        <v>166</v>
      </c>
      <c r="G76" s="376" t="s">
        <v>356</v>
      </c>
      <c r="H76" s="378"/>
      <c r="I76" s="378"/>
      <c r="J76" s="376" t="s">
        <v>185</v>
      </c>
      <c r="K76" s="376" t="s">
        <v>458</v>
      </c>
      <c r="L76" s="376" t="s">
        <v>177</v>
      </c>
      <c r="M76" s="376" t="s">
        <v>170</v>
      </c>
      <c r="N76" s="376" t="s">
        <v>202</v>
      </c>
      <c r="O76" s="379">
        <v>1</v>
      </c>
      <c r="P76" s="460">
        <v>0</v>
      </c>
      <c r="Q76" s="460">
        <v>0</v>
      </c>
      <c r="R76" s="380">
        <v>80</v>
      </c>
      <c r="S76" s="460">
        <v>0</v>
      </c>
      <c r="T76" s="380">
        <v>1173.3499999999999</v>
      </c>
      <c r="U76" s="380">
        <v>0</v>
      </c>
      <c r="V76" s="380">
        <v>651.92999999999995</v>
      </c>
      <c r="W76" s="380">
        <v>0</v>
      </c>
      <c r="X76" s="380">
        <v>0</v>
      </c>
      <c r="Y76" s="380">
        <v>0</v>
      </c>
      <c r="Z76" s="380">
        <v>0</v>
      </c>
      <c r="AA76" s="376" t="s">
        <v>491</v>
      </c>
      <c r="AB76" s="376" t="s">
        <v>492</v>
      </c>
      <c r="AC76" s="376" t="s">
        <v>493</v>
      </c>
      <c r="AD76" s="376" t="s">
        <v>200</v>
      </c>
      <c r="AE76" s="376" t="s">
        <v>458</v>
      </c>
      <c r="AF76" s="376" t="s">
        <v>436</v>
      </c>
      <c r="AG76" s="376" t="s">
        <v>177</v>
      </c>
      <c r="AH76" s="381">
        <v>16.170000000000002</v>
      </c>
      <c r="AI76" s="379">
        <v>6680</v>
      </c>
      <c r="AJ76" s="376" t="s">
        <v>178</v>
      </c>
      <c r="AK76" s="376" t="s">
        <v>179</v>
      </c>
      <c r="AL76" s="376" t="s">
        <v>180</v>
      </c>
      <c r="AM76" s="376" t="s">
        <v>181</v>
      </c>
      <c r="AN76" s="376" t="s">
        <v>68</v>
      </c>
      <c r="AO76" s="379">
        <v>80</v>
      </c>
      <c r="AP76" s="460">
        <v>1</v>
      </c>
      <c r="AQ76" s="460">
        <v>0</v>
      </c>
      <c r="AR76" s="458" t="s">
        <v>182</v>
      </c>
      <c r="AS76" s="462">
        <f t="shared" si="17"/>
        <v>0</v>
      </c>
      <c r="AT76">
        <f t="shared" si="18"/>
        <v>0</v>
      </c>
      <c r="AU76" s="462" t="str">
        <f>IF(AT76=0,"",IF(AND(AT76=1,M76="F",SUMIF(C2:C698,C76,AS2:AS698)&lt;=1),SUMIF(C2:C698,C76,AS2:AS698),IF(AND(AT76=1,M76="F",SUMIF(C2:C698,C76,AS2:AS698)&gt;1),1,"")))</f>
        <v/>
      </c>
      <c r="AV76" s="462" t="str">
        <f>IF(AT76=0,"",IF(AND(AT76=3,M76="F",SUMIF(C2:C698,C76,AS2:AS698)&lt;=1),SUMIF(C2:C698,C76,AS2:AS698),IF(AND(AT76=3,M76="F",SUMIF(C2:C698,C76,AS2:AS698)&gt;1),1,"")))</f>
        <v/>
      </c>
      <c r="AW76" s="462">
        <f>SUMIF(C2:C698,C76,O2:O698)</f>
        <v>3</v>
      </c>
      <c r="AX76" s="462">
        <f>IF(AND(M76="F",AS76&lt;&gt;0),SUMIF(C2:C698,C76,W2:W698),0)</f>
        <v>0</v>
      </c>
      <c r="AY76" s="462" t="str">
        <f t="shared" si="19"/>
        <v/>
      </c>
      <c r="AZ76" s="462" t="str">
        <f t="shared" si="20"/>
        <v/>
      </c>
      <c r="BA76" s="462">
        <f t="shared" si="21"/>
        <v>0</v>
      </c>
      <c r="BB76" s="462">
        <f>IF(AND(AT76=1,AK76="E",AU76&gt;=0.75,AW76=1),Health,IF(AND(AT76=1,AK76="E",AU76&gt;=0.75),Health*P76,IF(AND(AT76=1,AK76="E",AU76&gt;=0.5,AW76=1),PTHealth,IF(AND(AT76=1,AK76="E",AU76&gt;=0.5),PTHealth*P76,0))))</f>
        <v>0</v>
      </c>
      <c r="BC76" s="462">
        <f>IF(AND(AT76=3,AK76="E",AV76&gt;=0.75,AW76=1),Health,IF(AND(AT76=3,AK76="E",AV76&gt;=0.75),Health*P76,IF(AND(AT76=3,AK76="E",AV76&gt;=0.5,AW76=1),PTHealth,IF(AND(AT76=3,AK76="E",AV76&gt;=0.5),PTHealth*P76,0))))</f>
        <v>0</v>
      </c>
      <c r="BD76" s="462">
        <f>IF(AND(AT76&lt;&gt;0,AX76&gt;=MAXSSDI),SSDI*MAXSSDI*P76,IF(AT76&lt;&gt;0,SSDI*W76,0))</f>
        <v>0</v>
      </c>
      <c r="BE76" s="462">
        <f>IF(AT76&lt;&gt;0,SSHI*W76,0)</f>
        <v>0</v>
      </c>
      <c r="BF76" s="462">
        <f>IF(AND(AT76&lt;&gt;0,AN76&lt;&gt;"NE"),VLOOKUP(AN76,Retirement_Rates,3,FALSE)*W76,0)</f>
        <v>0</v>
      </c>
      <c r="BG76" s="462">
        <f>IF(AND(AT76&lt;&gt;0,AJ76&lt;&gt;"PF"),Life*W76,0)</f>
        <v>0</v>
      </c>
      <c r="BH76" s="462">
        <f>IF(AND(AT76&lt;&gt;0,AM76="Y"),UI*W76,0)</f>
        <v>0</v>
      </c>
      <c r="BI76" s="462">
        <f>IF(AND(AT76&lt;&gt;0,N76&lt;&gt;"NR"),DHR*W76,0)</f>
        <v>0</v>
      </c>
      <c r="BJ76" s="462">
        <f>IF(AT76&lt;&gt;0,WC*W76,0)</f>
        <v>0</v>
      </c>
      <c r="BK76" s="462">
        <f>IF(OR(AND(AT76&lt;&gt;0,AJ76&lt;&gt;"PF",AN76&lt;&gt;"NE",AG76&lt;&gt;"A"),AND(AL76="E",OR(AT76=1,AT76=3))),Sick*W76,0)</f>
        <v>0</v>
      </c>
      <c r="BL76" s="462">
        <f t="shared" si="22"/>
        <v>0</v>
      </c>
      <c r="BM76" s="462">
        <f t="shared" si="23"/>
        <v>0</v>
      </c>
      <c r="BN76" s="462">
        <f>IF(AND(AT76=1,AK76="E",AU76&gt;=0.75,AW76=1),HealthBY,IF(AND(AT76=1,AK76="E",AU76&gt;=0.75),HealthBY*P76,IF(AND(AT76=1,AK76="E",AU76&gt;=0.5,AW76=1),PTHealthBY,IF(AND(AT76=1,AK76="E",AU76&gt;=0.5),PTHealthBY*P76,0))))</f>
        <v>0</v>
      </c>
      <c r="BO76" s="462">
        <f>IF(AND(AT76=3,AK76="E",AV76&gt;=0.75,AW76=1),HealthBY,IF(AND(AT76=3,AK76="E",AV76&gt;=0.75),HealthBY*P76,IF(AND(AT76=3,AK76="E",AV76&gt;=0.5,AW76=1),PTHealthBY,IF(AND(AT76=3,AK76="E",AV76&gt;=0.5),PTHealthBY*P76,0))))</f>
        <v>0</v>
      </c>
      <c r="BP76" s="462">
        <f>IF(AND(AT76&lt;&gt;0,(AX76+BA76)&gt;=MAXSSDIBY),SSDIBY*MAXSSDIBY*P76,IF(AT76&lt;&gt;0,SSDIBY*W76,0))</f>
        <v>0</v>
      </c>
      <c r="BQ76" s="462">
        <f>IF(AT76&lt;&gt;0,SSHIBY*W76,0)</f>
        <v>0</v>
      </c>
      <c r="BR76" s="462">
        <f>IF(AND(AT76&lt;&gt;0,AN76&lt;&gt;"NE"),VLOOKUP(AN76,Retirement_Rates,4,FALSE)*W76,0)</f>
        <v>0</v>
      </c>
      <c r="BS76" s="462">
        <f>IF(AND(AT76&lt;&gt;0,AJ76&lt;&gt;"PF"),LifeBY*W76,0)</f>
        <v>0</v>
      </c>
      <c r="BT76" s="462">
        <f>IF(AND(AT76&lt;&gt;0,AM76="Y"),UIBY*W76,0)</f>
        <v>0</v>
      </c>
      <c r="BU76" s="462">
        <f>IF(AND(AT76&lt;&gt;0,N76&lt;&gt;"NR"),DHRBY*W76,0)</f>
        <v>0</v>
      </c>
      <c r="BV76" s="462">
        <f>IF(AT76&lt;&gt;0,WCBY*W76,0)</f>
        <v>0</v>
      </c>
      <c r="BW76" s="462">
        <f>IF(OR(AND(AT76&lt;&gt;0,AJ76&lt;&gt;"PF",AN76&lt;&gt;"NE",AG76&lt;&gt;"A"),AND(AL76="E",OR(AT76=1,AT76=3))),SickBY*W76,0)</f>
        <v>0</v>
      </c>
      <c r="BX76" s="462">
        <f t="shared" si="24"/>
        <v>0</v>
      </c>
      <c r="BY76" s="462">
        <f t="shared" si="25"/>
        <v>0</v>
      </c>
      <c r="BZ76" s="462">
        <f t="shared" si="26"/>
        <v>0</v>
      </c>
      <c r="CA76" s="462">
        <f t="shared" si="27"/>
        <v>0</v>
      </c>
      <c r="CB76" s="462">
        <f t="shared" si="28"/>
        <v>0</v>
      </c>
      <c r="CC76" s="462">
        <f>IF(AT76&lt;&gt;0,SSHICHG*Y76,0)</f>
        <v>0</v>
      </c>
      <c r="CD76" s="462">
        <f>IF(AND(AT76&lt;&gt;0,AN76&lt;&gt;"NE"),VLOOKUP(AN76,Retirement_Rates,5,FALSE)*Y76,0)</f>
        <v>0</v>
      </c>
      <c r="CE76" s="462">
        <f>IF(AND(AT76&lt;&gt;0,AJ76&lt;&gt;"PF"),LifeCHG*Y76,0)</f>
        <v>0</v>
      </c>
      <c r="CF76" s="462">
        <f>IF(AND(AT76&lt;&gt;0,AM76="Y"),UICHG*Y76,0)</f>
        <v>0</v>
      </c>
      <c r="CG76" s="462">
        <f>IF(AND(AT76&lt;&gt;0,N76&lt;&gt;"NR"),DHRCHG*Y76,0)</f>
        <v>0</v>
      </c>
      <c r="CH76" s="462">
        <f>IF(AT76&lt;&gt;0,WCCHG*Y76,0)</f>
        <v>0</v>
      </c>
      <c r="CI76" s="462">
        <f>IF(OR(AND(AT76&lt;&gt;0,AJ76&lt;&gt;"PF",AN76&lt;&gt;"NE",AG76&lt;&gt;"A"),AND(AL76="E",OR(AT76=1,AT76=3))),SickCHG*Y76,0)</f>
        <v>0</v>
      </c>
      <c r="CJ76" s="462">
        <f t="shared" si="29"/>
        <v>0</v>
      </c>
      <c r="CK76" s="462" t="str">
        <f t="shared" si="30"/>
        <v/>
      </c>
      <c r="CL76" s="462" t="str">
        <f t="shared" si="31"/>
        <v/>
      </c>
      <c r="CM76" s="462" t="str">
        <f t="shared" si="32"/>
        <v/>
      </c>
      <c r="CN76" s="462" t="str">
        <f t="shared" si="33"/>
        <v>0001-00</v>
      </c>
    </row>
    <row r="77" spans="1:92" ht="15" thickBot="1" x14ac:dyDescent="0.35">
      <c r="A77" s="376" t="s">
        <v>161</v>
      </c>
      <c r="B77" s="376" t="s">
        <v>162</v>
      </c>
      <c r="C77" s="376" t="s">
        <v>494</v>
      </c>
      <c r="D77" s="376" t="s">
        <v>467</v>
      </c>
      <c r="E77" s="376" t="s">
        <v>165</v>
      </c>
      <c r="F77" s="377" t="s">
        <v>166</v>
      </c>
      <c r="G77" s="376" t="s">
        <v>356</v>
      </c>
      <c r="H77" s="378"/>
      <c r="I77" s="378"/>
      <c r="J77" s="376" t="s">
        <v>185</v>
      </c>
      <c r="K77" s="376" t="s">
        <v>468</v>
      </c>
      <c r="L77" s="376" t="s">
        <v>224</v>
      </c>
      <c r="M77" s="376" t="s">
        <v>170</v>
      </c>
      <c r="N77" s="376" t="s">
        <v>202</v>
      </c>
      <c r="O77" s="379">
        <v>1</v>
      </c>
      <c r="P77" s="460">
        <v>0.75</v>
      </c>
      <c r="Q77" s="460">
        <v>0.75</v>
      </c>
      <c r="R77" s="380">
        <v>80</v>
      </c>
      <c r="S77" s="460">
        <v>0.75</v>
      </c>
      <c r="T77" s="380">
        <v>49628.1</v>
      </c>
      <c r="U77" s="380">
        <v>0</v>
      </c>
      <c r="V77" s="380">
        <v>22083.75</v>
      </c>
      <c r="W77" s="380">
        <v>39218.400000000001</v>
      </c>
      <c r="X77" s="380">
        <v>17615.34</v>
      </c>
      <c r="Y77" s="380">
        <v>39218.400000000001</v>
      </c>
      <c r="Z77" s="380">
        <v>17513.37</v>
      </c>
      <c r="AA77" s="376" t="s">
        <v>495</v>
      </c>
      <c r="AB77" s="376" t="s">
        <v>496</v>
      </c>
      <c r="AC77" s="376" t="s">
        <v>497</v>
      </c>
      <c r="AD77" s="376" t="s">
        <v>224</v>
      </c>
      <c r="AE77" s="376" t="s">
        <v>468</v>
      </c>
      <c r="AF77" s="376" t="s">
        <v>232</v>
      </c>
      <c r="AG77" s="376" t="s">
        <v>177</v>
      </c>
      <c r="AH77" s="381">
        <v>25.14</v>
      </c>
      <c r="AI77" s="379">
        <v>5960</v>
      </c>
      <c r="AJ77" s="376" t="s">
        <v>178</v>
      </c>
      <c r="AK77" s="376" t="s">
        <v>179</v>
      </c>
      <c r="AL77" s="376" t="s">
        <v>180</v>
      </c>
      <c r="AM77" s="376" t="s">
        <v>181</v>
      </c>
      <c r="AN77" s="376" t="s">
        <v>68</v>
      </c>
      <c r="AO77" s="379">
        <v>80</v>
      </c>
      <c r="AP77" s="460">
        <v>1</v>
      </c>
      <c r="AQ77" s="460">
        <v>0.75</v>
      </c>
      <c r="AR77" s="458" t="s">
        <v>182</v>
      </c>
      <c r="AS77" s="462">
        <f t="shared" si="17"/>
        <v>0.75</v>
      </c>
      <c r="AT77">
        <f t="shared" si="18"/>
        <v>1</v>
      </c>
      <c r="AU77" s="462">
        <f>IF(AT77=0,"",IF(AND(AT77=1,M77="F",SUMIF(C2:C698,C77,AS2:AS698)&lt;=1),SUMIF(C2:C698,C77,AS2:AS698),IF(AND(AT77=1,M77="F",SUMIF(C2:C698,C77,AS2:AS698)&gt;1),1,"")))</f>
        <v>1</v>
      </c>
      <c r="AV77" s="462" t="str">
        <f>IF(AT77=0,"",IF(AND(AT77=3,M77="F",SUMIF(C2:C698,C77,AS2:AS698)&lt;=1),SUMIF(C2:C698,C77,AS2:AS698),IF(AND(AT77=3,M77="F",SUMIF(C2:C698,C77,AS2:AS698)&gt;1),1,"")))</f>
        <v/>
      </c>
      <c r="AW77" s="462">
        <f>SUMIF(C2:C698,C77,O2:O698)</f>
        <v>3</v>
      </c>
      <c r="AX77" s="462">
        <f>IF(AND(M77="F",AS77&lt;&gt;0),SUMIF(C2:C698,C77,W2:W698),0)</f>
        <v>52291.199999999997</v>
      </c>
      <c r="AY77" s="462">
        <f t="shared" si="19"/>
        <v>39218.400000000001</v>
      </c>
      <c r="AZ77" s="462" t="str">
        <f t="shared" si="20"/>
        <v/>
      </c>
      <c r="BA77" s="462">
        <f t="shared" si="21"/>
        <v>0</v>
      </c>
      <c r="BB77" s="462">
        <f>IF(AND(AT77=1,AK77="E",AU77&gt;=0.75,AW77=1),Health,IF(AND(AT77=1,AK77="E",AU77&gt;=0.75),Health*P77,IF(AND(AT77=1,AK77="E",AU77&gt;=0.5,AW77=1),PTHealth,IF(AND(AT77=1,AK77="E",AU77&gt;=0.5),PTHealth*P77,0))))</f>
        <v>8737.5</v>
      </c>
      <c r="BC77" s="462">
        <f>IF(AND(AT77=3,AK77="E",AV77&gt;=0.75,AW77=1),Health,IF(AND(AT77=3,AK77="E",AV77&gt;=0.75),Health*P77,IF(AND(AT77=3,AK77="E",AV77&gt;=0.5,AW77=1),PTHealth,IF(AND(AT77=3,AK77="E",AV77&gt;=0.5),PTHealth*P77,0))))</f>
        <v>0</v>
      </c>
      <c r="BD77" s="462">
        <f>IF(AND(AT77&lt;&gt;0,AX77&gt;=MAXSSDI),SSDI*MAXSSDI*P77,IF(AT77&lt;&gt;0,SSDI*W77,0))</f>
        <v>2431.5408000000002</v>
      </c>
      <c r="BE77" s="462">
        <f>IF(AT77&lt;&gt;0,SSHI*W77,0)</f>
        <v>568.66680000000008</v>
      </c>
      <c r="BF77" s="462">
        <f>IF(AND(AT77&lt;&gt;0,AN77&lt;&gt;"NE"),VLOOKUP(AN77,Retirement_Rates,3,FALSE)*W77,0)</f>
        <v>4682.6769600000007</v>
      </c>
      <c r="BG77" s="462">
        <f>IF(AND(AT77&lt;&gt;0,AJ77&lt;&gt;"PF"),Life*W77,0)</f>
        <v>282.76466400000004</v>
      </c>
      <c r="BH77" s="462">
        <f>IF(AND(AT77&lt;&gt;0,AM77="Y"),UI*W77,0)</f>
        <v>192.17016000000001</v>
      </c>
      <c r="BI77" s="462">
        <f>IF(AND(AT77&lt;&gt;0,N77&lt;&gt;"NR"),DHR*W77,0)</f>
        <v>120.008304</v>
      </c>
      <c r="BJ77" s="462">
        <f>IF(AT77&lt;&gt;0,WC*W77,0)</f>
        <v>600.04151999999999</v>
      </c>
      <c r="BK77" s="462">
        <f>IF(OR(AND(AT77&lt;&gt;0,AJ77&lt;&gt;"PF",AN77&lt;&gt;"NE",AG77&lt;&gt;"A"),AND(AL77="E",OR(AT77=1,AT77=3))),Sick*W77,0)</f>
        <v>0</v>
      </c>
      <c r="BL77" s="462">
        <f t="shared" si="22"/>
        <v>8877.8692080000019</v>
      </c>
      <c r="BM77" s="462">
        <f t="shared" si="23"/>
        <v>0</v>
      </c>
      <c r="BN77" s="462">
        <f>IF(AND(AT77=1,AK77="E",AU77&gt;=0.75,AW77=1),HealthBY,IF(AND(AT77=1,AK77="E",AU77&gt;=0.75),HealthBY*P77,IF(AND(AT77=1,AK77="E",AU77&gt;=0.5,AW77=1),PTHealthBY,IF(AND(AT77=1,AK77="E",AU77&gt;=0.5),PTHealthBY*P77,0))))</f>
        <v>8737.5</v>
      </c>
      <c r="BO77" s="462">
        <f>IF(AND(AT77=3,AK77="E",AV77&gt;=0.75,AW77=1),HealthBY,IF(AND(AT77=3,AK77="E",AV77&gt;=0.75),HealthBY*P77,IF(AND(AT77=3,AK77="E",AV77&gt;=0.5,AW77=1),PTHealthBY,IF(AND(AT77=3,AK77="E",AV77&gt;=0.5),PTHealthBY*P77,0))))</f>
        <v>0</v>
      </c>
      <c r="BP77" s="462">
        <f>IF(AND(AT77&lt;&gt;0,(AX77+BA77)&gt;=MAXSSDIBY),SSDIBY*MAXSSDIBY*P77,IF(AT77&lt;&gt;0,SSDIBY*W77,0))</f>
        <v>2431.5408000000002</v>
      </c>
      <c r="BQ77" s="462">
        <f>IF(AT77&lt;&gt;0,SSHIBY*W77,0)</f>
        <v>568.66680000000008</v>
      </c>
      <c r="BR77" s="462">
        <f>IF(AND(AT77&lt;&gt;0,AN77&lt;&gt;"NE"),VLOOKUP(AN77,Retirement_Rates,4,FALSE)*W77,0)</f>
        <v>4682.6769600000007</v>
      </c>
      <c r="BS77" s="462">
        <f>IF(AND(AT77&lt;&gt;0,AJ77&lt;&gt;"PF"),LifeBY*W77,0)</f>
        <v>282.76466400000004</v>
      </c>
      <c r="BT77" s="462">
        <f>IF(AND(AT77&lt;&gt;0,AM77="Y"),UIBY*W77,0)</f>
        <v>0</v>
      </c>
      <c r="BU77" s="462">
        <f>IF(AND(AT77&lt;&gt;0,N77&lt;&gt;"NR"),DHRBY*W77,0)</f>
        <v>120.008304</v>
      </c>
      <c r="BV77" s="462">
        <f>IF(AT77&lt;&gt;0,WCBY*W77,0)</f>
        <v>690.24384000000009</v>
      </c>
      <c r="BW77" s="462">
        <f>IF(OR(AND(AT77&lt;&gt;0,AJ77&lt;&gt;"PF",AN77&lt;&gt;"NE",AG77&lt;&gt;"A"),AND(AL77="E",OR(AT77=1,AT77=3))),SickBY*W77,0)</f>
        <v>0</v>
      </c>
      <c r="BX77" s="462">
        <f t="shared" si="24"/>
        <v>8775.9013680000007</v>
      </c>
      <c r="BY77" s="462">
        <f t="shared" si="25"/>
        <v>0</v>
      </c>
      <c r="BZ77" s="462">
        <f t="shared" si="26"/>
        <v>0</v>
      </c>
      <c r="CA77" s="462">
        <f t="shared" si="27"/>
        <v>0</v>
      </c>
      <c r="CB77" s="462">
        <f t="shared" si="28"/>
        <v>0</v>
      </c>
      <c r="CC77" s="462">
        <f>IF(AT77&lt;&gt;0,SSHICHG*Y77,0)</f>
        <v>0</v>
      </c>
      <c r="CD77" s="462">
        <f>IF(AND(AT77&lt;&gt;0,AN77&lt;&gt;"NE"),VLOOKUP(AN77,Retirement_Rates,5,FALSE)*Y77,0)</f>
        <v>0</v>
      </c>
      <c r="CE77" s="462">
        <f>IF(AND(AT77&lt;&gt;0,AJ77&lt;&gt;"PF"),LifeCHG*Y77,0)</f>
        <v>0</v>
      </c>
      <c r="CF77" s="462">
        <f>IF(AND(AT77&lt;&gt;0,AM77="Y"),UICHG*Y77,0)</f>
        <v>-192.17016000000001</v>
      </c>
      <c r="CG77" s="462">
        <f>IF(AND(AT77&lt;&gt;0,N77&lt;&gt;"NR"),DHRCHG*Y77,0)</f>
        <v>0</v>
      </c>
      <c r="CH77" s="462">
        <f>IF(AT77&lt;&gt;0,WCCHG*Y77,0)</f>
        <v>90.202320000000071</v>
      </c>
      <c r="CI77" s="462">
        <f>IF(OR(AND(AT77&lt;&gt;0,AJ77&lt;&gt;"PF",AN77&lt;&gt;"NE",AG77&lt;&gt;"A"),AND(AL77="E",OR(AT77=1,AT77=3))),SickCHG*Y77,0)</f>
        <v>0</v>
      </c>
      <c r="CJ77" s="462">
        <f t="shared" si="29"/>
        <v>-101.96783999999994</v>
      </c>
      <c r="CK77" s="462" t="str">
        <f t="shared" si="30"/>
        <v/>
      </c>
      <c r="CL77" s="462" t="str">
        <f t="shared" si="31"/>
        <v/>
      </c>
      <c r="CM77" s="462" t="str">
        <f t="shared" si="32"/>
        <v/>
      </c>
      <c r="CN77" s="462" t="str">
        <f t="shared" si="33"/>
        <v>0001-00</v>
      </c>
    </row>
    <row r="78" spans="1:92" ht="15" thickBot="1" x14ac:dyDescent="0.35">
      <c r="A78" s="376" t="s">
        <v>161</v>
      </c>
      <c r="B78" s="376" t="s">
        <v>162</v>
      </c>
      <c r="C78" s="376" t="s">
        <v>498</v>
      </c>
      <c r="D78" s="376" t="s">
        <v>418</v>
      </c>
      <c r="E78" s="376" t="s">
        <v>165</v>
      </c>
      <c r="F78" s="377" t="s">
        <v>166</v>
      </c>
      <c r="G78" s="376" t="s">
        <v>356</v>
      </c>
      <c r="H78" s="378"/>
      <c r="I78" s="378"/>
      <c r="J78" s="376" t="s">
        <v>168</v>
      </c>
      <c r="K78" s="376" t="s">
        <v>419</v>
      </c>
      <c r="L78" s="376" t="s">
        <v>177</v>
      </c>
      <c r="M78" s="376" t="s">
        <v>170</v>
      </c>
      <c r="N78" s="376" t="s">
        <v>202</v>
      </c>
      <c r="O78" s="379">
        <v>1</v>
      </c>
      <c r="P78" s="460">
        <v>0</v>
      </c>
      <c r="Q78" s="460">
        <v>0</v>
      </c>
      <c r="R78" s="380">
        <v>80</v>
      </c>
      <c r="S78" s="460">
        <v>0</v>
      </c>
      <c r="T78" s="380">
        <v>16291</v>
      </c>
      <c r="U78" s="380">
        <v>0</v>
      </c>
      <c r="V78" s="380">
        <v>9680.91</v>
      </c>
      <c r="W78" s="380">
        <v>0</v>
      </c>
      <c r="X78" s="380">
        <v>0</v>
      </c>
      <c r="Y78" s="380">
        <v>0</v>
      </c>
      <c r="Z78" s="380">
        <v>0</v>
      </c>
      <c r="AA78" s="376" t="s">
        <v>499</v>
      </c>
      <c r="AB78" s="376" t="s">
        <v>500</v>
      </c>
      <c r="AC78" s="376" t="s">
        <v>501</v>
      </c>
      <c r="AD78" s="376" t="s">
        <v>278</v>
      </c>
      <c r="AE78" s="376" t="s">
        <v>419</v>
      </c>
      <c r="AF78" s="376" t="s">
        <v>436</v>
      </c>
      <c r="AG78" s="376" t="s">
        <v>177</v>
      </c>
      <c r="AH78" s="381">
        <v>15.5</v>
      </c>
      <c r="AI78" s="381">
        <v>1367.3</v>
      </c>
      <c r="AJ78" s="376" t="s">
        <v>178</v>
      </c>
      <c r="AK78" s="376" t="s">
        <v>179</v>
      </c>
      <c r="AL78" s="376" t="s">
        <v>180</v>
      </c>
      <c r="AM78" s="376" t="s">
        <v>181</v>
      </c>
      <c r="AN78" s="376" t="s">
        <v>68</v>
      </c>
      <c r="AO78" s="379">
        <v>80</v>
      </c>
      <c r="AP78" s="460">
        <v>1</v>
      </c>
      <c r="AQ78" s="460">
        <v>0</v>
      </c>
      <c r="AR78" s="458" t="s">
        <v>182</v>
      </c>
      <c r="AS78" s="462">
        <f t="shared" si="17"/>
        <v>0</v>
      </c>
      <c r="AT78">
        <f t="shared" si="18"/>
        <v>0</v>
      </c>
      <c r="AU78" s="462" t="str">
        <f>IF(AT78=0,"",IF(AND(AT78=1,M78="F",SUMIF(C2:C698,C78,AS2:AS698)&lt;=1),SUMIF(C2:C698,C78,AS2:AS698),IF(AND(AT78=1,M78="F",SUMIF(C2:C698,C78,AS2:AS698)&gt;1),1,"")))</f>
        <v/>
      </c>
      <c r="AV78" s="462" t="str">
        <f>IF(AT78=0,"",IF(AND(AT78=3,M78="F",SUMIF(C2:C698,C78,AS2:AS698)&lt;=1),SUMIF(C2:C698,C78,AS2:AS698),IF(AND(AT78=3,M78="F",SUMIF(C2:C698,C78,AS2:AS698)&gt;1),1,"")))</f>
        <v/>
      </c>
      <c r="AW78" s="462">
        <f>SUMIF(C2:C698,C78,O2:O698)</f>
        <v>4</v>
      </c>
      <c r="AX78" s="462">
        <f>IF(AND(M78="F",AS78&lt;&gt;0),SUMIF(C2:C698,C78,W2:W698),0)</f>
        <v>0</v>
      </c>
      <c r="AY78" s="462" t="str">
        <f t="shared" si="19"/>
        <v/>
      </c>
      <c r="AZ78" s="462" t="str">
        <f t="shared" si="20"/>
        <v/>
      </c>
      <c r="BA78" s="462">
        <f t="shared" si="21"/>
        <v>0</v>
      </c>
      <c r="BB78" s="462">
        <f>IF(AND(AT78=1,AK78="E",AU78&gt;=0.75,AW78=1),Health,IF(AND(AT78=1,AK78="E",AU78&gt;=0.75),Health*P78,IF(AND(AT78=1,AK78="E",AU78&gt;=0.5,AW78=1),PTHealth,IF(AND(AT78=1,AK78="E",AU78&gt;=0.5),PTHealth*P78,0))))</f>
        <v>0</v>
      </c>
      <c r="BC78" s="462">
        <f>IF(AND(AT78=3,AK78="E",AV78&gt;=0.75,AW78=1),Health,IF(AND(AT78=3,AK78="E",AV78&gt;=0.75),Health*P78,IF(AND(AT78=3,AK78="E",AV78&gt;=0.5,AW78=1),PTHealth,IF(AND(AT78=3,AK78="E",AV78&gt;=0.5),PTHealth*P78,0))))</f>
        <v>0</v>
      </c>
      <c r="BD78" s="462">
        <f>IF(AND(AT78&lt;&gt;0,AX78&gt;=MAXSSDI),SSDI*MAXSSDI*P78,IF(AT78&lt;&gt;0,SSDI*W78,0))</f>
        <v>0</v>
      </c>
      <c r="BE78" s="462">
        <f>IF(AT78&lt;&gt;0,SSHI*W78,0)</f>
        <v>0</v>
      </c>
      <c r="BF78" s="462">
        <f>IF(AND(AT78&lt;&gt;0,AN78&lt;&gt;"NE"),VLOOKUP(AN78,Retirement_Rates,3,FALSE)*W78,0)</f>
        <v>0</v>
      </c>
      <c r="BG78" s="462">
        <f>IF(AND(AT78&lt;&gt;0,AJ78&lt;&gt;"PF"),Life*W78,0)</f>
        <v>0</v>
      </c>
      <c r="BH78" s="462">
        <f>IF(AND(AT78&lt;&gt;0,AM78="Y"),UI*W78,0)</f>
        <v>0</v>
      </c>
      <c r="BI78" s="462">
        <f>IF(AND(AT78&lt;&gt;0,N78&lt;&gt;"NR"),DHR*W78,0)</f>
        <v>0</v>
      </c>
      <c r="BJ78" s="462">
        <f>IF(AT78&lt;&gt;0,WC*W78,0)</f>
        <v>0</v>
      </c>
      <c r="BK78" s="462">
        <f>IF(OR(AND(AT78&lt;&gt;0,AJ78&lt;&gt;"PF",AN78&lt;&gt;"NE",AG78&lt;&gt;"A"),AND(AL78="E",OR(AT78=1,AT78=3))),Sick*W78,0)</f>
        <v>0</v>
      </c>
      <c r="BL78" s="462">
        <f t="shared" si="22"/>
        <v>0</v>
      </c>
      <c r="BM78" s="462">
        <f t="shared" si="23"/>
        <v>0</v>
      </c>
      <c r="BN78" s="462">
        <f>IF(AND(AT78=1,AK78="E",AU78&gt;=0.75,AW78=1),HealthBY,IF(AND(AT78=1,AK78="E",AU78&gt;=0.75),HealthBY*P78,IF(AND(AT78=1,AK78="E",AU78&gt;=0.5,AW78=1),PTHealthBY,IF(AND(AT78=1,AK78="E",AU78&gt;=0.5),PTHealthBY*P78,0))))</f>
        <v>0</v>
      </c>
      <c r="BO78" s="462">
        <f>IF(AND(AT78=3,AK78="E",AV78&gt;=0.75,AW78=1),HealthBY,IF(AND(AT78=3,AK78="E",AV78&gt;=0.75),HealthBY*P78,IF(AND(AT78=3,AK78="E",AV78&gt;=0.5,AW78=1),PTHealthBY,IF(AND(AT78=3,AK78="E",AV78&gt;=0.5),PTHealthBY*P78,0))))</f>
        <v>0</v>
      </c>
      <c r="BP78" s="462">
        <f>IF(AND(AT78&lt;&gt;0,(AX78+BA78)&gt;=MAXSSDIBY),SSDIBY*MAXSSDIBY*P78,IF(AT78&lt;&gt;0,SSDIBY*W78,0))</f>
        <v>0</v>
      </c>
      <c r="BQ78" s="462">
        <f>IF(AT78&lt;&gt;0,SSHIBY*W78,0)</f>
        <v>0</v>
      </c>
      <c r="BR78" s="462">
        <f>IF(AND(AT78&lt;&gt;0,AN78&lt;&gt;"NE"),VLOOKUP(AN78,Retirement_Rates,4,FALSE)*W78,0)</f>
        <v>0</v>
      </c>
      <c r="BS78" s="462">
        <f>IF(AND(AT78&lt;&gt;0,AJ78&lt;&gt;"PF"),LifeBY*W78,0)</f>
        <v>0</v>
      </c>
      <c r="BT78" s="462">
        <f>IF(AND(AT78&lt;&gt;0,AM78="Y"),UIBY*W78,0)</f>
        <v>0</v>
      </c>
      <c r="BU78" s="462">
        <f>IF(AND(AT78&lt;&gt;0,N78&lt;&gt;"NR"),DHRBY*W78,0)</f>
        <v>0</v>
      </c>
      <c r="BV78" s="462">
        <f>IF(AT78&lt;&gt;0,WCBY*W78,0)</f>
        <v>0</v>
      </c>
      <c r="BW78" s="462">
        <f>IF(OR(AND(AT78&lt;&gt;0,AJ78&lt;&gt;"PF",AN78&lt;&gt;"NE",AG78&lt;&gt;"A"),AND(AL78="E",OR(AT78=1,AT78=3))),SickBY*W78,0)</f>
        <v>0</v>
      </c>
      <c r="BX78" s="462">
        <f t="shared" si="24"/>
        <v>0</v>
      </c>
      <c r="BY78" s="462">
        <f t="shared" si="25"/>
        <v>0</v>
      </c>
      <c r="BZ78" s="462">
        <f t="shared" si="26"/>
        <v>0</v>
      </c>
      <c r="CA78" s="462">
        <f t="shared" si="27"/>
        <v>0</v>
      </c>
      <c r="CB78" s="462">
        <f t="shared" si="28"/>
        <v>0</v>
      </c>
      <c r="CC78" s="462">
        <f>IF(AT78&lt;&gt;0,SSHICHG*Y78,0)</f>
        <v>0</v>
      </c>
      <c r="CD78" s="462">
        <f>IF(AND(AT78&lt;&gt;0,AN78&lt;&gt;"NE"),VLOOKUP(AN78,Retirement_Rates,5,FALSE)*Y78,0)</f>
        <v>0</v>
      </c>
      <c r="CE78" s="462">
        <f>IF(AND(AT78&lt;&gt;0,AJ78&lt;&gt;"PF"),LifeCHG*Y78,0)</f>
        <v>0</v>
      </c>
      <c r="CF78" s="462">
        <f>IF(AND(AT78&lt;&gt;0,AM78="Y"),UICHG*Y78,0)</f>
        <v>0</v>
      </c>
      <c r="CG78" s="462">
        <f>IF(AND(AT78&lt;&gt;0,N78&lt;&gt;"NR"),DHRCHG*Y78,0)</f>
        <v>0</v>
      </c>
      <c r="CH78" s="462">
        <f>IF(AT78&lt;&gt;0,WCCHG*Y78,0)</f>
        <v>0</v>
      </c>
      <c r="CI78" s="462">
        <f>IF(OR(AND(AT78&lt;&gt;0,AJ78&lt;&gt;"PF",AN78&lt;&gt;"NE",AG78&lt;&gt;"A"),AND(AL78="E",OR(AT78=1,AT78=3))),SickCHG*Y78,0)</f>
        <v>0</v>
      </c>
      <c r="CJ78" s="462">
        <f t="shared" si="29"/>
        <v>0</v>
      </c>
      <c r="CK78" s="462" t="str">
        <f t="shared" si="30"/>
        <v/>
      </c>
      <c r="CL78" s="462" t="str">
        <f t="shared" si="31"/>
        <v/>
      </c>
      <c r="CM78" s="462" t="str">
        <f t="shared" si="32"/>
        <v/>
      </c>
      <c r="CN78" s="462" t="str">
        <f t="shared" si="33"/>
        <v>0001-00</v>
      </c>
    </row>
    <row r="79" spans="1:92" ht="15" thickBot="1" x14ac:dyDescent="0.35">
      <c r="A79" s="376" t="s">
        <v>161</v>
      </c>
      <c r="B79" s="376" t="s">
        <v>162</v>
      </c>
      <c r="C79" s="376" t="s">
        <v>502</v>
      </c>
      <c r="D79" s="376" t="s">
        <v>418</v>
      </c>
      <c r="E79" s="376" t="s">
        <v>165</v>
      </c>
      <c r="F79" s="377" t="s">
        <v>166</v>
      </c>
      <c r="G79" s="376" t="s">
        <v>356</v>
      </c>
      <c r="H79" s="378"/>
      <c r="I79" s="378"/>
      <c r="J79" s="376" t="s">
        <v>168</v>
      </c>
      <c r="K79" s="376" t="s">
        <v>419</v>
      </c>
      <c r="L79" s="376" t="s">
        <v>177</v>
      </c>
      <c r="M79" s="376" t="s">
        <v>170</v>
      </c>
      <c r="N79" s="376" t="s">
        <v>202</v>
      </c>
      <c r="O79" s="379">
        <v>1</v>
      </c>
      <c r="P79" s="460">
        <v>0</v>
      </c>
      <c r="Q79" s="460">
        <v>0</v>
      </c>
      <c r="R79" s="380">
        <v>80</v>
      </c>
      <c r="S79" s="460">
        <v>0</v>
      </c>
      <c r="T79" s="380">
        <v>17489.12</v>
      </c>
      <c r="U79" s="380">
        <v>0</v>
      </c>
      <c r="V79" s="380">
        <v>10210.67</v>
      </c>
      <c r="W79" s="380">
        <v>0</v>
      </c>
      <c r="X79" s="380">
        <v>0</v>
      </c>
      <c r="Y79" s="380">
        <v>0</v>
      </c>
      <c r="Z79" s="380">
        <v>0</v>
      </c>
      <c r="AA79" s="376" t="s">
        <v>503</v>
      </c>
      <c r="AB79" s="376" t="s">
        <v>218</v>
      </c>
      <c r="AC79" s="376" t="s">
        <v>504</v>
      </c>
      <c r="AD79" s="376" t="s">
        <v>215</v>
      </c>
      <c r="AE79" s="376" t="s">
        <v>419</v>
      </c>
      <c r="AF79" s="376" t="s">
        <v>436</v>
      </c>
      <c r="AG79" s="376" t="s">
        <v>177</v>
      </c>
      <c r="AH79" s="381">
        <v>15.93</v>
      </c>
      <c r="AI79" s="381">
        <v>5922.8</v>
      </c>
      <c r="AJ79" s="376" t="s">
        <v>178</v>
      </c>
      <c r="AK79" s="376" t="s">
        <v>179</v>
      </c>
      <c r="AL79" s="376" t="s">
        <v>180</v>
      </c>
      <c r="AM79" s="376" t="s">
        <v>181</v>
      </c>
      <c r="AN79" s="376" t="s">
        <v>68</v>
      </c>
      <c r="AO79" s="379">
        <v>80</v>
      </c>
      <c r="AP79" s="460">
        <v>1</v>
      </c>
      <c r="AQ79" s="460">
        <v>0</v>
      </c>
      <c r="AR79" s="458" t="s">
        <v>182</v>
      </c>
      <c r="AS79" s="462">
        <f t="shared" si="17"/>
        <v>0</v>
      </c>
      <c r="AT79">
        <f t="shared" si="18"/>
        <v>0</v>
      </c>
      <c r="AU79" s="462" t="str">
        <f>IF(AT79=0,"",IF(AND(AT79=1,M79="F",SUMIF(C2:C698,C79,AS2:AS698)&lt;=1),SUMIF(C2:C698,C79,AS2:AS698),IF(AND(AT79=1,M79="F",SUMIF(C2:C698,C79,AS2:AS698)&gt;1),1,"")))</f>
        <v/>
      </c>
      <c r="AV79" s="462" t="str">
        <f>IF(AT79=0,"",IF(AND(AT79=3,M79="F",SUMIF(C2:C698,C79,AS2:AS698)&lt;=1),SUMIF(C2:C698,C79,AS2:AS698),IF(AND(AT79=3,M79="F",SUMIF(C2:C698,C79,AS2:AS698)&gt;1),1,"")))</f>
        <v/>
      </c>
      <c r="AW79" s="462">
        <f>SUMIF(C2:C698,C79,O2:O698)</f>
        <v>4</v>
      </c>
      <c r="AX79" s="462">
        <f>IF(AND(M79="F",AS79&lt;&gt;0),SUMIF(C2:C698,C79,W2:W698),0)</f>
        <v>0</v>
      </c>
      <c r="AY79" s="462" t="str">
        <f t="shared" si="19"/>
        <v/>
      </c>
      <c r="AZ79" s="462" t="str">
        <f t="shared" si="20"/>
        <v/>
      </c>
      <c r="BA79" s="462">
        <f t="shared" si="21"/>
        <v>0</v>
      </c>
      <c r="BB79" s="462">
        <f>IF(AND(AT79=1,AK79="E",AU79&gt;=0.75,AW79=1),Health,IF(AND(AT79=1,AK79="E",AU79&gt;=0.75),Health*P79,IF(AND(AT79=1,AK79="E",AU79&gt;=0.5,AW79=1),PTHealth,IF(AND(AT79=1,AK79="E",AU79&gt;=0.5),PTHealth*P79,0))))</f>
        <v>0</v>
      </c>
      <c r="BC79" s="462">
        <f>IF(AND(AT79=3,AK79="E",AV79&gt;=0.75,AW79=1),Health,IF(AND(AT79=3,AK79="E",AV79&gt;=0.75),Health*P79,IF(AND(AT79=3,AK79="E",AV79&gt;=0.5,AW79=1),PTHealth,IF(AND(AT79=3,AK79="E",AV79&gt;=0.5),PTHealth*P79,0))))</f>
        <v>0</v>
      </c>
      <c r="BD79" s="462">
        <f>IF(AND(AT79&lt;&gt;0,AX79&gt;=MAXSSDI),SSDI*MAXSSDI*P79,IF(AT79&lt;&gt;0,SSDI*W79,0))</f>
        <v>0</v>
      </c>
      <c r="BE79" s="462">
        <f>IF(AT79&lt;&gt;0,SSHI*W79,0)</f>
        <v>0</v>
      </c>
      <c r="BF79" s="462">
        <f>IF(AND(AT79&lt;&gt;0,AN79&lt;&gt;"NE"),VLOOKUP(AN79,Retirement_Rates,3,FALSE)*W79,0)</f>
        <v>0</v>
      </c>
      <c r="BG79" s="462">
        <f>IF(AND(AT79&lt;&gt;0,AJ79&lt;&gt;"PF"),Life*W79,0)</f>
        <v>0</v>
      </c>
      <c r="BH79" s="462">
        <f>IF(AND(AT79&lt;&gt;0,AM79="Y"),UI*W79,0)</f>
        <v>0</v>
      </c>
      <c r="BI79" s="462">
        <f>IF(AND(AT79&lt;&gt;0,N79&lt;&gt;"NR"),DHR*W79,0)</f>
        <v>0</v>
      </c>
      <c r="BJ79" s="462">
        <f>IF(AT79&lt;&gt;0,WC*W79,0)</f>
        <v>0</v>
      </c>
      <c r="BK79" s="462">
        <f>IF(OR(AND(AT79&lt;&gt;0,AJ79&lt;&gt;"PF",AN79&lt;&gt;"NE",AG79&lt;&gt;"A"),AND(AL79="E",OR(AT79=1,AT79=3))),Sick*W79,0)</f>
        <v>0</v>
      </c>
      <c r="BL79" s="462">
        <f t="shared" si="22"/>
        <v>0</v>
      </c>
      <c r="BM79" s="462">
        <f t="shared" si="23"/>
        <v>0</v>
      </c>
      <c r="BN79" s="462">
        <f>IF(AND(AT79=1,AK79="E",AU79&gt;=0.75,AW79=1),HealthBY,IF(AND(AT79=1,AK79="E",AU79&gt;=0.75),HealthBY*P79,IF(AND(AT79=1,AK79="E",AU79&gt;=0.5,AW79=1),PTHealthBY,IF(AND(AT79=1,AK79="E",AU79&gt;=0.5),PTHealthBY*P79,0))))</f>
        <v>0</v>
      </c>
      <c r="BO79" s="462">
        <f>IF(AND(AT79=3,AK79="E",AV79&gt;=0.75,AW79=1),HealthBY,IF(AND(AT79=3,AK79="E",AV79&gt;=0.75),HealthBY*P79,IF(AND(AT79=3,AK79="E",AV79&gt;=0.5,AW79=1),PTHealthBY,IF(AND(AT79=3,AK79="E",AV79&gt;=0.5),PTHealthBY*P79,0))))</f>
        <v>0</v>
      </c>
      <c r="BP79" s="462">
        <f>IF(AND(AT79&lt;&gt;0,(AX79+BA79)&gt;=MAXSSDIBY),SSDIBY*MAXSSDIBY*P79,IF(AT79&lt;&gt;0,SSDIBY*W79,0))</f>
        <v>0</v>
      </c>
      <c r="BQ79" s="462">
        <f>IF(AT79&lt;&gt;0,SSHIBY*W79,0)</f>
        <v>0</v>
      </c>
      <c r="BR79" s="462">
        <f>IF(AND(AT79&lt;&gt;0,AN79&lt;&gt;"NE"),VLOOKUP(AN79,Retirement_Rates,4,FALSE)*W79,0)</f>
        <v>0</v>
      </c>
      <c r="BS79" s="462">
        <f>IF(AND(AT79&lt;&gt;0,AJ79&lt;&gt;"PF"),LifeBY*W79,0)</f>
        <v>0</v>
      </c>
      <c r="BT79" s="462">
        <f>IF(AND(AT79&lt;&gt;0,AM79="Y"),UIBY*W79,0)</f>
        <v>0</v>
      </c>
      <c r="BU79" s="462">
        <f>IF(AND(AT79&lt;&gt;0,N79&lt;&gt;"NR"),DHRBY*W79,0)</f>
        <v>0</v>
      </c>
      <c r="BV79" s="462">
        <f>IF(AT79&lt;&gt;0,WCBY*W79,0)</f>
        <v>0</v>
      </c>
      <c r="BW79" s="462">
        <f>IF(OR(AND(AT79&lt;&gt;0,AJ79&lt;&gt;"PF",AN79&lt;&gt;"NE",AG79&lt;&gt;"A"),AND(AL79="E",OR(AT79=1,AT79=3))),SickBY*W79,0)</f>
        <v>0</v>
      </c>
      <c r="BX79" s="462">
        <f t="shared" si="24"/>
        <v>0</v>
      </c>
      <c r="BY79" s="462">
        <f t="shared" si="25"/>
        <v>0</v>
      </c>
      <c r="BZ79" s="462">
        <f t="shared" si="26"/>
        <v>0</v>
      </c>
      <c r="CA79" s="462">
        <f t="shared" si="27"/>
        <v>0</v>
      </c>
      <c r="CB79" s="462">
        <f t="shared" si="28"/>
        <v>0</v>
      </c>
      <c r="CC79" s="462">
        <f>IF(AT79&lt;&gt;0,SSHICHG*Y79,0)</f>
        <v>0</v>
      </c>
      <c r="CD79" s="462">
        <f>IF(AND(AT79&lt;&gt;0,AN79&lt;&gt;"NE"),VLOOKUP(AN79,Retirement_Rates,5,FALSE)*Y79,0)</f>
        <v>0</v>
      </c>
      <c r="CE79" s="462">
        <f>IF(AND(AT79&lt;&gt;0,AJ79&lt;&gt;"PF"),LifeCHG*Y79,0)</f>
        <v>0</v>
      </c>
      <c r="CF79" s="462">
        <f>IF(AND(AT79&lt;&gt;0,AM79="Y"),UICHG*Y79,0)</f>
        <v>0</v>
      </c>
      <c r="CG79" s="462">
        <f>IF(AND(AT79&lt;&gt;0,N79&lt;&gt;"NR"),DHRCHG*Y79,0)</f>
        <v>0</v>
      </c>
      <c r="CH79" s="462">
        <f>IF(AT79&lt;&gt;0,WCCHG*Y79,0)</f>
        <v>0</v>
      </c>
      <c r="CI79" s="462">
        <f>IF(OR(AND(AT79&lt;&gt;0,AJ79&lt;&gt;"PF",AN79&lt;&gt;"NE",AG79&lt;&gt;"A"),AND(AL79="E",OR(AT79=1,AT79=3))),SickCHG*Y79,0)</f>
        <v>0</v>
      </c>
      <c r="CJ79" s="462">
        <f t="shared" si="29"/>
        <v>0</v>
      </c>
      <c r="CK79" s="462" t="str">
        <f t="shared" si="30"/>
        <v/>
      </c>
      <c r="CL79" s="462" t="str">
        <f t="shared" si="31"/>
        <v/>
      </c>
      <c r="CM79" s="462" t="str">
        <f t="shared" si="32"/>
        <v/>
      </c>
      <c r="CN79" s="462" t="str">
        <f t="shared" si="33"/>
        <v>0001-00</v>
      </c>
    </row>
    <row r="80" spans="1:92" ht="15" thickBot="1" x14ac:dyDescent="0.35">
      <c r="A80" s="376" t="s">
        <v>161</v>
      </c>
      <c r="B80" s="376" t="s">
        <v>162</v>
      </c>
      <c r="C80" s="376" t="s">
        <v>505</v>
      </c>
      <c r="D80" s="376" t="s">
        <v>307</v>
      </c>
      <c r="E80" s="376" t="s">
        <v>165</v>
      </c>
      <c r="F80" s="377" t="s">
        <v>166</v>
      </c>
      <c r="G80" s="376" t="s">
        <v>356</v>
      </c>
      <c r="H80" s="378"/>
      <c r="I80" s="378"/>
      <c r="J80" s="376" t="s">
        <v>168</v>
      </c>
      <c r="K80" s="376" t="s">
        <v>308</v>
      </c>
      <c r="L80" s="376" t="s">
        <v>179</v>
      </c>
      <c r="M80" s="376" t="s">
        <v>201</v>
      </c>
      <c r="N80" s="376" t="s">
        <v>291</v>
      </c>
      <c r="O80" s="379">
        <v>0</v>
      </c>
      <c r="P80" s="460">
        <v>1</v>
      </c>
      <c r="Q80" s="460">
        <v>0</v>
      </c>
      <c r="R80" s="380">
        <v>0</v>
      </c>
      <c r="S80" s="460">
        <v>0</v>
      </c>
      <c r="T80" s="380">
        <v>0</v>
      </c>
      <c r="U80" s="380">
        <v>0</v>
      </c>
      <c r="V80" s="380">
        <v>0</v>
      </c>
      <c r="W80" s="380">
        <v>0</v>
      </c>
      <c r="X80" s="380">
        <v>0</v>
      </c>
      <c r="Y80" s="380">
        <v>0</v>
      </c>
      <c r="Z80" s="380">
        <v>0</v>
      </c>
      <c r="AA80" s="378"/>
      <c r="AB80" s="376" t="s">
        <v>45</v>
      </c>
      <c r="AC80" s="376" t="s">
        <v>45</v>
      </c>
      <c r="AD80" s="378"/>
      <c r="AE80" s="378"/>
      <c r="AF80" s="378"/>
      <c r="AG80" s="378"/>
      <c r="AH80" s="379">
        <v>0</v>
      </c>
      <c r="AI80" s="379">
        <v>0</v>
      </c>
      <c r="AJ80" s="378"/>
      <c r="AK80" s="378"/>
      <c r="AL80" s="376" t="s">
        <v>180</v>
      </c>
      <c r="AM80" s="378"/>
      <c r="AN80" s="378"/>
      <c r="AO80" s="379">
        <v>0</v>
      </c>
      <c r="AP80" s="460">
        <v>0</v>
      </c>
      <c r="AQ80" s="460">
        <v>0</v>
      </c>
      <c r="AR80" s="459"/>
      <c r="AS80" s="462">
        <f t="shared" si="17"/>
        <v>0</v>
      </c>
      <c r="AT80">
        <f t="shared" si="18"/>
        <v>0</v>
      </c>
      <c r="AU80" s="462" t="str">
        <f>IF(AT80=0,"",IF(AND(AT80=1,M80="F",SUMIF(C2:C698,C80,AS2:AS698)&lt;=1),SUMIF(C2:C698,C80,AS2:AS698),IF(AND(AT80=1,M80="F",SUMIF(C2:C698,C80,AS2:AS698)&gt;1),1,"")))</f>
        <v/>
      </c>
      <c r="AV80" s="462" t="str">
        <f>IF(AT80=0,"",IF(AND(AT80=3,M80="F",SUMIF(C2:C698,C80,AS2:AS698)&lt;=1),SUMIF(C2:C698,C80,AS2:AS698),IF(AND(AT80=3,M80="F",SUMIF(C2:C698,C80,AS2:AS698)&gt;1),1,"")))</f>
        <v/>
      </c>
      <c r="AW80" s="462">
        <f>SUMIF(C2:C698,C80,O2:O698)</f>
        <v>0</v>
      </c>
      <c r="AX80" s="462">
        <f>IF(AND(M80="F",AS80&lt;&gt;0),SUMIF(C2:C698,C80,W2:W698),0)</f>
        <v>0</v>
      </c>
      <c r="AY80" s="462" t="str">
        <f t="shared" si="19"/>
        <v/>
      </c>
      <c r="AZ80" s="462" t="str">
        <f t="shared" si="20"/>
        <v/>
      </c>
      <c r="BA80" s="462">
        <f t="shared" si="21"/>
        <v>0</v>
      </c>
      <c r="BB80" s="462">
        <f>IF(AND(AT80=1,AK80="E",AU80&gt;=0.75,AW80=1),Health,IF(AND(AT80=1,AK80="E",AU80&gt;=0.75),Health*P80,IF(AND(AT80=1,AK80="E",AU80&gt;=0.5,AW80=1),PTHealth,IF(AND(AT80=1,AK80="E",AU80&gt;=0.5),PTHealth*P80,0))))</f>
        <v>0</v>
      </c>
      <c r="BC80" s="462">
        <f>IF(AND(AT80=3,AK80="E",AV80&gt;=0.75,AW80=1),Health,IF(AND(AT80=3,AK80="E",AV80&gt;=0.75),Health*P80,IF(AND(AT80=3,AK80="E",AV80&gt;=0.5,AW80=1),PTHealth,IF(AND(AT80=3,AK80="E",AV80&gt;=0.5),PTHealth*P80,0))))</f>
        <v>0</v>
      </c>
      <c r="BD80" s="462">
        <f>IF(AND(AT80&lt;&gt;0,AX80&gt;=MAXSSDI),SSDI*MAXSSDI*P80,IF(AT80&lt;&gt;0,SSDI*W80,0))</f>
        <v>0</v>
      </c>
      <c r="BE80" s="462">
        <f>IF(AT80&lt;&gt;0,SSHI*W80,0)</f>
        <v>0</v>
      </c>
      <c r="BF80" s="462">
        <f>IF(AND(AT80&lt;&gt;0,AN80&lt;&gt;"NE"),VLOOKUP(AN80,Retirement_Rates,3,FALSE)*W80,0)</f>
        <v>0</v>
      </c>
      <c r="BG80" s="462">
        <f>IF(AND(AT80&lt;&gt;0,AJ80&lt;&gt;"PF"),Life*W80,0)</f>
        <v>0</v>
      </c>
      <c r="BH80" s="462">
        <f>IF(AND(AT80&lt;&gt;0,AM80="Y"),UI*W80,0)</f>
        <v>0</v>
      </c>
      <c r="BI80" s="462">
        <f>IF(AND(AT80&lt;&gt;0,N80&lt;&gt;"NR"),DHR*W80,0)</f>
        <v>0</v>
      </c>
      <c r="BJ80" s="462">
        <f>IF(AT80&lt;&gt;0,WC*W80,0)</f>
        <v>0</v>
      </c>
      <c r="BK80" s="462">
        <f>IF(OR(AND(AT80&lt;&gt;0,AJ80&lt;&gt;"PF",AN80&lt;&gt;"NE",AG80&lt;&gt;"A"),AND(AL80="E",OR(AT80=1,AT80=3))),Sick*W80,0)</f>
        <v>0</v>
      </c>
      <c r="BL80" s="462">
        <f t="shared" si="22"/>
        <v>0</v>
      </c>
      <c r="BM80" s="462">
        <f t="shared" si="23"/>
        <v>0</v>
      </c>
      <c r="BN80" s="462">
        <f>IF(AND(AT80=1,AK80="E",AU80&gt;=0.75,AW80=1),HealthBY,IF(AND(AT80=1,AK80="E",AU80&gt;=0.75),HealthBY*P80,IF(AND(AT80=1,AK80="E",AU80&gt;=0.5,AW80=1),PTHealthBY,IF(AND(AT80=1,AK80="E",AU80&gt;=0.5),PTHealthBY*P80,0))))</f>
        <v>0</v>
      </c>
      <c r="BO80" s="462">
        <f>IF(AND(AT80=3,AK80="E",AV80&gt;=0.75,AW80=1),HealthBY,IF(AND(AT80=3,AK80="E",AV80&gt;=0.75),HealthBY*P80,IF(AND(AT80=3,AK80="E",AV80&gt;=0.5,AW80=1),PTHealthBY,IF(AND(AT80=3,AK80="E",AV80&gt;=0.5),PTHealthBY*P80,0))))</f>
        <v>0</v>
      </c>
      <c r="BP80" s="462">
        <f>IF(AND(AT80&lt;&gt;0,(AX80+BA80)&gt;=MAXSSDIBY),SSDIBY*MAXSSDIBY*P80,IF(AT80&lt;&gt;0,SSDIBY*W80,0))</f>
        <v>0</v>
      </c>
      <c r="BQ80" s="462">
        <f>IF(AT80&lt;&gt;0,SSHIBY*W80,0)</f>
        <v>0</v>
      </c>
      <c r="BR80" s="462">
        <f>IF(AND(AT80&lt;&gt;0,AN80&lt;&gt;"NE"),VLOOKUP(AN80,Retirement_Rates,4,FALSE)*W80,0)</f>
        <v>0</v>
      </c>
      <c r="BS80" s="462">
        <f>IF(AND(AT80&lt;&gt;0,AJ80&lt;&gt;"PF"),LifeBY*W80,0)</f>
        <v>0</v>
      </c>
      <c r="BT80" s="462">
        <f>IF(AND(AT80&lt;&gt;0,AM80="Y"),UIBY*W80,0)</f>
        <v>0</v>
      </c>
      <c r="BU80" s="462">
        <f>IF(AND(AT80&lt;&gt;0,N80&lt;&gt;"NR"),DHRBY*W80,0)</f>
        <v>0</v>
      </c>
      <c r="BV80" s="462">
        <f>IF(AT80&lt;&gt;0,WCBY*W80,0)</f>
        <v>0</v>
      </c>
      <c r="BW80" s="462">
        <f>IF(OR(AND(AT80&lt;&gt;0,AJ80&lt;&gt;"PF",AN80&lt;&gt;"NE",AG80&lt;&gt;"A"),AND(AL80="E",OR(AT80=1,AT80=3))),SickBY*W80,0)</f>
        <v>0</v>
      </c>
      <c r="BX80" s="462">
        <f t="shared" si="24"/>
        <v>0</v>
      </c>
      <c r="BY80" s="462">
        <f t="shared" si="25"/>
        <v>0</v>
      </c>
      <c r="BZ80" s="462">
        <f t="shared" si="26"/>
        <v>0</v>
      </c>
      <c r="CA80" s="462">
        <f t="shared" si="27"/>
        <v>0</v>
      </c>
      <c r="CB80" s="462">
        <f t="shared" si="28"/>
        <v>0</v>
      </c>
      <c r="CC80" s="462">
        <f>IF(AT80&lt;&gt;0,SSHICHG*Y80,0)</f>
        <v>0</v>
      </c>
      <c r="CD80" s="462">
        <f>IF(AND(AT80&lt;&gt;0,AN80&lt;&gt;"NE"),VLOOKUP(AN80,Retirement_Rates,5,FALSE)*Y80,0)</f>
        <v>0</v>
      </c>
      <c r="CE80" s="462">
        <f>IF(AND(AT80&lt;&gt;0,AJ80&lt;&gt;"PF"),LifeCHG*Y80,0)</f>
        <v>0</v>
      </c>
      <c r="CF80" s="462">
        <f>IF(AND(AT80&lt;&gt;0,AM80="Y"),UICHG*Y80,0)</f>
        <v>0</v>
      </c>
      <c r="CG80" s="462">
        <f>IF(AND(AT80&lt;&gt;0,N80&lt;&gt;"NR"),DHRCHG*Y80,0)</f>
        <v>0</v>
      </c>
      <c r="CH80" s="462">
        <f>IF(AT80&lt;&gt;0,WCCHG*Y80,0)</f>
        <v>0</v>
      </c>
      <c r="CI80" s="462">
        <f>IF(OR(AND(AT80&lt;&gt;0,AJ80&lt;&gt;"PF",AN80&lt;&gt;"NE",AG80&lt;&gt;"A"),AND(AL80="E",OR(AT80=1,AT80=3))),SickCHG*Y80,0)</f>
        <v>0</v>
      </c>
      <c r="CJ80" s="462">
        <f t="shared" si="29"/>
        <v>0</v>
      </c>
      <c r="CK80" s="462" t="str">
        <f t="shared" si="30"/>
        <v/>
      </c>
      <c r="CL80" s="462">
        <f t="shared" si="31"/>
        <v>0</v>
      </c>
      <c r="CM80" s="462">
        <f t="shared" si="32"/>
        <v>0</v>
      </c>
      <c r="CN80" s="462" t="str">
        <f t="shared" si="33"/>
        <v>0001-00</v>
      </c>
    </row>
    <row r="81" spans="1:92" ht="15" thickBot="1" x14ac:dyDescent="0.35">
      <c r="A81" s="376" t="s">
        <v>161</v>
      </c>
      <c r="B81" s="376" t="s">
        <v>162</v>
      </c>
      <c r="C81" s="376" t="s">
        <v>506</v>
      </c>
      <c r="D81" s="376" t="s">
        <v>380</v>
      </c>
      <c r="E81" s="376" t="s">
        <v>165</v>
      </c>
      <c r="F81" s="377" t="s">
        <v>166</v>
      </c>
      <c r="G81" s="376" t="s">
        <v>356</v>
      </c>
      <c r="H81" s="378"/>
      <c r="I81" s="378"/>
      <c r="J81" s="376" t="s">
        <v>168</v>
      </c>
      <c r="K81" s="376" t="s">
        <v>381</v>
      </c>
      <c r="L81" s="376" t="s">
        <v>247</v>
      </c>
      <c r="M81" s="376" t="s">
        <v>170</v>
      </c>
      <c r="N81" s="376" t="s">
        <v>202</v>
      </c>
      <c r="O81" s="379">
        <v>1</v>
      </c>
      <c r="P81" s="460">
        <v>1</v>
      </c>
      <c r="Q81" s="460">
        <v>1</v>
      </c>
      <c r="R81" s="380">
        <v>80</v>
      </c>
      <c r="S81" s="460">
        <v>1</v>
      </c>
      <c r="T81" s="380">
        <v>56438.400000000001</v>
      </c>
      <c r="U81" s="380">
        <v>0</v>
      </c>
      <c r="V81" s="380">
        <v>23610.94</v>
      </c>
      <c r="W81" s="380">
        <v>58572.800000000003</v>
      </c>
      <c r="X81" s="380">
        <v>24909.09</v>
      </c>
      <c r="Y81" s="380">
        <v>58572.800000000003</v>
      </c>
      <c r="Z81" s="380">
        <v>24756.81</v>
      </c>
      <c r="AA81" s="376" t="s">
        <v>507</v>
      </c>
      <c r="AB81" s="376" t="s">
        <v>508</v>
      </c>
      <c r="AC81" s="376" t="s">
        <v>509</v>
      </c>
      <c r="AD81" s="376" t="s">
        <v>224</v>
      </c>
      <c r="AE81" s="376" t="s">
        <v>381</v>
      </c>
      <c r="AF81" s="376" t="s">
        <v>299</v>
      </c>
      <c r="AG81" s="376" t="s">
        <v>177</v>
      </c>
      <c r="AH81" s="381">
        <v>28.16</v>
      </c>
      <c r="AI81" s="379">
        <v>4327</v>
      </c>
      <c r="AJ81" s="376" t="s">
        <v>178</v>
      </c>
      <c r="AK81" s="376" t="s">
        <v>179</v>
      </c>
      <c r="AL81" s="376" t="s">
        <v>180</v>
      </c>
      <c r="AM81" s="376" t="s">
        <v>181</v>
      </c>
      <c r="AN81" s="376" t="s">
        <v>68</v>
      </c>
      <c r="AO81" s="379">
        <v>80</v>
      </c>
      <c r="AP81" s="460">
        <v>1</v>
      </c>
      <c r="AQ81" s="460">
        <v>1</v>
      </c>
      <c r="AR81" s="458" t="s">
        <v>182</v>
      </c>
      <c r="AS81" s="462">
        <f t="shared" si="17"/>
        <v>1</v>
      </c>
      <c r="AT81">
        <f t="shared" si="18"/>
        <v>1</v>
      </c>
      <c r="AU81" s="462">
        <f>IF(AT81=0,"",IF(AND(AT81=1,M81="F",SUMIF(C2:C698,C81,AS2:AS698)&lt;=1),SUMIF(C2:C698,C81,AS2:AS698),IF(AND(AT81=1,M81="F",SUMIF(C2:C698,C81,AS2:AS698)&gt;1),1,"")))</f>
        <v>1</v>
      </c>
      <c r="AV81" s="462" t="str">
        <f>IF(AT81=0,"",IF(AND(AT81=3,M81="F",SUMIF(C2:C698,C81,AS2:AS698)&lt;=1),SUMIF(C2:C698,C81,AS2:AS698),IF(AND(AT81=3,M81="F",SUMIF(C2:C698,C81,AS2:AS698)&gt;1),1,"")))</f>
        <v/>
      </c>
      <c r="AW81" s="462">
        <f>SUMIF(C2:C698,C81,O2:O698)</f>
        <v>1</v>
      </c>
      <c r="AX81" s="462">
        <f>IF(AND(M81="F",AS81&lt;&gt;0),SUMIF(C2:C698,C81,W2:W698),0)</f>
        <v>58572.800000000003</v>
      </c>
      <c r="AY81" s="462">
        <f t="shared" si="19"/>
        <v>58572.800000000003</v>
      </c>
      <c r="AZ81" s="462" t="str">
        <f t="shared" si="20"/>
        <v/>
      </c>
      <c r="BA81" s="462">
        <f t="shared" si="21"/>
        <v>0</v>
      </c>
      <c r="BB81" s="462">
        <f>IF(AND(AT81=1,AK81="E",AU81&gt;=0.75,AW81=1),Health,IF(AND(AT81=1,AK81="E",AU81&gt;=0.75),Health*P81,IF(AND(AT81=1,AK81="E",AU81&gt;=0.5,AW81=1),PTHealth,IF(AND(AT81=1,AK81="E",AU81&gt;=0.5),PTHealth*P81,0))))</f>
        <v>11650</v>
      </c>
      <c r="BC81" s="462">
        <f>IF(AND(AT81=3,AK81="E",AV81&gt;=0.75,AW81=1),Health,IF(AND(AT81=3,AK81="E",AV81&gt;=0.75),Health*P81,IF(AND(AT81=3,AK81="E",AV81&gt;=0.5,AW81=1),PTHealth,IF(AND(AT81=3,AK81="E",AV81&gt;=0.5),PTHealth*P81,0))))</f>
        <v>0</v>
      </c>
      <c r="BD81" s="462">
        <f>IF(AND(AT81&lt;&gt;0,AX81&gt;=MAXSSDI),SSDI*MAXSSDI*P81,IF(AT81&lt;&gt;0,SSDI*W81,0))</f>
        <v>3631.5136000000002</v>
      </c>
      <c r="BE81" s="462">
        <f>IF(AT81&lt;&gt;0,SSHI*W81,0)</f>
        <v>849.30560000000014</v>
      </c>
      <c r="BF81" s="462">
        <f>IF(AND(AT81&lt;&gt;0,AN81&lt;&gt;"NE"),VLOOKUP(AN81,Retirement_Rates,3,FALSE)*W81,0)</f>
        <v>6993.5923200000007</v>
      </c>
      <c r="BG81" s="462">
        <f>IF(AND(AT81&lt;&gt;0,AJ81&lt;&gt;"PF"),Life*W81,0)</f>
        <v>422.30988800000006</v>
      </c>
      <c r="BH81" s="462">
        <f>IF(AND(AT81&lt;&gt;0,AM81="Y"),UI*W81,0)</f>
        <v>287.00672000000003</v>
      </c>
      <c r="BI81" s="462">
        <f>IF(AND(AT81&lt;&gt;0,N81&lt;&gt;"NR"),DHR*W81,0)</f>
        <v>179.23276799999999</v>
      </c>
      <c r="BJ81" s="462">
        <f>IF(AT81&lt;&gt;0,WC*W81,0)</f>
        <v>896.16384000000005</v>
      </c>
      <c r="BK81" s="462">
        <f>IF(OR(AND(AT81&lt;&gt;0,AJ81&lt;&gt;"PF",AN81&lt;&gt;"NE",AG81&lt;&gt;"A"),AND(AL81="E",OR(AT81=1,AT81=3))),Sick*W81,0)</f>
        <v>0</v>
      </c>
      <c r="BL81" s="462">
        <f t="shared" si="22"/>
        <v>13259.124736</v>
      </c>
      <c r="BM81" s="462">
        <f t="shared" si="23"/>
        <v>0</v>
      </c>
      <c r="BN81" s="462">
        <f>IF(AND(AT81=1,AK81="E",AU81&gt;=0.75,AW81=1),HealthBY,IF(AND(AT81=1,AK81="E",AU81&gt;=0.75),HealthBY*P81,IF(AND(AT81=1,AK81="E",AU81&gt;=0.5,AW81=1),PTHealthBY,IF(AND(AT81=1,AK81="E",AU81&gt;=0.5),PTHealthBY*P81,0))))</f>
        <v>11650</v>
      </c>
      <c r="BO81" s="462">
        <f>IF(AND(AT81=3,AK81="E",AV81&gt;=0.75,AW81=1),HealthBY,IF(AND(AT81=3,AK81="E",AV81&gt;=0.75),HealthBY*P81,IF(AND(AT81=3,AK81="E",AV81&gt;=0.5,AW81=1),PTHealthBY,IF(AND(AT81=3,AK81="E",AV81&gt;=0.5),PTHealthBY*P81,0))))</f>
        <v>0</v>
      </c>
      <c r="BP81" s="462">
        <f>IF(AND(AT81&lt;&gt;0,(AX81+BA81)&gt;=MAXSSDIBY),SSDIBY*MAXSSDIBY*P81,IF(AT81&lt;&gt;0,SSDIBY*W81,0))</f>
        <v>3631.5136000000002</v>
      </c>
      <c r="BQ81" s="462">
        <f>IF(AT81&lt;&gt;0,SSHIBY*W81,0)</f>
        <v>849.30560000000014</v>
      </c>
      <c r="BR81" s="462">
        <f>IF(AND(AT81&lt;&gt;0,AN81&lt;&gt;"NE"),VLOOKUP(AN81,Retirement_Rates,4,FALSE)*W81,0)</f>
        <v>6993.5923200000007</v>
      </c>
      <c r="BS81" s="462">
        <f>IF(AND(AT81&lt;&gt;0,AJ81&lt;&gt;"PF"),LifeBY*W81,0)</f>
        <v>422.30988800000006</v>
      </c>
      <c r="BT81" s="462">
        <f>IF(AND(AT81&lt;&gt;0,AM81="Y"),UIBY*W81,0)</f>
        <v>0</v>
      </c>
      <c r="BU81" s="462">
        <f>IF(AND(AT81&lt;&gt;0,N81&lt;&gt;"NR"),DHRBY*W81,0)</f>
        <v>179.23276799999999</v>
      </c>
      <c r="BV81" s="462">
        <f>IF(AT81&lt;&gt;0,WCBY*W81,0)</f>
        <v>1030.8812800000001</v>
      </c>
      <c r="BW81" s="462">
        <f>IF(OR(AND(AT81&lt;&gt;0,AJ81&lt;&gt;"PF",AN81&lt;&gt;"NE",AG81&lt;&gt;"A"),AND(AL81="E",OR(AT81=1,AT81=3))),SickBY*W81,0)</f>
        <v>0</v>
      </c>
      <c r="BX81" s="462">
        <f t="shared" si="24"/>
        <v>13106.835456000001</v>
      </c>
      <c r="BY81" s="462">
        <f t="shared" si="25"/>
        <v>0</v>
      </c>
      <c r="BZ81" s="462">
        <f t="shared" si="26"/>
        <v>0</v>
      </c>
      <c r="CA81" s="462">
        <f t="shared" si="27"/>
        <v>0</v>
      </c>
      <c r="CB81" s="462">
        <f t="shared" si="28"/>
        <v>0</v>
      </c>
      <c r="CC81" s="462">
        <f>IF(AT81&lt;&gt;0,SSHICHG*Y81,0)</f>
        <v>0</v>
      </c>
      <c r="CD81" s="462">
        <f>IF(AND(AT81&lt;&gt;0,AN81&lt;&gt;"NE"),VLOOKUP(AN81,Retirement_Rates,5,FALSE)*Y81,0)</f>
        <v>0</v>
      </c>
      <c r="CE81" s="462">
        <f>IF(AND(AT81&lt;&gt;0,AJ81&lt;&gt;"PF"),LifeCHG*Y81,0)</f>
        <v>0</v>
      </c>
      <c r="CF81" s="462">
        <f>IF(AND(AT81&lt;&gt;0,AM81="Y"),UICHG*Y81,0)</f>
        <v>-287.00672000000003</v>
      </c>
      <c r="CG81" s="462">
        <f>IF(AND(AT81&lt;&gt;0,N81&lt;&gt;"NR"),DHRCHG*Y81,0)</f>
        <v>0</v>
      </c>
      <c r="CH81" s="462">
        <f>IF(AT81&lt;&gt;0,WCCHG*Y81,0)</f>
        <v>134.7174400000001</v>
      </c>
      <c r="CI81" s="462">
        <f>IF(OR(AND(AT81&lt;&gt;0,AJ81&lt;&gt;"PF",AN81&lt;&gt;"NE",AG81&lt;&gt;"A"),AND(AL81="E",OR(AT81=1,AT81=3))),SickCHG*Y81,0)</f>
        <v>0</v>
      </c>
      <c r="CJ81" s="462">
        <f t="shared" si="29"/>
        <v>-152.28927999999993</v>
      </c>
      <c r="CK81" s="462" t="str">
        <f t="shared" si="30"/>
        <v/>
      </c>
      <c r="CL81" s="462" t="str">
        <f t="shared" si="31"/>
        <v/>
      </c>
      <c r="CM81" s="462" t="str">
        <f t="shared" si="32"/>
        <v/>
      </c>
      <c r="CN81" s="462" t="str">
        <f t="shared" si="33"/>
        <v>0001-00</v>
      </c>
    </row>
    <row r="82" spans="1:92" ht="15" thickBot="1" x14ac:dyDescent="0.35">
      <c r="A82" s="376" t="s">
        <v>161</v>
      </c>
      <c r="B82" s="376" t="s">
        <v>162</v>
      </c>
      <c r="C82" s="376" t="s">
        <v>510</v>
      </c>
      <c r="D82" s="376" t="s">
        <v>287</v>
      </c>
      <c r="E82" s="376" t="s">
        <v>165</v>
      </c>
      <c r="F82" s="377" t="s">
        <v>166</v>
      </c>
      <c r="G82" s="376" t="s">
        <v>356</v>
      </c>
      <c r="H82" s="378"/>
      <c r="I82" s="378"/>
      <c r="J82" s="376" t="s">
        <v>168</v>
      </c>
      <c r="K82" s="376" t="s">
        <v>290</v>
      </c>
      <c r="L82" s="376" t="s">
        <v>166</v>
      </c>
      <c r="M82" s="376" t="s">
        <v>170</v>
      </c>
      <c r="N82" s="376" t="s">
        <v>291</v>
      </c>
      <c r="O82" s="379">
        <v>0</v>
      </c>
      <c r="P82" s="460">
        <v>1</v>
      </c>
      <c r="Q82" s="460">
        <v>0</v>
      </c>
      <c r="R82" s="380">
        <v>0</v>
      </c>
      <c r="S82" s="460">
        <v>0</v>
      </c>
      <c r="T82" s="380">
        <v>2615.4499999999998</v>
      </c>
      <c r="U82" s="380">
        <v>0</v>
      </c>
      <c r="V82" s="380">
        <v>311.02</v>
      </c>
      <c r="W82" s="380">
        <v>14218.94</v>
      </c>
      <c r="X82" s="380">
        <v>1676.83</v>
      </c>
      <c r="Y82" s="380">
        <v>14218.94</v>
      </c>
      <c r="Z82" s="380">
        <v>1676.83</v>
      </c>
      <c r="AA82" s="378"/>
      <c r="AB82" s="376" t="s">
        <v>45</v>
      </c>
      <c r="AC82" s="376" t="s">
        <v>45</v>
      </c>
      <c r="AD82" s="378"/>
      <c r="AE82" s="378"/>
      <c r="AF82" s="378"/>
      <c r="AG82" s="378"/>
      <c r="AH82" s="379">
        <v>0</v>
      </c>
      <c r="AI82" s="379">
        <v>0</v>
      </c>
      <c r="AJ82" s="378"/>
      <c r="AK82" s="378"/>
      <c r="AL82" s="376" t="s">
        <v>180</v>
      </c>
      <c r="AM82" s="378"/>
      <c r="AN82" s="378"/>
      <c r="AO82" s="379">
        <v>0</v>
      </c>
      <c r="AP82" s="460">
        <v>0</v>
      </c>
      <c r="AQ82" s="460">
        <v>0</v>
      </c>
      <c r="AR82" s="459"/>
      <c r="AS82" s="462">
        <f t="shared" si="17"/>
        <v>0</v>
      </c>
      <c r="AT82">
        <f t="shared" si="18"/>
        <v>0</v>
      </c>
      <c r="AU82" s="462" t="str">
        <f>IF(AT82=0,"",IF(AND(AT82=1,M82="F",SUMIF(C2:C698,C82,AS2:AS698)&lt;=1),SUMIF(C2:C698,C82,AS2:AS698),IF(AND(AT82=1,M82="F",SUMIF(C2:C698,C82,AS2:AS698)&gt;1),1,"")))</f>
        <v/>
      </c>
      <c r="AV82" s="462" t="str">
        <f>IF(AT82=0,"",IF(AND(AT82=3,M82="F",SUMIF(C2:C698,C82,AS2:AS698)&lt;=1),SUMIF(C2:C698,C82,AS2:AS698),IF(AND(AT82=3,M82="F",SUMIF(C2:C698,C82,AS2:AS698)&gt;1),1,"")))</f>
        <v/>
      </c>
      <c r="AW82" s="462">
        <f>SUMIF(C2:C698,C82,O2:O698)</f>
        <v>0</v>
      </c>
      <c r="AX82" s="462">
        <f>IF(AND(M82="F",AS82&lt;&gt;0),SUMIF(C2:C698,C82,W2:W698),0)</f>
        <v>0</v>
      </c>
      <c r="AY82" s="462" t="str">
        <f t="shared" si="19"/>
        <v/>
      </c>
      <c r="AZ82" s="462" t="str">
        <f t="shared" si="20"/>
        <v/>
      </c>
      <c r="BA82" s="462">
        <f t="shared" si="21"/>
        <v>0</v>
      </c>
      <c r="BB82" s="462">
        <f>IF(AND(AT82=1,AK82="E",AU82&gt;=0.75,AW82=1),Health,IF(AND(AT82=1,AK82="E",AU82&gt;=0.75),Health*P82,IF(AND(AT82=1,AK82="E",AU82&gt;=0.5,AW82=1),PTHealth,IF(AND(AT82=1,AK82="E",AU82&gt;=0.5),PTHealth*P82,0))))</f>
        <v>0</v>
      </c>
      <c r="BC82" s="462">
        <f>IF(AND(AT82=3,AK82="E",AV82&gt;=0.75,AW82=1),Health,IF(AND(AT82=3,AK82="E",AV82&gt;=0.75),Health*P82,IF(AND(AT82=3,AK82="E",AV82&gt;=0.5,AW82=1),PTHealth,IF(AND(AT82=3,AK82="E",AV82&gt;=0.5),PTHealth*P82,0))))</f>
        <v>0</v>
      </c>
      <c r="BD82" s="462">
        <f>IF(AND(AT82&lt;&gt;0,AX82&gt;=MAXSSDI),SSDI*MAXSSDI*P82,IF(AT82&lt;&gt;0,SSDI*W82,0))</f>
        <v>0</v>
      </c>
      <c r="BE82" s="462">
        <f>IF(AT82&lt;&gt;0,SSHI*W82,0)</f>
        <v>0</v>
      </c>
      <c r="BF82" s="462">
        <f>IF(AND(AT82&lt;&gt;0,AN82&lt;&gt;"NE"),VLOOKUP(AN82,Retirement_Rates,3,FALSE)*W82,0)</f>
        <v>0</v>
      </c>
      <c r="BG82" s="462">
        <f>IF(AND(AT82&lt;&gt;0,AJ82&lt;&gt;"PF"),Life*W82,0)</f>
        <v>0</v>
      </c>
      <c r="BH82" s="462">
        <f>IF(AND(AT82&lt;&gt;0,AM82="Y"),UI*W82,0)</f>
        <v>0</v>
      </c>
      <c r="BI82" s="462">
        <f>IF(AND(AT82&lt;&gt;0,N82&lt;&gt;"NR"),DHR*W82,0)</f>
        <v>0</v>
      </c>
      <c r="BJ82" s="462">
        <f>IF(AT82&lt;&gt;0,WC*W82,0)</f>
        <v>0</v>
      </c>
      <c r="BK82" s="462">
        <f>IF(OR(AND(AT82&lt;&gt;0,AJ82&lt;&gt;"PF",AN82&lt;&gt;"NE",AG82&lt;&gt;"A"),AND(AL82="E",OR(AT82=1,AT82=3))),Sick*W82,0)</f>
        <v>0</v>
      </c>
      <c r="BL82" s="462">
        <f t="shared" si="22"/>
        <v>0</v>
      </c>
      <c r="BM82" s="462">
        <f t="shared" si="23"/>
        <v>0</v>
      </c>
      <c r="BN82" s="462">
        <f>IF(AND(AT82=1,AK82="E",AU82&gt;=0.75,AW82=1),HealthBY,IF(AND(AT82=1,AK82="E",AU82&gt;=0.75),HealthBY*P82,IF(AND(AT82=1,AK82="E",AU82&gt;=0.5,AW82=1),PTHealthBY,IF(AND(AT82=1,AK82="E",AU82&gt;=0.5),PTHealthBY*P82,0))))</f>
        <v>0</v>
      </c>
      <c r="BO82" s="462">
        <f>IF(AND(AT82=3,AK82="E",AV82&gt;=0.75,AW82=1),HealthBY,IF(AND(AT82=3,AK82="E",AV82&gt;=0.75),HealthBY*P82,IF(AND(AT82=3,AK82="E",AV82&gt;=0.5,AW82=1),PTHealthBY,IF(AND(AT82=3,AK82="E",AV82&gt;=0.5),PTHealthBY*P82,0))))</f>
        <v>0</v>
      </c>
      <c r="BP82" s="462">
        <f>IF(AND(AT82&lt;&gt;0,(AX82+BA82)&gt;=MAXSSDIBY),SSDIBY*MAXSSDIBY*P82,IF(AT82&lt;&gt;0,SSDIBY*W82,0))</f>
        <v>0</v>
      </c>
      <c r="BQ82" s="462">
        <f>IF(AT82&lt;&gt;0,SSHIBY*W82,0)</f>
        <v>0</v>
      </c>
      <c r="BR82" s="462">
        <f>IF(AND(AT82&lt;&gt;0,AN82&lt;&gt;"NE"),VLOOKUP(AN82,Retirement_Rates,4,FALSE)*W82,0)</f>
        <v>0</v>
      </c>
      <c r="BS82" s="462">
        <f>IF(AND(AT82&lt;&gt;0,AJ82&lt;&gt;"PF"),LifeBY*W82,0)</f>
        <v>0</v>
      </c>
      <c r="BT82" s="462">
        <f>IF(AND(AT82&lt;&gt;0,AM82="Y"),UIBY*W82,0)</f>
        <v>0</v>
      </c>
      <c r="BU82" s="462">
        <f>IF(AND(AT82&lt;&gt;0,N82&lt;&gt;"NR"),DHRBY*W82,0)</f>
        <v>0</v>
      </c>
      <c r="BV82" s="462">
        <f>IF(AT82&lt;&gt;0,WCBY*W82,0)</f>
        <v>0</v>
      </c>
      <c r="BW82" s="462">
        <f>IF(OR(AND(AT82&lt;&gt;0,AJ82&lt;&gt;"PF",AN82&lt;&gt;"NE",AG82&lt;&gt;"A"),AND(AL82="E",OR(AT82=1,AT82=3))),SickBY*W82,0)</f>
        <v>0</v>
      </c>
      <c r="BX82" s="462">
        <f t="shared" si="24"/>
        <v>0</v>
      </c>
      <c r="BY82" s="462">
        <f t="shared" si="25"/>
        <v>0</v>
      </c>
      <c r="BZ82" s="462">
        <f t="shared" si="26"/>
        <v>0</v>
      </c>
      <c r="CA82" s="462">
        <f t="shared" si="27"/>
        <v>0</v>
      </c>
      <c r="CB82" s="462">
        <f t="shared" si="28"/>
        <v>0</v>
      </c>
      <c r="CC82" s="462">
        <f>IF(AT82&lt;&gt;0,SSHICHG*Y82,0)</f>
        <v>0</v>
      </c>
      <c r="CD82" s="462">
        <f>IF(AND(AT82&lt;&gt;0,AN82&lt;&gt;"NE"),VLOOKUP(AN82,Retirement_Rates,5,FALSE)*Y82,0)</f>
        <v>0</v>
      </c>
      <c r="CE82" s="462">
        <f>IF(AND(AT82&lt;&gt;0,AJ82&lt;&gt;"PF"),LifeCHG*Y82,0)</f>
        <v>0</v>
      </c>
      <c r="CF82" s="462">
        <f>IF(AND(AT82&lt;&gt;0,AM82="Y"),UICHG*Y82,0)</f>
        <v>0</v>
      </c>
      <c r="CG82" s="462">
        <f>IF(AND(AT82&lt;&gt;0,N82&lt;&gt;"NR"),DHRCHG*Y82,0)</f>
        <v>0</v>
      </c>
      <c r="CH82" s="462">
        <f>IF(AT82&lt;&gt;0,WCCHG*Y82,0)</f>
        <v>0</v>
      </c>
      <c r="CI82" s="462">
        <f>IF(OR(AND(AT82&lt;&gt;0,AJ82&lt;&gt;"PF",AN82&lt;&gt;"NE",AG82&lt;&gt;"A"),AND(AL82="E",OR(AT82=1,AT82=3))),SickCHG*Y82,0)</f>
        <v>0</v>
      </c>
      <c r="CJ82" s="462">
        <f t="shared" si="29"/>
        <v>0</v>
      </c>
      <c r="CK82" s="462" t="str">
        <f t="shared" si="30"/>
        <v/>
      </c>
      <c r="CL82" s="462">
        <f t="shared" si="31"/>
        <v>2615.4499999999998</v>
      </c>
      <c r="CM82" s="462">
        <f t="shared" si="32"/>
        <v>311.02</v>
      </c>
      <c r="CN82" s="462" t="str">
        <f t="shared" si="33"/>
        <v>0001-00</v>
      </c>
    </row>
    <row r="83" spans="1:92" ht="15" thickBot="1" x14ac:dyDescent="0.35">
      <c r="A83" s="376" t="s">
        <v>161</v>
      </c>
      <c r="B83" s="376" t="s">
        <v>162</v>
      </c>
      <c r="C83" s="376" t="s">
        <v>511</v>
      </c>
      <c r="D83" s="376" t="s">
        <v>362</v>
      </c>
      <c r="E83" s="376" t="s">
        <v>165</v>
      </c>
      <c r="F83" s="377" t="s">
        <v>166</v>
      </c>
      <c r="G83" s="376" t="s">
        <v>356</v>
      </c>
      <c r="H83" s="378"/>
      <c r="I83" s="378"/>
      <c r="J83" s="376" t="s">
        <v>168</v>
      </c>
      <c r="K83" s="376" t="s">
        <v>363</v>
      </c>
      <c r="L83" s="376" t="s">
        <v>200</v>
      </c>
      <c r="M83" s="376" t="s">
        <v>170</v>
      </c>
      <c r="N83" s="376" t="s">
        <v>202</v>
      </c>
      <c r="O83" s="379">
        <v>1</v>
      </c>
      <c r="P83" s="460">
        <v>1</v>
      </c>
      <c r="Q83" s="460">
        <v>1</v>
      </c>
      <c r="R83" s="380">
        <v>80</v>
      </c>
      <c r="S83" s="460">
        <v>1</v>
      </c>
      <c r="T83" s="380">
        <v>21390.6</v>
      </c>
      <c r="U83" s="380">
        <v>0</v>
      </c>
      <c r="V83" s="380">
        <v>9286.7800000000007</v>
      </c>
      <c r="W83" s="380">
        <v>46800</v>
      </c>
      <c r="X83" s="380">
        <v>22244.1</v>
      </c>
      <c r="Y83" s="380">
        <v>46800</v>
      </c>
      <c r="Z83" s="380">
        <v>22122.42</v>
      </c>
      <c r="AA83" s="376" t="s">
        <v>512</v>
      </c>
      <c r="AB83" s="376" t="s">
        <v>513</v>
      </c>
      <c r="AC83" s="376" t="s">
        <v>514</v>
      </c>
      <c r="AD83" s="376" t="s">
        <v>200</v>
      </c>
      <c r="AE83" s="376" t="s">
        <v>363</v>
      </c>
      <c r="AF83" s="376" t="s">
        <v>210</v>
      </c>
      <c r="AG83" s="376" t="s">
        <v>177</v>
      </c>
      <c r="AH83" s="381">
        <v>22.5</v>
      </c>
      <c r="AI83" s="379">
        <v>0</v>
      </c>
      <c r="AJ83" s="376" t="s">
        <v>178</v>
      </c>
      <c r="AK83" s="376" t="s">
        <v>179</v>
      </c>
      <c r="AL83" s="376" t="s">
        <v>180</v>
      </c>
      <c r="AM83" s="376" t="s">
        <v>181</v>
      </c>
      <c r="AN83" s="376" t="s">
        <v>68</v>
      </c>
      <c r="AO83" s="379">
        <v>80</v>
      </c>
      <c r="AP83" s="460">
        <v>1</v>
      </c>
      <c r="AQ83" s="460">
        <v>1</v>
      </c>
      <c r="AR83" s="458" t="s">
        <v>182</v>
      </c>
      <c r="AS83" s="462">
        <f t="shared" si="17"/>
        <v>1</v>
      </c>
      <c r="AT83">
        <f t="shared" si="18"/>
        <v>1</v>
      </c>
      <c r="AU83" s="462">
        <f>IF(AT83=0,"",IF(AND(AT83=1,M83="F",SUMIF(C2:C698,C83,AS2:AS698)&lt;=1),SUMIF(C2:C698,C83,AS2:AS698),IF(AND(AT83=1,M83="F",SUMIF(C2:C698,C83,AS2:AS698)&gt;1),1,"")))</f>
        <v>1</v>
      </c>
      <c r="AV83" s="462" t="str">
        <f>IF(AT83=0,"",IF(AND(AT83=3,M83="F",SUMIF(C2:C698,C83,AS2:AS698)&lt;=1),SUMIF(C2:C698,C83,AS2:AS698),IF(AND(AT83=3,M83="F",SUMIF(C2:C698,C83,AS2:AS698)&gt;1),1,"")))</f>
        <v/>
      </c>
      <c r="AW83" s="462">
        <f>SUMIF(C2:C698,C83,O2:O698)</f>
        <v>1</v>
      </c>
      <c r="AX83" s="462">
        <f>IF(AND(M83="F",AS83&lt;&gt;0),SUMIF(C2:C698,C83,W2:W698),0)</f>
        <v>46800</v>
      </c>
      <c r="AY83" s="462">
        <f t="shared" si="19"/>
        <v>46800</v>
      </c>
      <c r="AZ83" s="462" t="str">
        <f t="shared" si="20"/>
        <v/>
      </c>
      <c r="BA83" s="462">
        <f t="shared" si="21"/>
        <v>0</v>
      </c>
      <c r="BB83" s="462">
        <f>IF(AND(AT83=1,AK83="E",AU83&gt;=0.75,AW83=1),Health,IF(AND(AT83=1,AK83="E",AU83&gt;=0.75),Health*P83,IF(AND(AT83=1,AK83="E",AU83&gt;=0.5,AW83=1),PTHealth,IF(AND(AT83=1,AK83="E",AU83&gt;=0.5),PTHealth*P83,0))))</f>
        <v>11650</v>
      </c>
      <c r="BC83" s="462">
        <f>IF(AND(AT83=3,AK83="E",AV83&gt;=0.75,AW83=1),Health,IF(AND(AT83=3,AK83="E",AV83&gt;=0.75),Health*P83,IF(AND(AT83=3,AK83="E",AV83&gt;=0.5,AW83=1),PTHealth,IF(AND(AT83=3,AK83="E",AV83&gt;=0.5),PTHealth*P83,0))))</f>
        <v>0</v>
      </c>
      <c r="BD83" s="462">
        <f>IF(AND(AT83&lt;&gt;0,AX83&gt;=MAXSSDI),SSDI*MAXSSDI*P83,IF(AT83&lt;&gt;0,SSDI*W83,0))</f>
        <v>2901.6</v>
      </c>
      <c r="BE83" s="462">
        <f>IF(AT83&lt;&gt;0,SSHI*W83,0)</f>
        <v>678.6</v>
      </c>
      <c r="BF83" s="462">
        <f>IF(AND(AT83&lt;&gt;0,AN83&lt;&gt;"NE"),VLOOKUP(AN83,Retirement_Rates,3,FALSE)*W83,0)</f>
        <v>5587.92</v>
      </c>
      <c r="BG83" s="462">
        <f>IF(AND(AT83&lt;&gt;0,AJ83&lt;&gt;"PF"),Life*W83,0)</f>
        <v>337.428</v>
      </c>
      <c r="BH83" s="462">
        <f>IF(AND(AT83&lt;&gt;0,AM83="Y"),UI*W83,0)</f>
        <v>229.32</v>
      </c>
      <c r="BI83" s="462">
        <f>IF(AND(AT83&lt;&gt;0,N83&lt;&gt;"NR"),DHR*W83,0)</f>
        <v>143.208</v>
      </c>
      <c r="BJ83" s="462">
        <f>IF(AT83&lt;&gt;0,WC*W83,0)</f>
        <v>716.04</v>
      </c>
      <c r="BK83" s="462">
        <f>IF(OR(AND(AT83&lt;&gt;0,AJ83&lt;&gt;"PF",AN83&lt;&gt;"NE",AG83&lt;&gt;"A"),AND(AL83="E",OR(AT83=1,AT83=3))),Sick*W83,0)</f>
        <v>0</v>
      </c>
      <c r="BL83" s="462">
        <f t="shared" si="22"/>
        <v>10594.115999999998</v>
      </c>
      <c r="BM83" s="462">
        <f t="shared" si="23"/>
        <v>0</v>
      </c>
      <c r="BN83" s="462">
        <f>IF(AND(AT83=1,AK83="E",AU83&gt;=0.75,AW83=1),HealthBY,IF(AND(AT83=1,AK83="E",AU83&gt;=0.75),HealthBY*P83,IF(AND(AT83=1,AK83="E",AU83&gt;=0.5,AW83=1),PTHealthBY,IF(AND(AT83=1,AK83="E",AU83&gt;=0.5),PTHealthBY*P83,0))))</f>
        <v>11650</v>
      </c>
      <c r="BO83" s="462">
        <f>IF(AND(AT83=3,AK83="E",AV83&gt;=0.75,AW83=1),HealthBY,IF(AND(AT83=3,AK83="E",AV83&gt;=0.75),HealthBY*P83,IF(AND(AT83=3,AK83="E",AV83&gt;=0.5,AW83=1),PTHealthBY,IF(AND(AT83=3,AK83="E",AV83&gt;=0.5),PTHealthBY*P83,0))))</f>
        <v>0</v>
      </c>
      <c r="BP83" s="462">
        <f>IF(AND(AT83&lt;&gt;0,(AX83+BA83)&gt;=MAXSSDIBY),SSDIBY*MAXSSDIBY*P83,IF(AT83&lt;&gt;0,SSDIBY*W83,0))</f>
        <v>2901.6</v>
      </c>
      <c r="BQ83" s="462">
        <f>IF(AT83&lt;&gt;0,SSHIBY*W83,0)</f>
        <v>678.6</v>
      </c>
      <c r="BR83" s="462">
        <f>IF(AND(AT83&lt;&gt;0,AN83&lt;&gt;"NE"),VLOOKUP(AN83,Retirement_Rates,4,FALSE)*W83,0)</f>
        <v>5587.92</v>
      </c>
      <c r="BS83" s="462">
        <f>IF(AND(AT83&lt;&gt;0,AJ83&lt;&gt;"PF"),LifeBY*W83,0)</f>
        <v>337.428</v>
      </c>
      <c r="BT83" s="462">
        <f>IF(AND(AT83&lt;&gt;0,AM83="Y"),UIBY*W83,0)</f>
        <v>0</v>
      </c>
      <c r="BU83" s="462">
        <f>IF(AND(AT83&lt;&gt;0,N83&lt;&gt;"NR"),DHRBY*W83,0)</f>
        <v>143.208</v>
      </c>
      <c r="BV83" s="462">
        <f>IF(AT83&lt;&gt;0,WCBY*W83,0)</f>
        <v>823.68000000000006</v>
      </c>
      <c r="BW83" s="462">
        <f>IF(OR(AND(AT83&lt;&gt;0,AJ83&lt;&gt;"PF",AN83&lt;&gt;"NE",AG83&lt;&gt;"A"),AND(AL83="E",OR(AT83=1,AT83=3))),SickBY*W83,0)</f>
        <v>0</v>
      </c>
      <c r="BX83" s="462">
        <f t="shared" si="24"/>
        <v>10472.436</v>
      </c>
      <c r="BY83" s="462">
        <f t="shared" si="25"/>
        <v>0</v>
      </c>
      <c r="BZ83" s="462">
        <f t="shared" si="26"/>
        <v>0</v>
      </c>
      <c r="CA83" s="462">
        <f t="shared" si="27"/>
        <v>0</v>
      </c>
      <c r="CB83" s="462">
        <f t="shared" si="28"/>
        <v>0</v>
      </c>
      <c r="CC83" s="462">
        <f>IF(AT83&lt;&gt;0,SSHICHG*Y83,0)</f>
        <v>0</v>
      </c>
      <c r="CD83" s="462">
        <f>IF(AND(AT83&lt;&gt;0,AN83&lt;&gt;"NE"),VLOOKUP(AN83,Retirement_Rates,5,FALSE)*Y83,0)</f>
        <v>0</v>
      </c>
      <c r="CE83" s="462">
        <f>IF(AND(AT83&lt;&gt;0,AJ83&lt;&gt;"PF"),LifeCHG*Y83,0)</f>
        <v>0</v>
      </c>
      <c r="CF83" s="462">
        <f>IF(AND(AT83&lt;&gt;0,AM83="Y"),UICHG*Y83,0)</f>
        <v>-229.32</v>
      </c>
      <c r="CG83" s="462">
        <f>IF(AND(AT83&lt;&gt;0,N83&lt;&gt;"NR"),DHRCHG*Y83,0)</f>
        <v>0</v>
      </c>
      <c r="CH83" s="462">
        <f>IF(AT83&lt;&gt;0,WCCHG*Y83,0)</f>
        <v>107.64000000000009</v>
      </c>
      <c r="CI83" s="462">
        <f>IF(OR(AND(AT83&lt;&gt;0,AJ83&lt;&gt;"PF",AN83&lt;&gt;"NE",AG83&lt;&gt;"A"),AND(AL83="E",OR(AT83=1,AT83=3))),SickCHG*Y83,0)</f>
        <v>0</v>
      </c>
      <c r="CJ83" s="462">
        <f t="shared" si="29"/>
        <v>-121.67999999999991</v>
      </c>
      <c r="CK83" s="462" t="str">
        <f t="shared" si="30"/>
        <v/>
      </c>
      <c r="CL83" s="462" t="str">
        <f t="shared" si="31"/>
        <v/>
      </c>
      <c r="CM83" s="462" t="str">
        <f t="shared" si="32"/>
        <v/>
      </c>
      <c r="CN83" s="462" t="str">
        <f t="shared" si="33"/>
        <v>0001-00</v>
      </c>
    </row>
    <row r="84" spans="1:92" ht="15" thickBot="1" x14ac:dyDescent="0.35">
      <c r="A84" s="376" t="s">
        <v>161</v>
      </c>
      <c r="B84" s="376" t="s">
        <v>162</v>
      </c>
      <c r="C84" s="376" t="s">
        <v>515</v>
      </c>
      <c r="D84" s="376" t="s">
        <v>516</v>
      </c>
      <c r="E84" s="376" t="s">
        <v>165</v>
      </c>
      <c r="F84" s="377" t="s">
        <v>166</v>
      </c>
      <c r="G84" s="376" t="s">
        <v>356</v>
      </c>
      <c r="H84" s="378"/>
      <c r="I84" s="378"/>
      <c r="J84" s="376" t="s">
        <v>185</v>
      </c>
      <c r="K84" s="376" t="s">
        <v>517</v>
      </c>
      <c r="L84" s="376" t="s">
        <v>247</v>
      </c>
      <c r="M84" s="376" t="s">
        <v>170</v>
      </c>
      <c r="N84" s="376" t="s">
        <v>202</v>
      </c>
      <c r="O84" s="379">
        <v>1</v>
      </c>
      <c r="P84" s="460">
        <v>0.71</v>
      </c>
      <c r="Q84" s="460">
        <v>0.71</v>
      </c>
      <c r="R84" s="380">
        <v>80</v>
      </c>
      <c r="S84" s="460">
        <v>0.71</v>
      </c>
      <c r="T84" s="380">
        <v>56050.64</v>
      </c>
      <c r="U84" s="380">
        <v>0</v>
      </c>
      <c r="V84" s="380">
        <v>23250.61</v>
      </c>
      <c r="W84" s="380">
        <v>43033.95</v>
      </c>
      <c r="X84" s="380">
        <v>18013.07</v>
      </c>
      <c r="Y84" s="380">
        <v>43033.95</v>
      </c>
      <c r="Z84" s="380">
        <v>17901.18</v>
      </c>
      <c r="AA84" s="376" t="s">
        <v>518</v>
      </c>
      <c r="AB84" s="376" t="s">
        <v>519</v>
      </c>
      <c r="AC84" s="376" t="s">
        <v>520</v>
      </c>
      <c r="AD84" s="376" t="s">
        <v>224</v>
      </c>
      <c r="AE84" s="376" t="s">
        <v>517</v>
      </c>
      <c r="AF84" s="376" t="s">
        <v>299</v>
      </c>
      <c r="AG84" s="376" t="s">
        <v>177</v>
      </c>
      <c r="AH84" s="381">
        <v>29.14</v>
      </c>
      <c r="AI84" s="379">
        <v>9969</v>
      </c>
      <c r="AJ84" s="376" t="s">
        <v>178</v>
      </c>
      <c r="AK84" s="376" t="s">
        <v>179</v>
      </c>
      <c r="AL84" s="376" t="s">
        <v>180</v>
      </c>
      <c r="AM84" s="376" t="s">
        <v>181</v>
      </c>
      <c r="AN84" s="376" t="s">
        <v>68</v>
      </c>
      <c r="AO84" s="379">
        <v>80</v>
      </c>
      <c r="AP84" s="460">
        <v>1</v>
      </c>
      <c r="AQ84" s="460">
        <v>0.71</v>
      </c>
      <c r="AR84" s="458" t="s">
        <v>182</v>
      </c>
      <c r="AS84" s="462">
        <f t="shared" si="17"/>
        <v>0.71</v>
      </c>
      <c r="AT84">
        <f t="shared" si="18"/>
        <v>1</v>
      </c>
      <c r="AU84" s="462">
        <f>IF(AT84=0,"",IF(AND(AT84=1,M84="F",SUMIF(C2:C698,C84,AS2:AS698)&lt;=1),SUMIF(C2:C698,C84,AS2:AS698),IF(AND(AT84=1,M84="F",SUMIF(C2:C698,C84,AS2:AS698)&gt;1),1,"")))</f>
        <v>1</v>
      </c>
      <c r="AV84" s="462" t="str">
        <f>IF(AT84=0,"",IF(AND(AT84=3,M84="F",SUMIF(C2:C698,C84,AS2:AS698)&lt;=1),SUMIF(C2:C698,C84,AS2:AS698),IF(AND(AT84=3,M84="F",SUMIF(C2:C698,C84,AS2:AS698)&gt;1),1,"")))</f>
        <v/>
      </c>
      <c r="AW84" s="462">
        <f>SUMIF(C2:C698,C84,O2:O698)</f>
        <v>3</v>
      </c>
      <c r="AX84" s="462">
        <f>IF(AND(M84="F",AS84&lt;&gt;0),SUMIF(C2:C698,C84,W2:W698),0)</f>
        <v>60611.19</v>
      </c>
      <c r="AY84" s="462">
        <f t="shared" si="19"/>
        <v>43033.95</v>
      </c>
      <c r="AZ84" s="462" t="str">
        <f t="shared" si="20"/>
        <v/>
      </c>
      <c r="BA84" s="462">
        <f t="shared" si="21"/>
        <v>0</v>
      </c>
      <c r="BB84" s="462">
        <f>IF(AND(AT84=1,AK84="E",AU84&gt;=0.75,AW84=1),Health,IF(AND(AT84=1,AK84="E",AU84&gt;=0.75),Health*P84,IF(AND(AT84=1,AK84="E",AU84&gt;=0.5,AW84=1),PTHealth,IF(AND(AT84=1,AK84="E",AU84&gt;=0.5),PTHealth*P84,0))))</f>
        <v>8271.5</v>
      </c>
      <c r="BC84" s="462">
        <f>IF(AND(AT84=3,AK84="E",AV84&gt;=0.75,AW84=1),Health,IF(AND(AT84=3,AK84="E",AV84&gt;=0.75),Health*P84,IF(AND(AT84=3,AK84="E",AV84&gt;=0.5,AW84=1),PTHealth,IF(AND(AT84=3,AK84="E",AV84&gt;=0.5),PTHealth*P84,0))))</f>
        <v>0</v>
      </c>
      <c r="BD84" s="462">
        <f>IF(AND(AT84&lt;&gt;0,AX84&gt;=MAXSSDI),SSDI*MAXSSDI*P84,IF(AT84&lt;&gt;0,SSDI*W84,0))</f>
        <v>2668.1048999999998</v>
      </c>
      <c r="BE84" s="462">
        <f>IF(AT84&lt;&gt;0,SSHI*W84,0)</f>
        <v>623.99227499999995</v>
      </c>
      <c r="BF84" s="462">
        <f>IF(AND(AT84&lt;&gt;0,AN84&lt;&gt;"NE"),VLOOKUP(AN84,Retirement_Rates,3,FALSE)*W84,0)</f>
        <v>5138.2536300000002</v>
      </c>
      <c r="BG84" s="462">
        <f>IF(AND(AT84&lt;&gt;0,AJ84&lt;&gt;"PF"),Life*W84,0)</f>
        <v>310.27477949999997</v>
      </c>
      <c r="BH84" s="462">
        <f>IF(AND(AT84&lt;&gt;0,AM84="Y"),UI*W84,0)</f>
        <v>210.86635499999997</v>
      </c>
      <c r="BI84" s="462">
        <f>IF(AND(AT84&lt;&gt;0,N84&lt;&gt;"NR"),DHR*W84,0)</f>
        <v>131.68388699999997</v>
      </c>
      <c r="BJ84" s="462">
        <f>IF(AT84&lt;&gt;0,WC*W84,0)</f>
        <v>658.41943499999991</v>
      </c>
      <c r="BK84" s="462">
        <f>IF(OR(AND(AT84&lt;&gt;0,AJ84&lt;&gt;"PF",AN84&lt;&gt;"NE",AG84&lt;&gt;"A"),AND(AL84="E",OR(AT84=1,AT84=3))),Sick*W84,0)</f>
        <v>0</v>
      </c>
      <c r="BL84" s="462">
        <f t="shared" si="22"/>
        <v>9741.5952614999987</v>
      </c>
      <c r="BM84" s="462">
        <f t="shared" si="23"/>
        <v>0</v>
      </c>
      <c r="BN84" s="462">
        <f>IF(AND(AT84=1,AK84="E",AU84&gt;=0.75,AW84=1),HealthBY,IF(AND(AT84=1,AK84="E",AU84&gt;=0.75),HealthBY*P84,IF(AND(AT84=1,AK84="E",AU84&gt;=0.5,AW84=1),PTHealthBY,IF(AND(AT84=1,AK84="E",AU84&gt;=0.5),PTHealthBY*P84,0))))</f>
        <v>8271.5</v>
      </c>
      <c r="BO84" s="462">
        <f>IF(AND(AT84=3,AK84="E",AV84&gt;=0.75,AW84=1),HealthBY,IF(AND(AT84=3,AK84="E",AV84&gt;=0.75),HealthBY*P84,IF(AND(AT84=3,AK84="E",AV84&gt;=0.5,AW84=1),PTHealthBY,IF(AND(AT84=3,AK84="E",AV84&gt;=0.5),PTHealthBY*P84,0))))</f>
        <v>0</v>
      </c>
      <c r="BP84" s="462">
        <f>IF(AND(AT84&lt;&gt;0,(AX84+BA84)&gt;=MAXSSDIBY),SSDIBY*MAXSSDIBY*P84,IF(AT84&lt;&gt;0,SSDIBY*W84,0))</f>
        <v>2668.1048999999998</v>
      </c>
      <c r="BQ84" s="462">
        <f>IF(AT84&lt;&gt;0,SSHIBY*W84,0)</f>
        <v>623.99227499999995</v>
      </c>
      <c r="BR84" s="462">
        <f>IF(AND(AT84&lt;&gt;0,AN84&lt;&gt;"NE"),VLOOKUP(AN84,Retirement_Rates,4,FALSE)*W84,0)</f>
        <v>5138.2536300000002</v>
      </c>
      <c r="BS84" s="462">
        <f>IF(AND(AT84&lt;&gt;0,AJ84&lt;&gt;"PF"),LifeBY*W84,0)</f>
        <v>310.27477949999997</v>
      </c>
      <c r="BT84" s="462">
        <f>IF(AND(AT84&lt;&gt;0,AM84="Y"),UIBY*W84,0)</f>
        <v>0</v>
      </c>
      <c r="BU84" s="462">
        <f>IF(AND(AT84&lt;&gt;0,N84&lt;&gt;"NR"),DHRBY*W84,0)</f>
        <v>131.68388699999997</v>
      </c>
      <c r="BV84" s="462">
        <f>IF(AT84&lt;&gt;0,WCBY*W84,0)</f>
        <v>757.39751999999999</v>
      </c>
      <c r="BW84" s="462">
        <f>IF(OR(AND(AT84&lt;&gt;0,AJ84&lt;&gt;"PF",AN84&lt;&gt;"NE",AG84&lt;&gt;"A"),AND(AL84="E",OR(AT84=1,AT84=3))),SickBY*W84,0)</f>
        <v>0</v>
      </c>
      <c r="BX84" s="462">
        <f t="shared" si="24"/>
        <v>9629.7069914999993</v>
      </c>
      <c r="BY84" s="462">
        <f t="shared" si="25"/>
        <v>0</v>
      </c>
      <c r="BZ84" s="462">
        <f t="shared" si="26"/>
        <v>0</v>
      </c>
      <c r="CA84" s="462">
        <f t="shared" si="27"/>
        <v>0</v>
      </c>
      <c r="CB84" s="462">
        <f t="shared" si="28"/>
        <v>0</v>
      </c>
      <c r="CC84" s="462">
        <f>IF(AT84&lt;&gt;0,SSHICHG*Y84,0)</f>
        <v>0</v>
      </c>
      <c r="CD84" s="462">
        <f>IF(AND(AT84&lt;&gt;0,AN84&lt;&gt;"NE"),VLOOKUP(AN84,Retirement_Rates,5,FALSE)*Y84,0)</f>
        <v>0</v>
      </c>
      <c r="CE84" s="462">
        <f>IF(AND(AT84&lt;&gt;0,AJ84&lt;&gt;"PF"),LifeCHG*Y84,0)</f>
        <v>0</v>
      </c>
      <c r="CF84" s="462">
        <f>IF(AND(AT84&lt;&gt;0,AM84="Y"),UICHG*Y84,0)</f>
        <v>-210.86635499999997</v>
      </c>
      <c r="CG84" s="462">
        <f>IF(AND(AT84&lt;&gt;0,N84&lt;&gt;"NR"),DHRCHG*Y84,0)</f>
        <v>0</v>
      </c>
      <c r="CH84" s="462">
        <f>IF(AT84&lt;&gt;0,WCCHG*Y84,0)</f>
        <v>98.978085000000064</v>
      </c>
      <c r="CI84" s="462">
        <f>IF(OR(AND(AT84&lt;&gt;0,AJ84&lt;&gt;"PF",AN84&lt;&gt;"NE",AG84&lt;&gt;"A"),AND(AL84="E",OR(AT84=1,AT84=3))),SickCHG*Y84,0)</f>
        <v>0</v>
      </c>
      <c r="CJ84" s="462">
        <f t="shared" si="29"/>
        <v>-111.88826999999991</v>
      </c>
      <c r="CK84" s="462" t="str">
        <f t="shared" si="30"/>
        <v/>
      </c>
      <c r="CL84" s="462" t="str">
        <f t="shared" si="31"/>
        <v/>
      </c>
      <c r="CM84" s="462" t="str">
        <f t="shared" si="32"/>
        <v/>
      </c>
      <c r="CN84" s="462" t="str">
        <f t="shared" si="33"/>
        <v>0001-00</v>
      </c>
    </row>
    <row r="85" spans="1:92" ht="15" thickBot="1" x14ac:dyDescent="0.35">
      <c r="A85" s="376" t="s">
        <v>161</v>
      </c>
      <c r="B85" s="376" t="s">
        <v>162</v>
      </c>
      <c r="C85" s="376" t="s">
        <v>521</v>
      </c>
      <c r="D85" s="376" t="s">
        <v>287</v>
      </c>
      <c r="E85" s="376" t="s">
        <v>165</v>
      </c>
      <c r="F85" s="377" t="s">
        <v>166</v>
      </c>
      <c r="G85" s="376" t="s">
        <v>356</v>
      </c>
      <c r="H85" s="378"/>
      <c r="I85" s="378"/>
      <c r="J85" s="376" t="s">
        <v>168</v>
      </c>
      <c r="K85" s="376" t="s">
        <v>290</v>
      </c>
      <c r="L85" s="376" t="s">
        <v>166</v>
      </c>
      <c r="M85" s="376" t="s">
        <v>201</v>
      </c>
      <c r="N85" s="376" t="s">
        <v>291</v>
      </c>
      <c r="O85" s="379">
        <v>0</v>
      </c>
      <c r="P85" s="460">
        <v>1</v>
      </c>
      <c r="Q85" s="460">
        <v>0</v>
      </c>
      <c r="R85" s="380">
        <v>0</v>
      </c>
      <c r="S85" s="460">
        <v>0</v>
      </c>
      <c r="T85" s="380">
        <v>0</v>
      </c>
      <c r="U85" s="380">
        <v>0</v>
      </c>
      <c r="V85" s="380">
        <v>0</v>
      </c>
      <c r="W85" s="380">
        <v>0</v>
      </c>
      <c r="X85" s="380">
        <v>0</v>
      </c>
      <c r="Y85" s="380">
        <v>0</v>
      </c>
      <c r="Z85" s="380">
        <v>0</v>
      </c>
      <c r="AA85" s="378"/>
      <c r="AB85" s="376" t="s">
        <v>45</v>
      </c>
      <c r="AC85" s="376" t="s">
        <v>45</v>
      </c>
      <c r="AD85" s="378"/>
      <c r="AE85" s="378"/>
      <c r="AF85" s="378"/>
      <c r="AG85" s="378"/>
      <c r="AH85" s="379">
        <v>0</v>
      </c>
      <c r="AI85" s="379">
        <v>0</v>
      </c>
      <c r="AJ85" s="378"/>
      <c r="AK85" s="378"/>
      <c r="AL85" s="376" t="s">
        <v>180</v>
      </c>
      <c r="AM85" s="378"/>
      <c r="AN85" s="378"/>
      <c r="AO85" s="379">
        <v>0</v>
      </c>
      <c r="AP85" s="460">
        <v>0</v>
      </c>
      <c r="AQ85" s="460">
        <v>0</v>
      </c>
      <c r="AR85" s="459"/>
      <c r="AS85" s="462">
        <f t="shared" si="17"/>
        <v>0</v>
      </c>
      <c r="AT85">
        <f t="shared" si="18"/>
        <v>0</v>
      </c>
      <c r="AU85" s="462" t="str">
        <f>IF(AT85=0,"",IF(AND(AT85=1,M85="F",SUMIF(C2:C698,C85,AS2:AS698)&lt;=1),SUMIF(C2:C698,C85,AS2:AS698),IF(AND(AT85=1,M85="F",SUMIF(C2:C698,C85,AS2:AS698)&gt;1),1,"")))</f>
        <v/>
      </c>
      <c r="AV85" s="462" t="str">
        <f>IF(AT85=0,"",IF(AND(AT85=3,M85="F",SUMIF(C2:C698,C85,AS2:AS698)&lt;=1),SUMIF(C2:C698,C85,AS2:AS698),IF(AND(AT85=3,M85="F",SUMIF(C2:C698,C85,AS2:AS698)&gt;1),1,"")))</f>
        <v/>
      </c>
      <c r="AW85" s="462">
        <f>SUMIF(C2:C698,C85,O2:O698)</f>
        <v>0</v>
      </c>
      <c r="AX85" s="462">
        <f>IF(AND(M85="F",AS85&lt;&gt;0),SUMIF(C2:C698,C85,W2:W698),0)</f>
        <v>0</v>
      </c>
      <c r="AY85" s="462" t="str">
        <f t="shared" si="19"/>
        <v/>
      </c>
      <c r="AZ85" s="462" t="str">
        <f t="shared" si="20"/>
        <v/>
      </c>
      <c r="BA85" s="462">
        <f t="shared" si="21"/>
        <v>0</v>
      </c>
      <c r="BB85" s="462">
        <f>IF(AND(AT85=1,AK85="E",AU85&gt;=0.75,AW85=1),Health,IF(AND(AT85=1,AK85="E",AU85&gt;=0.75),Health*P85,IF(AND(AT85=1,AK85="E",AU85&gt;=0.5,AW85=1),PTHealth,IF(AND(AT85=1,AK85="E",AU85&gt;=0.5),PTHealth*P85,0))))</f>
        <v>0</v>
      </c>
      <c r="BC85" s="462">
        <f>IF(AND(AT85=3,AK85="E",AV85&gt;=0.75,AW85=1),Health,IF(AND(AT85=3,AK85="E",AV85&gt;=0.75),Health*P85,IF(AND(AT85=3,AK85="E",AV85&gt;=0.5,AW85=1),PTHealth,IF(AND(AT85=3,AK85="E",AV85&gt;=0.5),PTHealth*P85,0))))</f>
        <v>0</v>
      </c>
      <c r="BD85" s="462">
        <f>IF(AND(AT85&lt;&gt;0,AX85&gt;=MAXSSDI),SSDI*MAXSSDI*P85,IF(AT85&lt;&gt;0,SSDI*W85,0))</f>
        <v>0</v>
      </c>
      <c r="BE85" s="462">
        <f>IF(AT85&lt;&gt;0,SSHI*W85,0)</f>
        <v>0</v>
      </c>
      <c r="BF85" s="462">
        <f>IF(AND(AT85&lt;&gt;0,AN85&lt;&gt;"NE"),VLOOKUP(AN85,Retirement_Rates,3,FALSE)*W85,0)</f>
        <v>0</v>
      </c>
      <c r="BG85" s="462">
        <f>IF(AND(AT85&lt;&gt;0,AJ85&lt;&gt;"PF"),Life*W85,0)</f>
        <v>0</v>
      </c>
      <c r="BH85" s="462">
        <f>IF(AND(AT85&lt;&gt;0,AM85="Y"),UI*W85,0)</f>
        <v>0</v>
      </c>
      <c r="BI85" s="462">
        <f>IF(AND(AT85&lt;&gt;0,N85&lt;&gt;"NR"),DHR*W85,0)</f>
        <v>0</v>
      </c>
      <c r="BJ85" s="462">
        <f>IF(AT85&lt;&gt;0,WC*W85,0)</f>
        <v>0</v>
      </c>
      <c r="BK85" s="462">
        <f>IF(OR(AND(AT85&lt;&gt;0,AJ85&lt;&gt;"PF",AN85&lt;&gt;"NE",AG85&lt;&gt;"A"),AND(AL85="E",OR(AT85=1,AT85=3))),Sick*W85,0)</f>
        <v>0</v>
      </c>
      <c r="BL85" s="462">
        <f t="shared" si="22"/>
        <v>0</v>
      </c>
      <c r="BM85" s="462">
        <f t="shared" si="23"/>
        <v>0</v>
      </c>
      <c r="BN85" s="462">
        <f>IF(AND(AT85=1,AK85="E",AU85&gt;=0.75,AW85=1),HealthBY,IF(AND(AT85=1,AK85="E",AU85&gt;=0.75),HealthBY*P85,IF(AND(AT85=1,AK85="E",AU85&gt;=0.5,AW85=1),PTHealthBY,IF(AND(AT85=1,AK85="E",AU85&gt;=0.5),PTHealthBY*P85,0))))</f>
        <v>0</v>
      </c>
      <c r="BO85" s="462">
        <f>IF(AND(AT85=3,AK85="E",AV85&gt;=0.75,AW85=1),HealthBY,IF(AND(AT85=3,AK85="E",AV85&gt;=0.75),HealthBY*P85,IF(AND(AT85=3,AK85="E",AV85&gt;=0.5,AW85=1),PTHealthBY,IF(AND(AT85=3,AK85="E",AV85&gt;=0.5),PTHealthBY*P85,0))))</f>
        <v>0</v>
      </c>
      <c r="BP85" s="462">
        <f>IF(AND(AT85&lt;&gt;0,(AX85+BA85)&gt;=MAXSSDIBY),SSDIBY*MAXSSDIBY*P85,IF(AT85&lt;&gt;0,SSDIBY*W85,0))</f>
        <v>0</v>
      </c>
      <c r="BQ85" s="462">
        <f>IF(AT85&lt;&gt;0,SSHIBY*W85,0)</f>
        <v>0</v>
      </c>
      <c r="BR85" s="462">
        <f>IF(AND(AT85&lt;&gt;0,AN85&lt;&gt;"NE"),VLOOKUP(AN85,Retirement_Rates,4,FALSE)*W85,0)</f>
        <v>0</v>
      </c>
      <c r="BS85" s="462">
        <f>IF(AND(AT85&lt;&gt;0,AJ85&lt;&gt;"PF"),LifeBY*W85,0)</f>
        <v>0</v>
      </c>
      <c r="BT85" s="462">
        <f>IF(AND(AT85&lt;&gt;0,AM85="Y"),UIBY*W85,0)</f>
        <v>0</v>
      </c>
      <c r="BU85" s="462">
        <f>IF(AND(AT85&lt;&gt;0,N85&lt;&gt;"NR"),DHRBY*W85,0)</f>
        <v>0</v>
      </c>
      <c r="BV85" s="462">
        <f>IF(AT85&lt;&gt;0,WCBY*W85,0)</f>
        <v>0</v>
      </c>
      <c r="BW85" s="462">
        <f>IF(OR(AND(AT85&lt;&gt;0,AJ85&lt;&gt;"PF",AN85&lt;&gt;"NE",AG85&lt;&gt;"A"),AND(AL85="E",OR(AT85=1,AT85=3))),SickBY*W85,0)</f>
        <v>0</v>
      </c>
      <c r="BX85" s="462">
        <f t="shared" si="24"/>
        <v>0</v>
      </c>
      <c r="BY85" s="462">
        <f t="shared" si="25"/>
        <v>0</v>
      </c>
      <c r="BZ85" s="462">
        <f t="shared" si="26"/>
        <v>0</v>
      </c>
      <c r="CA85" s="462">
        <f t="shared" si="27"/>
        <v>0</v>
      </c>
      <c r="CB85" s="462">
        <f t="shared" si="28"/>
        <v>0</v>
      </c>
      <c r="CC85" s="462">
        <f>IF(AT85&lt;&gt;0,SSHICHG*Y85,0)</f>
        <v>0</v>
      </c>
      <c r="CD85" s="462">
        <f>IF(AND(AT85&lt;&gt;0,AN85&lt;&gt;"NE"),VLOOKUP(AN85,Retirement_Rates,5,FALSE)*Y85,0)</f>
        <v>0</v>
      </c>
      <c r="CE85" s="462">
        <f>IF(AND(AT85&lt;&gt;0,AJ85&lt;&gt;"PF"),LifeCHG*Y85,0)</f>
        <v>0</v>
      </c>
      <c r="CF85" s="462">
        <f>IF(AND(AT85&lt;&gt;0,AM85="Y"),UICHG*Y85,0)</f>
        <v>0</v>
      </c>
      <c r="CG85" s="462">
        <f>IF(AND(AT85&lt;&gt;0,N85&lt;&gt;"NR"),DHRCHG*Y85,0)</f>
        <v>0</v>
      </c>
      <c r="CH85" s="462">
        <f>IF(AT85&lt;&gt;0,WCCHG*Y85,0)</f>
        <v>0</v>
      </c>
      <c r="CI85" s="462">
        <f>IF(OR(AND(AT85&lt;&gt;0,AJ85&lt;&gt;"PF",AN85&lt;&gt;"NE",AG85&lt;&gt;"A"),AND(AL85="E",OR(AT85=1,AT85=3))),SickCHG*Y85,0)</f>
        <v>0</v>
      </c>
      <c r="CJ85" s="462">
        <f t="shared" si="29"/>
        <v>0</v>
      </c>
      <c r="CK85" s="462" t="str">
        <f t="shared" si="30"/>
        <v/>
      </c>
      <c r="CL85" s="462">
        <f t="shared" si="31"/>
        <v>0</v>
      </c>
      <c r="CM85" s="462">
        <f t="shared" si="32"/>
        <v>0</v>
      </c>
      <c r="CN85" s="462" t="str">
        <f t="shared" si="33"/>
        <v>0001-00</v>
      </c>
    </row>
    <row r="86" spans="1:92" ht="15" thickBot="1" x14ac:dyDescent="0.35">
      <c r="A86" s="376" t="s">
        <v>161</v>
      </c>
      <c r="B86" s="376" t="s">
        <v>162</v>
      </c>
      <c r="C86" s="376" t="s">
        <v>522</v>
      </c>
      <c r="D86" s="376" t="s">
        <v>457</v>
      </c>
      <c r="E86" s="376" t="s">
        <v>165</v>
      </c>
      <c r="F86" s="377" t="s">
        <v>166</v>
      </c>
      <c r="G86" s="376" t="s">
        <v>356</v>
      </c>
      <c r="H86" s="378"/>
      <c r="I86" s="378"/>
      <c r="J86" s="376" t="s">
        <v>455</v>
      </c>
      <c r="K86" s="376" t="s">
        <v>458</v>
      </c>
      <c r="L86" s="376" t="s">
        <v>177</v>
      </c>
      <c r="M86" s="376" t="s">
        <v>170</v>
      </c>
      <c r="N86" s="376" t="s">
        <v>202</v>
      </c>
      <c r="O86" s="379">
        <v>1</v>
      </c>
      <c r="P86" s="460">
        <v>0.05</v>
      </c>
      <c r="Q86" s="460">
        <v>0.05</v>
      </c>
      <c r="R86" s="380">
        <v>80</v>
      </c>
      <c r="S86" s="460">
        <v>0.05</v>
      </c>
      <c r="T86" s="380">
        <v>1300.51</v>
      </c>
      <c r="U86" s="380">
        <v>0</v>
      </c>
      <c r="V86" s="380">
        <v>800.95</v>
      </c>
      <c r="W86" s="380">
        <v>1612</v>
      </c>
      <c r="X86" s="380">
        <v>947.4</v>
      </c>
      <c r="Y86" s="380">
        <v>1612</v>
      </c>
      <c r="Z86" s="380">
        <v>943.21</v>
      </c>
      <c r="AA86" s="376" t="s">
        <v>523</v>
      </c>
      <c r="AB86" s="376" t="s">
        <v>524</v>
      </c>
      <c r="AC86" s="376" t="s">
        <v>525</v>
      </c>
      <c r="AD86" s="376" t="s">
        <v>247</v>
      </c>
      <c r="AE86" s="376" t="s">
        <v>458</v>
      </c>
      <c r="AF86" s="376" t="s">
        <v>436</v>
      </c>
      <c r="AG86" s="376" t="s">
        <v>177</v>
      </c>
      <c r="AH86" s="381">
        <v>15.5</v>
      </c>
      <c r="AI86" s="381">
        <v>600.29999999999995</v>
      </c>
      <c r="AJ86" s="376" t="s">
        <v>178</v>
      </c>
      <c r="AK86" s="376" t="s">
        <v>179</v>
      </c>
      <c r="AL86" s="376" t="s">
        <v>180</v>
      </c>
      <c r="AM86" s="376" t="s">
        <v>181</v>
      </c>
      <c r="AN86" s="376" t="s">
        <v>68</v>
      </c>
      <c r="AO86" s="379">
        <v>80</v>
      </c>
      <c r="AP86" s="460">
        <v>1</v>
      </c>
      <c r="AQ86" s="460">
        <v>0.05</v>
      </c>
      <c r="AR86" s="458" t="s">
        <v>182</v>
      </c>
      <c r="AS86" s="462">
        <f t="shared" si="17"/>
        <v>0.05</v>
      </c>
      <c r="AT86">
        <f t="shared" si="18"/>
        <v>1</v>
      </c>
      <c r="AU86" s="462">
        <f>IF(AT86=0,"",IF(AND(AT86=1,M86="F",SUMIF(C2:C698,C86,AS2:AS698)&lt;=1),SUMIF(C2:C698,C86,AS2:AS698),IF(AND(AT86=1,M86="F",SUMIF(C2:C698,C86,AS2:AS698)&gt;1),1,"")))</f>
        <v>1</v>
      </c>
      <c r="AV86" s="462" t="str">
        <f>IF(AT86=0,"",IF(AND(AT86=3,M86="F",SUMIF(C2:C698,C86,AS2:AS698)&lt;=1),SUMIF(C2:C698,C86,AS2:AS698),IF(AND(AT86=3,M86="F",SUMIF(C2:C698,C86,AS2:AS698)&gt;1),1,"")))</f>
        <v/>
      </c>
      <c r="AW86" s="462">
        <f>SUMIF(C2:C698,C86,O2:O698)</f>
        <v>7</v>
      </c>
      <c r="AX86" s="462">
        <f>IF(AND(M86="F",AS86&lt;&gt;0),SUMIF(C2:C698,C86,W2:W698),0)</f>
        <v>32240</v>
      </c>
      <c r="AY86" s="462">
        <f t="shared" si="19"/>
        <v>1612</v>
      </c>
      <c r="AZ86" s="462" t="str">
        <f t="shared" si="20"/>
        <v/>
      </c>
      <c r="BA86" s="462">
        <f t="shared" si="21"/>
        <v>0</v>
      </c>
      <c r="BB86" s="462">
        <f>IF(AND(AT86=1,AK86="E",AU86&gt;=0.75,AW86=1),Health,IF(AND(AT86=1,AK86="E",AU86&gt;=0.75),Health*P86,IF(AND(AT86=1,AK86="E",AU86&gt;=0.5,AW86=1),PTHealth,IF(AND(AT86=1,AK86="E",AU86&gt;=0.5),PTHealth*P86,0))))</f>
        <v>582.5</v>
      </c>
      <c r="BC86" s="462">
        <f>IF(AND(AT86=3,AK86="E",AV86&gt;=0.75,AW86=1),Health,IF(AND(AT86=3,AK86="E",AV86&gt;=0.75),Health*P86,IF(AND(AT86=3,AK86="E",AV86&gt;=0.5,AW86=1),PTHealth,IF(AND(AT86=3,AK86="E",AV86&gt;=0.5),PTHealth*P86,0))))</f>
        <v>0</v>
      </c>
      <c r="BD86" s="462">
        <f>IF(AND(AT86&lt;&gt;0,AX86&gt;=MAXSSDI),SSDI*MAXSSDI*P86,IF(AT86&lt;&gt;0,SSDI*W86,0))</f>
        <v>99.944000000000003</v>
      </c>
      <c r="BE86" s="462">
        <f>IF(AT86&lt;&gt;0,SSHI*W86,0)</f>
        <v>23.374000000000002</v>
      </c>
      <c r="BF86" s="462">
        <f>IF(AND(AT86&lt;&gt;0,AN86&lt;&gt;"NE"),VLOOKUP(AN86,Retirement_Rates,3,FALSE)*W86,0)</f>
        <v>192.47280000000001</v>
      </c>
      <c r="BG86" s="462">
        <f>IF(AND(AT86&lt;&gt;0,AJ86&lt;&gt;"PF"),Life*W86,0)</f>
        <v>11.62252</v>
      </c>
      <c r="BH86" s="462">
        <f>IF(AND(AT86&lt;&gt;0,AM86="Y"),UI*W86,0)</f>
        <v>7.8987999999999996</v>
      </c>
      <c r="BI86" s="462">
        <f>IF(AND(AT86&lt;&gt;0,N86&lt;&gt;"NR"),DHR*W86,0)</f>
        <v>4.9327199999999998</v>
      </c>
      <c r="BJ86" s="462">
        <f>IF(AT86&lt;&gt;0,WC*W86,0)</f>
        <v>24.663599999999999</v>
      </c>
      <c r="BK86" s="462">
        <f>IF(OR(AND(AT86&lt;&gt;0,AJ86&lt;&gt;"PF",AN86&lt;&gt;"NE",AG86&lt;&gt;"A"),AND(AL86="E",OR(AT86=1,AT86=3))),Sick*W86,0)</f>
        <v>0</v>
      </c>
      <c r="BL86" s="462">
        <f t="shared" si="22"/>
        <v>364.90843999999998</v>
      </c>
      <c r="BM86" s="462">
        <f t="shared" si="23"/>
        <v>0</v>
      </c>
      <c r="BN86" s="462">
        <f>IF(AND(AT86=1,AK86="E",AU86&gt;=0.75,AW86=1),HealthBY,IF(AND(AT86=1,AK86="E",AU86&gt;=0.75),HealthBY*P86,IF(AND(AT86=1,AK86="E",AU86&gt;=0.5,AW86=1),PTHealthBY,IF(AND(AT86=1,AK86="E",AU86&gt;=0.5),PTHealthBY*P86,0))))</f>
        <v>582.5</v>
      </c>
      <c r="BO86" s="462">
        <f>IF(AND(AT86=3,AK86="E",AV86&gt;=0.75,AW86=1),HealthBY,IF(AND(AT86=3,AK86="E",AV86&gt;=0.75),HealthBY*P86,IF(AND(AT86=3,AK86="E",AV86&gt;=0.5,AW86=1),PTHealthBY,IF(AND(AT86=3,AK86="E",AV86&gt;=0.5),PTHealthBY*P86,0))))</f>
        <v>0</v>
      </c>
      <c r="BP86" s="462">
        <f>IF(AND(AT86&lt;&gt;0,(AX86+BA86)&gt;=MAXSSDIBY),SSDIBY*MAXSSDIBY*P86,IF(AT86&lt;&gt;0,SSDIBY*W86,0))</f>
        <v>99.944000000000003</v>
      </c>
      <c r="BQ86" s="462">
        <f>IF(AT86&lt;&gt;0,SSHIBY*W86,0)</f>
        <v>23.374000000000002</v>
      </c>
      <c r="BR86" s="462">
        <f>IF(AND(AT86&lt;&gt;0,AN86&lt;&gt;"NE"),VLOOKUP(AN86,Retirement_Rates,4,FALSE)*W86,0)</f>
        <v>192.47280000000001</v>
      </c>
      <c r="BS86" s="462">
        <f>IF(AND(AT86&lt;&gt;0,AJ86&lt;&gt;"PF"),LifeBY*W86,0)</f>
        <v>11.62252</v>
      </c>
      <c r="BT86" s="462">
        <f>IF(AND(AT86&lt;&gt;0,AM86="Y"),UIBY*W86,0)</f>
        <v>0</v>
      </c>
      <c r="BU86" s="462">
        <f>IF(AND(AT86&lt;&gt;0,N86&lt;&gt;"NR"),DHRBY*W86,0)</f>
        <v>4.9327199999999998</v>
      </c>
      <c r="BV86" s="462">
        <f>IF(AT86&lt;&gt;0,WCBY*W86,0)</f>
        <v>28.371200000000002</v>
      </c>
      <c r="BW86" s="462">
        <f>IF(OR(AND(AT86&lt;&gt;0,AJ86&lt;&gt;"PF",AN86&lt;&gt;"NE",AG86&lt;&gt;"A"),AND(AL86="E",OR(AT86=1,AT86=3))),SickBY*W86,0)</f>
        <v>0</v>
      </c>
      <c r="BX86" s="462">
        <f t="shared" si="24"/>
        <v>360.71724</v>
      </c>
      <c r="BY86" s="462">
        <f t="shared" si="25"/>
        <v>0</v>
      </c>
      <c r="BZ86" s="462">
        <f t="shared" si="26"/>
        <v>0</v>
      </c>
      <c r="CA86" s="462">
        <f t="shared" si="27"/>
        <v>0</v>
      </c>
      <c r="CB86" s="462">
        <f t="shared" si="28"/>
        <v>0</v>
      </c>
      <c r="CC86" s="462">
        <f>IF(AT86&lt;&gt;0,SSHICHG*Y86,0)</f>
        <v>0</v>
      </c>
      <c r="CD86" s="462">
        <f>IF(AND(AT86&lt;&gt;0,AN86&lt;&gt;"NE"),VLOOKUP(AN86,Retirement_Rates,5,FALSE)*Y86,0)</f>
        <v>0</v>
      </c>
      <c r="CE86" s="462">
        <f>IF(AND(AT86&lt;&gt;0,AJ86&lt;&gt;"PF"),LifeCHG*Y86,0)</f>
        <v>0</v>
      </c>
      <c r="CF86" s="462">
        <f>IF(AND(AT86&lt;&gt;0,AM86="Y"),UICHG*Y86,0)</f>
        <v>-7.8987999999999996</v>
      </c>
      <c r="CG86" s="462">
        <f>IF(AND(AT86&lt;&gt;0,N86&lt;&gt;"NR"),DHRCHG*Y86,0)</f>
        <v>0</v>
      </c>
      <c r="CH86" s="462">
        <f>IF(AT86&lt;&gt;0,WCCHG*Y86,0)</f>
        <v>3.7076000000000029</v>
      </c>
      <c r="CI86" s="462">
        <f>IF(OR(AND(AT86&lt;&gt;0,AJ86&lt;&gt;"PF",AN86&lt;&gt;"NE",AG86&lt;&gt;"A"),AND(AL86="E",OR(AT86=1,AT86=3))),SickCHG*Y86,0)</f>
        <v>0</v>
      </c>
      <c r="CJ86" s="462">
        <f t="shared" si="29"/>
        <v>-4.1911999999999967</v>
      </c>
      <c r="CK86" s="462" t="str">
        <f t="shared" si="30"/>
        <v/>
      </c>
      <c r="CL86" s="462" t="str">
        <f t="shared" si="31"/>
        <v/>
      </c>
      <c r="CM86" s="462" t="str">
        <f t="shared" si="32"/>
        <v/>
      </c>
      <c r="CN86" s="462" t="str">
        <f t="shared" si="33"/>
        <v>0001-00</v>
      </c>
    </row>
    <row r="87" spans="1:92" ht="15" thickBot="1" x14ac:dyDescent="0.35">
      <c r="A87" s="376" t="s">
        <v>161</v>
      </c>
      <c r="B87" s="376" t="s">
        <v>162</v>
      </c>
      <c r="C87" s="376" t="s">
        <v>314</v>
      </c>
      <c r="D87" s="376" t="s">
        <v>315</v>
      </c>
      <c r="E87" s="376" t="s">
        <v>165</v>
      </c>
      <c r="F87" s="377" t="s">
        <v>166</v>
      </c>
      <c r="G87" s="376" t="s">
        <v>356</v>
      </c>
      <c r="H87" s="378"/>
      <c r="I87" s="378"/>
      <c r="J87" s="376" t="s">
        <v>168</v>
      </c>
      <c r="K87" s="376" t="s">
        <v>316</v>
      </c>
      <c r="L87" s="376" t="s">
        <v>220</v>
      </c>
      <c r="M87" s="376" t="s">
        <v>170</v>
      </c>
      <c r="N87" s="376" t="s">
        <v>202</v>
      </c>
      <c r="O87" s="379">
        <v>1</v>
      </c>
      <c r="P87" s="460">
        <v>1</v>
      </c>
      <c r="Q87" s="460">
        <v>1</v>
      </c>
      <c r="R87" s="380">
        <v>80</v>
      </c>
      <c r="S87" s="460">
        <v>1</v>
      </c>
      <c r="T87" s="380">
        <v>37786.449999999997</v>
      </c>
      <c r="U87" s="380">
        <v>0</v>
      </c>
      <c r="V87" s="380">
        <v>16757.009999999998</v>
      </c>
      <c r="W87" s="380">
        <v>43596.800000000003</v>
      </c>
      <c r="X87" s="380">
        <v>21518.98</v>
      </c>
      <c r="Y87" s="380">
        <v>43596.800000000003</v>
      </c>
      <c r="Z87" s="380">
        <v>21405.63</v>
      </c>
      <c r="AA87" s="376" t="s">
        <v>317</v>
      </c>
      <c r="AB87" s="376" t="s">
        <v>318</v>
      </c>
      <c r="AC87" s="376" t="s">
        <v>319</v>
      </c>
      <c r="AD87" s="376" t="s">
        <v>224</v>
      </c>
      <c r="AE87" s="376" t="s">
        <v>316</v>
      </c>
      <c r="AF87" s="376" t="s">
        <v>264</v>
      </c>
      <c r="AG87" s="376" t="s">
        <v>177</v>
      </c>
      <c r="AH87" s="381">
        <v>20.96</v>
      </c>
      <c r="AI87" s="381">
        <v>7357.5</v>
      </c>
      <c r="AJ87" s="376" t="s">
        <v>178</v>
      </c>
      <c r="AK87" s="376" t="s">
        <v>179</v>
      </c>
      <c r="AL87" s="376" t="s">
        <v>180</v>
      </c>
      <c r="AM87" s="376" t="s">
        <v>181</v>
      </c>
      <c r="AN87" s="376" t="s">
        <v>68</v>
      </c>
      <c r="AO87" s="379">
        <v>80</v>
      </c>
      <c r="AP87" s="460">
        <v>1</v>
      </c>
      <c r="AQ87" s="460">
        <v>1</v>
      </c>
      <c r="AR87" s="458" t="s">
        <v>182</v>
      </c>
      <c r="AS87" s="462">
        <f t="shared" si="17"/>
        <v>1</v>
      </c>
      <c r="AT87">
        <f t="shared" si="18"/>
        <v>1</v>
      </c>
      <c r="AU87" s="462">
        <f>IF(AT87=0,"",IF(AND(AT87=1,M87="F",SUMIF(C2:C698,C87,AS2:AS698)&lt;=1),SUMIF(C2:C698,C87,AS2:AS698),IF(AND(AT87=1,M87="F",SUMIF(C2:C698,C87,AS2:AS698)&gt;1),1,"")))</f>
        <v>1</v>
      </c>
      <c r="AV87" s="462" t="str">
        <f>IF(AT87=0,"",IF(AND(AT87=3,M87="F",SUMIF(C2:C698,C87,AS2:AS698)&lt;=1),SUMIF(C2:C698,C87,AS2:AS698),IF(AND(AT87=3,M87="F",SUMIF(C2:C698,C87,AS2:AS698)&gt;1),1,"")))</f>
        <v/>
      </c>
      <c r="AW87" s="462">
        <f>SUMIF(C2:C698,C87,O2:O698)</f>
        <v>2</v>
      </c>
      <c r="AX87" s="462">
        <f>IF(AND(M87="F",AS87&lt;&gt;0),SUMIF(C2:C698,C87,W2:W698),0)</f>
        <v>43596.800000000003</v>
      </c>
      <c r="AY87" s="462">
        <f t="shared" si="19"/>
        <v>43596.800000000003</v>
      </c>
      <c r="AZ87" s="462" t="str">
        <f t="shared" si="20"/>
        <v/>
      </c>
      <c r="BA87" s="462">
        <f t="shared" si="21"/>
        <v>0</v>
      </c>
      <c r="BB87" s="462">
        <f>IF(AND(AT87=1,AK87="E",AU87&gt;=0.75,AW87=1),Health,IF(AND(AT87=1,AK87="E",AU87&gt;=0.75),Health*P87,IF(AND(AT87=1,AK87="E",AU87&gt;=0.5,AW87=1),PTHealth,IF(AND(AT87=1,AK87="E",AU87&gt;=0.5),PTHealth*P87,0))))</f>
        <v>11650</v>
      </c>
      <c r="BC87" s="462">
        <f>IF(AND(AT87=3,AK87="E",AV87&gt;=0.75,AW87=1),Health,IF(AND(AT87=3,AK87="E",AV87&gt;=0.75),Health*P87,IF(AND(AT87=3,AK87="E",AV87&gt;=0.5,AW87=1),PTHealth,IF(AND(AT87=3,AK87="E",AV87&gt;=0.5),PTHealth*P87,0))))</f>
        <v>0</v>
      </c>
      <c r="BD87" s="462">
        <f>IF(AND(AT87&lt;&gt;0,AX87&gt;=MAXSSDI),SSDI*MAXSSDI*P87,IF(AT87&lt;&gt;0,SSDI*W87,0))</f>
        <v>2703.0016000000001</v>
      </c>
      <c r="BE87" s="462">
        <f>IF(AT87&lt;&gt;0,SSHI*W87,0)</f>
        <v>632.1536000000001</v>
      </c>
      <c r="BF87" s="462">
        <f>IF(AND(AT87&lt;&gt;0,AN87&lt;&gt;"NE"),VLOOKUP(AN87,Retirement_Rates,3,FALSE)*W87,0)</f>
        <v>5205.4579200000007</v>
      </c>
      <c r="BG87" s="462">
        <f>IF(AND(AT87&lt;&gt;0,AJ87&lt;&gt;"PF"),Life*W87,0)</f>
        <v>314.33292800000004</v>
      </c>
      <c r="BH87" s="462">
        <f>IF(AND(AT87&lt;&gt;0,AM87="Y"),UI*W87,0)</f>
        <v>213.62432000000001</v>
      </c>
      <c r="BI87" s="462">
        <f>IF(AND(AT87&lt;&gt;0,N87&lt;&gt;"NR"),DHR*W87,0)</f>
        <v>133.40620799999999</v>
      </c>
      <c r="BJ87" s="462">
        <f>IF(AT87&lt;&gt;0,WC*W87,0)</f>
        <v>667.03103999999996</v>
      </c>
      <c r="BK87" s="462">
        <f>IF(OR(AND(AT87&lt;&gt;0,AJ87&lt;&gt;"PF",AN87&lt;&gt;"NE",AG87&lt;&gt;"A"),AND(AL87="E",OR(AT87=1,AT87=3))),Sick*W87,0)</f>
        <v>0</v>
      </c>
      <c r="BL87" s="462">
        <f t="shared" si="22"/>
        <v>9869.0076160000026</v>
      </c>
      <c r="BM87" s="462">
        <f t="shared" si="23"/>
        <v>0</v>
      </c>
      <c r="BN87" s="462">
        <f>IF(AND(AT87=1,AK87="E",AU87&gt;=0.75,AW87=1),HealthBY,IF(AND(AT87=1,AK87="E",AU87&gt;=0.75),HealthBY*P87,IF(AND(AT87=1,AK87="E",AU87&gt;=0.5,AW87=1),PTHealthBY,IF(AND(AT87=1,AK87="E",AU87&gt;=0.5),PTHealthBY*P87,0))))</f>
        <v>11650</v>
      </c>
      <c r="BO87" s="462">
        <f>IF(AND(AT87=3,AK87="E",AV87&gt;=0.75,AW87=1),HealthBY,IF(AND(AT87=3,AK87="E",AV87&gt;=0.75),HealthBY*P87,IF(AND(AT87=3,AK87="E",AV87&gt;=0.5,AW87=1),PTHealthBY,IF(AND(AT87=3,AK87="E",AV87&gt;=0.5),PTHealthBY*P87,0))))</f>
        <v>0</v>
      </c>
      <c r="BP87" s="462">
        <f>IF(AND(AT87&lt;&gt;0,(AX87+BA87)&gt;=MAXSSDIBY),SSDIBY*MAXSSDIBY*P87,IF(AT87&lt;&gt;0,SSDIBY*W87,0))</f>
        <v>2703.0016000000001</v>
      </c>
      <c r="BQ87" s="462">
        <f>IF(AT87&lt;&gt;0,SSHIBY*W87,0)</f>
        <v>632.1536000000001</v>
      </c>
      <c r="BR87" s="462">
        <f>IF(AND(AT87&lt;&gt;0,AN87&lt;&gt;"NE"),VLOOKUP(AN87,Retirement_Rates,4,FALSE)*W87,0)</f>
        <v>5205.4579200000007</v>
      </c>
      <c r="BS87" s="462">
        <f>IF(AND(AT87&lt;&gt;0,AJ87&lt;&gt;"PF"),LifeBY*W87,0)</f>
        <v>314.33292800000004</v>
      </c>
      <c r="BT87" s="462">
        <f>IF(AND(AT87&lt;&gt;0,AM87="Y"),UIBY*W87,0)</f>
        <v>0</v>
      </c>
      <c r="BU87" s="462">
        <f>IF(AND(AT87&lt;&gt;0,N87&lt;&gt;"NR"),DHRBY*W87,0)</f>
        <v>133.40620799999999</v>
      </c>
      <c r="BV87" s="462">
        <f>IF(AT87&lt;&gt;0,WCBY*W87,0)</f>
        <v>767.3036800000001</v>
      </c>
      <c r="BW87" s="462">
        <f>IF(OR(AND(AT87&lt;&gt;0,AJ87&lt;&gt;"PF",AN87&lt;&gt;"NE",AG87&lt;&gt;"A"),AND(AL87="E",OR(AT87=1,AT87=3))),SickBY*W87,0)</f>
        <v>0</v>
      </c>
      <c r="BX87" s="462">
        <f t="shared" si="24"/>
        <v>9755.6559360000028</v>
      </c>
      <c r="BY87" s="462">
        <f t="shared" si="25"/>
        <v>0</v>
      </c>
      <c r="BZ87" s="462">
        <f t="shared" si="26"/>
        <v>0</v>
      </c>
      <c r="CA87" s="462">
        <f t="shared" si="27"/>
        <v>0</v>
      </c>
      <c r="CB87" s="462">
        <f t="shared" si="28"/>
        <v>0</v>
      </c>
      <c r="CC87" s="462">
        <f>IF(AT87&lt;&gt;0,SSHICHG*Y87,0)</f>
        <v>0</v>
      </c>
      <c r="CD87" s="462">
        <f>IF(AND(AT87&lt;&gt;0,AN87&lt;&gt;"NE"),VLOOKUP(AN87,Retirement_Rates,5,FALSE)*Y87,0)</f>
        <v>0</v>
      </c>
      <c r="CE87" s="462">
        <f>IF(AND(AT87&lt;&gt;0,AJ87&lt;&gt;"PF"),LifeCHG*Y87,0)</f>
        <v>0</v>
      </c>
      <c r="CF87" s="462">
        <f>IF(AND(AT87&lt;&gt;0,AM87="Y"),UICHG*Y87,0)</f>
        <v>-213.62432000000001</v>
      </c>
      <c r="CG87" s="462">
        <f>IF(AND(AT87&lt;&gt;0,N87&lt;&gt;"NR"),DHRCHG*Y87,0)</f>
        <v>0</v>
      </c>
      <c r="CH87" s="462">
        <f>IF(AT87&lt;&gt;0,WCCHG*Y87,0)</f>
        <v>100.27264000000008</v>
      </c>
      <c r="CI87" s="462">
        <f>IF(OR(AND(AT87&lt;&gt;0,AJ87&lt;&gt;"PF",AN87&lt;&gt;"NE",AG87&lt;&gt;"A"),AND(AL87="E",OR(AT87=1,AT87=3))),SickCHG*Y87,0)</f>
        <v>0</v>
      </c>
      <c r="CJ87" s="462">
        <f t="shared" si="29"/>
        <v>-113.35167999999993</v>
      </c>
      <c r="CK87" s="462" t="str">
        <f t="shared" si="30"/>
        <v/>
      </c>
      <c r="CL87" s="462" t="str">
        <f t="shared" si="31"/>
        <v/>
      </c>
      <c r="CM87" s="462" t="str">
        <f t="shared" si="32"/>
        <v/>
      </c>
      <c r="CN87" s="462" t="str">
        <f t="shared" si="33"/>
        <v>0001-00</v>
      </c>
    </row>
    <row r="88" spans="1:92" ht="15" thickBot="1" x14ac:dyDescent="0.35">
      <c r="A88" s="376" t="s">
        <v>161</v>
      </c>
      <c r="B88" s="376" t="s">
        <v>162</v>
      </c>
      <c r="C88" s="376" t="s">
        <v>526</v>
      </c>
      <c r="D88" s="376" t="s">
        <v>418</v>
      </c>
      <c r="E88" s="376" t="s">
        <v>165</v>
      </c>
      <c r="F88" s="377" t="s">
        <v>166</v>
      </c>
      <c r="G88" s="376" t="s">
        <v>356</v>
      </c>
      <c r="H88" s="378"/>
      <c r="I88" s="378"/>
      <c r="J88" s="376" t="s">
        <v>168</v>
      </c>
      <c r="K88" s="376" t="s">
        <v>419</v>
      </c>
      <c r="L88" s="376" t="s">
        <v>177</v>
      </c>
      <c r="M88" s="376" t="s">
        <v>170</v>
      </c>
      <c r="N88" s="376" t="s">
        <v>202</v>
      </c>
      <c r="O88" s="379">
        <v>1</v>
      </c>
      <c r="P88" s="460">
        <v>0</v>
      </c>
      <c r="Q88" s="460">
        <v>0</v>
      </c>
      <c r="R88" s="380">
        <v>80</v>
      </c>
      <c r="S88" s="460">
        <v>0</v>
      </c>
      <c r="T88" s="380">
        <v>11.17</v>
      </c>
      <c r="U88" s="380">
        <v>0</v>
      </c>
      <c r="V88" s="380">
        <v>6.98</v>
      </c>
      <c r="W88" s="380">
        <v>0</v>
      </c>
      <c r="X88" s="380">
        <v>0</v>
      </c>
      <c r="Y88" s="380">
        <v>0</v>
      </c>
      <c r="Z88" s="380">
        <v>0</v>
      </c>
      <c r="AA88" s="376" t="s">
        <v>527</v>
      </c>
      <c r="AB88" s="376" t="s">
        <v>528</v>
      </c>
      <c r="AC88" s="376" t="s">
        <v>529</v>
      </c>
      <c r="AD88" s="376" t="s">
        <v>215</v>
      </c>
      <c r="AE88" s="376" t="s">
        <v>419</v>
      </c>
      <c r="AF88" s="376" t="s">
        <v>436</v>
      </c>
      <c r="AG88" s="376" t="s">
        <v>177</v>
      </c>
      <c r="AH88" s="381">
        <v>16.649999999999999</v>
      </c>
      <c r="AI88" s="381">
        <v>10545.2</v>
      </c>
      <c r="AJ88" s="376" t="s">
        <v>178</v>
      </c>
      <c r="AK88" s="376" t="s">
        <v>179</v>
      </c>
      <c r="AL88" s="376" t="s">
        <v>180</v>
      </c>
      <c r="AM88" s="376" t="s">
        <v>181</v>
      </c>
      <c r="AN88" s="376" t="s">
        <v>68</v>
      </c>
      <c r="AO88" s="379">
        <v>80</v>
      </c>
      <c r="AP88" s="460">
        <v>1</v>
      </c>
      <c r="AQ88" s="460">
        <v>0</v>
      </c>
      <c r="AR88" s="458" t="s">
        <v>182</v>
      </c>
      <c r="AS88" s="462">
        <f t="shared" si="17"/>
        <v>0</v>
      </c>
      <c r="AT88">
        <f t="shared" si="18"/>
        <v>0</v>
      </c>
      <c r="AU88" s="462" t="str">
        <f>IF(AT88=0,"",IF(AND(AT88=1,M88="F",SUMIF(C2:C698,C88,AS2:AS698)&lt;=1),SUMIF(C2:C698,C88,AS2:AS698),IF(AND(AT88=1,M88="F",SUMIF(C2:C698,C88,AS2:AS698)&gt;1),1,"")))</f>
        <v/>
      </c>
      <c r="AV88" s="462" t="str">
        <f>IF(AT88=0,"",IF(AND(AT88=3,M88="F",SUMIF(C2:C698,C88,AS2:AS698)&lt;=1),SUMIF(C2:C698,C88,AS2:AS698),IF(AND(AT88=3,M88="F",SUMIF(C2:C698,C88,AS2:AS698)&gt;1),1,"")))</f>
        <v/>
      </c>
      <c r="AW88" s="462">
        <f>SUMIF(C2:C698,C88,O2:O698)</f>
        <v>4</v>
      </c>
      <c r="AX88" s="462">
        <f>IF(AND(M88="F",AS88&lt;&gt;0),SUMIF(C2:C698,C88,W2:W698),0)</f>
        <v>0</v>
      </c>
      <c r="AY88" s="462" t="str">
        <f t="shared" si="19"/>
        <v/>
      </c>
      <c r="AZ88" s="462" t="str">
        <f t="shared" si="20"/>
        <v/>
      </c>
      <c r="BA88" s="462">
        <f t="shared" si="21"/>
        <v>0</v>
      </c>
      <c r="BB88" s="462">
        <f>IF(AND(AT88=1,AK88="E",AU88&gt;=0.75,AW88=1),Health,IF(AND(AT88=1,AK88="E",AU88&gt;=0.75),Health*P88,IF(AND(AT88=1,AK88="E",AU88&gt;=0.5,AW88=1),PTHealth,IF(AND(AT88=1,AK88="E",AU88&gt;=0.5),PTHealth*P88,0))))</f>
        <v>0</v>
      </c>
      <c r="BC88" s="462">
        <f>IF(AND(AT88=3,AK88="E",AV88&gt;=0.75,AW88=1),Health,IF(AND(AT88=3,AK88="E",AV88&gt;=0.75),Health*P88,IF(AND(AT88=3,AK88="E",AV88&gt;=0.5,AW88=1),PTHealth,IF(AND(AT88=3,AK88="E",AV88&gt;=0.5),PTHealth*P88,0))))</f>
        <v>0</v>
      </c>
      <c r="BD88" s="462">
        <f>IF(AND(AT88&lt;&gt;0,AX88&gt;=MAXSSDI),SSDI*MAXSSDI*P88,IF(AT88&lt;&gt;0,SSDI*W88,0))</f>
        <v>0</v>
      </c>
      <c r="BE88" s="462">
        <f>IF(AT88&lt;&gt;0,SSHI*W88,0)</f>
        <v>0</v>
      </c>
      <c r="BF88" s="462">
        <f>IF(AND(AT88&lt;&gt;0,AN88&lt;&gt;"NE"),VLOOKUP(AN88,Retirement_Rates,3,FALSE)*W88,0)</f>
        <v>0</v>
      </c>
      <c r="BG88" s="462">
        <f>IF(AND(AT88&lt;&gt;0,AJ88&lt;&gt;"PF"),Life*W88,0)</f>
        <v>0</v>
      </c>
      <c r="BH88" s="462">
        <f>IF(AND(AT88&lt;&gt;0,AM88="Y"),UI*W88,0)</f>
        <v>0</v>
      </c>
      <c r="BI88" s="462">
        <f>IF(AND(AT88&lt;&gt;0,N88&lt;&gt;"NR"),DHR*W88,0)</f>
        <v>0</v>
      </c>
      <c r="BJ88" s="462">
        <f>IF(AT88&lt;&gt;0,WC*W88,0)</f>
        <v>0</v>
      </c>
      <c r="BK88" s="462">
        <f>IF(OR(AND(AT88&lt;&gt;0,AJ88&lt;&gt;"PF",AN88&lt;&gt;"NE",AG88&lt;&gt;"A"),AND(AL88="E",OR(AT88=1,AT88=3))),Sick*W88,0)</f>
        <v>0</v>
      </c>
      <c r="BL88" s="462">
        <f t="shared" si="22"/>
        <v>0</v>
      </c>
      <c r="BM88" s="462">
        <f t="shared" si="23"/>
        <v>0</v>
      </c>
      <c r="BN88" s="462">
        <f>IF(AND(AT88=1,AK88="E",AU88&gt;=0.75,AW88=1),HealthBY,IF(AND(AT88=1,AK88="E",AU88&gt;=0.75),HealthBY*P88,IF(AND(AT88=1,AK88="E",AU88&gt;=0.5,AW88=1),PTHealthBY,IF(AND(AT88=1,AK88="E",AU88&gt;=0.5),PTHealthBY*P88,0))))</f>
        <v>0</v>
      </c>
      <c r="BO88" s="462">
        <f>IF(AND(AT88=3,AK88="E",AV88&gt;=0.75,AW88=1),HealthBY,IF(AND(AT88=3,AK88="E",AV88&gt;=0.75),HealthBY*P88,IF(AND(AT88=3,AK88="E",AV88&gt;=0.5,AW88=1),PTHealthBY,IF(AND(AT88=3,AK88="E",AV88&gt;=0.5),PTHealthBY*P88,0))))</f>
        <v>0</v>
      </c>
      <c r="BP88" s="462">
        <f>IF(AND(AT88&lt;&gt;0,(AX88+BA88)&gt;=MAXSSDIBY),SSDIBY*MAXSSDIBY*P88,IF(AT88&lt;&gt;0,SSDIBY*W88,0))</f>
        <v>0</v>
      </c>
      <c r="BQ88" s="462">
        <f>IF(AT88&lt;&gt;0,SSHIBY*W88,0)</f>
        <v>0</v>
      </c>
      <c r="BR88" s="462">
        <f>IF(AND(AT88&lt;&gt;0,AN88&lt;&gt;"NE"),VLOOKUP(AN88,Retirement_Rates,4,FALSE)*W88,0)</f>
        <v>0</v>
      </c>
      <c r="BS88" s="462">
        <f>IF(AND(AT88&lt;&gt;0,AJ88&lt;&gt;"PF"),LifeBY*W88,0)</f>
        <v>0</v>
      </c>
      <c r="BT88" s="462">
        <f>IF(AND(AT88&lt;&gt;0,AM88="Y"),UIBY*W88,0)</f>
        <v>0</v>
      </c>
      <c r="BU88" s="462">
        <f>IF(AND(AT88&lt;&gt;0,N88&lt;&gt;"NR"),DHRBY*W88,0)</f>
        <v>0</v>
      </c>
      <c r="BV88" s="462">
        <f>IF(AT88&lt;&gt;0,WCBY*W88,0)</f>
        <v>0</v>
      </c>
      <c r="BW88" s="462">
        <f>IF(OR(AND(AT88&lt;&gt;0,AJ88&lt;&gt;"PF",AN88&lt;&gt;"NE",AG88&lt;&gt;"A"),AND(AL88="E",OR(AT88=1,AT88=3))),SickBY*W88,0)</f>
        <v>0</v>
      </c>
      <c r="BX88" s="462">
        <f t="shared" si="24"/>
        <v>0</v>
      </c>
      <c r="BY88" s="462">
        <f t="shared" si="25"/>
        <v>0</v>
      </c>
      <c r="BZ88" s="462">
        <f t="shared" si="26"/>
        <v>0</v>
      </c>
      <c r="CA88" s="462">
        <f t="shared" si="27"/>
        <v>0</v>
      </c>
      <c r="CB88" s="462">
        <f t="shared" si="28"/>
        <v>0</v>
      </c>
      <c r="CC88" s="462">
        <f>IF(AT88&lt;&gt;0,SSHICHG*Y88,0)</f>
        <v>0</v>
      </c>
      <c r="CD88" s="462">
        <f>IF(AND(AT88&lt;&gt;0,AN88&lt;&gt;"NE"),VLOOKUP(AN88,Retirement_Rates,5,FALSE)*Y88,0)</f>
        <v>0</v>
      </c>
      <c r="CE88" s="462">
        <f>IF(AND(AT88&lt;&gt;0,AJ88&lt;&gt;"PF"),LifeCHG*Y88,0)</f>
        <v>0</v>
      </c>
      <c r="CF88" s="462">
        <f>IF(AND(AT88&lt;&gt;0,AM88="Y"),UICHG*Y88,0)</f>
        <v>0</v>
      </c>
      <c r="CG88" s="462">
        <f>IF(AND(AT88&lt;&gt;0,N88&lt;&gt;"NR"),DHRCHG*Y88,0)</f>
        <v>0</v>
      </c>
      <c r="CH88" s="462">
        <f>IF(AT88&lt;&gt;0,WCCHG*Y88,0)</f>
        <v>0</v>
      </c>
      <c r="CI88" s="462">
        <f>IF(OR(AND(AT88&lt;&gt;0,AJ88&lt;&gt;"PF",AN88&lt;&gt;"NE",AG88&lt;&gt;"A"),AND(AL88="E",OR(AT88=1,AT88=3))),SickCHG*Y88,0)</f>
        <v>0</v>
      </c>
      <c r="CJ88" s="462">
        <f t="shared" si="29"/>
        <v>0</v>
      </c>
      <c r="CK88" s="462" t="str">
        <f t="shared" si="30"/>
        <v/>
      </c>
      <c r="CL88" s="462" t="str">
        <f t="shared" si="31"/>
        <v/>
      </c>
      <c r="CM88" s="462" t="str">
        <f t="shared" si="32"/>
        <v/>
      </c>
      <c r="CN88" s="462" t="str">
        <f t="shared" si="33"/>
        <v>0001-00</v>
      </c>
    </row>
    <row r="89" spans="1:92" ht="15" thickBot="1" x14ac:dyDescent="0.35">
      <c r="A89" s="376" t="s">
        <v>161</v>
      </c>
      <c r="B89" s="376" t="s">
        <v>162</v>
      </c>
      <c r="C89" s="376" t="s">
        <v>530</v>
      </c>
      <c r="D89" s="376" t="s">
        <v>365</v>
      </c>
      <c r="E89" s="376" t="s">
        <v>165</v>
      </c>
      <c r="F89" s="377" t="s">
        <v>166</v>
      </c>
      <c r="G89" s="376" t="s">
        <v>356</v>
      </c>
      <c r="H89" s="378"/>
      <c r="I89" s="378"/>
      <c r="J89" s="376" t="s">
        <v>168</v>
      </c>
      <c r="K89" s="376" t="s">
        <v>366</v>
      </c>
      <c r="L89" s="376" t="s">
        <v>274</v>
      </c>
      <c r="M89" s="376" t="s">
        <v>170</v>
      </c>
      <c r="N89" s="376" t="s">
        <v>202</v>
      </c>
      <c r="O89" s="379">
        <v>1</v>
      </c>
      <c r="P89" s="460">
        <v>0</v>
      </c>
      <c r="Q89" s="460">
        <v>0</v>
      </c>
      <c r="R89" s="380">
        <v>80</v>
      </c>
      <c r="S89" s="460">
        <v>0</v>
      </c>
      <c r="T89" s="380">
        <v>34584.58</v>
      </c>
      <c r="U89" s="380">
        <v>0</v>
      </c>
      <c r="V89" s="380">
        <v>18428.919999999998</v>
      </c>
      <c r="W89" s="380">
        <v>0</v>
      </c>
      <c r="X89" s="380">
        <v>0</v>
      </c>
      <c r="Y89" s="380">
        <v>0</v>
      </c>
      <c r="Z89" s="380">
        <v>0</v>
      </c>
      <c r="AA89" s="376" t="s">
        <v>531</v>
      </c>
      <c r="AB89" s="376" t="s">
        <v>532</v>
      </c>
      <c r="AC89" s="376" t="s">
        <v>533</v>
      </c>
      <c r="AD89" s="376" t="s">
        <v>534</v>
      </c>
      <c r="AE89" s="376" t="s">
        <v>366</v>
      </c>
      <c r="AF89" s="376" t="s">
        <v>279</v>
      </c>
      <c r="AG89" s="376" t="s">
        <v>177</v>
      </c>
      <c r="AH89" s="381">
        <v>17.5</v>
      </c>
      <c r="AI89" s="381">
        <v>9108.5</v>
      </c>
      <c r="AJ89" s="376" t="s">
        <v>178</v>
      </c>
      <c r="AK89" s="376" t="s">
        <v>179</v>
      </c>
      <c r="AL89" s="376" t="s">
        <v>180</v>
      </c>
      <c r="AM89" s="376" t="s">
        <v>181</v>
      </c>
      <c r="AN89" s="376" t="s">
        <v>68</v>
      </c>
      <c r="AO89" s="379">
        <v>80</v>
      </c>
      <c r="AP89" s="460">
        <v>1</v>
      </c>
      <c r="AQ89" s="460">
        <v>0</v>
      </c>
      <c r="AR89" s="458" t="s">
        <v>182</v>
      </c>
      <c r="AS89" s="462">
        <f t="shared" si="17"/>
        <v>0</v>
      </c>
      <c r="AT89">
        <f t="shared" si="18"/>
        <v>0</v>
      </c>
      <c r="AU89" s="462" t="str">
        <f>IF(AT89=0,"",IF(AND(AT89=1,M89="F",SUMIF(C2:C698,C89,AS2:AS698)&lt;=1),SUMIF(C2:C698,C89,AS2:AS698),IF(AND(AT89=1,M89="F",SUMIF(C2:C698,C89,AS2:AS698)&gt;1),1,"")))</f>
        <v/>
      </c>
      <c r="AV89" s="462" t="str">
        <f>IF(AT89=0,"",IF(AND(AT89=3,M89="F",SUMIF(C2:C698,C89,AS2:AS698)&lt;=1),SUMIF(C2:C698,C89,AS2:AS698),IF(AND(AT89=3,M89="F",SUMIF(C2:C698,C89,AS2:AS698)&gt;1),1,"")))</f>
        <v/>
      </c>
      <c r="AW89" s="462">
        <f>SUMIF(C2:C698,C89,O2:O698)</f>
        <v>3</v>
      </c>
      <c r="AX89" s="462">
        <f>IF(AND(M89="F",AS89&lt;&gt;0),SUMIF(C2:C698,C89,W2:W698),0)</f>
        <v>0</v>
      </c>
      <c r="AY89" s="462" t="str">
        <f t="shared" si="19"/>
        <v/>
      </c>
      <c r="AZ89" s="462" t="str">
        <f t="shared" si="20"/>
        <v/>
      </c>
      <c r="BA89" s="462">
        <f t="shared" si="21"/>
        <v>0</v>
      </c>
      <c r="BB89" s="462">
        <f>IF(AND(AT89=1,AK89="E",AU89&gt;=0.75,AW89=1),Health,IF(AND(AT89=1,AK89="E",AU89&gt;=0.75),Health*P89,IF(AND(AT89=1,AK89="E",AU89&gt;=0.5,AW89=1),PTHealth,IF(AND(AT89=1,AK89="E",AU89&gt;=0.5),PTHealth*P89,0))))</f>
        <v>0</v>
      </c>
      <c r="BC89" s="462">
        <f>IF(AND(AT89=3,AK89="E",AV89&gt;=0.75,AW89=1),Health,IF(AND(AT89=3,AK89="E",AV89&gt;=0.75),Health*P89,IF(AND(AT89=3,AK89="E",AV89&gt;=0.5,AW89=1),PTHealth,IF(AND(AT89=3,AK89="E",AV89&gt;=0.5),PTHealth*P89,0))))</f>
        <v>0</v>
      </c>
      <c r="BD89" s="462">
        <f>IF(AND(AT89&lt;&gt;0,AX89&gt;=MAXSSDI),SSDI*MAXSSDI*P89,IF(AT89&lt;&gt;0,SSDI*W89,0))</f>
        <v>0</v>
      </c>
      <c r="BE89" s="462">
        <f>IF(AT89&lt;&gt;0,SSHI*W89,0)</f>
        <v>0</v>
      </c>
      <c r="BF89" s="462">
        <f>IF(AND(AT89&lt;&gt;0,AN89&lt;&gt;"NE"),VLOOKUP(AN89,Retirement_Rates,3,FALSE)*W89,0)</f>
        <v>0</v>
      </c>
      <c r="BG89" s="462">
        <f>IF(AND(AT89&lt;&gt;0,AJ89&lt;&gt;"PF"),Life*W89,0)</f>
        <v>0</v>
      </c>
      <c r="BH89" s="462">
        <f>IF(AND(AT89&lt;&gt;0,AM89="Y"),UI*W89,0)</f>
        <v>0</v>
      </c>
      <c r="BI89" s="462">
        <f>IF(AND(AT89&lt;&gt;0,N89&lt;&gt;"NR"),DHR*W89,0)</f>
        <v>0</v>
      </c>
      <c r="BJ89" s="462">
        <f>IF(AT89&lt;&gt;0,WC*W89,0)</f>
        <v>0</v>
      </c>
      <c r="BK89" s="462">
        <f>IF(OR(AND(AT89&lt;&gt;0,AJ89&lt;&gt;"PF",AN89&lt;&gt;"NE",AG89&lt;&gt;"A"),AND(AL89="E",OR(AT89=1,AT89=3))),Sick*W89,0)</f>
        <v>0</v>
      </c>
      <c r="BL89" s="462">
        <f t="shared" si="22"/>
        <v>0</v>
      </c>
      <c r="BM89" s="462">
        <f t="shared" si="23"/>
        <v>0</v>
      </c>
      <c r="BN89" s="462">
        <f>IF(AND(AT89=1,AK89="E",AU89&gt;=0.75,AW89=1),HealthBY,IF(AND(AT89=1,AK89="E",AU89&gt;=0.75),HealthBY*P89,IF(AND(AT89=1,AK89="E",AU89&gt;=0.5,AW89=1),PTHealthBY,IF(AND(AT89=1,AK89="E",AU89&gt;=0.5),PTHealthBY*P89,0))))</f>
        <v>0</v>
      </c>
      <c r="BO89" s="462">
        <f>IF(AND(AT89=3,AK89="E",AV89&gt;=0.75,AW89=1),HealthBY,IF(AND(AT89=3,AK89="E",AV89&gt;=0.75),HealthBY*P89,IF(AND(AT89=3,AK89="E",AV89&gt;=0.5,AW89=1),PTHealthBY,IF(AND(AT89=3,AK89="E",AV89&gt;=0.5),PTHealthBY*P89,0))))</f>
        <v>0</v>
      </c>
      <c r="BP89" s="462">
        <f>IF(AND(AT89&lt;&gt;0,(AX89+BA89)&gt;=MAXSSDIBY),SSDIBY*MAXSSDIBY*P89,IF(AT89&lt;&gt;0,SSDIBY*W89,0))</f>
        <v>0</v>
      </c>
      <c r="BQ89" s="462">
        <f>IF(AT89&lt;&gt;0,SSHIBY*W89,0)</f>
        <v>0</v>
      </c>
      <c r="BR89" s="462">
        <f>IF(AND(AT89&lt;&gt;0,AN89&lt;&gt;"NE"),VLOOKUP(AN89,Retirement_Rates,4,FALSE)*W89,0)</f>
        <v>0</v>
      </c>
      <c r="BS89" s="462">
        <f>IF(AND(AT89&lt;&gt;0,AJ89&lt;&gt;"PF"),LifeBY*W89,0)</f>
        <v>0</v>
      </c>
      <c r="BT89" s="462">
        <f>IF(AND(AT89&lt;&gt;0,AM89="Y"),UIBY*W89,0)</f>
        <v>0</v>
      </c>
      <c r="BU89" s="462">
        <f>IF(AND(AT89&lt;&gt;0,N89&lt;&gt;"NR"),DHRBY*W89,0)</f>
        <v>0</v>
      </c>
      <c r="BV89" s="462">
        <f>IF(AT89&lt;&gt;0,WCBY*W89,0)</f>
        <v>0</v>
      </c>
      <c r="BW89" s="462">
        <f>IF(OR(AND(AT89&lt;&gt;0,AJ89&lt;&gt;"PF",AN89&lt;&gt;"NE",AG89&lt;&gt;"A"),AND(AL89="E",OR(AT89=1,AT89=3))),SickBY*W89,0)</f>
        <v>0</v>
      </c>
      <c r="BX89" s="462">
        <f t="shared" si="24"/>
        <v>0</v>
      </c>
      <c r="BY89" s="462">
        <f t="shared" si="25"/>
        <v>0</v>
      </c>
      <c r="BZ89" s="462">
        <f t="shared" si="26"/>
        <v>0</v>
      </c>
      <c r="CA89" s="462">
        <f t="shared" si="27"/>
        <v>0</v>
      </c>
      <c r="CB89" s="462">
        <f t="shared" si="28"/>
        <v>0</v>
      </c>
      <c r="CC89" s="462">
        <f>IF(AT89&lt;&gt;0,SSHICHG*Y89,0)</f>
        <v>0</v>
      </c>
      <c r="CD89" s="462">
        <f>IF(AND(AT89&lt;&gt;0,AN89&lt;&gt;"NE"),VLOOKUP(AN89,Retirement_Rates,5,FALSE)*Y89,0)</f>
        <v>0</v>
      </c>
      <c r="CE89" s="462">
        <f>IF(AND(AT89&lt;&gt;0,AJ89&lt;&gt;"PF"),LifeCHG*Y89,0)</f>
        <v>0</v>
      </c>
      <c r="CF89" s="462">
        <f>IF(AND(AT89&lt;&gt;0,AM89="Y"),UICHG*Y89,0)</f>
        <v>0</v>
      </c>
      <c r="CG89" s="462">
        <f>IF(AND(AT89&lt;&gt;0,N89&lt;&gt;"NR"),DHRCHG*Y89,0)</f>
        <v>0</v>
      </c>
      <c r="CH89" s="462">
        <f>IF(AT89&lt;&gt;0,WCCHG*Y89,0)</f>
        <v>0</v>
      </c>
      <c r="CI89" s="462">
        <f>IF(OR(AND(AT89&lt;&gt;0,AJ89&lt;&gt;"PF",AN89&lt;&gt;"NE",AG89&lt;&gt;"A"),AND(AL89="E",OR(AT89=1,AT89=3))),SickCHG*Y89,0)</f>
        <v>0</v>
      </c>
      <c r="CJ89" s="462">
        <f t="shared" si="29"/>
        <v>0</v>
      </c>
      <c r="CK89" s="462" t="str">
        <f t="shared" si="30"/>
        <v/>
      </c>
      <c r="CL89" s="462" t="str">
        <f t="shared" si="31"/>
        <v/>
      </c>
      <c r="CM89" s="462" t="str">
        <f t="shared" si="32"/>
        <v/>
      </c>
      <c r="CN89" s="462" t="str">
        <f t="shared" si="33"/>
        <v>0001-00</v>
      </c>
    </row>
    <row r="90" spans="1:92" ht="15" thickBot="1" x14ac:dyDescent="0.35">
      <c r="A90" s="376" t="s">
        <v>161</v>
      </c>
      <c r="B90" s="376" t="s">
        <v>162</v>
      </c>
      <c r="C90" s="376" t="s">
        <v>390</v>
      </c>
      <c r="D90" s="376" t="s">
        <v>339</v>
      </c>
      <c r="E90" s="376" t="s">
        <v>535</v>
      </c>
      <c r="F90" s="382" t="s">
        <v>536</v>
      </c>
      <c r="G90" s="376" t="s">
        <v>356</v>
      </c>
      <c r="H90" s="378"/>
      <c r="I90" s="378"/>
      <c r="J90" s="376" t="s">
        <v>185</v>
      </c>
      <c r="K90" s="376" t="s">
        <v>340</v>
      </c>
      <c r="L90" s="376" t="s">
        <v>247</v>
      </c>
      <c r="M90" s="376" t="s">
        <v>170</v>
      </c>
      <c r="N90" s="376" t="s">
        <v>202</v>
      </c>
      <c r="O90" s="379">
        <v>1</v>
      </c>
      <c r="P90" s="460">
        <v>0.5</v>
      </c>
      <c r="Q90" s="460">
        <v>0.5</v>
      </c>
      <c r="R90" s="380">
        <v>80</v>
      </c>
      <c r="S90" s="460">
        <v>0.5</v>
      </c>
      <c r="T90" s="380">
        <v>2000</v>
      </c>
      <c r="U90" s="380">
        <v>0</v>
      </c>
      <c r="V90" s="380">
        <v>244.64</v>
      </c>
      <c r="W90" s="380">
        <v>42796</v>
      </c>
      <c r="X90" s="380">
        <v>15512.71</v>
      </c>
      <c r="Y90" s="380">
        <v>42796</v>
      </c>
      <c r="Z90" s="380">
        <v>15401.44</v>
      </c>
      <c r="AA90" s="376" t="s">
        <v>391</v>
      </c>
      <c r="AB90" s="376" t="s">
        <v>392</v>
      </c>
      <c r="AC90" s="376" t="s">
        <v>393</v>
      </c>
      <c r="AD90" s="376" t="s">
        <v>394</v>
      </c>
      <c r="AE90" s="376" t="s">
        <v>340</v>
      </c>
      <c r="AF90" s="376" t="s">
        <v>299</v>
      </c>
      <c r="AG90" s="376" t="s">
        <v>177</v>
      </c>
      <c r="AH90" s="381">
        <v>41.15</v>
      </c>
      <c r="AI90" s="379">
        <v>33121</v>
      </c>
      <c r="AJ90" s="376" t="s">
        <v>178</v>
      </c>
      <c r="AK90" s="376" t="s">
        <v>179</v>
      </c>
      <c r="AL90" s="376" t="s">
        <v>180</v>
      </c>
      <c r="AM90" s="376" t="s">
        <v>181</v>
      </c>
      <c r="AN90" s="376" t="s">
        <v>68</v>
      </c>
      <c r="AO90" s="379">
        <v>80</v>
      </c>
      <c r="AP90" s="460">
        <v>1</v>
      </c>
      <c r="AQ90" s="460">
        <v>0.5</v>
      </c>
      <c r="AR90" s="458" t="s">
        <v>182</v>
      </c>
      <c r="AS90" s="462">
        <f t="shared" si="17"/>
        <v>0.5</v>
      </c>
      <c r="AT90">
        <f t="shared" si="18"/>
        <v>1</v>
      </c>
      <c r="AU90" s="462">
        <f>IF(AT90=0,"",IF(AND(AT90=1,M90="F",SUMIF(C2:C698,C90,AS2:AS698)&lt;=1),SUMIF(C2:C698,C90,AS2:AS698),IF(AND(AT90=1,M90="F",SUMIF(C2:C698,C90,AS2:AS698)&gt;1),1,"")))</f>
        <v>1</v>
      </c>
      <c r="AV90" s="462" t="str">
        <f>IF(AT90=0,"",IF(AND(AT90=3,M90="F",SUMIF(C2:C698,C90,AS2:AS698)&lt;=1),SUMIF(C2:C698,C90,AS2:AS698),IF(AND(AT90=3,M90="F",SUMIF(C2:C698,C90,AS2:AS698)&gt;1),1,"")))</f>
        <v/>
      </c>
      <c r="AW90" s="462">
        <f>SUMIF(C2:C698,C90,O2:O698)</f>
        <v>6</v>
      </c>
      <c r="AX90" s="462">
        <f>IF(AND(M90="F",AS90&lt;&gt;0),SUMIF(C2:C698,C90,W2:W698),0)</f>
        <v>85592</v>
      </c>
      <c r="AY90" s="462">
        <f t="shared" si="19"/>
        <v>42796</v>
      </c>
      <c r="AZ90" s="462" t="str">
        <f t="shared" si="20"/>
        <v/>
      </c>
      <c r="BA90" s="462">
        <f t="shared" si="21"/>
        <v>0</v>
      </c>
      <c r="BB90" s="462">
        <f>IF(AND(AT90=1,AK90="E",AU90&gt;=0.75,AW90=1),Health,IF(AND(AT90=1,AK90="E",AU90&gt;=0.75),Health*P90,IF(AND(AT90=1,AK90="E",AU90&gt;=0.5,AW90=1),PTHealth,IF(AND(AT90=1,AK90="E",AU90&gt;=0.5),PTHealth*P90,0))))</f>
        <v>5825</v>
      </c>
      <c r="BC90" s="462">
        <f>IF(AND(AT90=3,AK90="E",AV90&gt;=0.75,AW90=1),Health,IF(AND(AT90=3,AK90="E",AV90&gt;=0.75),Health*P90,IF(AND(AT90=3,AK90="E",AV90&gt;=0.5,AW90=1),PTHealth,IF(AND(AT90=3,AK90="E",AV90&gt;=0.5),PTHealth*P90,0))))</f>
        <v>0</v>
      </c>
      <c r="BD90" s="462">
        <f>IF(AND(AT90&lt;&gt;0,AX90&gt;=MAXSSDI),SSDI*MAXSSDI*P90,IF(AT90&lt;&gt;0,SSDI*W90,0))</f>
        <v>2653.3519999999999</v>
      </c>
      <c r="BE90" s="462">
        <f>IF(AT90&lt;&gt;0,SSHI*W90,0)</f>
        <v>620.54200000000003</v>
      </c>
      <c r="BF90" s="462">
        <f>IF(AND(AT90&lt;&gt;0,AN90&lt;&gt;"NE"),VLOOKUP(AN90,Retirement_Rates,3,FALSE)*W90,0)</f>
        <v>5109.8424000000005</v>
      </c>
      <c r="BG90" s="462">
        <f>IF(AND(AT90&lt;&gt;0,AJ90&lt;&gt;"PF"),Life*W90,0)</f>
        <v>308.55916000000002</v>
      </c>
      <c r="BH90" s="462">
        <f>IF(AND(AT90&lt;&gt;0,AM90="Y"),UI*W90,0)</f>
        <v>209.7004</v>
      </c>
      <c r="BI90" s="462">
        <f>IF(AND(AT90&lt;&gt;0,N90&lt;&gt;"NR"),DHR*W90,0)</f>
        <v>130.95576</v>
      </c>
      <c r="BJ90" s="462">
        <f>IF(AT90&lt;&gt;0,WC*W90,0)</f>
        <v>654.77879999999993</v>
      </c>
      <c r="BK90" s="462">
        <f>IF(OR(AND(AT90&lt;&gt;0,AJ90&lt;&gt;"PF",AN90&lt;&gt;"NE",AG90&lt;&gt;"A"),AND(AL90="E",OR(AT90=1,AT90=3))),Sick*W90,0)</f>
        <v>0</v>
      </c>
      <c r="BL90" s="462">
        <f t="shared" si="22"/>
        <v>9687.730520000001</v>
      </c>
      <c r="BM90" s="462">
        <f t="shared" si="23"/>
        <v>0</v>
      </c>
      <c r="BN90" s="462">
        <f>IF(AND(AT90=1,AK90="E",AU90&gt;=0.75,AW90=1),HealthBY,IF(AND(AT90=1,AK90="E",AU90&gt;=0.75),HealthBY*P90,IF(AND(AT90=1,AK90="E",AU90&gt;=0.5,AW90=1),PTHealthBY,IF(AND(AT90=1,AK90="E",AU90&gt;=0.5),PTHealthBY*P90,0))))</f>
        <v>5825</v>
      </c>
      <c r="BO90" s="462">
        <f>IF(AND(AT90=3,AK90="E",AV90&gt;=0.75,AW90=1),HealthBY,IF(AND(AT90=3,AK90="E",AV90&gt;=0.75),HealthBY*P90,IF(AND(AT90=3,AK90="E",AV90&gt;=0.5,AW90=1),PTHealthBY,IF(AND(AT90=3,AK90="E",AV90&gt;=0.5),PTHealthBY*P90,0))))</f>
        <v>0</v>
      </c>
      <c r="BP90" s="462">
        <f>IF(AND(AT90&lt;&gt;0,(AX90+BA90)&gt;=MAXSSDIBY),SSDIBY*MAXSSDIBY*P90,IF(AT90&lt;&gt;0,SSDIBY*W90,0))</f>
        <v>2653.3519999999999</v>
      </c>
      <c r="BQ90" s="462">
        <f>IF(AT90&lt;&gt;0,SSHIBY*W90,0)</f>
        <v>620.54200000000003</v>
      </c>
      <c r="BR90" s="462">
        <f>IF(AND(AT90&lt;&gt;0,AN90&lt;&gt;"NE"),VLOOKUP(AN90,Retirement_Rates,4,FALSE)*W90,0)</f>
        <v>5109.8424000000005</v>
      </c>
      <c r="BS90" s="462">
        <f>IF(AND(AT90&lt;&gt;0,AJ90&lt;&gt;"PF"),LifeBY*W90,0)</f>
        <v>308.55916000000002</v>
      </c>
      <c r="BT90" s="462">
        <f>IF(AND(AT90&lt;&gt;0,AM90="Y"),UIBY*W90,0)</f>
        <v>0</v>
      </c>
      <c r="BU90" s="462">
        <f>IF(AND(AT90&lt;&gt;0,N90&lt;&gt;"NR"),DHRBY*W90,0)</f>
        <v>130.95576</v>
      </c>
      <c r="BV90" s="462">
        <f>IF(AT90&lt;&gt;0,WCBY*W90,0)</f>
        <v>753.20960000000002</v>
      </c>
      <c r="BW90" s="462">
        <f>IF(OR(AND(AT90&lt;&gt;0,AJ90&lt;&gt;"PF",AN90&lt;&gt;"NE",AG90&lt;&gt;"A"),AND(AL90="E",OR(AT90=1,AT90=3))),SickBY*W90,0)</f>
        <v>0</v>
      </c>
      <c r="BX90" s="462">
        <f t="shared" si="24"/>
        <v>9576.4609200000014</v>
      </c>
      <c r="BY90" s="462">
        <f t="shared" si="25"/>
        <v>0</v>
      </c>
      <c r="BZ90" s="462">
        <f t="shared" si="26"/>
        <v>0</v>
      </c>
      <c r="CA90" s="462">
        <f t="shared" si="27"/>
        <v>0</v>
      </c>
      <c r="CB90" s="462">
        <f t="shared" si="28"/>
        <v>0</v>
      </c>
      <c r="CC90" s="462">
        <f>IF(AT90&lt;&gt;0,SSHICHG*Y90,0)</f>
        <v>0</v>
      </c>
      <c r="CD90" s="462">
        <f>IF(AND(AT90&lt;&gt;0,AN90&lt;&gt;"NE"),VLOOKUP(AN90,Retirement_Rates,5,FALSE)*Y90,0)</f>
        <v>0</v>
      </c>
      <c r="CE90" s="462">
        <f>IF(AND(AT90&lt;&gt;0,AJ90&lt;&gt;"PF"),LifeCHG*Y90,0)</f>
        <v>0</v>
      </c>
      <c r="CF90" s="462">
        <f>IF(AND(AT90&lt;&gt;0,AM90="Y"),UICHG*Y90,0)</f>
        <v>-209.7004</v>
      </c>
      <c r="CG90" s="462">
        <f>IF(AND(AT90&lt;&gt;0,N90&lt;&gt;"NR"),DHRCHG*Y90,0)</f>
        <v>0</v>
      </c>
      <c r="CH90" s="462">
        <f>IF(AT90&lt;&gt;0,WCCHG*Y90,0)</f>
        <v>98.430800000000076</v>
      </c>
      <c r="CI90" s="462">
        <f>IF(OR(AND(AT90&lt;&gt;0,AJ90&lt;&gt;"PF",AN90&lt;&gt;"NE",AG90&lt;&gt;"A"),AND(AL90="E",OR(AT90=1,AT90=3))),SickCHG*Y90,0)</f>
        <v>0</v>
      </c>
      <c r="CJ90" s="462">
        <f t="shared" si="29"/>
        <v>-111.26959999999993</v>
      </c>
      <c r="CK90" s="462" t="str">
        <f t="shared" si="30"/>
        <v/>
      </c>
      <c r="CL90" s="462" t="str">
        <f t="shared" si="31"/>
        <v/>
      </c>
      <c r="CM90" s="462" t="str">
        <f t="shared" si="32"/>
        <v/>
      </c>
      <c r="CN90" s="462" t="str">
        <f t="shared" si="33"/>
        <v>0332-06</v>
      </c>
    </row>
    <row r="91" spans="1:92" ht="15" thickBot="1" x14ac:dyDescent="0.35">
      <c r="A91" s="376" t="s">
        <v>161</v>
      </c>
      <c r="B91" s="376" t="s">
        <v>162</v>
      </c>
      <c r="C91" s="376" t="s">
        <v>537</v>
      </c>
      <c r="D91" s="376" t="s">
        <v>538</v>
      </c>
      <c r="E91" s="376" t="s">
        <v>535</v>
      </c>
      <c r="F91" s="382" t="s">
        <v>536</v>
      </c>
      <c r="G91" s="376" t="s">
        <v>356</v>
      </c>
      <c r="H91" s="378"/>
      <c r="I91" s="378"/>
      <c r="J91" s="376" t="s">
        <v>168</v>
      </c>
      <c r="K91" s="376" t="s">
        <v>539</v>
      </c>
      <c r="L91" s="376" t="s">
        <v>200</v>
      </c>
      <c r="M91" s="376" t="s">
        <v>201</v>
      </c>
      <c r="N91" s="376" t="s">
        <v>291</v>
      </c>
      <c r="O91" s="379">
        <v>0</v>
      </c>
      <c r="P91" s="460">
        <v>1</v>
      </c>
      <c r="Q91" s="460">
        <v>0</v>
      </c>
      <c r="R91" s="380">
        <v>0</v>
      </c>
      <c r="S91" s="460">
        <v>0</v>
      </c>
      <c r="T91" s="380">
        <v>0</v>
      </c>
      <c r="U91" s="380">
        <v>0</v>
      </c>
      <c r="V91" s="380">
        <v>0</v>
      </c>
      <c r="W91" s="380">
        <v>0</v>
      </c>
      <c r="X91" s="380">
        <v>0</v>
      </c>
      <c r="Y91" s="380">
        <v>0</v>
      </c>
      <c r="Z91" s="380">
        <v>0</v>
      </c>
      <c r="AA91" s="378"/>
      <c r="AB91" s="376" t="s">
        <v>45</v>
      </c>
      <c r="AC91" s="376" t="s">
        <v>45</v>
      </c>
      <c r="AD91" s="378"/>
      <c r="AE91" s="378"/>
      <c r="AF91" s="378"/>
      <c r="AG91" s="378"/>
      <c r="AH91" s="379">
        <v>0</v>
      </c>
      <c r="AI91" s="379">
        <v>0</v>
      </c>
      <c r="AJ91" s="378"/>
      <c r="AK91" s="378"/>
      <c r="AL91" s="376" t="s">
        <v>180</v>
      </c>
      <c r="AM91" s="378"/>
      <c r="AN91" s="378"/>
      <c r="AO91" s="379">
        <v>0</v>
      </c>
      <c r="AP91" s="460">
        <v>0</v>
      </c>
      <c r="AQ91" s="460">
        <v>0</v>
      </c>
      <c r="AR91" s="459"/>
      <c r="AS91" s="462">
        <f t="shared" si="17"/>
        <v>0</v>
      </c>
      <c r="AT91">
        <f t="shared" si="18"/>
        <v>0</v>
      </c>
      <c r="AU91" s="462" t="str">
        <f>IF(AT91=0,"",IF(AND(AT91=1,M91="F",SUMIF(C2:C698,C91,AS2:AS698)&lt;=1),SUMIF(C2:C698,C91,AS2:AS698),IF(AND(AT91=1,M91="F",SUMIF(C2:C698,C91,AS2:AS698)&gt;1),1,"")))</f>
        <v/>
      </c>
      <c r="AV91" s="462" t="str">
        <f>IF(AT91=0,"",IF(AND(AT91=3,M91="F",SUMIF(C2:C698,C91,AS2:AS698)&lt;=1),SUMIF(C2:C698,C91,AS2:AS698),IF(AND(AT91=3,M91="F",SUMIF(C2:C698,C91,AS2:AS698)&gt;1),1,"")))</f>
        <v/>
      </c>
      <c r="AW91" s="462">
        <f>SUMIF(C2:C698,C91,O2:O698)</f>
        <v>0</v>
      </c>
      <c r="AX91" s="462">
        <f>IF(AND(M91="F",AS91&lt;&gt;0),SUMIF(C2:C698,C91,W2:W698),0)</f>
        <v>0</v>
      </c>
      <c r="AY91" s="462" t="str">
        <f t="shared" si="19"/>
        <v/>
      </c>
      <c r="AZ91" s="462" t="str">
        <f t="shared" si="20"/>
        <v/>
      </c>
      <c r="BA91" s="462">
        <f t="shared" si="21"/>
        <v>0</v>
      </c>
      <c r="BB91" s="462">
        <f>IF(AND(AT91=1,AK91="E",AU91&gt;=0.75,AW91=1),Health,IF(AND(AT91=1,AK91="E",AU91&gt;=0.75),Health*P91,IF(AND(AT91=1,AK91="E",AU91&gt;=0.5,AW91=1),PTHealth,IF(AND(AT91=1,AK91="E",AU91&gt;=0.5),PTHealth*P91,0))))</f>
        <v>0</v>
      </c>
      <c r="BC91" s="462">
        <f>IF(AND(AT91=3,AK91="E",AV91&gt;=0.75,AW91=1),Health,IF(AND(AT91=3,AK91="E",AV91&gt;=0.75),Health*P91,IF(AND(AT91=3,AK91="E",AV91&gt;=0.5,AW91=1),PTHealth,IF(AND(AT91=3,AK91="E",AV91&gt;=0.5),PTHealth*P91,0))))</f>
        <v>0</v>
      </c>
      <c r="BD91" s="462">
        <f>IF(AND(AT91&lt;&gt;0,AX91&gt;=MAXSSDI),SSDI*MAXSSDI*P91,IF(AT91&lt;&gt;0,SSDI*W91,0))</f>
        <v>0</v>
      </c>
      <c r="BE91" s="462">
        <f>IF(AT91&lt;&gt;0,SSHI*W91,0)</f>
        <v>0</v>
      </c>
      <c r="BF91" s="462">
        <f>IF(AND(AT91&lt;&gt;0,AN91&lt;&gt;"NE"),VLOOKUP(AN91,Retirement_Rates,3,FALSE)*W91,0)</f>
        <v>0</v>
      </c>
      <c r="BG91" s="462">
        <f>IF(AND(AT91&lt;&gt;0,AJ91&lt;&gt;"PF"),Life*W91,0)</f>
        <v>0</v>
      </c>
      <c r="BH91" s="462">
        <f>IF(AND(AT91&lt;&gt;0,AM91="Y"),UI*W91,0)</f>
        <v>0</v>
      </c>
      <c r="BI91" s="462">
        <f>IF(AND(AT91&lt;&gt;0,N91&lt;&gt;"NR"),DHR*W91,0)</f>
        <v>0</v>
      </c>
      <c r="BJ91" s="462">
        <f>IF(AT91&lt;&gt;0,WC*W91,0)</f>
        <v>0</v>
      </c>
      <c r="BK91" s="462">
        <f>IF(OR(AND(AT91&lt;&gt;0,AJ91&lt;&gt;"PF",AN91&lt;&gt;"NE",AG91&lt;&gt;"A"),AND(AL91="E",OR(AT91=1,AT91=3))),Sick*W91,0)</f>
        <v>0</v>
      </c>
      <c r="BL91" s="462">
        <f t="shared" si="22"/>
        <v>0</v>
      </c>
      <c r="BM91" s="462">
        <f t="shared" si="23"/>
        <v>0</v>
      </c>
      <c r="BN91" s="462">
        <f>IF(AND(AT91=1,AK91="E",AU91&gt;=0.75,AW91=1),HealthBY,IF(AND(AT91=1,AK91="E",AU91&gt;=0.75),HealthBY*P91,IF(AND(AT91=1,AK91="E",AU91&gt;=0.5,AW91=1),PTHealthBY,IF(AND(AT91=1,AK91="E",AU91&gt;=0.5),PTHealthBY*P91,0))))</f>
        <v>0</v>
      </c>
      <c r="BO91" s="462">
        <f>IF(AND(AT91=3,AK91="E",AV91&gt;=0.75,AW91=1),HealthBY,IF(AND(AT91=3,AK91="E",AV91&gt;=0.75),HealthBY*P91,IF(AND(AT91=3,AK91="E",AV91&gt;=0.5,AW91=1),PTHealthBY,IF(AND(AT91=3,AK91="E",AV91&gt;=0.5),PTHealthBY*P91,0))))</f>
        <v>0</v>
      </c>
      <c r="BP91" s="462">
        <f>IF(AND(AT91&lt;&gt;0,(AX91+BA91)&gt;=MAXSSDIBY),SSDIBY*MAXSSDIBY*P91,IF(AT91&lt;&gt;0,SSDIBY*W91,0))</f>
        <v>0</v>
      </c>
      <c r="BQ91" s="462">
        <f>IF(AT91&lt;&gt;0,SSHIBY*W91,0)</f>
        <v>0</v>
      </c>
      <c r="BR91" s="462">
        <f>IF(AND(AT91&lt;&gt;0,AN91&lt;&gt;"NE"),VLOOKUP(AN91,Retirement_Rates,4,FALSE)*W91,0)</f>
        <v>0</v>
      </c>
      <c r="BS91" s="462">
        <f>IF(AND(AT91&lt;&gt;0,AJ91&lt;&gt;"PF"),LifeBY*W91,0)</f>
        <v>0</v>
      </c>
      <c r="BT91" s="462">
        <f>IF(AND(AT91&lt;&gt;0,AM91="Y"),UIBY*W91,0)</f>
        <v>0</v>
      </c>
      <c r="BU91" s="462">
        <f>IF(AND(AT91&lt;&gt;0,N91&lt;&gt;"NR"),DHRBY*W91,0)</f>
        <v>0</v>
      </c>
      <c r="BV91" s="462">
        <f>IF(AT91&lt;&gt;0,WCBY*W91,0)</f>
        <v>0</v>
      </c>
      <c r="BW91" s="462">
        <f>IF(OR(AND(AT91&lt;&gt;0,AJ91&lt;&gt;"PF",AN91&lt;&gt;"NE",AG91&lt;&gt;"A"),AND(AL91="E",OR(AT91=1,AT91=3))),SickBY*W91,0)</f>
        <v>0</v>
      </c>
      <c r="BX91" s="462">
        <f t="shared" si="24"/>
        <v>0</v>
      </c>
      <c r="BY91" s="462">
        <f t="shared" si="25"/>
        <v>0</v>
      </c>
      <c r="BZ91" s="462">
        <f t="shared" si="26"/>
        <v>0</v>
      </c>
      <c r="CA91" s="462">
        <f t="shared" si="27"/>
        <v>0</v>
      </c>
      <c r="CB91" s="462">
        <f t="shared" si="28"/>
        <v>0</v>
      </c>
      <c r="CC91" s="462">
        <f>IF(AT91&lt;&gt;0,SSHICHG*Y91,0)</f>
        <v>0</v>
      </c>
      <c r="CD91" s="462">
        <f>IF(AND(AT91&lt;&gt;0,AN91&lt;&gt;"NE"),VLOOKUP(AN91,Retirement_Rates,5,FALSE)*Y91,0)</f>
        <v>0</v>
      </c>
      <c r="CE91" s="462">
        <f>IF(AND(AT91&lt;&gt;0,AJ91&lt;&gt;"PF"),LifeCHG*Y91,0)</f>
        <v>0</v>
      </c>
      <c r="CF91" s="462">
        <f>IF(AND(AT91&lt;&gt;0,AM91="Y"),UICHG*Y91,0)</f>
        <v>0</v>
      </c>
      <c r="CG91" s="462">
        <f>IF(AND(AT91&lt;&gt;0,N91&lt;&gt;"NR"),DHRCHG*Y91,0)</f>
        <v>0</v>
      </c>
      <c r="CH91" s="462">
        <f>IF(AT91&lt;&gt;0,WCCHG*Y91,0)</f>
        <v>0</v>
      </c>
      <c r="CI91" s="462">
        <f>IF(OR(AND(AT91&lt;&gt;0,AJ91&lt;&gt;"PF",AN91&lt;&gt;"NE",AG91&lt;&gt;"A"),AND(AL91="E",OR(AT91=1,AT91=3))),SickCHG*Y91,0)</f>
        <v>0</v>
      </c>
      <c r="CJ91" s="462">
        <f t="shared" si="29"/>
        <v>0</v>
      </c>
      <c r="CK91" s="462" t="str">
        <f t="shared" si="30"/>
        <v/>
      </c>
      <c r="CL91" s="462">
        <f t="shared" si="31"/>
        <v>0</v>
      </c>
      <c r="CM91" s="462">
        <f t="shared" si="32"/>
        <v>0</v>
      </c>
      <c r="CN91" s="462" t="str">
        <f t="shared" si="33"/>
        <v>0332-06</v>
      </c>
    </row>
    <row r="92" spans="1:92" ht="15" thickBot="1" x14ac:dyDescent="0.35">
      <c r="A92" s="376" t="s">
        <v>161</v>
      </c>
      <c r="B92" s="376" t="s">
        <v>162</v>
      </c>
      <c r="C92" s="376" t="s">
        <v>386</v>
      </c>
      <c r="D92" s="376" t="s">
        <v>355</v>
      </c>
      <c r="E92" s="376" t="s">
        <v>535</v>
      </c>
      <c r="F92" s="382" t="s">
        <v>536</v>
      </c>
      <c r="G92" s="376" t="s">
        <v>356</v>
      </c>
      <c r="H92" s="378"/>
      <c r="I92" s="378"/>
      <c r="J92" s="376" t="s">
        <v>168</v>
      </c>
      <c r="K92" s="376" t="s">
        <v>357</v>
      </c>
      <c r="L92" s="376" t="s">
        <v>220</v>
      </c>
      <c r="M92" s="376" t="s">
        <v>170</v>
      </c>
      <c r="N92" s="376" t="s">
        <v>202</v>
      </c>
      <c r="O92" s="379">
        <v>1</v>
      </c>
      <c r="P92" s="460">
        <v>1</v>
      </c>
      <c r="Q92" s="460">
        <v>1</v>
      </c>
      <c r="R92" s="380">
        <v>80</v>
      </c>
      <c r="S92" s="460">
        <v>1</v>
      </c>
      <c r="T92" s="380">
        <v>3364.23</v>
      </c>
      <c r="U92" s="380">
        <v>0</v>
      </c>
      <c r="V92" s="380">
        <v>-133.15</v>
      </c>
      <c r="W92" s="380">
        <v>41600</v>
      </c>
      <c r="X92" s="380">
        <v>21066.98</v>
      </c>
      <c r="Y92" s="380">
        <v>41600</v>
      </c>
      <c r="Z92" s="380">
        <v>20958.82</v>
      </c>
      <c r="AA92" s="376" t="s">
        <v>387</v>
      </c>
      <c r="AB92" s="376" t="s">
        <v>388</v>
      </c>
      <c r="AC92" s="376" t="s">
        <v>389</v>
      </c>
      <c r="AD92" s="376" t="s">
        <v>225</v>
      </c>
      <c r="AE92" s="376" t="s">
        <v>357</v>
      </c>
      <c r="AF92" s="376" t="s">
        <v>264</v>
      </c>
      <c r="AG92" s="376" t="s">
        <v>177</v>
      </c>
      <c r="AH92" s="379">
        <v>20</v>
      </c>
      <c r="AI92" s="381">
        <v>3759.3</v>
      </c>
      <c r="AJ92" s="376" t="s">
        <v>178</v>
      </c>
      <c r="AK92" s="376" t="s">
        <v>179</v>
      </c>
      <c r="AL92" s="376" t="s">
        <v>180</v>
      </c>
      <c r="AM92" s="376" t="s">
        <v>181</v>
      </c>
      <c r="AN92" s="376" t="s">
        <v>68</v>
      </c>
      <c r="AO92" s="379">
        <v>80</v>
      </c>
      <c r="AP92" s="460">
        <v>1</v>
      </c>
      <c r="AQ92" s="460">
        <v>1</v>
      </c>
      <c r="AR92" s="458" t="s">
        <v>182</v>
      </c>
      <c r="AS92" s="462">
        <f t="shared" si="17"/>
        <v>1</v>
      </c>
      <c r="AT92">
        <f t="shared" si="18"/>
        <v>1</v>
      </c>
      <c r="AU92" s="462">
        <f>IF(AT92=0,"",IF(AND(AT92=1,M92="F",SUMIF(C2:C698,C92,AS2:AS698)&lt;=1),SUMIF(C2:C698,C92,AS2:AS698),IF(AND(AT92=1,M92="F",SUMIF(C2:C698,C92,AS2:AS698)&gt;1),1,"")))</f>
        <v>1</v>
      </c>
      <c r="AV92" s="462" t="str">
        <f>IF(AT92=0,"",IF(AND(AT92=3,M92="F",SUMIF(C2:C698,C92,AS2:AS698)&lt;=1),SUMIF(C2:C698,C92,AS2:AS698),IF(AND(AT92=3,M92="F",SUMIF(C2:C698,C92,AS2:AS698)&gt;1),1,"")))</f>
        <v/>
      </c>
      <c r="AW92" s="462">
        <f>SUMIF(C2:C698,C92,O2:O698)</f>
        <v>3</v>
      </c>
      <c r="AX92" s="462">
        <f>IF(AND(M92="F",AS92&lt;&gt;0),SUMIF(C2:C698,C92,W2:W698),0)</f>
        <v>41600</v>
      </c>
      <c r="AY92" s="462">
        <f t="shared" si="19"/>
        <v>41600</v>
      </c>
      <c r="AZ92" s="462" t="str">
        <f t="shared" si="20"/>
        <v/>
      </c>
      <c r="BA92" s="462">
        <f t="shared" si="21"/>
        <v>0</v>
      </c>
      <c r="BB92" s="462">
        <f>IF(AND(AT92=1,AK92="E",AU92&gt;=0.75,AW92=1),Health,IF(AND(AT92=1,AK92="E",AU92&gt;=0.75),Health*P92,IF(AND(AT92=1,AK92="E",AU92&gt;=0.5,AW92=1),PTHealth,IF(AND(AT92=1,AK92="E",AU92&gt;=0.5),PTHealth*P92,0))))</f>
        <v>11650</v>
      </c>
      <c r="BC92" s="462">
        <f>IF(AND(AT92=3,AK92="E",AV92&gt;=0.75,AW92=1),Health,IF(AND(AT92=3,AK92="E",AV92&gt;=0.75),Health*P92,IF(AND(AT92=3,AK92="E",AV92&gt;=0.5,AW92=1),PTHealth,IF(AND(AT92=3,AK92="E",AV92&gt;=0.5),PTHealth*P92,0))))</f>
        <v>0</v>
      </c>
      <c r="BD92" s="462">
        <f>IF(AND(AT92&lt;&gt;0,AX92&gt;=MAXSSDI),SSDI*MAXSSDI*P92,IF(AT92&lt;&gt;0,SSDI*W92,0))</f>
        <v>2579.1999999999998</v>
      </c>
      <c r="BE92" s="462">
        <f>IF(AT92&lt;&gt;0,SSHI*W92,0)</f>
        <v>603.20000000000005</v>
      </c>
      <c r="BF92" s="462">
        <f>IF(AND(AT92&lt;&gt;0,AN92&lt;&gt;"NE"),VLOOKUP(AN92,Retirement_Rates,3,FALSE)*W92,0)</f>
        <v>4967.04</v>
      </c>
      <c r="BG92" s="462">
        <f>IF(AND(AT92&lt;&gt;0,AJ92&lt;&gt;"PF"),Life*W92,0)</f>
        <v>299.93600000000004</v>
      </c>
      <c r="BH92" s="462">
        <f>IF(AND(AT92&lt;&gt;0,AM92="Y"),UI*W92,0)</f>
        <v>203.84</v>
      </c>
      <c r="BI92" s="462">
        <f>IF(AND(AT92&lt;&gt;0,N92&lt;&gt;"NR"),DHR*W92,0)</f>
        <v>127.29599999999999</v>
      </c>
      <c r="BJ92" s="462">
        <f>IF(AT92&lt;&gt;0,WC*W92,0)</f>
        <v>636.48</v>
      </c>
      <c r="BK92" s="462">
        <f>IF(OR(AND(AT92&lt;&gt;0,AJ92&lt;&gt;"PF",AN92&lt;&gt;"NE",AG92&lt;&gt;"A"),AND(AL92="E",OR(AT92=1,AT92=3))),Sick*W92,0)</f>
        <v>0</v>
      </c>
      <c r="BL92" s="462">
        <f t="shared" si="22"/>
        <v>9416.9920000000002</v>
      </c>
      <c r="BM92" s="462">
        <f t="shared" si="23"/>
        <v>0</v>
      </c>
      <c r="BN92" s="462">
        <f>IF(AND(AT92=1,AK92="E",AU92&gt;=0.75,AW92=1),HealthBY,IF(AND(AT92=1,AK92="E",AU92&gt;=0.75),HealthBY*P92,IF(AND(AT92=1,AK92="E",AU92&gt;=0.5,AW92=1),PTHealthBY,IF(AND(AT92=1,AK92="E",AU92&gt;=0.5),PTHealthBY*P92,0))))</f>
        <v>11650</v>
      </c>
      <c r="BO92" s="462">
        <f>IF(AND(AT92=3,AK92="E",AV92&gt;=0.75,AW92=1),HealthBY,IF(AND(AT92=3,AK92="E",AV92&gt;=0.75),HealthBY*P92,IF(AND(AT92=3,AK92="E",AV92&gt;=0.5,AW92=1),PTHealthBY,IF(AND(AT92=3,AK92="E",AV92&gt;=0.5),PTHealthBY*P92,0))))</f>
        <v>0</v>
      </c>
      <c r="BP92" s="462">
        <f>IF(AND(AT92&lt;&gt;0,(AX92+BA92)&gt;=MAXSSDIBY),SSDIBY*MAXSSDIBY*P92,IF(AT92&lt;&gt;0,SSDIBY*W92,0))</f>
        <v>2579.1999999999998</v>
      </c>
      <c r="BQ92" s="462">
        <f>IF(AT92&lt;&gt;0,SSHIBY*W92,0)</f>
        <v>603.20000000000005</v>
      </c>
      <c r="BR92" s="462">
        <f>IF(AND(AT92&lt;&gt;0,AN92&lt;&gt;"NE"),VLOOKUP(AN92,Retirement_Rates,4,FALSE)*W92,0)</f>
        <v>4967.04</v>
      </c>
      <c r="BS92" s="462">
        <f>IF(AND(AT92&lt;&gt;0,AJ92&lt;&gt;"PF"),LifeBY*W92,0)</f>
        <v>299.93600000000004</v>
      </c>
      <c r="BT92" s="462">
        <f>IF(AND(AT92&lt;&gt;0,AM92="Y"),UIBY*W92,0)</f>
        <v>0</v>
      </c>
      <c r="BU92" s="462">
        <f>IF(AND(AT92&lt;&gt;0,N92&lt;&gt;"NR"),DHRBY*W92,0)</f>
        <v>127.29599999999999</v>
      </c>
      <c r="BV92" s="462">
        <f>IF(AT92&lt;&gt;0,WCBY*W92,0)</f>
        <v>732.16000000000008</v>
      </c>
      <c r="BW92" s="462">
        <f>IF(OR(AND(AT92&lt;&gt;0,AJ92&lt;&gt;"PF",AN92&lt;&gt;"NE",AG92&lt;&gt;"A"),AND(AL92="E",OR(AT92=1,AT92=3))),SickBY*W92,0)</f>
        <v>0</v>
      </c>
      <c r="BX92" s="462">
        <f t="shared" si="24"/>
        <v>9308.8320000000003</v>
      </c>
      <c r="BY92" s="462">
        <f t="shared" si="25"/>
        <v>0</v>
      </c>
      <c r="BZ92" s="462">
        <f t="shared" si="26"/>
        <v>0</v>
      </c>
      <c r="CA92" s="462">
        <f t="shared" si="27"/>
        <v>0</v>
      </c>
      <c r="CB92" s="462">
        <f t="shared" si="28"/>
        <v>0</v>
      </c>
      <c r="CC92" s="462">
        <f>IF(AT92&lt;&gt;0,SSHICHG*Y92,0)</f>
        <v>0</v>
      </c>
      <c r="CD92" s="462">
        <f>IF(AND(AT92&lt;&gt;0,AN92&lt;&gt;"NE"),VLOOKUP(AN92,Retirement_Rates,5,FALSE)*Y92,0)</f>
        <v>0</v>
      </c>
      <c r="CE92" s="462">
        <f>IF(AND(AT92&lt;&gt;0,AJ92&lt;&gt;"PF"),LifeCHG*Y92,0)</f>
        <v>0</v>
      </c>
      <c r="CF92" s="462">
        <f>IF(AND(AT92&lt;&gt;0,AM92="Y"),UICHG*Y92,0)</f>
        <v>-203.84</v>
      </c>
      <c r="CG92" s="462">
        <f>IF(AND(AT92&lt;&gt;0,N92&lt;&gt;"NR"),DHRCHG*Y92,0)</f>
        <v>0</v>
      </c>
      <c r="CH92" s="462">
        <f>IF(AT92&lt;&gt;0,WCCHG*Y92,0)</f>
        <v>95.680000000000064</v>
      </c>
      <c r="CI92" s="462">
        <f>IF(OR(AND(AT92&lt;&gt;0,AJ92&lt;&gt;"PF",AN92&lt;&gt;"NE",AG92&lt;&gt;"A"),AND(AL92="E",OR(AT92=1,AT92=3))),SickCHG*Y92,0)</f>
        <v>0</v>
      </c>
      <c r="CJ92" s="462">
        <f t="shared" si="29"/>
        <v>-108.15999999999994</v>
      </c>
      <c r="CK92" s="462" t="str">
        <f t="shared" si="30"/>
        <v/>
      </c>
      <c r="CL92" s="462" t="str">
        <f t="shared" si="31"/>
        <v/>
      </c>
      <c r="CM92" s="462" t="str">
        <f t="shared" si="32"/>
        <v/>
      </c>
      <c r="CN92" s="462" t="str">
        <f t="shared" si="33"/>
        <v>0332-06</v>
      </c>
    </row>
    <row r="93" spans="1:92" ht="15" thickBot="1" x14ac:dyDescent="0.35">
      <c r="A93" s="376" t="s">
        <v>161</v>
      </c>
      <c r="B93" s="376" t="s">
        <v>162</v>
      </c>
      <c r="C93" s="376" t="s">
        <v>540</v>
      </c>
      <c r="D93" s="376" t="s">
        <v>287</v>
      </c>
      <c r="E93" s="376" t="s">
        <v>535</v>
      </c>
      <c r="F93" s="382" t="s">
        <v>536</v>
      </c>
      <c r="G93" s="376" t="s">
        <v>356</v>
      </c>
      <c r="H93" s="378"/>
      <c r="I93" s="378"/>
      <c r="J93" s="376" t="s">
        <v>168</v>
      </c>
      <c r="K93" s="376" t="s">
        <v>290</v>
      </c>
      <c r="L93" s="376" t="s">
        <v>166</v>
      </c>
      <c r="M93" s="376" t="s">
        <v>201</v>
      </c>
      <c r="N93" s="376" t="s">
        <v>291</v>
      </c>
      <c r="O93" s="379">
        <v>0</v>
      </c>
      <c r="P93" s="460">
        <v>1</v>
      </c>
      <c r="Q93" s="460">
        <v>0</v>
      </c>
      <c r="R93" s="380">
        <v>0</v>
      </c>
      <c r="S93" s="460">
        <v>0</v>
      </c>
      <c r="T93" s="380">
        <v>0</v>
      </c>
      <c r="U93" s="380">
        <v>0</v>
      </c>
      <c r="V93" s="380">
        <v>0</v>
      </c>
      <c r="W93" s="380">
        <v>0</v>
      </c>
      <c r="X93" s="380">
        <v>0</v>
      </c>
      <c r="Y93" s="380">
        <v>0</v>
      </c>
      <c r="Z93" s="380">
        <v>0</v>
      </c>
      <c r="AA93" s="378"/>
      <c r="AB93" s="376" t="s">
        <v>45</v>
      </c>
      <c r="AC93" s="376" t="s">
        <v>45</v>
      </c>
      <c r="AD93" s="378"/>
      <c r="AE93" s="378"/>
      <c r="AF93" s="378"/>
      <c r="AG93" s="378"/>
      <c r="AH93" s="379">
        <v>0</v>
      </c>
      <c r="AI93" s="379">
        <v>0</v>
      </c>
      <c r="AJ93" s="378"/>
      <c r="AK93" s="378"/>
      <c r="AL93" s="376" t="s">
        <v>180</v>
      </c>
      <c r="AM93" s="378"/>
      <c r="AN93" s="378"/>
      <c r="AO93" s="379">
        <v>0</v>
      </c>
      <c r="AP93" s="460">
        <v>0</v>
      </c>
      <c r="AQ93" s="460">
        <v>0</v>
      </c>
      <c r="AR93" s="459"/>
      <c r="AS93" s="462">
        <f t="shared" si="17"/>
        <v>0</v>
      </c>
      <c r="AT93">
        <f t="shared" si="18"/>
        <v>0</v>
      </c>
      <c r="AU93" s="462" t="str">
        <f>IF(AT93=0,"",IF(AND(AT93=1,M93="F",SUMIF(C2:C698,C93,AS2:AS698)&lt;=1),SUMIF(C2:C698,C93,AS2:AS698),IF(AND(AT93=1,M93="F",SUMIF(C2:C698,C93,AS2:AS698)&gt;1),1,"")))</f>
        <v/>
      </c>
      <c r="AV93" s="462" t="str">
        <f>IF(AT93=0,"",IF(AND(AT93=3,M93="F",SUMIF(C2:C698,C93,AS2:AS698)&lt;=1),SUMIF(C2:C698,C93,AS2:AS698),IF(AND(AT93=3,M93="F",SUMIF(C2:C698,C93,AS2:AS698)&gt;1),1,"")))</f>
        <v/>
      </c>
      <c r="AW93" s="462">
        <f>SUMIF(C2:C698,C93,O2:O698)</f>
        <v>0</v>
      </c>
      <c r="AX93" s="462">
        <f>IF(AND(M93="F",AS93&lt;&gt;0),SUMIF(C2:C698,C93,W2:W698),0)</f>
        <v>0</v>
      </c>
      <c r="AY93" s="462" t="str">
        <f t="shared" si="19"/>
        <v/>
      </c>
      <c r="AZ93" s="462" t="str">
        <f t="shared" si="20"/>
        <v/>
      </c>
      <c r="BA93" s="462">
        <f t="shared" si="21"/>
        <v>0</v>
      </c>
      <c r="BB93" s="462">
        <f>IF(AND(AT93=1,AK93="E",AU93&gt;=0.75,AW93=1),Health,IF(AND(AT93=1,AK93="E",AU93&gt;=0.75),Health*P93,IF(AND(AT93=1,AK93="E",AU93&gt;=0.5,AW93=1),PTHealth,IF(AND(AT93=1,AK93="E",AU93&gt;=0.5),PTHealth*P93,0))))</f>
        <v>0</v>
      </c>
      <c r="BC93" s="462">
        <f>IF(AND(AT93=3,AK93="E",AV93&gt;=0.75,AW93=1),Health,IF(AND(AT93=3,AK93="E",AV93&gt;=0.75),Health*P93,IF(AND(AT93=3,AK93="E",AV93&gt;=0.5,AW93=1),PTHealth,IF(AND(AT93=3,AK93="E",AV93&gt;=0.5),PTHealth*P93,0))))</f>
        <v>0</v>
      </c>
      <c r="BD93" s="462">
        <f>IF(AND(AT93&lt;&gt;0,AX93&gt;=MAXSSDI),SSDI*MAXSSDI*P93,IF(AT93&lt;&gt;0,SSDI*W93,0))</f>
        <v>0</v>
      </c>
      <c r="BE93" s="462">
        <f>IF(AT93&lt;&gt;0,SSHI*W93,0)</f>
        <v>0</v>
      </c>
      <c r="BF93" s="462">
        <f>IF(AND(AT93&lt;&gt;0,AN93&lt;&gt;"NE"),VLOOKUP(AN93,Retirement_Rates,3,FALSE)*W93,0)</f>
        <v>0</v>
      </c>
      <c r="BG93" s="462">
        <f>IF(AND(AT93&lt;&gt;0,AJ93&lt;&gt;"PF"),Life*W93,0)</f>
        <v>0</v>
      </c>
      <c r="BH93" s="462">
        <f>IF(AND(AT93&lt;&gt;0,AM93="Y"),UI*W93,0)</f>
        <v>0</v>
      </c>
      <c r="BI93" s="462">
        <f>IF(AND(AT93&lt;&gt;0,N93&lt;&gt;"NR"),DHR*W93,0)</f>
        <v>0</v>
      </c>
      <c r="BJ93" s="462">
        <f>IF(AT93&lt;&gt;0,WC*W93,0)</f>
        <v>0</v>
      </c>
      <c r="BK93" s="462">
        <f>IF(OR(AND(AT93&lt;&gt;0,AJ93&lt;&gt;"PF",AN93&lt;&gt;"NE",AG93&lt;&gt;"A"),AND(AL93="E",OR(AT93=1,AT93=3))),Sick*W93,0)</f>
        <v>0</v>
      </c>
      <c r="BL93" s="462">
        <f t="shared" si="22"/>
        <v>0</v>
      </c>
      <c r="BM93" s="462">
        <f t="shared" si="23"/>
        <v>0</v>
      </c>
      <c r="BN93" s="462">
        <f>IF(AND(AT93=1,AK93="E",AU93&gt;=0.75,AW93=1),HealthBY,IF(AND(AT93=1,AK93="E",AU93&gt;=0.75),HealthBY*P93,IF(AND(AT93=1,AK93="E",AU93&gt;=0.5,AW93=1),PTHealthBY,IF(AND(AT93=1,AK93="E",AU93&gt;=0.5),PTHealthBY*P93,0))))</f>
        <v>0</v>
      </c>
      <c r="BO93" s="462">
        <f>IF(AND(AT93=3,AK93="E",AV93&gt;=0.75,AW93=1),HealthBY,IF(AND(AT93=3,AK93="E",AV93&gt;=0.75),HealthBY*P93,IF(AND(AT93=3,AK93="E",AV93&gt;=0.5,AW93=1),PTHealthBY,IF(AND(AT93=3,AK93="E",AV93&gt;=0.5),PTHealthBY*P93,0))))</f>
        <v>0</v>
      </c>
      <c r="BP93" s="462">
        <f>IF(AND(AT93&lt;&gt;0,(AX93+BA93)&gt;=MAXSSDIBY),SSDIBY*MAXSSDIBY*P93,IF(AT93&lt;&gt;0,SSDIBY*W93,0))</f>
        <v>0</v>
      </c>
      <c r="BQ93" s="462">
        <f>IF(AT93&lt;&gt;0,SSHIBY*W93,0)</f>
        <v>0</v>
      </c>
      <c r="BR93" s="462">
        <f>IF(AND(AT93&lt;&gt;0,AN93&lt;&gt;"NE"),VLOOKUP(AN93,Retirement_Rates,4,FALSE)*W93,0)</f>
        <v>0</v>
      </c>
      <c r="BS93" s="462">
        <f>IF(AND(AT93&lt;&gt;0,AJ93&lt;&gt;"PF"),LifeBY*W93,0)</f>
        <v>0</v>
      </c>
      <c r="BT93" s="462">
        <f>IF(AND(AT93&lt;&gt;0,AM93="Y"),UIBY*W93,0)</f>
        <v>0</v>
      </c>
      <c r="BU93" s="462">
        <f>IF(AND(AT93&lt;&gt;0,N93&lt;&gt;"NR"),DHRBY*W93,0)</f>
        <v>0</v>
      </c>
      <c r="BV93" s="462">
        <f>IF(AT93&lt;&gt;0,WCBY*W93,0)</f>
        <v>0</v>
      </c>
      <c r="BW93" s="462">
        <f>IF(OR(AND(AT93&lt;&gt;0,AJ93&lt;&gt;"PF",AN93&lt;&gt;"NE",AG93&lt;&gt;"A"),AND(AL93="E",OR(AT93=1,AT93=3))),SickBY*W93,0)</f>
        <v>0</v>
      </c>
      <c r="BX93" s="462">
        <f t="shared" si="24"/>
        <v>0</v>
      </c>
      <c r="BY93" s="462">
        <f t="shared" si="25"/>
        <v>0</v>
      </c>
      <c r="BZ93" s="462">
        <f t="shared" si="26"/>
        <v>0</v>
      </c>
      <c r="CA93" s="462">
        <f t="shared" si="27"/>
        <v>0</v>
      </c>
      <c r="CB93" s="462">
        <f t="shared" si="28"/>
        <v>0</v>
      </c>
      <c r="CC93" s="462">
        <f>IF(AT93&lt;&gt;0,SSHICHG*Y93,0)</f>
        <v>0</v>
      </c>
      <c r="CD93" s="462">
        <f>IF(AND(AT93&lt;&gt;0,AN93&lt;&gt;"NE"),VLOOKUP(AN93,Retirement_Rates,5,FALSE)*Y93,0)</f>
        <v>0</v>
      </c>
      <c r="CE93" s="462">
        <f>IF(AND(AT93&lt;&gt;0,AJ93&lt;&gt;"PF"),LifeCHG*Y93,0)</f>
        <v>0</v>
      </c>
      <c r="CF93" s="462">
        <f>IF(AND(AT93&lt;&gt;0,AM93="Y"),UICHG*Y93,0)</f>
        <v>0</v>
      </c>
      <c r="CG93" s="462">
        <f>IF(AND(AT93&lt;&gt;0,N93&lt;&gt;"NR"),DHRCHG*Y93,0)</f>
        <v>0</v>
      </c>
      <c r="CH93" s="462">
        <f>IF(AT93&lt;&gt;0,WCCHG*Y93,0)</f>
        <v>0</v>
      </c>
      <c r="CI93" s="462">
        <f>IF(OR(AND(AT93&lt;&gt;0,AJ93&lt;&gt;"PF",AN93&lt;&gt;"NE",AG93&lt;&gt;"A"),AND(AL93="E",OR(AT93=1,AT93=3))),SickCHG*Y93,0)</f>
        <v>0</v>
      </c>
      <c r="CJ93" s="462">
        <f t="shared" si="29"/>
        <v>0</v>
      </c>
      <c r="CK93" s="462" t="str">
        <f t="shared" si="30"/>
        <v/>
      </c>
      <c r="CL93" s="462">
        <f t="shared" si="31"/>
        <v>0</v>
      </c>
      <c r="CM93" s="462">
        <f t="shared" si="32"/>
        <v>0</v>
      </c>
      <c r="CN93" s="462" t="str">
        <f t="shared" si="33"/>
        <v>0332-06</v>
      </c>
    </row>
    <row r="94" spans="1:92" ht="15" thickBot="1" x14ac:dyDescent="0.35">
      <c r="A94" s="376" t="s">
        <v>161</v>
      </c>
      <c r="B94" s="376" t="s">
        <v>162</v>
      </c>
      <c r="C94" s="376" t="s">
        <v>395</v>
      </c>
      <c r="D94" s="376" t="s">
        <v>362</v>
      </c>
      <c r="E94" s="376" t="s">
        <v>535</v>
      </c>
      <c r="F94" s="382" t="s">
        <v>536</v>
      </c>
      <c r="G94" s="376" t="s">
        <v>356</v>
      </c>
      <c r="H94" s="378"/>
      <c r="I94" s="378"/>
      <c r="J94" s="376" t="s">
        <v>168</v>
      </c>
      <c r="K94" s="376" t="s">
        <v>363</v>
      </c>
      <c r="L94" s="376" t="s">
        <v>200</v>
      </c>
      <c r="M94" s="376" t="s">
        <v>170</v>
      </c>
      <c r="N94" s="376" t="s">
        <v>202</v>
      </c>
      <c r="O94" s="379">
        <v>1</v>
      </c>
      <c r="P94" s="460">
        <v>0</v>
      </c>
      <c r="Q94" s="460">
        <v>0</v>
      </c>
      <c r="R94" s="380">
        <v>80</v>
      </c>
      <c r="S94" s="460">
        <v>0</v>
      </c>
      <c r="T94" s="380">
        <v>1743.75</v>
      </c>
      <c r="U94" s="380">
        <v>0</v>
      </c>
      <c r="V94" s="380">
        <v>843.52</v>
      </c>
      <c r="W94" s="380">
        <v>0</v>
      </c>
      <c r="X94" s="380">
        <v>0</v>
      </c>
      <c r="Y94" s="380">
        <v>0</v>
      </c>
      <c r="Z94" s="380">
        <v>0</v>
      </c>
      <c r="AA94" s="376" t="s">
        <v>396</v>
      </c>
      <c r="AB94" s="376" t="s">
        <v>397</v>
      </c>
      <c r="AC94" s="376" t="s">
        <v>231</v>
      </c>
      <c r="AD94" s="376" t="s">
        <v>215</v>
      </c>
      <c r="AE94" s="376" t="s">
        <v>363</v>
      </c>
      <c r="AF94" s="376" t="s">
        <v>210</v>
      </c>
      <c r="AG94" s="376" t="s">
        <v>177</v>
      </c>
      <c r="AH94" s="381">
        <v>22.5</v>
      </c>
      <c r="AI94" s="379">
        <v>5648</v>
      </c>
      <c r="AJ94" s="376" t="s">
        <v>178</v>
      </c>
      <c r="AK94" s="376" t="s">
        <v>179</v>
      </c>
      <c r="AL94" s="376" t="s">
        <v>180</v>
      </c>
      <c r="AM94" s="376" t="s">
        <v>181</v>
      </c>
      <c r="AN94" s="376" t="s">
        <v>68</v>
      </c>
      <c r="AO94" s="379">
        <v>80</v>
      </c>
      <c r="AP94" s="460">
        <v>1</v>
      </c>
      <c r="AQ94" s="460">
        <v>0</v>
      </c>
      <c r="AR94" s="458" t="s">
        <v>182</v>
      </c>
      <c r="AS94" s="462">
        <f t="shared" si="17"/>
        <v>0</v>
      </c>
      <c r="AT94">
        <f t="shared" si="18"/>
        <v>0</v>
      </c>
      <c r="AU94" s="462" t="str">
        <f>IF(AT94=0,"",IF(AND(AT94=1,M94="F",SUMIF(C2:C698,C94,AS2:AS698)&lt;=1),SUMIF(C2:C698,C94,AS2:AS698),IF(AND(AT94=1,M94="F",SUMIF(C2:C698,C94,AS2:AS698)&gt;1),1,"")))</f>
        <v/>
      </c>
      <c r="AV94" s="462" t="str">
        <f>IF(AT94=0,"",IF(AND(AT94=3,M94="F",SUMIF(C2:C698,C94,AS2:AS698)&lt;=1),SUMIF(C2:C698,C94,AS2:AS698),IF(AND(AT94=3,M94="F",SUMIF(C2:C698,C94,AS2:AS698)&gt;1),1,"")))</f>
        <v/>
      </c>
      <c r="AW94" s="462">
        <f>SUMIF(C2:C698,C94,O2:O698)</f>
        <v>4</v>
      </c>
      <c r="AX94" s="462">
        <f>IF(AND(M94="F",AS94&lt;&gt;0),SUMIF(C2:C698,C94,W2:W698),0)</f>
        <v>0</v>
      </c>
      <c r="AY94" s="462" t="str">
        <f t="shared" si="19"/>
        <v/>
      </c>
      <c r="AZ94" s="462" t="str">
        <f t="shared" si="20"/>
        <v/>
      </c>
      <c r="BA94" s="462">
        <f t="shared" si="21"/>
        <v>0</v>
      </c>
      <c r="BB94" s="462">
        <f>IF(AND(AT94=1,AK94="E",AU94&gt;=0.75,AW94=1),Health,IF(AND(AT94=1,AK94="E",AU94&gt;=0.75),Health*P94,IF(AND(AT94=1,AK94="E",AU94&gt;=0.5,AW94=1),PTHealth,IF(AND(AT94=1,AK94="E",AU94&gt;=0.5),PTHealth*P94,0))))</f>
        <v>0</v>
      </c>
      <c r="BC94" s="462">
        <f>IF(AND(AT94=3,AK94="E",AV94&gt;=0.75,AW94=1),Health,IF(AND(AT94=3,AK94="E",AV94&gt;=0.75),Health*P94,IF(AND(AT94=3,AK94="E",AV94&gt;=0.5,AW94=1),PTHealth,IF(AND(AT94=3,AK94="E",AV94&gt;=0.5),PTHealth*P94,0))))</f>
        <v>0</v>
      </c>
      <c r="BD94" s="462">
        <f>IF(AND(AT94&lt;&gt;0,AX94&gt;=MAXSSDI),SSDI*MAXSSDI*P94,IF(AT94&lt;&gt;0,SSDI*W94,0))</f>
        <v>0</v>
      </c>
      <c r="BE94" s="462">
        <f>IF(AT94&lt;&gt;0,SSHI*W94,0)</f>
        <v>0</v>
      </c>
      <c r="BF94" s="462">
        <f>IF(AND(AT94&lt;&gt;0,AN94&lt;&gt;"NE"),VLOOKUP(AN94,Retirement_Rates,3,FALSE)*W94,0)</f>
        <v>0</v>
      </c>
      <c r="BG94" s="462">
        <f>IF(AND(AT94&lt;&gt;0,AJ94&lt;&gt;"PF"),Life*W94,0)</f>
        <v>0</v>
      </c>
      <c r="BH94" s="462">
        <f>IF(AND(AT94&lt;&gt;0,AM94="Y"),UI*W94,0)</f>
        <v>0</v>
      </c>
      <c r="BI94" s="462">
        <f>IF(AND(AT94&lt;&gt;0,N94&lt;&gt;"NR"),DHR*W94,0)</f>
        <v>0</v>
      </c>
      <c r="BJ94" s="462">
        <f>IF(AT94&lt;&gt;0,WC*W94,0)</f>
        <v>0</v>
      </c>
      <c r="BK94" s="462">
        <f>IF(OR(AND(AT94&lt;&gt;0,AJ94&lt;&gt;"PF",AN94&lt;&gt;"NE",AG94&lt;&gt;"A"),AND(AL94="E",OR(AT94=1,AT94=3))),Sick*W94,0)</f>
        <v>0</v>
      </c>
      <c r="BL94" s="462">
        <f t="shared" si="22"/>
        <v>0</v>
      </c>
      <c r="BM94" s="462">
        <f t="shared" si="23"/>
        <v>0</v>
      </c>
      <c r="BN94" s="462">
        <f>IF(AND(AT94=1,AK94="E",AU94&gt;=0.75,AW94=1),HealthBY,IF(AND(AT94=1,AK94="E",AU94&gt;=0.75),HealthBY*P94,IF(AND(AT94=1,AK94="E",AU94&gt;=0.5,AW94=1),PTHealthBY,IF(AND(AT94=1,AK94="E",AU94&gt;=0.5),PTHealthBY*P94,0))))</f>
        <v>0</v>
      </c>
      <c r="BO94" s="462">
        <f>IF(AND(AT94=3,AK94="E",AV94&gt;=0.75,AW94=1),HealthBY,IF(AND(AT94=3,AK94="E",AV94&gt;=0.75),HealthBY*P94,IF(AND(AT94=3,AK94="E",AV94&gt;=0.5,AW94=1),PTHealthBY,IF(AND(AT94=3,AK94="E",AV94&gt;=0.5),PTHealthBY*P94,0))))</f>
        <v>0</v>
      </c>
      <c r="BP94" s="462">
        <f>IF(AND(AT94&lt;&gt;0,(AX94+BA94)&gt;=MAXSSDIBY),SSDIBY*MAXSSDIBY*P94,IF(AT94&lt;&gt;0,SSDIBY*W94,0))</f>
        <v>0</v>
      </c>
      <c r="BQ94" s="462">
        <f>IF(AT94&lt;&gt;0,SSHIBY*W94,0)</f>
        <v>0</v>
      </c>
      <c r="BR94" s="462">
        <f>IF(AND(AT94&lt;&gt;0,AN94&lt;&gt;"NE"),VLOOKUP(AN94,Retirement_Rates,4,FALSE)*W94,0)</f>
        <v>0</v>
      </c>
      <c r="BS94" s="462">
        <f>IF(AND(AT94&lt;&gt;0,AJ94&lt;&gt;"PF"),LifeBY*W94,0)</f>
        <v>0</v>
      </c>
      <c r="BT94" s="462">
        <f>IF(AND(AT94&lt;&gt;0,AM94="Y"),UIBY*W94,0)</f>
        <v>0</v>
      </c>
      <c r="BU94" s="462">
        <f>IF(AND(AT94&lt;&gt;0,N94&lt;&gt;"NR"),DHRBY*W94,0)</f>
        <v>0</v>
      </c>
      <c r="BV94" s="462">
        <f>IF(AT94&lt;&gt;0,WCBY*W94,0)</f>
        <v>0</v>
      </c>
      <c r="BW94" s="462">
        <f>IF(OR(AND(AT94&lt;&gt;0,AJ94&lt;&gt;"PF",AN94&lt;&gt;"NE",AG94&lt;&gt;"A"),AND(AL94="E",OR(AT94=1,AT94=3))),SickBY*W94,0)</f>
        <v>0</v>
      </c>
      <c r="BX94" s="462">
        <f t="shared" si="24"/>
        <v>0</v>
      </c>
      <c r="BY94" s="462">
        <f t="shared" si="25"/>
        <v>0</v>
      </c>
      <c r="BZ94" s="462">
        <f t="shared" si="26"/>
        <v>0</v>
      </c>
      <c r="CA94" s="462">
        <f t="shared" si="27"/>
        <v>0</v>
      </c>
      <c r="CB94" s="462">
        <f t="shared" si="28"/>
        <v>0</v>
      </c>
      <c r="CC94" s="462">
        <f>IF(AT94&lt;&gt;0,SSHICHG*Y94,0)</f>
        <v>0</v>
      </c>
      <c r="CD94" s="462">
        <f>IF(AND(AT94&lt;&gt;0,AN94&lt;&gt;"NE"),VLOOKUP(AN94,Retirement_Rates,5,FALSE)*Y94,0)</f>
        <v>0</v>
      </c>
      <c r="CE94" s="462">
        <f>IF(AND(AT94&lt;&gt;0,AJ94&lt;&gt;"PF"),LifeCHG*Y94,0)</f>
        <v>0</v>
      </c>
      <c r="CF94" s="462">
        <f>IF(AND(AT94&lt;&gt;0,AM94="Y"),UICHG*Y94,0)</f>
        <v>0</v>
      </c>
      <c r="CG94" s="462">
        <f>IF(AND(AT94&lt;&gt;0,N94&lt;&gt;"NR"),DHRCHG*Y94,0)</f>
        <v>0</v>
      </c>
      <c r="CH94" s="462">
        <f>IF(AT94&lt;&gt;0,WCCHG*Y94,0)</f>
        <v>0</v>
      </c>
      <c r="CI94" s="462">
        <f>IF(OR(AND(AT94&lt;&gt;0,AJ94&lt;&gt;"PF",AN94&lt;&gt;"NE",AG94&lt;&gt;"A"),AND(AL94="E",OR(AT94=1,AT94=3))),SickCHG*Y94,0)</f>
        <v>0</v>
      </c>
      <c r="CJ94" s="462">
        <f t="shared" si="29"/>
        <v>0</v>
      </c>
      <c r="CK94" s="462" t="str">
        <f t="shared" si="30"/>
        <v/>
      </c>
      <c r="CL94" s="462" t="str">
        <f t="shared" si="31"/>
        <v/>
      </c>
      <c r="CM94" s="462" t="str">
        <f t="shared" si="32"/>
        <v/>
      </c>
      <c r="CN94" s="462" t="str">
        <f t="shared" si="33"/>
        <v>0332-06</v>
      </c>
    </row>
    <row r="95" spans="1:92" ht="15" thickBot="1" x14ac:dyDescent="0.35">
      <c r="A95" s="376" t="s">
        <v>161</v>
      </c>
      <c r="B95" s="376" t="s">
        <v>162</v>
      </c>
      <c r="C95" s="376" t="s">
        <v>398</v>
      </c>
      <c r="D95" s="376" t="s">
        <v>365</v>
      </c>
      <c r="E95" s="376" t="s">
        <v>535</v>
      </c>
      <c r="F95" s="382" t="s">
        <v>536</v>
      </c>
      <c r="G95" s="376" t="s">
        <v>356</v>
      </c>
      <c r="H95" s="378"/>
      <c r="I95" s="378"/>
      <c r="J95" s="376" t="s">
        <v>168</v>
      </c>
      <c r="K95" s="376" t="s">
        <v>366</v>
      </c>
      <c r="L95" s="376" t="s">
        <v>274</v>
      </c>
      <c r="M95" s="376" t="s">
        <v>170</v>
      </c>
      <c r="N95" s="376" t="s">
        <v>202</v>
      </c>
      <c r="O95" s="379">
        <v>1</v>
      </c>
      <c r="P95" s="460">
        <v>0</v>
      </c>
      <c r="Q95" s="460">
        <v>0</v>
      </c>
      <c r="R95" s="380">
        <v>80</v>
      </c>
      <c r="S95" s="460">
        <v>0</v>
      </c>
      <c r="T95" s="380">
        <v>511.24</v>
      </c>
      <c r="U95" s="380">
        <v>0</v>
      </c>
      <c r="V95" s="380">
        <v>276.75</v>
      </c>
      <c r="W95" s="380">
        <v>0</v>
      </c>
      <c r="X95" s="380">
        <v>0</v>
      </c>
      <c r="Y95" s="380">
        <v>0</v>
      </c>
      <c r="Z95" s="380">
        <v>0</v>
      </c>
      <c r="AA95" s="376" t="s">
        <v>399</v>
      </c>
      <c r="AB95" s="376" t="s">
        <v>400</v>
      </c>
      <c r="AC95" s="376" t="s">
        <v>319</v>
      </c>
      <c r="AD95" s="376" t="s">
        <v>401</v>
      </c>
      <c r="AE95" s="376" t="s">
        <v>366</v>
      </c>
      <c r="AF95" s="376" t="s">
        <v>279</v>
      </c>
      <c r="AG95" s="376" t="s">
        <v>177</v>
      </c>
      <c r="AH95" s="381">
        <v>18.77</v>
      </c>
      <c r="AI95" s="381">
        <v>35305.5</v>
      </c>
      <c r="AJ95" s="376" t="s">
        <v>313</v>
      </c>
      <c r="AK95" s="376" t="s">
        <v>179</v>
      </c>
      <c r="AL95" s="376" t="s">
        <v>180</v>
      </c>
      <c r="AM95" s="376" t="s">
        <v>181</v>
      </c>
      <c r="AN95" s="376" t="s">
        <v>68</v>
      </c>
      <c r="AO95" s="379">
        <v>72</v>
      </c>
      <c r="AP95" s="460">
        <v>1</v>
      </c>
      <c r="AQ95" s="460">
        <v>0</v>
      </c>
      <c r="AR95" s="458" t="s">
        <v>182</v>
      </c>
      <c r="AS95" s="462">
        <f t="shared" si="17"/>
        <v>0</v>
      </c>
      <c r="AT95">
        <f t="shared" si="18"/>
        <v>0</v>
      </c>
      <c r="AU95" s="462" t="str">
        <f>IF(AT95=0,"",IF(AND(AT95=1,M95="F",SUMIF(C2:C698,C95,AS2:AS698)&lt;=1),SUMIF(C2:C698,C95,AS2:AS698),IF(AND(AT95=1,M95="F",SUMIF(C2:C698,C95,AS2:AS698)&gt;1),1,"")))</f>
        <v/>
      </c>
      <c r="AV95" s="462" t="str">
        <f>IF(AT95=0,"",IF(AND(AT95=3,M95="F",SUMIF(C2:C698,C95,AS2:AS698)&lt;=1),SUMIF(C2:C698,C95,AS2:AS698),IF(AND(AT95=3,M95="F",SUMIF(C2:C698,C95,AS2:AS698)&gt;1),1,"")))</f>
        <v/>
      </c>
      <c r="AW95" s="462">
        <f>SUMIF(C2:C698,C95,O2:O698)</f>
        <v>5</v>
      </c>
      <c r="AX95" s="462">
        <f>IF(AND(M95="F",AS95&lt;&gt;0),SUMIF(C2:C698,C95,W2:W698),0)</f>
        <v>0</v>
      </c>
      <c r="AY95" s="462" t="str">
        <f t="shared" si="19"/>
        <v/>
      </c>
      <c r="AZ95" s="462" t="str">
        <f t="shared" si="20"/>
        <v/>
      </c>
      <c r="BA95" s="462">
        <f t="shared" si="21"/>
        <v>0</v>
      </c>
      <c r="BB95" s="462">
        <f>IF(AND(AT95=1,AK95="E",AU95&gt;=0.75,AW95=1),Health,IF(AND(AT95=1,AK95="E",AU95&gt;=0.75),Health*P95,IF(AND(AT95=1,AK95="E",AU95&gt;=0.5,AW95=1),PTHealth,IF(AND(AT95=1,AK95="E",AU95&gt;=0.5),PTHealth*P95,0))))</f>
        <v>0</v>
      </c>
      <c r="BC95" s="462">
        <f>IF(AND(AT95=3,AK95="E",AV95&gt;=0.75,AW95=1),Health,IF(AND(AT95=3,AK95="E",AV95&gt;=0.75),Health*P95,IF(AND(AT95=3,AK95="E",AV95&gt;=0.5,AW95=1),PTHealth,IF(AND(AT95=3,AK95="E",AV95&gt;=0.5),PTHealth*P95,0))))</f>
        <v>0</v>
      </c>
      <c r="BD95" s="462">
        <f>IF(AND(AT95&lt;&gt;0,AX95&gt;=MAXSSDI),SSDI*MAXSSDI*P95,IF(AT95&lt;&gt;0,SSDI*W95,0))</f>
        <v>0</v>
      </c>
      <c r="BE95" s="462">
        <f>IF(AT95&lt;&gt;0,SSHI*W95,0)</f>
        <v>0</v>
      </c>
      <c r="BF95" s="462">
        <f>IF(AND(AT95&lt;&gt;0,AN95&lt;&gt;"NE"),VLOOKUP(AN95,Retirement_Rates,3,FALSE)*W95,0)</f>
        <v>0</v>
      </c>
      <c r="BG95" s="462">
        <f>IF(AND(AT95&lt;&gt;0,AJ95&lt;&gt;"PF"),Life*W95,0)</f>
        <v>0</v>
      </c>
      <c r="BH95" s="462">
        <f>IF(AND(AT95&lt;&gt;0,AM95="Y"),UI*W95,0)</f>
        <v>0</v>
      </c>
      <c r="BI95" s="462">
        <f>IF(AND(AT95&lt;&gt;0,N95&lt;&gt;"NR"),DHR*W95,0)</f>
        <v>0</v>
      </c>
      <c r="BJ95" s="462">
        <f>IF(AT95&lt;&gt;0,WC*W95,0)</f>
        <v>0</v>
      </c>
      <c r="BK95" s="462">
        <f>IF(OR(AND(AT95&lt;&gt;0,AJ95&lt;&gt;"PF",AN95&lt;&gt;"NE",AG95&lt;&gt;"A"),AND(AL95="E",OR(AT95=1,AT95=3))),Sick*W95,0)</f>
        <v>0</v>
      </c>
      <c r="BL95" s="462">
        <f t="shared" si="22"/>
        <v>0</v>
      </c>
      <c r="BM95" s="462">
        <f t="shared" si="23"/>
        <v>0</v>
      </c>
      <c r="BN95" s="462">
        <f>IF(AND(AT95=1,AK95="E",AU95&gt;=0.75,AW95=1),HealthBY,IF(AND(AT95=1,AK95="E",AU95&gt;=0.75),HealthBY*P95,IF(AND(AT95=1,AK95="E",AU95&gt;=0.5,AW95=1),PTHealthBY,IF(AND(AT95=1,AK95="E",AU95&gt;=0.5),PTHealthBY*P95,0))))</f>
        <v>0</v>
      </c>
      <c r="BO95" s="462">
        <f>IF(AND(AT95=3,AK95="E",AV95&gt;=0.75,AW95=1),HealthBY,IF(AND(AT95=3,AK95="E",AV95&gt;=0.75),HealthBY*P95,IF(AND(AT95=3,AK95="E",AV95&gt;=0.5,AW95=1),PTHealthBY,IF(AND(AT95=3,AK95="E",AV95&gt;=0.5),PTHealthBY*P95,0))))</f>
        <v>0</v>
      </c>
      <c r="BP95" s="462">
        <f>IF(AND(AT95&lt;&gt;0,(AX95+BA95)&gt;=MAXSSDIBY),SSDIBY*MAXSSDIBY*P95,IF(AT95&lt;&gt;0,SSDIBY*W95,0))</f>
        <v>0</v>
      </c>
      <c r="BQ95" s="462">
        <f>IF(AT95&lt;&gt;0,SSHIBY*W95,0)</f>
        <v>0</v>
      </c>
      <c r="BR95" s="462">
        <f>IF(AND(AT95&lt;&gt;0,AN95&lt;&gt;"NE"),VLOOKUP(AN95,Retirement_Rates,4,FALSE)*W95,0)</f>
        <v>0</v>
      </c>
      <c r="BS95" s="462">
        <f>IF(AND(AT95&lt;&gt;0,AJ95&lt;&gt;"PF"),LifeBY*W95,0)</f>
        <v>0</v>
      </c>
      <c r="BT95" s="462">
        <f>IF(AND(AT95&lt;&gt;0,AM95="Y"),UIBY*W95,0)</f>
        <v>0</v>
      </c>
      <c r="BU95" s="462">
        <f>IF(AND(AT95&lt;&gt;0,N95&lt;&gt;"NR"),DHRBY*W95,0)</f>
        <v>0</v>
      </c>
      <c r="BV95" s="462">
        <f>IF(AT95&lt;&gt;0,WCBY*W95,0)</f>
        <v>0</v>
      </c>
      <c r="BW95" s="462">
        <f>IF(OR(AND(AT95&lt;&gt;0,AJ95&lt;&gt;"PF",AN95&lt;&gt;"NE",AG95&lt;&gt;"A"),AND(AL95="E",OR(AT95=1,AT95=3))),SickBY*W95,0)</f>
        <v>0</v>
      </c>
      <c r="BX95" s="462">
        <f t="shared" si="24"/>
        <v>0</v>
      </c>
      <c r="BY95" s="462">
        <f t="shared" si="25"/>
        <v>0</v>
      </c>
      <c r="BZ95" s="462">
        <f t="shared" si="26"/>
        <v>0</v>
      </c>
      <c r="CA95" s="462">
        <f t="shared" si="27"/>
        <v>0</v>
      </c>
      <c r="CB95" s="462">
        <f t="shared" si="28"/>
        <v>0</v>
      </c>
      <c r="CC95" s="462">
        <f>IF(AT95&lt;&gt;0,SSHICHG*Y95,0)</f>
        <v>0</v>
      </c>
      <c r="CD95" s="462">
        <f>IF(AND(AT95&lt;&gt;0,AN95&lt;&gt;"NE"),VLOOKUP(AN95,Retirement_Rates,5,FALSE)*Y95,0)</f>
        <v>0</v>
      </c>
      <c r="CE95" s="462">
        <f>IF(AND(AT95&lt;&gt;0,AJ95&lt;&gt;"PF"),LifeCHG*Y95,0)</f>
        <v>0</v>
      </c>
      <c r="CF95" s="462">
        <f>IF(AND(AT95&lt;&gt;0,AM95="Y"),UICHG*Y95,0)</f>
        <v>0</v>
      </c>
      <c r="CG95" s="462">
        <f>IF(AND(AT95&lt;&gt;0,N95&lt;&gt;"NR"),DHRCHG*Y95,0)</f>
        <v>0</v>
      </c>
      <c r="CH95" s="462">
        <f>IF(AT95&lt;&gt;0,WCCHG*Y95,0)</f>
        <v>0</v>
      </c>
      <c r="CI95" s="462">
        <f>IF(OR(AND(AT95&lt;&gt;0,AJ95&lt;&gt;"PF",AN95&lt;&gt;"NE",AG95&lt;&gt;"A"),AND(AL95="E",OR(AT95=1,AT95=3))),SickCHG*Y95,0)</f>
        <v>0</v>
      </c>
      <c r="CJ95" s="462">
        <f t="shared" si="29"/>
        <v>0</v>
      </c>
      <c r="CK95" s="462" t="str">
        <f t="shared" si="30"/>
        <v/>
      </c>
      <c r="CL95" s="462" t="str">
        <f t="shared" si="31"/>
        <v/>
      </c>
      <c r="CM95" s="462" t="str">
        <f t="shared" si="32"/>
        <v/>
      </c>
      <c r="CN95" s="462" t="str">
        <f t="shared" si="33"/>
        <v>0332-06</v>
      </c>
    </row>
    <row r="96" spans="1:92" ht="15" thickBot="1" x14ac:dyDescent="0.35">
      <c r="A96" s="376" t="s">
        <v>161</v>
      </c>
      <c r="B96" s="376" t="s">
        <v>162</v>
      </c>
      <c r="C96" s="376" t="s">
        <v>417</v>
      </c>
      <c r="D96" s="376" t="s">
        <v>418</v>
      </c>
      <c r="E96" s="376" t="s">
        <v>535</v>
      </c>
      <c r="F96" s="382" t="s">
        <v>536</v>
      </c>
      <c r="G96" s="376" t="s">
        <v>356</v>
      </c>
      <c r="H96" s="378"/>
      <c r="I96" s="378"/>
      <c r="J96" s="376" t="s">
        <v>168</v>
      </c>
      <c r="K96" s="376" t="s">
        <v>419</v>
      </c>
      <c r="L96" s="376" t="s">
        <v>177</v>
      </c>
      <c r="M96" s="376" t="s">
        <v>170</v>
      </c>
      <c r="N96" s="376" t="s">
        <v>291</v>
      </c>
      <c r="O96" s="379">
        <v>0</v>
      </c>
      <c r="P96" s="460">
        <v>1</v>
      </c>
      <c r="Q96" s="460">
        <v>0</v>
      </c>
      <c r="R96" s="380">
        <v>0</v>
      </c>
      <c r="S96" s="460">
        <v>0</v>
      </c>
      <c r="T96" s="380">
        <v>0</v>
      </c>
      <c r="U96" s="380">
        <v>0</v>
      </c>
      <c r="V96" s="380">
        <v>0</v>
      </c>
      <c r="W96" s="380">
        <v>26475.4</v>
      </c>
      <c r="X96" s="380">
        <v>2796.75</v>
      </c>
      <c r="Y96" s="380">
        <v>26475.4</v>
      </c>
      <c r="Z96" s="380">
        <v>2796.75</v>
      </c>
      <c r="AA96" s="378"/>
      <c r="AB96" s="376" t="s">
        <v>45</v>
      </c>
      <c r="AC96" s="376" t="s">
        <v>45</v>
      </c>
      <c r="AD96" s="378"/>
      <c r="AE96" s="378"/>
      <c r="AF96" s="378"/>
      <c r="AG96" s="378"/>
      <c r="AH96" s="379">
        <v>0</v>
      </c>
      <c r="AI96" s="379">
        <v>0</v>
      </c>
      <c r="AJ96" s="378"/>
      <c r="AK96" s="378"/>
      <c r="AL96" s="376" t="s">
        <v>180</v>
      </c>
      <c r="AM96" s="378"/>
      <c r="AN96" s="378"/>
      <c r="AO96" s="379">
        <v>0</v>
      </c>
      <c r="AP96" s="460">
        <v>0</v>
      </c>
      <c r="AQ96" s="460">
        <v>0</v>
      </c>
      <c r="AR96" s="459"/>
      <c r="AS96" s="462">
        <f t="shared" si="17"/>
        <v>0</v>
      </c>
      <c r="AT96">
        <f t="shared" si="18"/>
        <v>0</v>
      </c>
      <c r="AU96" s="462" t="str">
        <f>IF(AT96=0,"",IF(AND(AT96=1,M96="F",SUMIF(C2:C698,C96,AS2:AS698)&lt;=1),SUMIF(C2:C698,C96,AS2:AS698),IF(AND(AT96=1,M96="F",SUMIF(C2:C698,C96,AS2:AS698)&gt;1),1,"")))</f>
        <v/>
      </c>
      <c r="AV96" s="462" t="str">
        <f>IF(AT96=0,"",IF(AND(AT96=3,M96="F",SUMIF(C2:C698,C96,AS2:AS698)&lt;=1),SUMIF(C2:C698,C96,AS2:AS698),IF(AND(AT96=3,M96="F",SUMIF(C2:C698,C96,AS2:AS698)&gt;1),1,"")))</f>
        <v/>
      </c>
      <c r="AW96" s="462">
        <f>SUMIF(C2:C698,C96,O2:O698)</f>
        <v>0</v>
      </c>
      <c r="AX96" s="462">
        <f>IF(AND(M96="F",AS96&lt;&gt;0),SUMIF(C2:C698,C96,W2:W698),0)</f>
        <v>0</v>
      </c>
      <c r="AY96" s="462" t="str">
        <f t="shared" si="19"/>
        <v/>
      </c>
      <c r="AZ96" s="462" t="str">
        <f t="shared" si="20"/>
        <v/>
      </c>
      <c r="BA96" s="462">
        <f t="shared" si="21"/>
        <v>0</v>
      </c>
      <c r="BB96" s="462">
        <f>IF(AND(AT96=1,AK96="E",AU96&gt;=0.75,AW96=1),Health,IF(AND(AT96=1,AK96="E",AU96&gt;=0.75),Health*P96,IF(AND(AT96=1,AK96="E",AU96&gt;=0.5,AW96=1),PTHealth,IF(AND(AT96=1,AK96="E",AU96&gt;=0.5),PTHealth*P96,0))))</f>
        <v>0</v>
      </c>
      <c r="BC96" s="462">
        <f>IF(AND(AT96=3,AK96="E",AV96&gt;=0.75,AW96=1),Health,IF(AND(AT96=3,AK96="E",AV96&gt;=0.75),Health*P96,IF(AND(AT96=3,AK96="E",AV96&gt;=0.5,AW96=1),PTHealth,IF(AND(AT96=3,AK96="E",AV96&gt;=0.5),PTHealth*P96,0))))</f>
        <v>0</v>
      </c>
      <c r="BD96" s="462">
        <f>IF(AND(AT96&lt;&gt;0,AX96&gt;=MAXSSDI),SSDI*MAXSSDI*P96,IF(AT96&lt;&gt;0,SSDI*W96,0))</f>
        <v>0</v>
      </c>
      <c r="BE96" s="462">
        <f>IF(AT96&lt;&gt;0,SSHI*W96,0)</f>
        <v>0</v>
      </c>
      <c r="BF96" s="462">
        <f>IF(AND(AT96&lt;&gt;0,AN96&lt;&gt;"NE"),VLOOKUP(AN96,Retirement_Rates,3,FALSE)*W96,0)</f>
        <v>0</v>
      </c>
      <c r="BG96" s="462">
        <f>IF(AND(AT96&lt;&gt;0,AJ96&lt;&gt;"PF"),Life*W96,0)</f>
        <v>0</v>
      </c>
      <c r="BH96" s="462">
        <f>IF(AND(AT96&lt;&gt;0,AM96="Y"),UI*W96,0)</f>
        <v>0</v>
      </c>
      <c r="BI96" s="462">
        <f>IF(AND(AT96&lt;&gt;0,N96&lt;&gt;"NR"),DHR*W96,0)</f>
        <v>0</v>
      </c>
      <c r="BJ96" s="462">
        <f>IF(AT96&lt;&gt;0,WC*W96,0)</f>
        <v>0</v>
      </c>
      <c r="BK96" s="462">
        <f>IF(OR(AND(AT96&lt;&gt;0,AJ96&lt;&gt;"PF",AN96&lt;&gt;"NE",AG96&lt;&gt;"A"),AND(AL96="E",OR(AT96=1,AT96=3))),Sick*W96,0)</f>
        <v>0</v>
      </c>
      <c r="BL96" s="462">
        <f t="shared" si="22"/>
        <v>0</v>
      </c>
      <c r="BM96" s="462">
        <f t="shared" si="23"/>
        <v>0</v>
      </c>
      <c r="BN96" s="462">
        <f>IF(AND(AT96=1,AK96="E",AU96&gt;=0.75,AW96=1),HealthBY,IF(AND(AT96=1,AK96="E",AU96&gt;=0.75),HealthBY*P96,IF(AND(AT96=1,AK96="E",AU96&gt;=0.5,AW96=1),PTHealthBY,IF(AND(AT96=1,AK96="E",AU96&gt;=0.5),PTHealthBY*P96,0))))</f>
        <v>0</v>
      </c>
      <c r="BO96" s="462">
        <f>IF(AND(AT96=3,AK96="E",AV96&gt;=0.75,AW96=1),HealthBY,IF(AND(AT96=3,AK96="E",AV96&gt;=0.75),HealthBY*P96,IF(AND(AT96=3,AK96="E",AV96&gt;=0.5,AW96=1),PTHealthBY,IF(AND(AT96=3,AK96="E",AV96&gt;=0.5),PTHealthBY*P96,0))))</f>
        <v>0</v>
      </c>
      <c r="BP96" s="462">
        <f>IF(AND(AT96&lt;&gt;0,(AX96+BA96)&gt;=MAXSSDIBY),SSDIBY*MAXSSDIBY*P96,IF(AT96&lt;&gt;0,SSDIBY*W96,0))</f>
        <v>0</v>
      </c>
      <c r="BQ96" s="462">
        <f>IF(AT96&lt;&gt;0,SSHIBY*W96,0)</f>
        <v>0</v>
      </c>
      <c r="BR96" s="462">
        <f>IF(AND(AT96&lt;&gt;0,AN96&lt;&gt;"NE"),VLOOKUP(AN96,Retirement_Rates,4,FALSE)*W96,0)</f>
        <v>0</v>
      </c>
      <c r="BS96" s="462">
        <f>IF(AND(AT96&lt;&gt;0,AJ96&lt;&gt;"PF"),LifeBY*W96,0)</f>
        <v>0</v>
      </c>
      <c r="BT96" s="462">
        <f>IF(AND(AT96&lt;&gt;0,AM96="Y"),UIBY*W96,0)</f>
        <v>0</v>
      </c>
      <c r="BU96" s="462">
        <f>IF(AND(AT96&lt;&gt;0,N96&lt;&gt;"NR"),DHRBY*W96,0)</f>
        <v>0</v>
      </c>
      <c r="BV96" s="462">
        <f>IF(AT96&lt;&gt;0,WCBY*W96,0)</f>
        <v>0</v>
      </c>
      <c r="BW96" s="462">
        <f>IF(OR(AND(AT96&lt;&gt;0,AJ96&lt;&gt;"PF",AN96&lt;&gt;"NE",AG96&lt;&gt;"A"),AND(AL96="E",OR(AT96=1,AT96=3))),SickBY*W96,0)</f>
        <v>0</v>
      </c>
      <c r="BX96" s="462">
        <f t="shared" si="24"/>
        <v>0</v>
      </c>
      <c r="BY96" s="462">
        <f t="shared" si="25"/>
        <v>0</v>
      </c>
      <c r="BZ96" s="462">
        <f t="shared" si="26"/>
        <v>0</v>
      </c>
      <c r="CA96" s="462">
        <f t="shared" si="27"/>
        <v>0</v>
      </c>
      <c r="CB96" s="462">
        <f t="shared" si="28"/>
        <v>0</v>
      </c>
      <c r="CC96" s="462">
        <f>IF(AT96&lt;&gt;0,SSHICHG*Y96,0)</f>
        <v>0</v>
      </c>
      <c r="CD96" s="462">
        <f>IF(AND(AT96&lt;&gt;0,AN96&lt;&gt;"NE"),VLOOKUP(AN96,Retirement_Rates,5,FALSE)*Y96,0)</f>
        <v>0</v>
      </c>
      <c r="CE96" s="462">
        <f>IF(AND(AT96&lt;&gt;0,AJ96&lt;&gt;"PF"),LifeCHG*Y96,0)</f>
        <v>0</v>
      </c>
      <c r="CF96" s="462">
        <f>IF(AND(AT96&lt;&gt;0,AM96="Y"),UICHG*Y96,0)</f>
        <v>0</v>
      </c>
      <c r="CG96" s="462">
        <f>IF(AND(AT96&lt;&gt;0,N96&lt;&gt;"NR"),DHRCHG*Y96,0)</f>
        <v>0</v>
      </c>
      <c r="CH96" s="462">
        <f>IF(AT96&lt;&gt;0,WCCHG*Y96,0)</f>
        <v>0</v>
      </c>
      <c r="CI96" s="462">
        <f>IF(OR(AND(AT96&lt;&gt;0,AJ96&lt;&gt;"PF",AN96&lt;&gt;"NE",AG96&lt;&gt;"A"),AND(AL96="E",OR(AT96=1,AT96=3))),SickCHG*Y96,0)</f>
        <v>0</v>
      </c>
      <c r="CJ96" s="462">
        <f t="shared" si="29"/>
        <v>0</v>
      </c>
      <c r="CK96" s="462" t="str">
        <f t="shared" si="30"/>
        <v/>
      </c>
      <c r="CL96" s="462">
        <f t="shared" si="31"/>
        <v>0</v>
      </c>
      <c r="CM96" s="462">
        <f t="shared" si="32"/>
        <v>0</v>
      </c>
      <c r="CN96" s="462" t="str">
        <f t="shared" si="33"/>
        <v>0332-06</v>
      </c>
    </row>
    <row r="97" spans="1:92" ht="15" thickBot="1" x14ac:dyDescent="0.35">
      <c r="A97" s="376" t="s">
        <v>161</v>
      </c>
      <c r="B97" s="376" t="s">
        <v>162</v>
      </c>
      <c r="C97" s="376" t="s">
        <v>402</v>
      </c>
      <c r="D97" s="376" t="s">
        <v>362</v>
      </c>
      <c r="E97" s="376" t="s">
        <v>535</v>
      </c>
      <c r="F97" s="382" t="s">
        <v>536</v>
      </c>
      <c r="G97" s="376" t="s">
        <v>356</v>
      </c>
      <c r="H97" s="378"/>
      <c r="I97" s="378"/>
      <c r="J97" s="376" t="s">
        <v>168</v>
      </c>
      <c r="K97" s="376" t="s">
        <v>363</v>
      </c>
      <c r="L97" s="376" t="s">
        <v>200</v>
      </c>
      <c r="M97" s="376" t="s">
        <v>170</v>
      </c>
      <c r="N97" s="376" t="s">
        <v>202</v>
      </c>
      <c r="O97" s="379">
        <v>1</v>
      </c>
      <c r="P97" s="460">
        <v>0</v>
      </c>
      <c r="Q97" s="460">
        <v>0</v>
      </c>
      <c r="R97" s="380">
        <v>80</v>
      </c>
      <c r="S97" s="460">
        <v>0</v>
      </c>
      <c r="T97" s="380">
        <v>773.28</v>
      </c>
      <c r="U97" s="380">
        <v>0</v>
      </c>
      <c r="V97" s="380">
        <v>374.28</v>
      </c>
      <c r="W97" s="380">
        <v>0</v>
      </c>
      <c r="X97" s="380">
        <v>0</v>
      </c>
      <c r="Y97" s="380">
        <v>0</v>
      </c>
      <c r="Z97" s="380">
        <v>0</v>
      </c>
      <c r="AA97" s="376" t="s">
        <v>403</v>
      </c>
      <c r="AB97" s="376" t="s">
        <v>404</v>
      </c>
      <c r="AC97" s="376" t="s">
        <v>405</v>
      </c>
      <c r="AD97" s="376" t="s">
        <v>190</v>
      </c>
      <c r="AE97" s="376" t="s">
        <v>363</v>
      </c>
      <c r="AF97" s="376" t="s">
        <v>210</v>
      </c>
      <c r="AG97" s="376" t="s">
        <v>177</v>
      </c>
      <c r="AH97" s="381">
        <v>22.5</v>
      </c>
      <c r="AI97" s="381">
        <v>12098.3</v>
      </c>
      <c r="AJ97" s="376" t="s">
        <v>178</v>
      </c>
      <c r="AK97" s="376" t="s">
        <v>179</v>
      </c>
      <c r="AL97" s="376" t="s">
        <v>180</v>
      </c>
      <c r="AM97" s="376" t="s">
        <v>181</v>
      </c>
      <c r="AN97" s="376" t="s">
        <v>68</v>
      </c>
      <c r="AO97" s="379">
        <v>80</v>
      </c>
      <c r="AP97" s="460">
        <v>1</v>
      </c>
      <c r="AQ97" s="460">
        <v>0</v>
      </c>
      <c r="AR97" s="458" t="s">
        <v>182</v>
      </c>
      <c r="AS97" s="462">
        <f t="shared" si="17"/>
        <v>0</v>
      </c>
      <c r="AT97">
        <f t="shared" si="18"/>
        <v>0</v>
      </c>
      <c r="AU97" s="462" t="str">
        <f>IF(AT97=0,"",IF(AND(AT97=1,M97="F",SUMIF(C2:C698,C97,AS2:AS698)&lt;=1),SUMIF(C2:C698,C97,AS2:AS698),IF(AND(AT97=1,M97="F",SUMIF(C2:C698,C97,AS2:AS698)&gt;1),1,"")))</f>
        <v/>
      </c>
      <c r="AV97" s="462" t="str">
        <f>IF(AT97=0,"",IF(AND(AT97=3,M97="F",SUMIF(C2:C698,C97,AS2:AS698)&lt;=1),SUMIF(C2:C698,C97,AS2:AS698),IF(AND(AT97=3,M97="F",SUMIF(C2:C698,C97,AS2:AS698)&gt;1),1,"")))</f>
        <v/>
      </c>
      <c r="AW97" s="462">
        <f>SUMIF(C2:C698,C97,O2:O698)</f>
        <v>5</v>
      </c>
      <c r="AX97" s="462">
        <f>IF(AND(M97="F",AS97&lt;&gt;0),SUMIF(C2:C698,C97,W2:W698),0)</f>
        <v>0</v>
      </c>
      <c r="AY97" s="462" t="str">
        <f t="shared" si="19"/>
        <v/>
      </c>
      <c r="AZ97" s="462" t="str">
        <f t="shared" si="20"/>
        <v/>
      </c>
      <c r="BA97" s="462">
        <f t="shared" si="21"/>
        <v>0</v>
      </c>
      <c r="BB97" s="462">
        <f>IF(AND(AT97=1,AK97="E",AU97&gt;=0.75,AW97=1),Health,IF(AND(AT97=1,AK97="E",AU97&gt;=0.75),Health*P97,IF(AND(AT97=1,AK97="E",AU97&gt;=0.5,AW97=1),PTHealth,IF(AND(AT97=1,AK97="E",AU97&gt;=0.5),PTHealth*P97,0))))</f>
        <v>0</v>
      </c>
      <c r="BC97" s="462">
        <f>IF(AND(AT97=3,AK97="E",AV97&gt;=0.75,AW97=1),Health,IF(AND(AT97=3,AK97="E",AV97&gt;=0.75),Health*P97,IF(AND(AT97=3,AK97="E",AV97&gt;=0.5,AW97=1),PTHealth,IF(AND(AT97=3,AK97="E",AV97&gt;=0.5),PTHealth*P97,0))))</f>
        <v>0</v>
      </c>
      <c r="BD97" s="462">
        <f>IF(AND(AT97&lt;&gt;0,AX97&gt;=MAXSSDI),SSDI*MAXSSDI*P97,IF(AT97&lt;&gt;0,SSDI*W97,0))</f>
        <v>0</v>
      </c>
      <c r="BE97" s="462">
        <f>IF(AT97&lt;&gt;0,SSHI*W97,0)</f>
        <v>0</v>
      </c>
      <c r="BF97" s="462">
        <f>IF(AND(AT97&lt;&gt;0,AN97&lt;&gt;"NE"),VLOOKUP(AN97,Retirement_Rates,3,FALSE)*W97,0)</f>
        <v>0</v>
      </c>
      <c r="BG97" s="462">
        <f>IF(AND(AT97&lt;&gt;0,AJ97&lt;&gt;"PF"),Life*W97,0)</f>
        <v>0</v>
      </c>
      <c r="BH97" s="462">
        <f>IF(AND(AT97&lt;&gt;0,AM97="Y"),UI*W97,0)</f>
        <v>0</v>
      </c>
      <c r="BI97" s="462">
        <f>IF(AND(AT97&lt;&gt;0,N97&lt;&gt;"NR"),DHR*W97,0)</f>
        <v>0</v>
      </c>
      <c r="BJ97" s="462">
        <f>IF(AT97&lt;&gt;0,WC*W97,0)</f>
        <v>0</v>
      </c>
      <c r="BK97" s="462">
        <f>IF(OR(AND(AT97&lt;&gt;0,AJ97&lt;&gt;"PF",AN97&lt;&gt;"NE",AG97&lt;&gt;"A"),AND(AL97="E",OR(AT97=1,AT97=3))),Sick*W97,0)</f>
        <v>0</v>
      </c>
      <c r="BL97" s="462">
        <f t="shared" si="22"/>
        <v>0</v>
      </c>
      <c r="BM97" s="462">
        <f t="shared" si="23"/>
        <v>0</v>
      </c>
      <c r="BN97" s="462">
        <f>IF(AND(AT97=1,AK97="E",AU97&gt;=0.75,AW97=1),HealthBY,IF(AND(AT97=1,AK97="E",AU97&gt;=0.75),HealthBY*P97,IF(AND(AT97=1,AK97="E",AU97&gt;=0.5,AW97=1),PTHealthBY,IF(AND(AT97=1,AK97="E",AU97&gt;=0.5),PTHealthBY*P97,0))))</f>
        <v>0</v>
      </c>
      <c r="BO97" s="462">
        <f>IF(AND(AT97=3,AK97="E",AV97&gt;=0.75,AW97=1),HealthBY,IF(AND(AT97=3,AK97="E",AV97&gt;=0.75),HealthBY*P97,IF(AND(AT97=3,AK97="E",AV97&gt;=0.5,AW97=1),PTHealthBY,IF(AND(AT97=3,AK97="E",AV97&gt;=0.5),PTHealthBY*P97,0))))</f>
        <v>0</v>
      </c>
      <c r="BP97" s="462">
        <f>IF(AND(AT97&lt;&gt;0,(AX97+BA97)&gt;=MAXSSDIBY),SSDIBY*MAXSSDIBY*P97,IF(AT97&lt;&gt;0,SSDIBY*W97,0))</f>
        <v>0</v>
      </c>
      <c r="BQ97" s="462">
        <f>IF(AT97&lt;&gt;0,SSHIBY*W97,0)</f>
        <v>0</v>
      </c>
      <c r="BR97" s="462">
        <f>IF(AND(AT97&lt;&gt;0,AN97&lt;&gt;"NE"),VLOOKUP(AN97,Retirement_Rates,4,FALSE)*W97,0)</f>
        <v>0</v>
      </c>
      <c r="BS97" s="462">
        <f>IF(AND(AT97&lt;&gt;0,AJ97&lt;&gt;"PF"),LifeBY*W97,0)</f>
        <v>0</v>
      </c>
      <c r="BT97" s="462">
        <f>IF(AND(AT97&lt;&gt;0,AM97="Y"),UIBY*W97,0)</f>
        <v>0</v>
      </c>
      <c r="BU97" s="462">
        <f>IF(AND(AT97&lt;&gt;0,N97&lt;&gt;"NR"),DHRBY*W97,0)</f>
        <v>0</v>
      </c>
      <c r="BV97" s="462">
        <f>IF(AT97&lt;&gt;0,WCBY*W97,0)</f>
        <v>0</v>
      </c>
      <c r="BW97" s="462">
        <f>IF(OR(AND(AT97&lt;&gt;0,AJ97&lt;&gt;"PF",AN97&lt;&gt;"NE",AG97&lt;&gt;"A"),AND(AL97="E",OR(AT97=1,AT97=3))),SickBY*W97,0)</f>
        <v>0</v>
      </c>
      <c r="BX97" s="462">
        <f t="shared" si="24"/>
        <v>0</v>
      </c>
      <c r="BY97" s="462">
        <f t="shared" si="25"/>
        <v>0</v>
      </c>
      <c r="BZ97" s="462">
        <f t="shared" si="26"/>
        <v>0</v>
      </c>
      <c r="CA97" s="462">
        <f t="shared" si="27"/>
        <v>0</v>
      </c>
      <c r="CB97" s="462">
        <f t="shared" si="28"/>
        <v>0</v>
      </c>
      <c r="CC97" s="462">
        <f>IF(AT97&lt;&gt;0,SSHICHG*Y97,0)</f>
        <v>0</v>
      </c>
      <c r="CD97" s="462">
        <f>IF(AND(AT97&lt;&gt;0,AN97&lt;&gt;"NE"),VLOOKUP(AN97,Retirement_Rates,5,FALSE)*Y97,0)</f>
        <v>0</v>
      </c>
      <c r="CE97" s="462">
        <f>IF(AND(AT97&lt;&gt;0,AJ97&lt;&gt;"PF"),LifeCHG*Y97,0)</f>
        <v>0</v>
      </c>
      <c r="CF97" s="462">
        <f>IF(AND(AT97&lt;&gt;0,AM97="Y"),UICHG*Y97,0)</f>
        <v>0</v>
      </c>
      <c r="CG97" s="462">
        <f>IF(AND(AT97&lt;&gt;0,N97&lt;&gt;"NR"),DHRCHG*Y97,0)</f>
        <v>0</v>
      </c>
      <c r="CH97" s="462">
        <f>IF(AT97&lt;&gt;0,WCCHG*Y97,0)</f>
        <v>0</v>
      </c>
      <c r="CI97" s="462">
        <f>IF(OR(AND(AT97&lt;&gt;0,AJ97&lt;&gt;"PF",AN97&lt;&gt;"NE",AG97&lt;&gt;"A"),AND(AL97="E",OR(AT97=1,AT97=3))),SickCHG*Y97,0)</f>
        <v>0</v>
      </c>
      <c r="CJ97" s="462">
        <f t="shared" si="29"/>
        <v>0</v>
      </c>
      <c r="CK97" s="462" t="str">
        <f t="shared" si="30"/>
        <v/>
      </c>
      <c r="CL97" s="462" t="str">
        <f t="shared" si="31"/>
        <v/>
      </c>
      <c r="CM97" s="462" t="str">
        <f t="shared" si="32"/>
        <v/>
      </c>
      <c r="CN97" s="462" t="str">
        <f t="shared" si="33"/>
        <v>0332-06</v>
      </c>
    </row>
    <row r="98" spans="1:92" ht="15" thickBot="1" x14ac:dyDescent="0.35">
      <c r="A98" s="376" t="s">
        <v>161</v>
      </c>
      <c r="B98" s="376" t="s">
        <v>162</v>
      </c>
      <c r="C98" s="376" t="s">
        <v>413</v>
      </c>
      <c r="D98" s="376" t="s">
        <v>362</v>
      </c>
      <c r="E98" s="376" t="s">
        <v>535</v>
      </c>
      <c r="F98" s="382" t="s">
        <v>536</v>
      </c>
      <c r="G98" s="376" t="s">
        <v>356</v>
      </c>
      <c r="H98" s="378"/>
      <c r="I98" s="378"/>
      <c r="J98" s="376" t="s">
        <v>168</v>
      </c>
      <c r="K98" s="376" t="s">
        <v>363</v>
      </c>
      <c r="L98" s="376" t="s">
        <v>200</v>
      </c>
      <c r="M98" s="376" t="s">
        <v>170</v>
      </c>
      <c r="N98" s="376" t="s">
        <v>202</v>
      </c>
      <c r="O98" s="379">
        <v>1</v>
      </c>
      <c r="P98" s="460">
        <v>0</v>
      </c>
      <c r="Q98" s="460">
        <v>0</v>
      </c>
      <c r="R98" s="380">
        <v>80</v>
      </c>
      <c r="S98" s="460">
        <v>0</v>
      </c>
      <c r="T98" s="380">
        <v>2061.42</v>
      </c>
      <c r="U98" s="380">
        <v>0</v>
      </c>
      <c r="V98" s="380">
        <v>901.52</v>
      </c>
      <c r="W98" s="380">
        <v>0</v>
      </c>
      <c r="X98" s="380">
        <v>0</v>
      </c>
      <c r="Y98" s="380">
        <v>0</v>
      </c>
      <c r="Z98" s="380">
        <v>0</v>
      </c>
      <c r="AA98" s="376" t="s">
        <v>414</v>
      </c>
      <c r="AB98" s="376" t="s">
        <v>415</v>
      </c>
      <c r="AC98" s="376" t="s">
        <v>189</v>
      </c>
      <c r="AD98" s="376" t="s">
        <v>416</v>
      </c>
      <c r="AE98" s="376" t="s">
        <v>363</v>
      </c>
      <c r="AF98" s="376" t="s">
        <v>210</v>
      </c>
      <c r="AG98" s="376" t="s">
        <v>177</v>
      </c>
      <c r="AH98" s="381">
        <v>24.98</v>
      </c>
      <c r="AI98" s="381">
        <v>61708.3</v>
      </c>
      <c r="AJ98" s="376" t="s">
        <v>178</v>
      </c>
      <c r="AK98" s="376" t="s">
        <v>179</v>
      </c>
      <c r="AL98" s="376" t="s">
        <v>180</v>
      </c>
      <c r="AM98" s="376" t="s">
        <v>181</v>
      </c>
      <c r="AN98" s="376" t="s">
        <v>68</v>
      </c>
      <c r="AO98" s="379">
        <v>80</v>
      </c>
      <c r="AP98" s="460">
        <v>1</v>
      </c>
      <c r="AQ98" s="460">
        <v>0</v>
      </c>
      <c r="AR98" s="458" t="s">
        <v>182</v>
      </c>
      <c r="AS98" s="462">
        <f t="shared" si="17"/>
        <v>0</v>
      </c>
      <c r="AT98">
        <f t="shared" si="18"/>
        <v>0</v>
      </c>
      <c r="AU98" s="462" t="str">
        <f>IF(AT98=0,"",IF(AND(AT98=1,M98="F",SUMIF(C2:C698,C98,AS2:AS698)&lt;=1),SUMIF(C2:C698,C98,AS2:AS698),IF(AND(AT98=1,M98="F",SUMIF(C2:C698,C98,AS2:AS698)&gt;1),1,"")))</f>
        <v/>
      </c>
      <c r="AV98" s="462" t="str">
        <f>IF(AT98=0,"",IF(AND(AT98=3,M98="F",SUMIF(C2:C698,C98,AS2:AS698)&lt;=1),SUMIF(C2:C698,C98,AS2:AS698),IF(AND(AT98=3,M98="F",SUMIF(C2:C698,C98,AS2:AS698)&gt;1),1,"")))</f>
        <v/>
      </c>
      <c r="AW98" s="462">
        <f>SUMIF(C2:C698,C98,O2:O698)</f>
        <v>4</v>
      </c>
      <c r="AX98" s="462">
        <f>IF(AND(M98="F",AS98&lt;&gt;0),SUMIF(C2:C698,C98,W2:W698),0)</f>
        <v>0</v>
      </c>
      <c r="AY98" s="462" t="str">
        <f t="shared" si="19"/>
        <v/>
      </c>
      <c r="AZ98" s="462" t="str">
        <f t="shared" si="20"/>
        <v/>
      </c>
      <c r="BA98" s="462">
        <f t="shared" si="21"/>
        <v>0</v>
      </c>
      <c r="BB98" s="462">
        <f>IF(AND(AT98=1,AK98="E",AU98&gt;=0.75,AW98=1),Health,IF(AND(AT98=1,AK98="E",AU98&gt;=0.75),Health*P98,IF(AND(AT98=1,AK98="E",AU98&gt;=0.5,AW98=1),PTHealth,IF(AND(AT98=1,AK98="E",AU98&gt;=0.5),PTHealth*P98,0))))</f>
        <v>0</v>
      </c>
      <c r="BC98" s="462">
        <f>IF(AND(AT98=3,AK98="E",AV98&gt;=0.75,AW98=1),Health,IF(AND(AT98=3,AK98="E",AV98&gt;=0.75),Health*P98,IF(AND(AT98=3,AK98="E",AV98&gt;=0.5,AW98=1),PTHealth,IF(AND(AT98=3,AK98="E",AV98&gt;=0.5),PTHealth*P98,0))))</f>
        <v>0</v>
      </c>
      <c r="BD98" s="462">
        <f>IF(AND(AT98&lt;&gt;0,AX98&gt;=MAXSSDI),SSDI*MAXSSDI*P98,IF(AT98&lt;&gt;0,SSDI*W98,0))</f>
        <v>0</v>
      </c>
      <c r="BE98" s="462">
        <f>IF(AT98&lt;&gt;0,SSHI*W98,0)</f>
        <v>0</v>
      </c>
      <c r="BF98" s="462">
        <f>IF(AND(AT98&lt;&gt;0,AN98&lt;&gt;"NE"),VLOOKUP(AN98,Retirement_Rates,3,FALSE)*W98,0)</f>
        <v>0</v>
      </c>
      <c r="BG98" s="462">
        <f>IF(AND(AT98&lt;&gt;0,AJ98&lt;&gt;"PF"),Life*W98,0)</f>
        <v>0</v>
      </c>
      <c r="BH98" s="462">
        <f>IF(AND(AT98&lt;&gt;0,AM98="Y"),UI*W98,0)</f>
        <v>0</v>
      </c>
      <c r="BI98" s="462">
        <f>IF(AND(AT98&lt;&gt;0,N98&lt;&gt;"NR"),DHR*W98,0)</f>
        <v>0</v>
      </c>
      <c r="BJ98" s="462">
        <f>IF(AT98&lt;&gt;0,WC*W98,0)</f>
        <v>0</v>
      </c>
      <c r="BK98" s="462">
        <f>IF(OR(AND(AT98&lt;&gt;0,AJ98&lt;&gt;"PF",AN98&lt;&gt;"NE",AG98&lt;&gt;"A"),AND(AL98="E",OR(AT98=1,AT98=3))),Sick*W98,0)</f>
        <v>0</v>
      </c>
      <c r="BL98" s="462">
        <f t="shared" si="22"/>
        <v>0</v>
      </c>
      <c r="BM98" s="462">
        <f t="shared" si="23"/>
        <v>0</v>
      </c>
      <c r="BN98" s="462">
        <f>IF(AND(AT98=1,AK98="E",AU98&gt;=0.75,AW98=1),HealthBY,IF(AND(AT98=1,AK98="E",AU98&gt;=0.75),HealthBY*P98,IF(AND(AT98=1,AK98="E",AU98&gt;=0.5,AW98=1),PTHealthBY,IF(AND(AT98=1,AK98="E",AU98&gt;=0.5),PTHealthBY*P98,0))))</f>
        <v>0</v>
      </c>
      <c r="BO98" s="462">
        <f>IF(AND(AT98=3,AK98="E",AV98&gt;=0.75,AW98=1),HealthBY,IF(AND(AT98=3,AK98="E",AV98&gt;=0.75),HealthBY*P98,IF(AND(AT98=3,AK98="E",AV98&gt;=0.5,AW98=1),PTHealthBY,IF(AND(AT98=3,AK98="E",AV98&gt;=0.5),PTHealthBY*P98,0))))</f>
        <v>0</v>
      </c>
      <c r="BP98" s="462">
        <f>IF(AND(AT98&lt;&gt;0,(AX98+BA98)&gt;=MAXSSDIBY),SSDIBY*MAXSSDIBY*P98,IF(AT98&lt;&gt;0,SSDIBY*W98,0))</f>
        <v>0</v>
      </c>
      <c r="BQ98" s="462">
        <f>IF(AT98&lt;&gt;0,SSHIBY*W98,0)</f>
        <v>0</v>
      </c>
      <c r="BR98" s="462">
        <f>IF(AND(AT98&lt;&gt;0,AN98&lt;&gt;"NE"),VLOOKUP(AN98,Retirement_Rates,4,FALSE)*W98,0)</f>
        <v>0</v>
      </c>
      <c r="BS98" s="462">
        <f>IF(AND(AT98&lt;&gt;0,AJ98&lt;&gt;"PF"),LifeBY*W98,0)</f>
        <v>0</v>
      </c>
      <c r="BT98" s="462">
        <f>IF(AND(AT98&lt;&gt;0,AM98="Y"),UIBY*W98,0)</f>
        <v>0</v>
      </c>
      <c r="BU98" s="462">
        <f>IF(AND(AT98&lt;&gt;0,N98&lt;&gt;"NR"),DHRBY*W98,0)</f>
        <v>0</v>
      </c>
      <c r="BV98" s="462">
        <f>IF(AT98&lt;&gt;0,WCBY*W98,0)</f>
        <v>0</v>
      </c>
      <c r="BW98" s="462">
        <f>IF(OR(AND(AT98&lt;&gt;0,AJ98&lt;&gt;"PF",AN98&lt;&gt;"NE",AG98&lt;&gt;"A"),AND(AL98="E",OR(AT98=1,AT98=3))),SickBY*W98,0)</f>
        <v>0</v>
      </c>
      <c r="BX98" s="462">
        <f t="shared" si="24"/>
        <v>0</v>
      </c>
      <c r="BY98" s="462">
        <f t="shared" si="25"/>
        <v>0</v>
      </c>
      <c r="BZ98" s="462">
        <f t="shared" si="26"/>
        <v>0</v>
      </c>
      <c r="CA98" s="462">
        <f t="shared" si="27"/>
        <v>0</v>
      </c>
      <c r="CB98" s="462">
        <f t="shared" si="28"/>
        <v>0</v>
      </c>
      <c r="CC98" s="462">
        <f>IF(AT98&lt;&gt;0,SSHICHG*Y98,0)</f>
        <v>0</v>
      </c>
      <c r="CD98" s="462">
        <f>IF(AND(AT98&lt;&gt;0,AN98&lt;&gt;"NE"),VLOOKUP(AN98,Retirement_Rates,5,FALSE)*Y98,0)</f>
        <v>0</v>
      </c>
      <c r="CE98" s="462">
        <f>IF(AND(AT98&lt;&gt;0,AJ98&lt;&gt;"PF"),LifeCHG*Y98,0)</f>
        <v>0</v>
      </c>
      <c r="CF98" s="462">
        <f>IF(AND(AT98&lt;&gt;0,AM98="Y"),UICHG*Y98,0)</f>
        <v>0</v>
      </c>
      <c r="CG98" s="462">
        <f>IF(AND(AT98&lt;&gt;0,N98&lt;&gt;"NR"),DHRCHG*Y98,0)</f>
        <v>0</v>
      </c>
      <c r="CH98" s="462">
        <f>IF(AT98&lt;&gt;0,WCCHG*Y98,0)</f>
        <v>0</v>
      </c>
      <c r="CI98" s="462">
        <f>IF(OR(AND(AT98&lt;&gt;0,AJ98&lt;&gt;"PF",AN98&lt;&gt;"NE",AG98&lt;&gt;"A"),AND(AL98="E",OR(AT98=1,AT98=3))),SickCHG*Y98,0)</f>
        <v>0</v>
      </c>
      <c r="CJ98" s="462">
        <f t="shared" si="29"/>
        <v>0</v>
      </c>
      <c r="CK98" s="462" t="str">
        <f t="shared" si="30"/>
        <v/>
      </c>
      <c r="CL98" s="462" t="str">
        <f t="shared" si="31"/>
        <v/>
      </c>
      <c r="CM98" s="462" t="str">
        <f t="shared" si="32"/>
        <v/>
      </c>
      <c r="CN98" s="462" t="str">
        <f t="shared" si="33"/>
        <v>0332-06</v>
      </c>
    </row>
    <row r="99" spans="1:92" ht="15" thickBot="1" x14ac:dyDescent="0.35">
      <c r="A99" s="376" t="s">
        <v>161</v>
      </c>
      <c r="B99" s="376" t="s">
        <v>162</v>
      </c>
      <c r="C99" s="376" t="s">
        <v>426</v>
      </c>
      <c r="D99" s="376" t="s">
        <v>427</v>
      </c>
      <c r="E99" s="376" t="s">
        <v>535</v>
      </c>
      <c r="F99" s="382" t="s">
        <v>536</v>
      </c>
      <c r="G99" s="376" t="s">
        <v>356</v>
      </c>
      <c r="H99" s="378"/>
      <c r="I99" s="378"/>
      <c r="J99" s="376" t="s">
        <v>185</v>
      </c>
      <c r="K99" s="376" t="s">
        <v>428</v>
      </c>
      <c r="L99" s="376" t="s">
        <v>166</v>
      </c>
      <c r="M99" s="376" t="s">
        <v>170</v>
      </c>
      <c r="N99" s="376" t="s">
        <v>171</v>
      </c>
      <c r="O99" s="379">
        <v>1</v>
      </c>
      <c r="P99" s="460">
        <v>0.1</v>
      </c>
      <c r="Q99" s="460">
        <v>0.1</v>
      </c>
      <c r="R99" s="380">
        <v>80</v>
      </c>
      <c r="S99" s="460">
        <v>0.1</v>
      </c>
      <c r="T99" s="380">
        <v>448.39</v>
      </c>
      <c r="U99" s="380">
        <v>0</v>
      </c>
      <c r="V99" s="380">
        <v>143.08000000000001</v>
      </c>
      <c r="W99" s="380">
        <v>11658.4</v>
      </c>
      <c r="X99" s="380">
        <v>3768.43</v>
      </c>
      <c r="Y99" s="380">
        <v>11658.4</v>
      </c>
      <c r="Z99" s="380">
        <v>3738.12</v>
      </c>
      <c r="AA99" s="376" t="s">
        <v>429</v>
      </c>
      <c r="AB99" s="376" t="s">
        <v>430</v>
      </c>
      <c r="AC99" s="376" t="s">
        <v>431</v>
      </c>
      <c r="AD99" s="376" t="s">
        <v>278</v>
      </c>
      <c r="AE99" s="376" t="s">
        <v>428</v>
      </c>
      <c r="AF99" s="376" t="s">
        <v>176</v>
      </c>
      <c r="AG99" s="376" t="s">
        <v>177</v>
      </c>
      <c r="AH99" s="381">
        <v>56.05</v>
      </c>
      <c r="AI99" s="379">
        <v>20344</v>
      </c>
      <c r="AJ99" s="376" t="s">
        <v>178</v>
      </c>
      <c r="AK99" s="376" t="s">
        <v>179</v>
      </c>
      <c r="AL99" s="376" t="s">
        <v>180</v>
      </c>
      <c r="AM99" s="376" t="s">
        <v>181</v>
      </c>
      <c r="AN99" s="376" t="s">
        <v>68</v>
      </c>
      <c r="AO99" s="379">
        <v>80</v>
      </c>
      <c r="AP99" s="460">
        <v>1</v>
      </c>
      <c r="AQ99" s="460">
        <v>0.1</v>
      </c>
      <c r="AR99" s="458" t="s">
        <v>182</v>
      </c>
      <c r="AS99" s="462">
        <f t="shared" si="17"/>
        <v>0.1</v>
      </c>
      <c r="AT99">
        <f t="shared" si="18"/>
        <v>1</v>
      </c>
      <c r="AU99" s="462">
        <f>IF(AT99=0,"",IF(AND(AT99=1,M99="F",SUMIF(C2:C698,C99,AS2:AS698)&lt;=1),SUMIF(C2:C698,C99,AS2:AS698),IF(AND(AT99=1,M99="F",SUMIF(C2:C698,C99,AS2:AS698)&gt;1),1,"")))</f>
        <v>1</v>
      </c>
      <c r="AV99" s="462" t="str">
        <f>IF(AT99=0,"",IF(AND(AT99=3,M99="F",SUMIF(C2:C698,C99,AS2:AS698)&lt;=1),SUMIF(C2:C698,C99,AS2:AS698),IF(AND(AT99=3,M99="F",SUMIF(C2:C698,C99,AS2:AS698)&gt;1),1,"")))</f>
        <v/>
      </c>
      <c r="AW99" s="462">
        <f>SUMIF(C2:C698,C99,O2:O698)</f>
        <v>3</v>
      </c>
      <c r="AX99" s="462">
        <f>IF(AND(M99="F",AS99&lt;&gt;0),SUMIF(C2:C698,C99,W2:W698),0)</f>
        <v>116584</v>
      </c>
      <c r="AY99" s="462">
        <f t="shared" si="19"/>
        <v>11658.4</v>
      </c>
      <c r="AZ99" s="462" t="str">
        <f t="shared" si="20"/>
        <v/>
      </c>
      <c r="BA99" s="462">
        <f t="shared" si="21"/>
        <v>0</v>
      </c>
      <c r="BB99" s="462">
        <f>IF(AND(AT99=1,AK99="E",AU99&gt;=0.75,AW99=1),Health,IF(AND(AT99=1,AK99="E",AU99&gt;=0.75),Health*P99,IF(AND(AT99=1,AK99="E",AU99&gt;=0.5,AW99=1),PTHealth,IF(AND(AT99=1,AK99="E",AU99&gt;=0.5),PTHealth*P99,0))))</f>
        <v>1165</v>
      </c>
      <c r="BC99" s="462">
        <f>IF(AND(AT99=3,AK99="E",AV99&gt;=0.75,AW99=1),Health,IF(AND(AT99=3,AK99="E",AV99&gt;=0.75),Health*P99,IF(AND(AT99=3,AK99="E",AV99&gt;=0.5,AW99=1),PTHealth,IF(AND(AT99=3,AK99="E",AV99&gt;=0.5),PTHealth*P99,0))))</f>
        <v>0</v>
      </c>
      <c r="BD99" s="462">
        <f>IF(AND(AT99&lt;&gt;0,AX99&gt;=MAXSSDI),SSDI*MAXSSDI*P99,IF(AT99&lt;&gt;0,SSDI*W99,0))</f>
        <v>722.82079999999996</v>
      </c>
      <c r="BE99" s="462">
        <f>IF(AT99&lt;&gt;0,SSHI*W99,0)</f>
        <v>169.04679999999999</v>
      </c>
      <c r="BF99" s="462">
        <f>IF(AND(AT99&lt;&gt;0,AN99&lt;&gt;"NE"),VLOOKUP(AN99,Retirement_Rates,3,FALSE)*W99,0)</f>
        <v>1392.01296</v>
      </c>
      <c r="BG99" s="462">
        <f>IF(AND(AT99&lt;&gt;0,AJ99&lt;&gt;"PF"),Life*W99,0)</f>
        <v>84.057063999999997</v>
      </c>
      <c r="BH99" s="462">
        <f>IF(AND(AT99&lt;&gt;0,AM99="Y"),UI*W99,0)</f>
        <v>57.126159999999999</v>
      </c>
      <c r="BI99" s="462">
        <f>IF(AND(AT99&lt;&gt;0,N99&lt;&gt;"NR"),DHR*W99,0)</f>
        <v>0</v>
      </c>
      <c r="BJ99" s="462">
        <f>IF(AT99&lt;&gt;0,WC*W99,0)</f>
        <v>178.37351999999998</v>
      </c>
      <c r="BK99" s="462">
        <f>IF(OR(AND(AT99&lt;&gt;0,AJ99&lt;&gt;"PF",AN99&lt;&gt;"NE",AG99&lt;&gt;"A"),AND(AL99="E",OR(AT99=1,AT99=3))),Sick*W99,0)</f>
        <v>0</v>
      </c>
      <c r="BL99" s="462">
        <f t="shared" si="22"/>
        <v>2603.437304</v>
      </c>
      <c r="BM99" s="462">
        <f t="shared" si="23"/>
        <v>0</v>
      </c>
      <c r="BN99" s="462">
        <f>IF(AND(AT99=1,AK99="E",AU99&gt;=0.75,AW99=1),HealthBY,IF(AND(AT99=1,AK99="E",AU99&gt;=0.75),HealthBY*P99,IF(AND(AT99=1,AK99="E",AU99&gt;=0.5,AW99=1),PTHealthBY,IF(AND(AT99=1,AK99="E",AU99&gt;=0.5),PTHealthBY*P99,0))))</f>
        <v>1165</v>
      </c>
      <c r="BO99" s="462">
        <f>IF(AND(AT99=3,AK99="E",AV99&gt;=0.75,AW99=1),HealthBY,IF(AND(AT99=3,AK99="E",AV99&gt;=0.75),HealthBY*P99,IF(AND(AT99=3,AK99="E",AV99&gt;=0.5,AW99=1),PTHealthBY,IF(AND(AT99=3,AK99="E",AV99&gt;=0.5),PTHealthBY*P99,0))))</f>
        <v>0</v>
      </c>
      <c r="BP99" s="462">
        <f>IF(AND(AT99&lt;&gt;0,(AX99+BA99)&gt;=MAXSSDIBY),SSDIBY*MAXSSDIBY*P99,IF(AT99&lt;&gt;0,SSDIBY*W99,0))</f>
        <v>722.82079999999996</v>
      </c>
      <c r="BQ99" s="462">
        <f>IF(AT99&lt;&gt;0,SSHIBY*W99,0)</f>
        <v>169.04679999999999</v>
      </c>
      <c r="BR99" s="462">
        <f>IF(AND(AT99&lt;&gt;0,AN99&lt;&gt;"NE"),VLOOKUP(AN99,Retirement_Rates,4,FALSE)*W99,0)</f>
        <v>1392.01296</v>
      </c>
      <c r="BS99" s="462">
        <f>IF(AND(AT99&lt;&gt;0,AJ99&lt;&gt;"PF"),LifeBY*W99,0)</f>
        <v>84.057063999999997</v>
      </c>
      <c r="BT99" s="462">
        <f>IF(AND(AT99&lt;&gt;0,AM99="Y"),UIBY*W99,0)</f>
        <v>0</v>
      </c>
      <c r="BU99" s="462">
        <f>IF(AND(AT99&lt;&gt;0,N99&lt;&gt;"NR"),DHRBY*W99,0)</f>
        <v>0</v>
      </c>
      <c r="BV99" s="462">
        <f>IF(AT99&lt;&gt;0,WCBY*W99,0)</f>
        <v>205.18783999999999</v>
      </c>
      <c r="BW99" s="462">
        <f>IF(OR(AND(AT99&lt;&gt;0,AJ99&lt;&gt;"PF",AN99&lt;&gt;"NE",AG99&lt;&gt;"A"),AND(AL99="E",OR(AT99=1,AT99=3))),SickBY*W99,0)</f>
        <v>0</v>
      </c>
      <c r="BX99" s="462">
        <f t="shared" si="24"/>
        <v>2573.1254640000002</v>
      </c>
      <c r="BY99" s="462">
        <f t="shared" si="25"/>
        <v>0</v>
      </c>
      <c r="BZ99" s="462">
        <f t="shared" si="26"/>
        <v>0</v>
      </c>
      <c r="CA99" s="462">
        <f t="shared" si="27"/>
        <v>0</v>
      </c>
      <c r="CB99" s="462">
        <f t="shared" si="28"/>
        <v>0</v>
      </c>
      <c r="CC99" s="462">
        <f>IF(AT99&lt;&gt;0,SSHICHG*Y99,0)</f>
        <v>0</v>
      </c>
      <c r="CD99" s="462">
        <f>IF(AND(AT99&lt;&gt;0,AN99&lt;&gt;"NE"),VLOOKUP(AN99,Retirement_Rates,5,FALSE)*Y99,0)</f>
        <v>0</v>
      </c>
      <c r="CE99" s="462">
        <f>IF(AND(AT99&lt;&gt;0,AJ99&lt;&gt;"PF"),LifeCHG*Y99,0)</f>
        <v>0</v>
      </c>
      <c r="CF99" s="462">
        <f>IF(AND(AT99&lt;&gt;0,AM99="Y"),UICHG*Y99,0)</f>
        <v>-57.126159999999999</v>
      </c>
      <c r="CG99" s="462">
        <f>IF(AND(AT99&lt;&gt;0,N99&lt;&gt;"NR"),DHRCHG*Y99,0)</f>
        <v>0</v>
      </c>
      <c r="CH99" s="462">
        <f>IF(AT99&lt;&gt;0,WCCHG*Y99,0)</f>
        <v>26.81432000000002</v>
      </c>
      <c r="CI99" s="462">
        <f>IF(OR(AND(AT99&lt;&gt;0,AJ99&lt;&gt;"PF",AN99&lt;&gt;"NE",AG99&lt;&gt;"A"),AND(AL99="E",OR(AT99=1,AT99=3))),SickCHG*Y99,0)</f>
        <v>0</v>
      </c>
      <c r="CJ99" s="462">
        <f t="shared" si="29"/>
        <v>-30.311839999999979</v>
      </c>
      <c r="CK99" s="462" t="str">
        <f t="shared" si="30"/>
        <v/>
      </c>
      <c r="CL99" s="462" t="str">
        <f t="shared" si="31"/>
        <v/>
      </c>
      <c r="CM99" s="462" t="str">
        <f t="shared" si="32"/>
        <v/>
      </c>
      <c r="CN99" s="462" t="str">
        <f t="shared" si="33"/>
        <v>0332-06</v>
      </c>
    </row>
    <row r="100" spans="1:92" ht="15" thickBot="1" x14ac:dyDescent="0.35">
      <c r="A100" s="376" t="s">
        <v>161</v>
      </c>
      <c r="B100" s="376" t="s">
        <v>162</v>
      </c>
      <c r="C100" s="376" t="s">
        <v>432</v>
      </c>
      <c r="D100" s="376" t="s">
        <v>418</v>
      </c>
      <c r="E100" s="376" t="s">
        <v>535</v>
      </c>
      <c r="F100" s="382" t="s">
        <v>536</v>
      </c>
      <c r="G100" s="376" t="s">
        <v>356</v>
      </c>
      <c r="H100" s="378"/>
      <c r="I100" s="378"/>
      <c r="J100" s="376" t="s">
        <v>168</v>
      </c>
      <c r="K100" s="376" t="s">
        <v>419</v>
      </c>
      <c r="L100" s="376" t="s">
        <v>177</v>
      </c>
      <c r="M100" s="376" t="s">
        <v>170</v>
      </c>
      <c r="N100" s="376" t="s">
        <v>202</v>
      </c>
      <c r="O100" s="379">
        <v>1</v>
      </c>
      <c r="P100" s="460">
        <v>1</v>
      </c>
      <c r="Q100" s="460">
        <v>1</v>
      </c>
      <c r="R100" s="380">
        <v>80</v>
      </c>
      <c r="S100" s="460">
        <v>1</v>
      </c>
      <c r="T100" s="380">
        <v>124</v>
      </c>
      <c r="U100" s="380">
        <v>0</v>
      </c>
      <c r="V100" s="380">
        <v>962.22</v>
      </c>
      <c r="W100" s="380">
        <v>32240</v>
      </c>
      <c r="X100" s="380">
        <v>18948.150000000001</v>
      </c>
      <c r="Y100" s="380">
        <v>32240</v>
      </c>
      <c r="Z100" s="380">
        <v>18864.330000000002</v>
      </c>
      <c r="AA100" s="376" t="s">
        <v>433</v>
      </c>
      <c r="AB100" s="376" t="s">
        <v>434</v>
      </c>
      <c r="AC100" s="376" t="s">
        <v>435</v>
      </c>
      <c r="AD100" s="376" t="s">
        <v>179</v>
      </c>
      <c r="AE100" s="376" t="s">
        <v>419</v>
      </c>
      <c r="AF100" s="376" t="s">
        <v>436</v>
      </c>
      <c r="AG100" s="376" t="s">
        <v>177</v>
      </c>
      <c r="AH100" s="381">
        <v>15.5</v>
      </c>
      <c r="AI100" s="381">
        <v>1605.8</v>
      </c>
      <c r="AJ100" s="376" t="s">
        <v>178</v>
      </c>
      <c r="AK100" s="376" t="s">
        <v>179</v>
      </c>
      <c r="AL100" s="376" t="s">
        <v>180</v>
      </c>
      <c r="AM100" s="376" t="s">
        <v>181</v>
      </c>
      <c r="AN100" s="376" t="s">
        <v>68</v>
      </c>
      <c r="AO100" s="379">
        <v>80</v>
      </c>
      <c r="AP100" s="460">
        <v>1</v>
      </c>
      <c r="AQ100" s="460">
        <v>1</v>
      </c>
      <c r="AR100" s="458" t="s">
        <v>182</v>
      </c>
      <c r="AS100" s="462">
        <f t="shared" si="17"/>
        <v>1</v>
      </c>
      <c r="AT100">
        <f t="shared" si="18"/>
        <v>1</v>
      </c>
      <c r="AU100" s="462">
        <f>IF(AT100=0,"",IF(AND(AT100=1,M100="F",SUMIF(C2:C698,C100,AS2:AS698)&lt;=1),SUMIF(C2:C698,C100,AS2:AS698),IF(AND(AT100=1,M100="F",SUMIF(C2:C698,C100,AS2:AS698)&gt;1),1,"")))</f>
        <v>1</v>
      </c>
      <c r="AV100" s="462" t="str">
        <f>IF(AT100=0,"",IF(AND(AT100=3,M100="F",SUMIF(C2:C698,C100,AS2:AS698)&lt;=1),SUMIF(C2:C698,C100,AS2:AS698),IF(AND(AT100=3,M100="F",SUMIF(C2:C698,C100,AS2:AS698)&gt;1),1,"")))</f>
        <v/>
      </c>
      <c r="AW100" s="462">
        <f>SUMIF(C2:C698,C100,O2:O698)</f>
        <v>2</v>
      </c>
      <c r="AX100" s="462">
        <f>IF(AND(M100="F",AS100&lt;&gt;0),SUMIF(C2:C698,C100,W2:W698),0)</f>
        <v>32240</v>
      </c>
      <c r="AY100" s="462">
        <f t="shared" si="19"/>
        <v>32240</v>
      </c>
      <c r="AZ100" s="462" t="str">
        <f t="shared" si="20"/>
        <v/>
      </c>
      <c r="BA100" s="462">
        <f t="shared" si="21"/>
        <v>0</v>
      </c>
      <c r="BB100" s="462">
        <f>IF(AND(AT100=1,AK100="E",AU100&gt;=0.75,AW100=1),Health,IF(AND(AT100=1,AK100="E",AU100&gt;=0.75),Health*P100,IF(AND(AT100=1,AK100="E",AU100&gt;=0.5,AW100=1),PTHealth,IF(AND(AT100=1,AK100="E",AU100&gt;=0.5),PTHealth*P100,0))))</f>
        <v>11650</v>
      </c>
      <c r="BC100" s="462">
        <f>IF(AND(AT100=3,AK100="E",AV100&gt;=0.75,AW100=1),Health,IF(AND(AT100=3,AK100="E",AV100&gt;=0.75),Health*P100,IF(AND(AT100=3,AK100="E",AV100&gt;=0.5,AW100=1),PTHealth,IF(AND(AT100=3,AK100="E",AV100&gt;=0.5),PTHealth*P100,0))))</f>
        <v>0</v>
      </c>
      <c r="BD100" s="462">
        <f>IF(AND(AT100&lt;&gt;0,AX100&gt;=MAXSSDI),SSDI*MAXSSDI*P100,IF(AT100&lt;&gt;0,SSDI*W100,0))</f>
        <v>1998.8799999999999</v>
      </c>
      <c r="BE100" s="462">
        <f>IF(AT100&lt;&gt;0,SSHI*W100,0)</f>
        <v>467.48</v>
      </c>
      <c r="BF100" s="462">
        <f>IF(AND(AT100&lt;&gt;0,AN100&lt;&gt;"NE"),VLOOKUP(AN100,Retirement_Rates,3,FALSE)*W100,0)</f>
        <v>3849.4560000000001</v>
      </c>
      <c r="BG100" s="462">
        <f>IF(AND(AT100&lt;&gt;0,AJ100&lt;&gt;"PF"),Life*W100,0)</f>
        <v>232.4504</v>
      </c>
      <c r="BH100" s="462">
        <f>IF(AND(AT100&lt;&gt;0,AM100="Y"),UI*W100,0)</f>
        <v>157.976</v>
      </c>
      <c r="BI100" s="462">
        <f>IF(AND(AT100&lt;&gt;0,N100&lt;&gt;"NR"),DHR*W100,0)</f>
        <v>98.654399999999995</v>
      </c>
      <c r="BJ100" s="462">
        <f>IF(AT100&lt;&gt;0,WC*W100,0)</f>
        <v>493.27199999999999</v>
      </c>
      <c r="BK100" s="462">
        <f>IF(OR(AND(AT100&lt;&gt;0,AJ100&lt;&gt;"PF",AN100&lt;&gt;"NE",AG100&lt;&gt;"A"),AND(AL100="E",OR(AT100=1,AT100=3))),Sick*W100,0)</f>
        <v>0</v>
      </c>
      <c r="BL100" s="462">
        <f t="shared" si="22"/>
        <v>7298.1687999999995</v>
      </c>
      <c r="BM100" s="462">
        <f t="shared" si="23"/>
        <v>0</v>
      </c>
      <c r="BN100" s="462">
        <f>IF(AND(AT100=1,AK100="E",AU100&gt;=0.75,AW100=1),HealthBY,IF(AND(AT100=1,AK100="E",AU100&gt;=0.75),HealthBY*P100,IF(AND(AT100=1,AK100="E",AU100&gt;=0.5,AW100=1),PTHealthBY,IF(AND(AT100=1,AK100="E",AU100&gt;=0.5),PTHealthBY*P100,0))))</f>
        <v>11650</v>
      </c>
      <c r="BO100" s="462">
        <f>IF(AND(AT100=3,AK100="E",AV100&gt;=0.75,AW100=1),HealthBY,IF(AND(AT100=3,AK100="E",AV100&gt;=0.75),HealthBY*P100,IF(AND(AT100=3,AK100="E",AV100&gt;=0.5,AW100=1),PTHealthBY,IF(AND(AT100=3,AK100="E",AV100&gt;=0.5),PTHealthBY*P100,0))))</f>
        <v>0</v>
      </c>
      <c r="BP100" s="462">
        <f>IF(AND(AT100&lt;&gt;0,(AX100+BA100)&gt;=MAXSSDIBY),SSDIBY*MAXSSDIBY*P100,IF(AT100&lt;&gt;0,SSDIBY*W100,0))</f>
        <v>1998.8799999999999</v>
      </c>
      <c r="BQ100" s="462">
        <f>IF(AT100&lt;&gt;0,SSHIBY*W100,0)</f>
        <v>467.48</v>
      </c>
      <c r="BR100" s="462">
        <f>IF(AND(AT100&lt;&gt;0,AN100&lt;&gt;"NE"),VLOOKUP(AN100,Retirement_Rates,4,FALSE)*W100,0)</f>
        <v>3849.4560000000001</v>
      </c>
      <c r="BS100" s="462">
        <f>IF(AND(AT100&lt;&gt;0,AJ100&lt;&gt;"PF"),LifeBY*W100,0)</f>
        <v>232.4504</v>
      </c>
      <c r="BT100" s="462">
        <f>IF(AND(AT100&lt;&gt;0,AM100="Y"),UIBY*W100,0)</f>
        <v>0</v>
      </c>
      <c r="BU100" s="462">
        <f>IF(AND(AT100&lt;&gt;0,N100&lt;&gt;"NR"),DHRBY*W100,0)</f>
        <v>98.654399999999995</v>
      </c>
      <c r="BV100" s="462">
        <f>IF(AT100&lt;&gt;0,WCBY*W100,0)</f>
        <v>567.42399999999998</v>
      </c>
      <c r="BW100" s="462">
        <f>IF(OR(AND(AT100&lt;&gt;0,AJ100&lt;&gt;"PF",AN100&lt;&gt;"NE",AG100&lt;&gt;"A"),AND(AL100="E",OR(AT100=1,AT100=3))),SickBY*W100,0)</f>
        <v>0</v>
      </c>
      <c r="BX100" s="462">
        <f t="shared" si="24"/>
        <v>7214.3447999999999</v>
      </c>
      <c r="BY100" s="462">
        <f t="shared" si="25"/>
        <v>0</v>
      </c>
      <c r="BZ100" s="462">
        <f t="shared" si="26"/>
        <v>0</v>
      </c>
      <c r="CA100" s="462">
        <f t="shared" si="27"/>
        <v>0</v>
      </c>
      <c r="CB100" s="462">
        <f t="shared" si="28"/>
        <v>0</v>
      </c>
      <c r="CC100" s="462">
        <f>IF(AT100&lt;&gt;0,SSHICHG*Y100,0)</f>
        <v>0</v>
      </c>
      <c r="CD100" s="462">
        <f>IF(AND(AT100&lt;&gt;0,AN100&lt;&gt;"NE"),VLOOKUP(AN100,Retirement_Rates,5,FALSE)*Y100,0)</f>
        <v>0</v>
      </c>
      <c r="CE100" s="462">
        <f>IF(AND(AT100&lt;&gt;0,AJ100&lt;&gt;"PF"),LifeCHG*Y100,0)</f>
        <v>0</v>
      </c>
      <c r="CF100" s="462">
        <f>IF(AND(AT100&lt;&gt;0,AM100="Y"),UICHG*Y100,0)</f>
        <v>-157.976</v>
      </c>
      <c r="CG100" s="462">
        <f>IF(AND(AT100&lt;&gt;0,N100&lt;&gt;"NR"),DHRCHG*Y100,0)</f>
        <v>0</v>
      </c>
      <c r="CH100" s="462">
        <f>IF(AT100&lt;&gt;0,WCCHG*Y100,0)</f>
        <v>74.152000000000058</v>
      </c>
      <c r="CI100" s="462">
        <f>IF(OR(AND(AT100&lt;&gt;0,AJ100&lt;&gt;"PF",AN100&lt;&gt;"NE",AG100&lt;&gt;"A"),AND(AL100="E",OR(AT100=1,AT100=3))),SickCHG*Y100,0)</f>
        <v>0</v>
      </c>
      <c r="CJ100" s="462">
        <f t="shared" si="29"/>
        <v>-83.823999999999941</v>
      </c>
      <c r="CK100" s="462" t="str">
        <f t="shared" si="30"/>
        <v/>
      </c>
      <c r="CL100" s="462" t="str">
        <f t="shared" si="31"/>
        <v/>
      </c>
      <c r="CM100" s="462" t="str">
        <f t="shared" si="32"/>
        <v/>
      </c>
      <c r="CN100" s="462" t="str">
        <f t="shared" si="33"/>
        <v>0332-06</v>
      </c>
    </row>
    <row r="101" spans="1:92" ht="15" thickBot="1" x14ac:dyDescent="0.35">
      <c r="A101" s="376" t="s">
        <v>161</v>
      </c>
      <c r="B101" s="376" t="s">
        <v>162</v>
      </c>
      <c r="C101" s="376" t="s">
        <v>441</v>
      </c>
      <c r="D101" s="376" t="s">
        <v>362</v>
      </c>
      <c r="E101" s="376" t="s">
        <v>535</v>
      </c>
      <c r="F101" s="382" t="s">
        <v>536</v>
      </c>
      <c r="G101" s="376" t="s">
        <v>356</v>
      </c>
      <c r="H101" s="378"/>
      <c r="I101" s="378"/>
      <c r="J101" s="376" t="s">
        <v>185</v>
      </c>
      <c r="K101" s="376" t="s">
        <v>363</v>
      </c>
      <c r="L101" s="376" t="s">
        <v>200</v>
      </c>
      <c r="M101" s="376" t="s">
        <v>170</v>
      </c>
      <c r="N101" s="376" t="s">
        <v>202</v>
      </c>
      <c r="O101" s="379">
        <v>1</v>
      </c>
      <c r="P101" s="460">
        <v>0</v>
      </c>
      <c r="Q101" s="460">
        <v>0</v>
      </c>
      <c r="R101" s="380">
        <v>80</v>
      </c>
      <c r="S101" s="460">
        <v>0</v>
      </c>
      <c r="T101" s="380">
        <v>1608.93</v>
      </c>
      <c r="U101" s="380">
        <v>0</v>
      </c>
      <c r="V101" s="380">
        <v>717.14</v>
      </c>
      <c r="W101" s="380">
        <v>0</v>
      </c>
      <c r="X101" s="380">
        <v>0</v>
      </c>
      <c r="Y101" s="380">
        <v>0</v>
      </c>
      <c r="Z101" s="380">
        <v>0</v>
      </c>
      <c r="AA101" s="376" t="s">
        <v>442</v>
      </c>
      <c r="AB101" s="376" t="s">
        <v>443</v>
      </c>
      <c r="AC101" s="376" t="s">
        <v>444</v>
      </c>
      <c r="AD101" s="376" t="s">
        <v>445</v>
      </c>
      <c r="AE101" s="376" t="s">
        <v>363</v>
      </c>
      <c r="AF101" s="376" t="s">
        <v>210</v>
      </c>
      <c r="AG101" s="376" t="s">
        <v>177</v>
      </c>
      <c r="AH101" s="381">
        <v>22.5</v>
      </c>
      <c r="AI101" s="379">
        <v>11400</v>
      </c>
      <c r="AJ101" s="376" t="s">
        <v>178</v>
      </c>
      <c r="AK101" s="376" t="s">
        <v>179</v>
      </c>
      <c r="AL101" s="376" t="s">
        <v>180</v>
      </c>
      <c r="AM101" s="376" t="s">
        <v>181</v>
      </c>
      <c r="AN101" s="376" t="s">
        <v>68</v>
      </c>
      <c r="AO101" s="379">
        <v>80</v>
      </c>
      <c r="AP101" s="460">
        <v>1</v>
      </c>
      <c r="AQ101" s="460">
        <v>0</v>
      </c>
      <c r="AR101" s="458" t="s">
        <v>182</v>
      </c>
      <c r="AS101" s="462">
        <f t="shared" si="17"/>
        <v>0</v>
      </c>
      <c r="AT101">
        <f t="shared" si="18"/>
        <v>0</v>
      </c>
      <c r="AU101" s="462" t="str">
        <f>IF(AT101=0,"",IF(AND(AT101=1,M101="F",SUMIF(C2:C698,C101,AS2:AS698)&lt;=1),SUMIF(C2:C698,C101,AS2:AS698),IF(AND(AT101=1,M101="F",SUMIF(C2:C698,C101,AS2:AS698)&gt;1),1,"")))</f>
        <v/>
      </c>
      <c r="AV101" s="462" t="str">
        <f>IF(AT101=0,"",IF(AND(AT101=3,M101="F",SUMIF(C2:C698,C101,AS2:AS698)&lt;=1),SUMIF(C2:C698,C101,AS2:AS698),IF(AND(AT101=3,M101="F",SUMIF(C2:C698,C101,AS2:AS698)&gt;1),1,"")))</f>
        <v/>
      </c>
      <c r="AW101" s="462">
        <f>SUMIF(C2:C698,C101,O2:O698)</f>
        <v>3</v>
      </c>
      <c r="AX101" s="462">
        <f>IF(AND(M101="F",AS101&lt;&gt;0),SUMIF(C2:C698,C101,W2:W698),0)</f>
        <v>0</v>
      </c>
      <c r="AY101" s="462" t="str">
        <f t="shared" si="19"/>
        <v/>
      </c>
      <c r="AZ101" s="462" t="str">
        <f t="shared" si="20"/>
        <v/>
      </c>
      <c r="BA101" s="462">
        <f t="shared" si="21"/>
        <v>0</v>
      </c>
      <c r="BB101" s="462">
        <f>IF(AND(AT101=1,AK101="E",AU101&gt;=0.75,AW101=1),Health,IF(AND(AT101=1,AK101="E",AU101&gt;=0.75),Health*P101,IF(AND(AT101=1,AK101="E",AU101&gt;=0.5,AW101=1),PTHealth,IF(AND(AT101=1,AK101="E",AU101&gt;=0.5),PTHealth*P101,0))))</f>
        <v>0</v>
      </c>
      <c r="BC101" s="462">
        <f>IF(AND(AT101=3,AK101="E",AV101&gt;=0.75,AW101=1),Health,IF(AND(AT101=3,AK101="E",AV101&gt;=0.75),Health*P101,IF(AND(AT101=3,AK101="E",AV101&gt;=0.5,AW101=1),PTHealth,IF(AND(AT101=3,AK101="E",AV101&gt;=0.5),PTHealth*P101,0))))</f>
        <v>0</v>
      </c>
      <c r="BD101" s="462">
        <f>IF(AND(AT101&lt;&gt;0,AX101&gt;=MAXSSDI),SSDI*MAXSSDI*P101,IF(AT101&lt;&gt;0,SSDI*W101,0))</f>
        <v>0</v>
      </c>
      <c r="BE101" s="462">
        <f>IF(AT101&lt;&gt;0,SSHI*W101,0)</f>
        <v>0</v>
      </c>
      <c r="BF101" s="462">
        <f>IF(AND(AT101&lt;&gt;0,AN101&lt;&gt;"NE"),VLOOKUP(AN101,Retirement_Rates,3,FALSE)*W101,0)</f>
        <v>0</v>
      </c>
      <c r="BG101" s="462">
        <f>IF(AND(AT101&lt;&gt;0,AJ101&lt;&gt;"PF"),Life*W101,0)</f>
        <v>0</v>
      </c>
      <c r="BH101" s="462">
        <f>IF(AND(AT101&lt;&gt;0,AM101="Y"),UI*W101,0)</f>
        <v>0</v>
      </c>
      <c r="BI101" s="462">
        <f>IF(AND(AT101&lt;&gt;0,N101&lt;&gt;"NR"),DHR*W101,0)</f>
        <v>0</v>
      </c>
      <c r="BJ101" s="462">
        <f>IF(AT101&lt;&gt;0,WC*W101,0)</f>
        <v>0</v>
      </c>
      <c r="BK101" s="462">
        <f>IF(OR(AND(AT101&lt;&gt;0,AJ101&lt;&gt;"PF",AN101&lt;&gt;"NE",AG101&lt;&gt;"A"),AND(AL101="E",OR(AT101=1,AT101=3))),Sick*W101,0)</f>
        <v>0</v>
      </c>
      <c r="BL101" s="462">
        <f t="shared" si="22"/>
        <v>0</v>
      </c>
      <c r="BM101" s="462">
        <f t="shared" si="23"/>
        <v>0</v>
      </c>
      <c r="BN101" s="462">
        <f>IF(AND(AT101=1,AK101="E",AU101&gt;=0.75,AW101=1),HealthBY,IF(AND(AT101=1,AK101="E",AU101&gt;=0.75),HealthBY*P101,IF(AND(AT101=1,AK101="E",AU101&gt;=0.5,AW101=1),PTHealthBY,IF(AND(AT101=1,AK101="E",AU101&gt;=0.5),PTHealthBY*P101,0))))</f>
        <v>0</v>
      </c>
      <c r="BO101" s="462">
        <f>IF(AND(AT101=3,AK101="E",AV101&gt;=0.75,AW101=1),HealthBY,IF(AND(AT101=3,AK101="E",AV101&gt;=0.75),HealthBY*P101,IF(AND(AT101=3,AK101="E",AV101&gt;=0.5,AW101=1),PTHealthBY,IF(AND(AT101=3,AK101="E",AV101&gt;=0.5),PTHealthBY*P101,0))))</f>
        <v>0</v>
      </c>
      <c r="BP101" s="462">
        <f>IF(AND(AT101&lt;&gt;0,(AX101+BA101)&gt;=MAXSSDIBY),SSDIBY*MAXSSDIBY*P101,IF(AT101&lt;&gt;0,SSDIBY*W101,0))</f>
        <v>0</v>
      </c>
      <c r="BQ101" s="462">
        <f>IF(AT101&lt;&gt;0,SSHIBY*W101,0)</f>
        <v>0</v>
      </c>
      <c r="BR101" s="462">
        <f>IF(AND(AT101&lt;&gt;0,AN101&lt;&gt;"NE"),VLOOKUP(AN101,Retirement_Rates,4,FALSE)*W101,0)</f>
        <v>0</v>
      </c>
      <c r="BS101" s="462">
        <f>IF(AND(AT101&lt;&gt;0,AJ101&lt;&gt;"PF"),LifeBY*W101,0)</f>
        <v>0</v>
      </c>
      <c r="BT101" s="462">
        <f>IF(AND(AT101&lt;&gt;0,AM101="Y"),UIBY*W101,0)</f>
        <v>0</v>
      </c>
      <c r="BU101" s="462">
        <f>IF(AND(AT101&lt;&gt;0,N101&lt;&gt;"NR"),DHRBY*W101,0)</f>
        <v>0</v>
      </c>
      <c r="BV101" s="462">
        <f>IF(AT101&lt;&gt;0,WCBY*W101,0)</f>
        <v>0</v>
      </c>
      <c r="BW101" s="462">
        <f>IF(OR(AND(AT101&lt;&gt;0,AJ101&lt;&gt;"PF",AN101&lt;&gt;"NE",AG101&lt;&gt;"A"),AND(AL101="E",OR(AT101=1,AT101=3))),SickBY*W101,0)</f>
        <v>0</v>
      </c>
      <c r="BX101" s="462">
        <f t="shared" si="24"/>
        <v>0</v>
      </c>
      <c r="BY101" s="462">
        <f t="shared" si="25"/>
        <v>0</v>
      </c>
      <c r="BZ101" s="462">
        <f t="shared" si="26"/>
        <v>0</v>
      </c>
      <c r="CA101" s="462">
        <f t="shared" si="27"/>
        <v>0</v>
      </c>
      <c r="CB101" s="462">
        <f t="shared" si="28"/>
        <v>0</v>
      </c>
      <c r="CC101" s="462">
        <f>IF(AT101&lt;&gt;0,SSHICHG*Y101,0)</f>
        <v>0</v>
      </c>
      <c r="CD101" s="462">
        <f>IF(AND(AT101&lt;&gt;0,AN101&lt;&gt;"NE"),VLOOKUP(AN101,Retirement_Rates,5,FALSE)*Y101,0)</f>
        <v>0</v>
      </c>
      <c r="CE101" s="462">
        <f>IF(AND(AT101&lt;&gt;0,AJ101&lt;&gt;"PF"),LifeCHG*Y101,0)</f>
        <v>0</v>
      </c>
      <c r="CF101" s="462">
        <f>IF(AND(AT101&lt;&gt;0,AM101="Y"),UICHG*Y101,0)</f>
        <v>0</v>
      </c>
      <c r="CG101" s="462">
        <f>IF(AND(AT101&lt;&gt;0,N101&lt;&gt;"NR"),DHRCHG*Y101,0)</f>
        <v>0</v>
      </c>
      <c r="CH101" s="462">
        <f>IF(AT101&lt;&gt;0,WCCHG*Y101,0)</f>
        <v>0</v>
      </c>
      <c r="CI101" s="462">
        <f>IF(OR(AND(AT101&lt;&gt;0,AJ101&lt;&gt;"PF",AN101&lt;&gt;"NE",AG101&lt;&gt;"A"),AND(AL101="E",OR(AT101=1,AT101=3))),SickCHG*Y101,0)</f>
        <v>0</v>
      </c>
      <c r="CJ101" s="462">
        <f t="shared" si="29"/>
        <v>0</v>
      </c>
      <c r="CK101" s="462" t="str">
        <f t="shared" si="30"/>
        <v/>
      </c>
      <c r="CL101" s="462" t="str">
        <f t="shared" si="31"/>
        <v/>
      </c>
      <c r="CM101" s="462" t="str">
        <f t="shared" si="32"/>
        <v/>
      </c>
      <c r="CN101" s="462" t="str">
        <f t="shared" si="33"/>
        <v>0332-06</v>
      </c>
    </row>
    <row r="102" spans="1:92" ht="15" thickBot="1" x14ac:dyDescent="0.35">
      <c r="A102" s="376" t="s">
        <v>161</v>
      </c>
      <c r="B102" s="376" t="s">
        <v>162</v>
      </c>
      <c r="C102" s="376" t="s">
        <v>446</v>
      </c>
      <c r="D102" s="376" t="s">
        <v>365</v>
      </c>
      <c r="E102" s="376" t="s">
        <v>535</v>
      </c>
      <c r="F102" s="382" t="s">
        <v>536</v>
      </c>
      <c r="G102" s="376" t="s">
        <v>356</v>
      </c>
      <c r="H102" s="378"/>
      <c r="I102" s="378"/>
      <c r="J102" s="376" t="s">
        <v>185</v>
      </c>
      <c r="K102" s="376" t="s">
        <v>366</v>
      </c>
      <c r="L102" s="376" t="s">
        <v>274</v>
      </c>
      <c r="M102" s="376" t="s">
        <v>170</v>
      </c>
      <c r="N102" s="376" t="s">
        <v>202</v>
      </c>
      <c r="O102" s="379">
        <v>1</v>
      </c>
      <c r="P102" s="460">
        <v>0.25</v>
      </c>
      <c r="Q102" s="460">
        <v>0.25</v>
      </c>
      <c r="R102" s="380">
        <v>80</v>
      </c>
      <c r="S102" s="460">
        <v>0.25</v>
      </c>
      <c r="T102" s="380">
        <v>4.28</v>
      </c>
      <c r="U102" s="380">
        <v>0</v>
      </c>
      <c r="V102" s="380">
        <v>2.4</v>
      </c>
      <c r="W102" s="380">
        <v>9276.7999999999993</v>
      </c>
      <c r="X102" s="380">
        <v>5012.4799999999996</v>
      </c>
      <c r="Y102" s="380">
        <v>9276.7999999999993</v>
      </c>
      <c r="Z102" s="380">
        <v>4988.3599999999997</v>
      </c>
      <c r="AA102" s="376" t="s">
        <v>447</v>
      </c>
      <c r="AB102" s="376" t="s">
        <v>448</v>
      </c>
      <c r="AC102" s="376" t="s">
        <v>449</v>
      </c>
      <c r="AD102" s="376" t="s">
        <v>220</v>
      </c>
      <c r="AE102" s="376" t="s">
        <v>366</v>
      </c>
      <c r="AF102" s="376" t="s">
        <v>279</v>
      </c>
      <c r="AG102" s="376" t="s">
        <v>177</v>
      </c>
      <c r="AH102" s="381">
        <v>17.84</v>
      </c>
      <c r="AI102" s="379">
        <v>6160</v>
      </c>
      <c r="AJ102" s="376" t="s">
        <v>178</v>
      </c>
      <c r="AK102" s="376" t="s">
        <v>179</v>
      </c>
      <c r="AL102" s="376" t="s">
        <v>180</v>
      </c>
      <c r="AM102" s="376" t="s">
        <v>181</v>
      </c>
      <c r="AN102" s="376" t="s">
        <v>68</v>
      </c>
      <c r="AO102" s="379">
        <v>80</v>
      </c>
      <c r="AP102" s="460">
        <v>1</v>
      </c>
      <c r="AQ102" s="460">
        <v>0.25</v>
      </c>
      <c r="AR102" s="458" t="s">
        <v>182</v>
      </c>
      <c r="AS102" s="462">
        <f t="shared" si="17"/>
        <v>0.25</v>
      </c>
      <c r="AT102">
        <f t="shared" si="18"/>
        <v>1</v>
      </c>
      <c r="AU102" s="462">
        <f>IF(AT102=0,"",IF(AND(AT102=1,M102="F",SUMIF(C2:C698,C102,AS2:AS698)&lt;=1),SUMIF(C2:C698,C102,AS2:AS698),IF(AND(AT102=1,M102="F",SUMIF(C2:C698,C102,AS2:AS698)&gt;1),1,"")))</f>
        <v>1</v>
      </c>
      <c r="AV102" s="462" t="str">
        <f>IF(AT102=0,"",IF(AND(AT102=3,M102="F",SUMIF(C2:C698,C102,AS2:AS698)&lt;=1),SUMIF(C2:C698,C102,AS2:AS698),IF(AND(AT102=3,M102="F",SUMIF(C2:C698,C102,AS2:AS698)&gt;1),1,"")))</f>
        <v/>
      </c>
      <c r="AW102" s="462">
        <f>SUMIF(C2:C698,C102,O2:O698)</f>
        <v>3</v>
      </c>
      <c r="AX102" s="462">
        <f>IF(AND(M102="F",AS102&lt;&gt;0),SUMIF(C2:C698,C102,W2:W698),0)</f>
        <v>37107.199999999997</v>
      </c>
      <c r="AY102" s="462">
        <f t="shared" si="19"/>
        <v>9276.7999999999993</v>
      </c>
      <c r="AZ102" s="462" t="str">
        <f t="shared" si="20"/>
        <v/>
      </c>
      <c r="BA102" s="462">
        <f t="shared" si="21"/>
        <v>0</v>
      </c>
      <c r="BB102" s="462">
        <f>IF(AND(AT102=1,AK102="E",AU102&gt;=0.75,AW102=1),Health,IF(AND(AT102=1,AK102="E",AU102&gt;=0.75),Health*P102,IF(AND(AT102=1,AK102="E",AU102&gt;=0.5,AW102=1),PTHealth,IF(AND(AT102=1,AK102="E",AU102&gt;=0.5),PTHealth*P102,0))))</f>
        <v>2912.5</v>
      </c>
      <c r="BC102" s="462">
        <f>IF(AND(AT102=3,AK102="E",AV102&gt;=0.75,AW102=1),Health,IF(AND(AT102=3,AK102="E",AV102&gt;=0.75),Health*P102,IF(AND(AT102=3,AK102="E",AV102&gt;=0.5,AW102=1),PTHealth,IF(AND(AT102=3,AK102="E",AV102&gt;=0.5),PTHealth*P102,0))))</f>
        <v>0</v>
      </c>
      <c r="BD102" s="462">
        <f>IF(AND(AT102&lt;&gt;0,AX102&gt;=MAXSSDI),SSDI*MAXSSDI*P102,IF(AT102&lt;&gt;0,SSDI*W102,0))</f>
        <v>575.16159999999991</v>
      </c>
      <c r="BE102" s="462">
        <f>IF(AT102&lt;&gt;0,SSHI*W102,0)</f>
        <v>134.5136</v>
      </c>
      <c r="BF102" s="462">
        <f>IF(AND(AT102&lt;&gt;0,AN102&lt;&gt;"NE"),VLOOKUP(AN102,Retirement_Rates,3,FALSE)*W102,0)</f>
        <v>1107.6499200000001</v>
      </c>
      <c r="BG102" s="462">
        <f>IF(AND(AT102&lt;&gt;0,AJ102&lt;&gt;"PF"),Life*W102,0)</f>
        <v>66.885728</v>
      </c>
      <c r="BH102" s="462">
        <f>IF(AND(AT102&lt;&gt;0,AM102="Y"),UI*W102,0)</f>
        <v>45.456319999999998</v>
      </c>
      <c r="BI102" s="462">
        <f>IF(AND(AT102&lt;&gt;0,N102&lt;&gt;"NR"),DHR*W102,0)</f>
        <v>28.387007999999994</v>
      </c>
      <c r="BJ102" s="462">
        <f>IF(AT102&lt;&gt;0,WC*W102,0)</f>
        <v>141.93503999999999</v>
      </c>
      <c r="BK102" s="462">
        <f>IF(OR(AND(AT102&lt;&gt;0,AJ102&lt;&gt;"PF",AN102&lt;&gt;"NE",AG102&lt;&gt;"A"),AND(AL102="E",OR(AT102=1,AT102=3))),Sick*W102,0)</f>
        <v>0</v>
      </c>
      <c r="BL102" s="462">
        <f t="shared" si="22"/>
        <v>2099.9892159999999</v>
      </c>
      <c r="BM102" s="462">
        <f t="shared" si="23"/>
        <v>0</v>
      </c>
      <c r="BN102" s="462">
        <f>IF(AND(AT102=1,AK102="E",AU102&gt;=0.75,AW102=1),HealthBY,IF(AND(AT102=1,AK102="E",AU102&gt;=0.75),HealthBY*P102,IF(AND(AT102=1,AK102="E",AU102&gt;=0.5,AW102=1),PTHealthBY,IF(AND(AT102=1,AK102="E",AU102&gt;=0.5),PTHealthBY*P102,0))))</f>
        <v>2912.5</v>
      </c>
      <c r="BO102" s="462">
        <f>IF(AND(AT102=3,AK102="E",AV102&gt;=0.75,AW102=1),HealthBY,IF(AND(AT102=3,AK102="E",AV102&gt;=0.75),HealthBY*P102,IF(AND(AT102=3,AK102="E",AV102&gt;=0.5,AW102=1),PTHealthBY,IF(AND(AT102=3,AK102="E",AV102&gt;=0.5),PTHealthBY*P102,0))))</f>
        <v>0</v>
      </c>
      <c r="BP102" s="462">
        <f>IF(AND(AT102&lt;&gt;0,(AX102+BA102)&gt;=MAXSSDIBY),SSDIBY*MAXSSDIBY*P102,IF(AT102&lt;&gt;0,SSDIBY*W102,0))</f>
        <v>575.16159999999991</v>
      </c>
      <c r="BQ102" s="462">
        <f>IF(AT102&lt;&gt;0,SSHIBY*W102,0)</f>
        <v>134.5136</v>
      </c>
      <c r="BR102" s="462">
        <f>IF(AND(AT102&lt;&gt;0,AN102&lt;&gt;"NE"),VLOOKUP(AN102,Retirement_Rates,4,FALSE)*W102,0)</f>
        <v>1107.6499200000001</v>
      </c>
      <c r="BS102" s="462">
        <f>IF(AND(AT102&lt;&gt;0,AJ102&lt;&gt;"PF"),LifeBY*W102,0)</f>
        <v>66.885728</v>
      </c>
      <c r="BT102" s="462">
        <f>IF(AND(AT102&lt;&gt;0,AM102="Y"),UIBY*W102,0)</f>
        <v>0</v>
      </c>
      <c r="BU102" s="462">
        <f>IF(AND(AT102&lt;&gt;0,N102&lt;&gt;"NR"),DHRBY*W102,0)</f>
        <v>28.387007999999994</v>
      </c>
      <c r="BV102" s="462">
        <f>IF(AT102&lt;&gt;0,WCBY*W102,0)</f>
        <v>163.27168</v>
      </c>
      <c r="BW102" s="462">
        <f>IF(OR(AND(AT102&lt;&gt;0,AJ102&lt;&gt;"PF",AN102&lt;&gt;"NE",AG102&lt;&gt;"A"),AND(AL102="E",OR(AT102=1,AT102=3))),SickBY*W102,0)</f>
        <v>0</v>
      </c>
      <c r="BX102" s="462">
        <f t="shared" si="24"/>
        <v>2075.8695359999997</v>
      </c>
      <c r="BY102" s="462">
        <f t="shared" si="25"/>
        <v>0</v>
      </c>
      <c r="BZ102" s="462">
        <f t="shared" si="26"/>
        <v>0</v>
      </c>
      <c r="CA102" s="462">
        <f t="shared" si="27"/>
        <v>0</v>
      </c>
      <c r="CB102" s="462">
        <f t="shared" si="28"/>
        <v>0</v>
      </c>
      <c r="CC102" s="462">
        <f>IF(AT102&lt;&gt;0,SSHICHG*Y102,0)</f>
        <v>0</v>
      </c>
      <c r="CD102" s="462">
        <f>IF(AND(AT102&lt;&gt;0,AN102&lt;&gt;"NE"),VLOOKUP(AN102,Retirement_Rates,5,FALSE)*Y102,0)</f>
        <v>0</v>
      </c>
      <c r="CE102" s="462">
        <f>IF(AND(AT102&lt;&gt;0,AJ102&lt;&gt;"PF"),LifeCHG*Y102,0)</f>
        <v>0</v>
      </c>
      <c r="CF102" s="462">
        <f>IF(AND(AT102&lt;&gt;0,AM102="Y"),UICHG*Y102,0)</f>
        <v>-45.456319999999998</v>
      </c>
      <c r="CG102" s="462">
        <f>IF(AND(AT102&lt;&gt;0,N102&lt;&gt;"NR"),DHRCHG*Y102,0)</f>
        <v>0</v>
      </c>
      <c r="CH102" s="462">
        <f>IF(AT102&lt;&gt;0,WCCHG*Y102,0)</f>
        <v>21.336640000000013</v>
      </c>
      <c r="CI102" s="462">
        <f>IF(OR(AND(AT102&lt;&gt;0,AJ102&lt;&gt;"PF",AN102&lt;&gt;"NE",AG102&lt;&gt;"A"),AND(AL102="E",OR(AT102=1,AT102=3))),SickCHG*Y102,0)</f>
        <v>0</v>
      </c>
      <c r="CJ102" s="462">
        <f t="shared" si="29"/>
        <v>-24.119679999999985</v>
      </c>
      <c r="CK102" s="462" t="str">
        <f t="shared" si="30"/>
        <v/>
      </c>
      <c r="CL102" s="462" t="str">
        <f t="shared" si="31"/>
        <v/>
      </c>
      <c r="CM102" s="462" t="str">
        <f t="shared" si="32"/>
        <v/>
      </c>
      <c r="CN102" s="462" t="str">
        <f t="shared" si="33"/>
        <v>0332-06</v>
      </c>
    </row>
    <row r="103" spans="1:92" ht="15" thickBot="1" x14ac:dyDescent="0.35">
      <c r="A103" s="376" t="s">
        <v>161</v>
      </c>
      <c r="B103" s="376" t="s">
        <v>162</v>
      </c>
      <c r="C103" s="376" t="s">
        <v>450</v>
      </c>
      <c r="D103" s="376" t="s">
        <v>272</v>
      </c>
      <c r="E103" s="376" t="s">
        <v>535</v>
      </c>
      <c r="F103" s="382" t="s">
        <v>536</v>
      </c>
      <c r="G103" s="376" t="s">
        <v>356</v>
      </c>
      <c r="H103" s="378"/>
      <c r="I103" s="378"/>
      <c r="J103" s="376" t="s">
        <v>185</v>
      </c>
      <c r="K103" s="376" t="s">
        <v>273</v>
      </c>
      <c r="L103" s="376" t="s">
        <v>274</v>
      </c>
      <c r="M103" s="376" t="s">
        <v>170</v>
      </c>
      <c r="N103" s="376" t="s">
        <v>202</v>
      </c>
      <c r="O103" s="379">
        <v>1</v>
      </c>
      <c r="P103" s="460">
        <v>0.19</v>
      </c>
      <c r="Q103" s="460">
        <v>0.19</v>
      </c>
      <c r="R103" s="380">
        <v>80</v>
      </c>
      <c r="S103" s="460">
        <v>0.19</v>
      </c>
      <c r="T103" s="380">
        <v>676.25</v>
      </c>
      <c r="U103" s="380">
        <v>0</v>
      </c>
      <c r="V103" s="380">
        <v>281.77</v>
      </c>
      <c r="W103" s="380">
        <v>10820.57</v>
      </c>
      <c r="X103" s="380">
        <v>4662.9399999999996</v>
      </c>
      <c r="Y103" s="380">
        <v>10820.57</v>
      </c>
      <c r="Z103" s="380">
        <v>4634.8100000000004</v>
      </c>
      <c r="AA103" s="376" t="s">
        <v>451</v>
      </c>
      <c r="AB103" s="376" t="s">
        <v>452</v>
      </c>
      <c r="AC103" s="376" t="s">
        <v>453</v>
      </c>
      <c r="AD103" s="376" t="s">
        <v>370</v>
      </c>
      <c r="AE103" s="376" t="s">
        <v>273</v>
      </c>
      <c r="AF103" s="376" t="s">
        <v>279</v>
      </c>
      <c r="AG103" s="376" t="s">
        <v>177</v>
      </c>
      <c r="AH103" s="381">
        <v>27.38</v>
      </c>
      <c r="AI103" s="381">
        <v>100037.7</v>
      </c>
      <c r="AJ103" s="376" t="s">
        <v>178</v>
      </c>
      <c r="AK103" s="376" t="s">
        <v>179</v>
      </c>
      <c r="AL103" s="376" t="s">
        <v>180</v>
      </c>
      <c r="AM103" s="376" t="s">
        <v>181</v>
      </c>
      <c r="AN103" s="376" t="s">
        <v>68</v>
      </c>
      <c r="AO103" s="379">
        <v>80</v>
      </c>
      <c r="AP103" s="460">
        <v>1</v>
      </c>
      <c r="AQ103" s="460">
        <v>0.19</v>
      </c>
      <c r="AR103" s="458" t="s">
        <v>182</v>
      </c>
      <c r="AS103" s="462">
        <f t="shared" si="17"/>
        <v>0.19</v>
      </c>
      <c r="AT103">
        <f t="shared" si="18"/>
        <v>1</v>
      </c>
      <c r="AU103" s="462">
        <f>IF(AT103=0,"",IF(AND(AT103=1,M103="F",SUMIF(C2:C698,C103,AS2:AS698)&lt;=1),SUMIF(C2:C698,C103,AS2:AS698),IF(AND(AT103=1,M103="F",SUMIF(C2:C698,C103,AS2:AS698)&gt;1),1,"")))</f>
        <v>1</v>
      </c>
      <c r="AV103" s="462" t="str">
        <f>IF(AT103=0,"",IF(AND(AT103=3,M103="F",SUMIF(C2:C698,C103,AS2:AS698)&lt;=1),SUMIF(C2:C698,C103,AS2:AS698),IF(AND(AT103=3,M103="F",SUMIF(C2:C698,C103,AS2:AS698)&gt;1),1,"")))</f>
        <v/>
      </c>
      <c r="AW103" s="462">
        <f>SUMIF(C2:C698,C103,O2:O698)</f>
        <v>6</v>
      </c>
      <c r="AX103" s="462">
        <f>IF(AND(M103="F",AS103&lt;&gt;0),SUMIF(C2:C698,C103,W2:W698),0)</f>
        <v>56950.39</v>
      </c>
      <c r="AY103" s="462">
        <f t="shared" si="19"/>
        <v>10820.57</v>
      </c>
      <c r="AZ103" s="462" t="str">
        <f t="shared" si="20"/>
        <v/>
      </c>
      <c r="BA103" s="462">
        <f t="shared" si="21"/>
        <v>0</v>
      </c>
      <c r="BB103" s="462">
        <f>IF(AND(AT103=1,AK103="E",AU103&gt;=0.75,AW103=1),Health,IF(AND(AT103=1,AK103="E",AU103&gt;=0.75),Health*P103,IF(AND(AT103=1,AK103="E",AU103&gt;=0.5,AW103=1),PTHealth,IF(AND(AT103=1,AK103="E",AU103&gt;=0.5),PTHealth*P103,0))))</f>
        <v>2213.5</v>
      </c>
      <c r="BC103" s="462">
        <f>IF(AND(AT103=3,AK103="E",AV103&gt;=0.75,AW103=1),Health,IF(AND(AT103=3,AK103="E",AV103&gt;=0.75),Health*P103,IF(AND(AT103=3,AK103="E",AV103&gt;=0.5,AW103=1),PTHealth,IF(AND(AT103=3,AK103="E",AV103&gt;=0.5),PTHealth*P103,0))))</f>
        <v>0</v>
      </c>
      <c r="BD103" s="462">
        <f>IF(AND(AT103&lt;&gt;0,AX103&gt;=MAXSSDI),SSDI*MAXSSDI*P103,IF(AT103&lt;&gt;0,SSDI*W103,0))</f>
        <v>670.87533999999994</v>
      </c>
      <c r="BE103" s="462">
        <f>IF(AT103&lt;&gt;0,SSHI*W103,0)</f>
        <v>156.89826500000001</v>
      </c>
      <c r="BF103" s="462">
        <f>IF(AND(AT103&lt;&gt;0,AN103&lt;&gt;"NE"),VLOOKUP(AN103,Retirement_Rates,3,FALSE)*W103,0)</f>
        <v>1291.976058</v>
      </c>
      <c r="BG103" s="462">
        <f>IF(AND(AT103&lt;&gt;0,AJ103&lt;&gt;"PF"),Life*W103,0)</f>
        <v>78.016309699999994</v>
      </c>
      <c r="BH103" s="462">
        <f>IF(AND(AT103&lt;&gt;0,AM103="Y"),UI*W103,0)</f>
        <v>53.020792999999998</v>
      </c>
      <c r="BI103" s="462">
        <f>IF(AND(AT103&lt;&gt;0,N103&lt;&gt;"NR"),DHR*W103,0)</f>
        <v>33.110944199999999</v>
      </c>
      <c r="BJ103" s="462">
        <f>IF(AT103&lt;&gt;0,WC*W103,0)</f>
        <v>165.554721</v>
      </c>
      <c r="BK103" s="462">
        <f>IF(OR(AND(AT103&lt;&gt;0,AJ103&lt;&gt;"PF",AN103&lt;&gt;"NE",AG103&lt;&gt;"A"),AND(AL103="E",OR(AT103=1,AT103=3))),Sick*W103,0)</f>
        <v>0</v>
      </c>
      <c r="BL103" s="462">
        <f t="shared" si="22"/>
        <v>2449.4524309000003</v>
      </c>
      <c r="BM103" s="462">
        <f t="shared" si="23"/>
        <v>0</v>
      </c>
      <c r="BN103" s="462">
        <f>IF(AND(AT103=1,AK103="E",AU103&gt;=0.75,AW103=1),HealthBY,IF(AND(AT103=1,AK103="E",AU103&gt;=0.75),HealthBY*P103,IF(AND(AT103=1,AK103="E",AU103&gt;=0.5,AW103=1),PTHealthBY,IF(AND(AT103=1,AK103="E",AU103&gt;=0.5),PTHealthBY*P103,0))))</f>
        <v>2213.5</v>
      </c>
      <c r="BO103" s="462">
        <f>IF(AND(AT103=3,AK103="E",AV103&gt;=0.75,AW103=1),HealthBY,IF(AND(AT103=3,AK103="E",AV103&gt;=0.75),HealthBY*P103,IF(AND(AT103=3,AK103="E",AV103&gt;=0.5,AW103=1),PTHealthBY,IF(AND(AT103=3,AK103="E",AV103&gt;=0.5),PTHealthBY*P103,0))))</f>
        <v>0</v>
      </c>
      <c r="BP103" s="462">
        <f>IF(AND(AT103&lt;&gt;0,(AX103+BA103)&gt;=MAXSSDIBY),SSDIBY*MAXSSDIBY*P103,IF(AT103&lt;&gt;0,SSDIBY*W103,0))</f>
        <v>670.87533999999994</v>
      </c>
      <c r="BQ103" s="462">
        <f>IF(AT103&lt;&gt;0,SSHIBY*W103,0)</f>
        <v>156.89826500000001</v>
      </c>
      <c r="BR103" s="462">
        <f>IF(AND(AT103&lt;&gt;0,AN103&lt;&gt;"NE"),VLOOKUP(AN103,Retirement_Rates,4,FALSE)*W103,0)</f>
        <v>1291.976058</v>
      </c>
      <c r="BS103" s="462">
        <f>IF(AND(AT103&lt;&gt;0,AJ103&lt;&gt;"PF"),LifeBY*W103,0)</f>
        <v>78.016309699999994</v>
      </c>
      <c r="BT103" s="462">
        <f>IF(AND(AT103&lt;&gt;0,AM103="Y"),UIBY*W103,0)</f>
        <v>0</v>
      </c>
      <c r="BU103" s="462">
        <f>IF(AND(AT103&lt;&gt;0,N103&lt;&gt;"NR"),DHRBY*W103,0)</f>
        <v>33.110944199999999</v>
      </c>
      <c r="BV103" s="462">
        <f>IF(AT103&lt;&gt;0,WCBY*W103,0)</f>
        <v>190.44203200000001</v>
      </c>
      <c r="BW103" s="462">
        <f>IF(OR(AND(AT103&lt;&gt;0,AJ103&lt;&gt;"PF",AN103&lt;&gt;"NE",AG103&lt;&gt;"A"),AND(AL103="E",OR(AT103=1,AT103=3))),SickBY*W103,0)</f>
        <v>0</v>
      </c>
      <c r="BX103" s="462">
        <f t="shared" si="24"/>
        <v>2421.3189489000001</v>
      </c>
      <c r="BY103" s="462">
        <f t="shared" si="25"/>
        <v>0</v>
      </c>
      <c r="BZ103" s="462">
        <f t="shared" si="26"/>
        <v>0</v>
      </c>
      <c r="CA103" s="462">
        <f t="shared" si="27"/>
        <v>0</v>
      </c>
      <c r="CB103" s="462">
        <f t="shared" si="28"/>
        <v>0</v>
      </c>
      <c r="CC103" s="462">
        <f>IF(AT103&lt;&gt;0,SSHICHG*Y103,0)</f>
        <v>0</v>
      </c>
      <c r="CD103" s="462">
        <f>IF(AND(AT103&lt;&gt;0,AN103&lt;&gt;"NE"),VLOOKUP(AN103,Retirement_Rates,5,FALSE)*Y103,0)</f>
        <v>0</v>
      </c>
      <c r="CE103" s="462">
        <f>IF(AND(AT103&lt;&gt;0,AJ103&lt;&gt;"PF"),LifeCHG*Y103,0)</f>
        <v>0</v>
      </c>
      <c r="CF103" s="462">
        <f>IF(AND(AT103&lt;&gt;0,AM103="Y"),UICHG*Y103,0)</f>
        <v>-53.020792999999998</v>
      </c>
      <c r="CG103" s="462">
        <f>IF(AND(AT103&lt;&gt;0,N103&lt;&gt;"NR"),DHRCHG*Y103,0)</f>
        <v>0</v>
      </c>
      <c r="CH103" s="462">
        <f>IF(AT103&lt;&gt;0,WCCHG*Y103,0)</f>
        <v>24.887311000000018</v>
      </c>
      <c r="CI103" s="462">
        <f>IF(OR(AND(AT103&lt;&gt;0,AJ103&lt;&gt;"PF",AN103&lt;&gt;"NE",AG103&lt;&gt;"A"),AND(AL103="E",OR(AT103=1,AT103=3))),SickCHG*Y103,0)</f>
        <v>0</v>
      </c>
      <c r="CJ103" s="462">
        <f t="shared" si="29"/>
        <v>-28.133481999999979</v>
      </c>
      <c r="CK103" s="462" t="str">
        <f t="shared" si="30"/>
        <v/>
      </c>
      <c r="CL103" s="462" t="str">
        <f t="shared" si="31"/>
        <v/>
      </c>
      <c r="CM103" s="462" t="str">
        <f t="shared" si="32"/>
        <v/>
      </c>
      <c r="CN103" s="462" t="str">
        <f t="shared" si="33"/>
        <v>0332-06</v>
      </c>
    </row>
    <row r="104" spans="1:92" ht="15" thickBot="1" x14ac:dyDescent="0.35">
      <c r="A104" s="376" t="s">
        <v>161</v>
      </c>
      <c r="B104" s="376" t="s">
        <v>162</v>
      </c>
      <c r="C104" s="376" t="s">
        <v>456</v>
      </c>
      <c r="D104" s="376" t="s">
        <v>457</v>
      </c>
      <c r="E104" s="376" t="s">
        <v>535</v>
      </c>
      <c r="F104" s="382" t="s">
        <v>536</v>
      </c>
      <c r="G104" s="376" t="s">
        <v>356</v>
      </c>
      <c r="H104" s="378"/>
      <c r="I104" s="378"/>
      <c r="J104" s="376" t="s">
        <v>168</v>
      </c>
      <c r="K104" s="376" t="s">
        <v>458</v>
      </c>
      <c r="L104" s="376" t="s">
        <v>177</v>
      </c>
      <c r="M104" s="376" t="s">
        <v>170</v>
      </c>
      <c r="N104" s="376" t="s">
        <v>202</v>
      </c>
      <c r="O104" s="379">
        <v>1</v>
      </c>
      <c r="P104" s="460">
        <v>0</v>
      </c>
      <c r="Q104" s="460">
        <v>0</v>
      </c>
      <c r="R104" s="380">
        <v>80</v>
      </c>
      <c r="S104" s="460">
        <v>0</v>
      </c>
      <c r="T104" s="380">
        <v>144.15</v>
      </c>
      <c r="U104" s="380">
        <v>0</v>
      </c>
      <c r="V104" s="380">
        <v>84.14</v>
      </c>
      <c r="W104" s="380">
        <v>0</v>
      </c>
      <c r="X104" s="380">
        <v>0</v>
      </c>
      <c r="Y104" s="380">
        <v>0</v>
      </c>
      <c r="Z104" s="380">
        <v>0</v>
      </c>
      <c r="AA104" s="376" t="s">
        <v>459</v>
      </c>
      <c r="AB104" s="376" t="s">
        <v>460</v>
      </c>
      <c r="AC104" s="376" t="s">
        <v>461</v>
      </c>
      <c r="AD104" s="376" t="s">
        <v>462</v>
      </c>
      <c r="AE104" s="376" t="s">
        <v>458</v>
      </c>
      <c r="AF104" s="376" t="s">
        <v>436</v>
      </c>
      <c r="AG104" s="376" t="s">
        <v>177</v>
      </c>
      <c r="AH104" s="381">
        <v>15.5</v>
      </c>
      <c r="AI104" s="379">
        <v>2588</v>
      </c>
      <c r="AJ104" s="376" t="s">
        <v>178</v>
      </c>
      <c r="AK104" s="376" t="s">
        <v>179</v>
      </c>
      <c r="AL104" s="376" t="s">
        <v>180</v>
      </c>
      <c r="AM104" s="376" t="s">
        <v>181</v>
      </c>
      <c r="AN104" s="376" t="s">
        <v>68</v>
      </c>
      <c r="AO104" s="379">
        <v>80</v>
      </c>
      <c r="AP104" s="460">
        <v>1</v>
      </c>
      <c r="AQ104" s="460">
        <v>0</v>
      </c>
      <c r="AR104" s="458" t="s">
        <v>182</v>
      </c>
      <c r="AS104" s="462">
        <f t="shared" si="17"/>
        <v>0</v>
      </c>
      <c r="AT104">
        <f t="shared" si="18"/>
        <v>0</v>
      </c>
      <c r="AU104" s="462" t="str">
        <f>IF(AT104=0,"",IF(AND(AT104=1,M104="F",SUMIF(C2:C698,C104,AS2:AS698)&lt;=1),SUMIF(C2:C698,C104,AS2:AS698),IF(AND(AT104=1,M104="F",SUMIF(C2:C698,C104,AS2:AS698)&gt;1),1,"")))</f>
        <v/>
      </c>
      <c r="AV104" s="462" t="str">
        <f>IF(AT104=0,"",IF(AND(AT104=3,M104="F",SUMIF(C2:C698,C104,AS2:AS698)&lt;=1),SUMIF(C2:C698,C104,AS2:AS698),IF(AND(AT104=3,M104="F",SUMIF(C2:C698,C104,AS2:AS698)&gt;1),1,"")))</f>
        <v/>
      </c>
      <c r="AW104" s="462">
        <f>SUMIF(C2:C698,C104,O2:O698)</f>
        <v>5</v>
      </c>
      <c r="AX104" s="462">
        <f>IF(AND(M104="F",AS104&lt;&gt;0),SUMIF(C2:C698,C104,W2:W698),0)</f>
        <v>0</v>
      </c>
      <c r="AY104" s="462" t="str">
        <f t="shared" si="19"/>
        <v/>
      </c>
      <c r="AZ104" s="462" t="str">
        <f t="shared" si="20"/>
        <v/>
      </c>
      <c r="BA104" s="462">
        <f t="shared" si="21"/>
        <v>0</v>
      </c>
      <c r="BB104" s="462">
        <f>IF(AND(AT104=1,AK104="E",AU104&gt;=0.75,AW104=1),Health,IF(AND(AT104=1,AK104="E",AU104&gt;=0.75),Health*P104,IF(AND(AT104=1,AK104="E",AU104&gt;=0.5,AW104=1),PTHealth,IF(AND(AT104=1,AK104="E",AU104&gt;=0.5),PTHealth*P104,0))))</f>
        <v>0</v>
      </c>
      <c r="BC104" s="462">
        <f>IF(AND(AT104=3,AK104="E",AV104&gt;=0.75,AW104=1),Health,IF(AND(AT104=3,AK104="E",AV104&gt;=0.75),Health*P104,IF(AND(AT104=3,AK104="E",AV104&gt;=0.5,AW104=1),PTHealth,IF(AND(AT104=3,AK104="E",AV104&gt;=0.5),PTHealth*P104,0))))</f>
        <v>0</v>
      </c>
      <c r="BD104" s="462">
        <f>IF(AND(AT104&lt;&gt;0,AX104&gt;=MAXSSDI),SSDI*MAXSSDI*P104,IF(AT104&lt;&gt;0,SSDI*W104,0))</f>
        <v>0</v>
      </c>
      <c r="BE104" s="462">
        <f>IF(AT104&lt;&gt;0,SSHI*W104,0)</f>
        <v>0</v>
      </c>
      <c r="BF104" s="462">
        <f>IF(AND(AT104&lt;&gt;0,AN104&lt;&gt;"NE"),VLOOKUP(AN104,Retirement_Rates,3,FALSE)*W104,0)</f>
        <v>0</v>
      </c>
      <c r="BG104" s="462">
        <f>IF(AND(AT104&lt;&gt;0,AJ104&lt;&gt;"PF"),Life*W104,0)</f>
        <v>0</v>
      </c>
      <c r="BH104" s="462">
        <f>IF(AND(AT104&lt;&gt;0,AM104="Y"),UI*W104,0)</f>
        <v>0</v>
      </c>
      <c r="BI104" s="462">
        <f>IF(AND(AT104&lt;&gt;0,N104&lt;&gt;"NR"),DHR*W104,0)</f>
        <v>0</v>
      </c>
      <c r="BJ104" s="462">
        <f>IF(AT104&lt;&gt;0,WC*W104,0)</f>
        <v>0</v>
      </c>
      <c r="BK104" s="462">
        <f>IF(OR(AND(AT104&lt;&gt;0,AJ104&lt;&gt;"PF",AN104&lt;&gt;"NE",AG104&lt;&gt;"A"),AND(AL104="E",OR(AT104=1,AT104=3))),Sick*W104,0)</f>
        <v>0</v>
      </c>
      <c r="BL104" s="462">
        <f t="shared" si="22"/>
        <v>0</v>
      </c>
      <c r="BM104" s="462">
        <f t="shared" si="23"/>
        <v>0</v>
      </c>
      <c r="BN104" s="462">
        <f>IF(AND(AT104=1,AK104="E",AU104&gt;=0.75,AW104=1),HealthBY,IF(AND(AT104=1,AK104="E",AU104&gt;=0.75),HealthBY*P104,IF(AND(AT104=1,AK104="E",AU104&gt;=0.5,AW104=1),PTHealthBY,IF(AND(AT104=1,AK104="E",AU104&gt;=0.5),PTHealthBY*P104,0))))</f>
        <v>0</v>
      </c>
      <c r="BO104" s="462">
        <f>IF(AND(AT104=3,AK104="E",AV104&gt;=0.75,AW104=1),HealthBY,IF(AND(AT104=3,AK104="E",AV104&gt;=0.75),HealthBY*P104,IF(AND(AT104=3,AK104="E",AV104&gt;=0.5,AW104=1),PTHealthBY,IF(AND(AT104=3,AK104="E",AV104&gt;=0.5),PTHealthBY*P104,0))))</f>
        <v>0</v>
      </c>
      <c r="BP104" s="462">
        <f>IF(AND(AT104&lt;&gt;0,(AX104+BA104)&gt;=MAXSSDIBY),SSDIBY*MAXSSDIBY*P104,IF(AT104&lt;&gt;0,SSDIBY*W104,0))</f>
        <v>0</v>
      </c>
      <c r="BQ104" s="462">
        <f>IF(AT104&lt;&gt;0,SSHIBY*W104,0)</f>
        <v>0</v>
      </c>
      <c r="BR104" s="462">
        <f>IF(AND(AT104&lt;&gt;0,AN104&lt;&gt;"NE"),VLOOKUP(AN104,Retirement_Rates,4,FALSE)*W104,0)</f>
        <v>0</v>
      </c>
      <c r="BS104" s="462">
        <f>IF(AND(AT104&lt;&gt;0,AJ104&lt;&gt;"PF"),LifeBY*W104,0)</f>
        <v>0</v>
      </c>
      <c r="BT104" s="462">
        <f>IF(AND(AT104&lt;&gt;0,AM104="Y"),UIBY*W104,0)</f>
        <v>0</v>
      </c>
      <c r="BU104" s="462">
        <f>IF(AND(AT104&lt;&gt;0,N104&lt;&gt;"NR"),DHRBY*W104,0)</f>
        <v>0</v>
      </c>
      <c r="BV104" s="462">
        <f>IF(AT104&lt;&gt;0,WCBY*W104,0)</f>
        <v>0</v>
      </c>
      <c r="BW104" s="462">
        <f>IF(OR(AND(AT104&lt;&gt;0,AJ104&lt;&gt;"PF",AN104&lt;&gt;"NE",AG104&lt;&gt;"A"),AND(AL104="E",OR(AT104=1,AT104=3))),SickBY*W104,0)</f>
        <v>0</v>
      </c>
      <c r="BX104" s="462">
        <f t="shared" si="24"/>
        <v>0</v>
      </c>
      <c r="BY104" s="462">
        <f t="shared" si="25"/>
        <v>0</v>
      </c>
      <c r="BZ104" s="462">
        <f t="shared" si="26"/>
        <v>0</v>
      </c>
      <c r="CA104" s="462">
        <f t="shared" si="27"/>
        <v>0</v>
      </c>
      <c r="CB104" s="462">
        <f t="shared" si="28"/>
        <v>0</v>
      </c>
      <c r="CC104" s="462">
        <f>IF(AT104&lt;&gt;0,SSHICHG*Y104,0)</f>
        <v>0</v>
      </c>
      <c r="CD104" s="462">
        <f>IF(AND(AT104&lt;&gt;0,AN104&lt;&gt;"NE"),VLOOKUP(AN104,Retirement_Rates,5,FALSE)*Y104,0)</f>
        <v>0</v>
      </c>
      <c r="CE104" s="462">
        <f>IF(AND(AT104&lt;&gt;0,AJ104&lt;&gt;"PF"),LifeCHG*Y104,0)</f>
        <v>0</v>
      </c>
      <c r="CF104" s="462">
        <f>IF(AND(AT104&lt;&gt;0,AM104="Y"),UICHG*Y104,0)</f>
        <v>0</v>
      </c>
      <c r="CG104" s="462">
        <f>IF(AND(AT104&lt;&gt;0,N104&lt;&gt;"NR"),DHRCHG*Y104,0)</f>
        <v>0</v>
      </c>
      <c r="CH104" s="462">
        <f>IF(AT104&lt;&gt;0,WCCHG*Y104,0)</f>
        <v>0</v>
      </c>
      <c r="CI104" s="462">
        <f>IF(OR(AND(AT104&lt;&gt;0,AJ104&lt;&gt;"PF",AN104&lt;&gt;"NE",AG104&lt;&gt;"A"),AND(AL104="E",OR(AT104=1,AT104=3))),SickCHG*Y104,0)</f>
        <v>0</v>
      </c>
      <c r="CJ104" s="462">
        <f t="shared" si="29"/>
        <v>0</v>
      </c>
      <c r="CK104" s="462" t="str">
        <f t="shared" si="30"/>
        <v/>
      </c>
      <c r="CL104" s="462" t="str">
        <f t="shared" si="31"/>
        <v/>
      </c>
      <c r="CM104" s="462" t="str">
        <f t="shared" si="32"/>
        <v/>
      </c>
      <c r="CN104" s="462" t="str">
        <f t="shared" si="33"/>
        <v>0332-06</v>
      </c>
    </row>
    <row r="105" spans="1:92" ht="15" thickBot="1" x14ac:dyDescent="0.35">
      <c r="A105" s="376" t="s">
        <v>161</v>
      </c>
      <c r="B105" s="376" t="s">
        <v>162</v>
      </c>
      <c r="C105" s="376" t="s">
        <v>463</v>
      </c>
      <c r="D105" s="376" t="s">
        <v>250</v>
      </c>
      <c r="E105" s="376" t="s">
        <v>535</v>
      </c>
      <c r="F105" s="382" t="s">
        <v>536</v>
      </c>
      <c r="G105" s="376" t="s">
        <v>356</v>
      </c>
      <c r="H105" s="378"/>
      <c r="I105" s="378"/>
      <c r="J105" s="376" t="s">
        <v>168</v>
      </c>
      <c r="K105" s="376" t="s">
        <v>407</v>
      </c>
      <c r="L105" s="376" t="s">
        <v>247</v>
      </c>
      <c r="M105" s="376" t="s">
        <v>170</v>
      </c>
      <c r="N105" s="376" t="s">
        <v>202</v>
      </c>
      <c r="O105" s="379">
        <v>1</v>
      </c>
      <c r="P105" s="460">
        <v>1</v>
      </c>
      <c r="Q105" s="460">
        <v>1</v>
      </c>
      <c r="R105" s="380">
        <v>80</v>
      </c>
      <c r="S105" s="460">
        <v>1</v>
      </c>
      <c r="T105" s="380">
        <v>31520.3</v>
      </c>
      <c r="U105" s="380">
        <v>0</v>
      </c>
      <c r="V105" s="380">
        <v>13071.1</v>
      </c>
      <c r="W105" s="380">
        <v>58572.800000000003</v>
      </c>
      <c r="X105" s="380">
        <v>24909.09</v>
      </c>
      <c r="Y105" s="380">
        <v>58572.800000000003</v>
      </c>
      <c r="Z105" s="380">
        <v>24756.81</v>
      </c>
      <c r="AA105" s="376" t="s">
        <v>464</v>
      </c>
      <c r="AB105" s="376" t="s">
        <v>269</v>
      </c>
      <c r="AC105" s="376" t="s">
        <v>465</v>
      </c>
      <c r="AD105" s="376" t="s">
        <v>224</v>
      </c>
      <c r="AE105" s="376" t="s">
        <v>407</v>
      </c>
      <c r="AF105" s="376" t="s">
        <v>299</v>
      </c>
      <c r="AG105" s="376" t="s">
        <v>177</v>
      </c>
      <c r="AH105" s="381">
        <v>28.16</v>
      </c>
      <c r="AI105" s="381">
        <v>17926.2</v>
      </c>
      <c r="AJ105" s="376" t="s">
        <v>178</v>
      </c>
      <c r="AK105" s="376" t="s">
        <v>179</v>
      </c>
      <c r="AL105" s="376" t="s">
        <v>180</v>
      </c>
      <c r="AM105" s="376" t="s">
        <v>181</v>
      </c>
      <c r="AN105" s="376" t="s">
        <v>68</v>
      </c>
      <c r="AO105" s="379">
        <v>80</v>
      </c>
      <c r="AP105" s="460">
        <v>1</v>
      </c>
      <c r="AQ105" s="460">
        <v>1</v>
      </c>
      <c r="AR105" s="458" t="s">
        <v>182</v>
      </c>
      <c r="AS105" s="462">
        <f t="shared" si="17"/>
        <v>1</v>
      </c>
      <c r="AT105">
        <f t="shared" si="18"/>
        <v>1</v>
      </c>
      <c r="AU105" s="462">
        <f>IF(AT105=0,"",IF(AND(AT105=1,M105="F",SUMIF(C2:C698,C105,AS2:AS698)&lt;=1),SUMIF(C2:C698,C105,AS2:AS698),IF(AND(AT105=1,M105="F",SUMIF(C2:C698,C105,AS2:AS698)&gt;1),1,"")))</f>
        <v>1</v>
      </c>
      <c r="AV105" s="462" t="str">
        <f>IF(AT105=0,"",IF(AND(AT105=3,M105="F",SUMIF(C2:C698,C105,AS2:AS698)&lt;=1),SUMIF(C2:C698,C105,AS2:AS698),IF(AND(AT105=3,M105="F",SUMIF(C2:C698,C105,AS2:AS698)&gt;1),1,"")))</f>
        <v/>
      </c>
      <c r="AW105" s="462">
        <f>SUMIF(C2:C698,C105,O2:O698)</f>
        <v>4</v>
      </c>
      <c r="AX105" s="462">
        <f>IF(AND(M105="F",AS105&lt;&gt;0),SUMIF(C2:C698,C105,W2:W698),0)</f>
        <v>58572.800000000003</v>
      </c>
      <c r="AY105" s="462">
        <f t="shared" si="19"/>
        <v>58572.800000000003</v>
      </c>
      <c r="AZ105" s="462" t="str">
        <f t="shared" si="20"/>
        <v/>
      </c>
      <c r="BA105" s="462">
        <f t="shared" si="21"/>
        <v>0</v>
      </c>
      <c r="BB105" s="462">
        <f>IF(AND(AT105=1,AK105="E",AU105&gt;=0.75,AW105=1),Health,IF(AND(AT105=1,AK105="E",AU105&gt;=0.75),Health*P105,IF(AND(AT105=1,AK105="E",AU105&gt;=0.5,AW105=1),PTHealth,IF(AND(AT105=1,AK105="E",AU105&gt;=0.5),PTHealth*P105,0))))</f>
        <v>11650</v>
      </c>
      <c r="BC105" s="462">
        <f>IF(AND(AT105=3,AK105="E",AV105&gt;=0.75,AW105=1),Health,IF(AND(AT105=3,AK105="E",AV105&gt;=0.75),Health*P105,IF(AND(AT105=3,AK105="E",AV105&gt;=0.5,AW105=1),PTHealth,IF(AND(AT105=3,AK105="E",AV105&gt;=0.5),PTHealth*P105,0))))</f>
        <v>0</v>
      </c>
      <c r="BD105" s="462">
        <f>IF(AND(AT105&lt;&gt;0,AX105&gt;=MAXSSDI),SSDI*MAXSSDI*P105,IF(AT105&lt;&gt;0,SSDI*W105,0))</f>
        <v>3631.5136000000002</v>
      </c>
      <c r="BE105" s="462">
        <f>IF(AT105&lt;&gt;0,SSHI*W105,0)</f>
        <v>849.30560000000014</v>
      </c>
      <c r="BF105" s="462">
        <f>IF(AND(AT105&lt;&gt;0,AN105&lt;&gt;"NE"),VLOOKUP(AN105,Retirement_Rates,3,FALSE)*W105,0)</f>
        <v>6993.5923200000007</v>
      </c>
      <c r="BG105" s="462">
        <f>IF(AND(AT105&lt;&gt;0,AJ105&lt;&gt;"PF"),Life*W105,0)</f>
        <v>422.30988800000006</v>
      </c>
      <c r="BH105" s="462">
        <f>IF(AND(AT105&lt;&gt;0,AM105="Y"),UI*W105,0)</f>
        <v>287.00672000000003</v>
      </c>
      <c r="BI105" s="462">
        <f>IF(AND(AT105&lt;&gt;0,N105&lt;&gt;"NR"),DHR*W105,0)</f>
        <v>179.23276799999999</v>
      </c>
      <c r="BJ105" s="462">
        <f>IF(AT105&lt;&gt;0,WC*W105,0)</f>
        <v>896.16384000000005</v>
      </c>
      <c r="BK105" s="462">
        <f>IF(OR(AND(AT105&lt;&gt;0,AJ105&lt;&gt;"PF",AN105&lt;&gt;"NE",AG105&lt;&gt;"A"),AND(AL105="E",OR(AT105=1,AT105=3))),Sick*W105,0)</f>
        <v>0</v>
      </c>
      <c r="BL105" s="462">
        <f t="shared" si="22"/>
        <v>13259.124736</v>
      </c>
      <c r="BM105" s="462">
        <f t="shared" si="23"/>
        <v>0</v>
      </c>
      <c r="BN105" s="462">
        <f>IF(AND(AT105=1,AK105="E",AU105&gt;=0.75,AW105=1),HealthBY,IF(AND(AT105=1,AK105="E",AU105&gt;=0.75),HealthBY*P105,IF(AND(AT105=1,AK105="E",AU105&gt;=0.5,AW105=1),PTHealthBY,IF(AND(AT105=1,AK105="E",AU105&gt;=0.5),PTHealthBY*P105,0))))</f>
        <v>11650</v>
      </c>
      <c r="BO105" s="462">
        <f>IF(AND(AT105=3,AK105="E",AV105&gt;=0.75,AW105=1),HealthBY,IF(AND(AT105=3,AK105="E",AV105&gt;=0.75),HealthBY*P105,IF(AND(AT105=3,AK105="E",AV105&gt;=0.5,AW105=1),PTHealthBY,IF(AND(AT105=3,AK105="E",AV105&gt;=0.5),PTHealthBY*P105,0))))</f>
        <v>0</v>
      </c>
      <c r="BP105" s="462">
        <f>IF(AND(AT105&lt;&gt;0,(AX105+BA105)&gt;=MAXSSDIBY),SSDIBY*MAXSSDIBY*P105,IF(AT105&lt;&gt;0,SSDIBY*W105,0))</f>
        <v>3631.5136000000002</v>
      </c>
      <c r="BQ105" s="462">
        <f>IF(AT105&lt;&gt;0,SSHIBY*W105,0)</f>
        <v>849.30560000000014</v>
      </c>
      <c r="BR105" s="462">
        <f>IF(AND(AT105&lt;&gt;0,AN105&lt;&gt;"NE"),VLOOKUP(AN105,Retirement_Rates,4,FALSE)*W105,0)</f>
        <v>6993.5923200000007</v>
      </c>
      <c r="BS105" s="462">
        <f>IF(AND(AT105&lt;&gt;0,AJ105&lt;&gt;"PF"),LifeBY*W105,0)</f>
        <v>422.30988800000006</v>
      </c>
      <c r="BT105" s="462">
        <f>IF(AND(AT105&lt;&gt;0,AM105="Y"),UIBY*W105,0)</f>
        <v>0</v>
      </c>
      <c r="BU105" s="462">
        <f>IF(AND(AT105&lt;&gt;0,N105&lt;&gt;"NR"),DHRBY*W105,0)</f>
        <v>179.23276799999999</v>
      </c>
      <c r="BV105" s="462">
        <f>IF(AT105&lt;&gt;0,WCBY*W105,0)</f>
        <v>1030.8812800000001</v>
      </c>
      <c r="BW105" s="462">
        <f>IF(OR(AND(AT105&lt;&gt;0,AJ105&lt;&gt;"PF",AN105&lt;&gt;"NE",AG105&lt;&gt;"A"),AND(AL105="E",OR(AT105=1,AT105=3))),SickBY*W105,0)</f>
        <v>0</v>
      </c>
      <c r="BX105" s="462">
        <f t="shared" si="24"/>
        <v>13106.835456000001</v>
      </c>
      <c r="BY105" s="462">
        <f t="shared" si="25"/>
        <v>0</v>
      </c>
      <c r="BZ105" s="462">
        <f t="shared" si="26"/>
        <v>0</v>
      </c>
      <c r="CA105" s="462">
        <f t="shared" si="27"/>
        <v>0</v>
      </c>
      <c r="CB105" s="462">
        <f t="shared" si="28"/>
        <v>0</v>
      </c>
      <c r="CC105" s="462">
        <f>IF(AT105&lt;&gt;0,SSHICHG*Y105,0)</f>
        <v>0</v>
      </c>
      <c r="CD105" s="462">
        <f>IF(AND(AT105&lt;&gt;0,AN105&lt;&gt;"NE"),VLOOKUP(AN105,Retirement_Rates,5,FALSE)*Y105,0)</f>
        <v>0</v>
      </c>
      <c r="CE105" s="462">
        <f>IF(AND(AT105&lt;&gt;0,AJ105&lt;&gt;"PF"),LifeCHG*Y105,0)</f>
        <v>0</v>
      </c>
      <c r="CF105" s="462">
        <f>IF(AND(AT105&lt;&gt;0,AM105="Y"),UICHG*Y105,0)</f>
        <v>-287.00672000000003</v>
      </c>
      <c r="CG105" s="462">
        <f>IF(AND(AT105&lt;&gt;0,N105&lt;&gt;"NR"),DHRCHG*Y105,0)</f>
        <v>0</v>
      </c>
      <c r="CH105" s="462">
        <f>IF(AT105&lt;&gt;0,WCCHG*Y105,0)</f>
        <v>134.7174400000001</v>
      </c>
      <c r="CI105" s="462">
        <f>IF(OR(AND(AT105&lt;&gt;0,AJ105&lt;&gt;"PF",AN105&lt;&gt;"NE",AG105&lt;&gt;"A"),AND(AL105="E",OR(AT105=1,AT105=3))),SickCHG*Y105,0)</f>
        <v>0</v>
      </c>
      <c r="CJ105" s="462">
        <f t="shared" si="29"/>
        <v>-152.28927999999993</v>
      </c>
      <c r="CK105" s="462" t="str">
        <f t="shared" si="30"/>
        <v/>
      </c>
      <c r="CL105" s="462" t="str">
        <f t="shared" si="31"/>
        <v/>
      </c>
      <c r="CM105" s="462" t="str">
        <f t="shared" si="32"/>
        <v/>
      </c>
      <c r="CN105" s="462" t="str">
        <f t="shared" si="33"/>
        <v>0332-06</v>
      </c>
    </row>
    <row r="106" spans="1:92" ht="15" thickBot="1" x14ac:dyDescent="0.35">
      <c r="A106" s="376" t="s">
        <v>161</v>
      </c>
      <c r="B106" s="376" t="s">
        <v>162</v>
      </c>
      <c r="C106" s="376" t="s">
        <v>541</v>
      </c>
      <c r="D106" s="376" t="s">
        <v>287</v>
      </c>
      <c r="E106" s="376" t="s">
        <v>535</v>
      </c>
      <c r="F106" s="382" t="s">
        <v>536</v>
      </c>
      <c r="G106" s="376" t="s">
        <v>356</v>
      </c>
      <c r="H106" s="378"/>
      <c r="I106" s="378"/>
      <c r="J106" s="376" t="s">
        <v>168</v>
      </c>
      <c r="K106" s="376" t="s">
        <v>290</v>
      </c>
      <c r="L106" s="376" t="s">
        <v>166</v>
      </c>
      <c r="M106" s="376" t="s">
        <v>201</v>
      </c>
      <c r="N106" s="376" t="s">
        <v>291</v>
      </c>
      <c r="O106" s="379">
        <v>0</v>
      </c>
      <c r="P106" s="460">
        <v>1</v>
      </c>
      <c r="Q106" s="460">
        <v>0</v>
      </c>
      <c r="R106" s="380">
        <v>0</v>
      </c>
      <c r="S106" s="460">
        <v>0</v>
      </c>
      <c r="T106" s="380">
        <v>0</v>
      </c>
      <c r="U106" s="380">
        <v>0</v>
      </c>
      <c r="V106" s="380">
        <v>0</v>
      </c>
      <c r="W106" s="380">
        <v>0</v>
      </c>
      <c r="X106" s="380">
        <v>0</v>
      </c>
      <c r="Y106" s="380">
        <v>0</v>
      </c>
      <c r="Z106" s="380">
        <v>0</v>
      </c>
      <c r="AA106" s="378"/>
      <c r="AB106" s="376" t="s">
        <v>45</v>
      </c>
      <c r="AC106" s="376" t="s">
        <v>45</v>
      </c>
      <c r="AD106" s="378"/>
      <c r="AE106" s="378"/>
      <c r="AF106" s="378"/>
      <c r="AG106" s="378"/>
      <c r="AH106" s="379">
        <v>0</v>
      </c>
      <c r="AI106" s="379">
        <v>0</v>
      </c>
      <c r="AJ106" s="378"/>
      <c r="AK106" s="378"/>
      <c r="AL106" s="376" t="s">
        <v>180</v>
      </c>
      <c r="AM106" s="378"/>
      <c r="AN106" s="378"/>
      <c r="AO106" s="379">
        <v>0</v>
      </c>
      <c r="AP106" s="460">
        <v>0</v>
      </c>
      <c r="AQ106" s="460">
        <v>0</v>
      </c>
      <c r="AR106" s="459"/>
      <c r="AS106" s="462">
        <f t="shared" si="17"/>
        <v>0</v>
      </c>
      <c r="AT106">
        <f t="shared" si="18"/>
        <v>0</v>
      </c>
      <c r="AU106" s="462" t="str">
        <f>IF(AT106=0,"",IF(AND(AT106=1,M106="F",SUMIF(C2:C698,C106,AS2:AS698)&lt;=1),SUMIF(C2:C698,C106,AS2:AS698),IF(AND(AT106=1,M106="F",SUMIF(C2:C698,C106,AS2:AS698)&gt;1),1,"")))</f>
        <v/>
      </c>
      <c r="AV106" s="462" t="str">
        <f>IF(AT106=0,"",IF(AND(AT106=3,M106="F",SUMIF(C2:C698,C106,AS2:AS698)&lt;=1),SUMIF(C2:C698,C106,AS2:AS698),IF(AND(AT106=3,M106="F",SUMIF(C2:C698,C106,AS2:AS698)&gt;1),1,"")))</f>
        <v/>
      </c>
      <c r="AW106" s="462">
        <f>SUMIF(C2:C698,C106,O2:O698)</f>
        <v>0</v>
      </c>
      <c r="AX106" s="462">
        <f>IF(AND(M106="F",AS106&lt;&gt;0),SUMIF(C2:C698,C106,W2:W698),0)</f>
        <v>0</v>
      </c>
      <c r="AY106" s="462" t="str">
        <f t="shared" si="19"/>
        <v/>
      </c>
      <c r="AZ106" s="462" t="str">
        <f t="shared" si="20"/>
        <v/>
      </c>
      <c r="BA106" s="462">
        <f t="shared" si="21"/>
        <v>0</v>
      </c>
      <c r="BB106" s="462">
        <f>IF(AND(AT106=1,AK106="E",AU106&gt;=0.75,AW106=1),Health,IF(AND(AT106=1,AK106="E",AU106&gt;=0.75),Health*P106,IF(AND(AT106=1,AK106="E",AU106&gt;=0.5,AW106=1),PTHealth,IF(AND(AT106=1,AK106="E",AU106&gt;=0.5),PTHealth*P106,0))))</f>
        <v>0</v>
      </c>
      <c r="BC106" s="462">
        <f>IF(AND(AT106=3,AK106="E",AV106&gt;=0.75,AW106=1),Health,IF(AND(AT106=3,AK106="E",AV106&gt;=0.75),Health*P106,IF(AND(AT106=3,AK106="E",AV106&gt;=0.5,AW106=1),PTHealth,IF(AND(AT106=3,AK106="E",AV106&gt;=0.5),PTHealth*P106,0))))</f>
        <v>0</v>
      </c>
      <c r="BD106" s="462">
        <f>IF(AND(AT106&lt;&gt;0,AX106&gt;=MAXSSDI),SSDI*MAXSSDI*P106,IF(AT106&lt;&gt;0,SSDI*W106,0))</f>
        <v>0</v>
      </c>
      <c r="BE106" s="462">
        <f>IF(AT106&lt;&gt;0,SSHI*W106,0)</f>
        <v>0</v>
      </c>
      <c r="BF106" s="462">
        <f>IF(AND(AT106&lt;&gt;0,AN106&lt;&gt;"NE"),VLOOKUP(AN106,Retirement_Rates,3,FALSE)*W106,0)</f>
        <v>0</v>
      </c>
      <c r="BG106" s="462">
        <f>IF(AND(AT106&lt;&gt;0,AJ106&lt;&gt;"PF"),Life*W106,0)</f>
        <v>0</v>
      </c>
      <c r="BH106" s="462">
        <f>IF(AND(AT106&lt;&gt;0,AM106="Y"),UI*W106,0)</f>
        <v>0</v>
      </c>
      <c r="BI106" s="462">
        <f>IF(AND(AT106&lt;&gt;0,N106&lt;&gt;"NR"),DHR*W106,0)</f>
        <v>0</v>
      </c>
      <c r="BJ106" s="462">
        <f>IF(AT106&lt;&gt;0,WC*W106,0)</f>
        <v>0</v>
      </c>
      <c r="BK106" s="462">
        <f>IF(OR(AND(AT106&lt;&gt;0,AJ106&lt;&gt;"PF",AN106&lt;&gt;"NE",AG106&lt;&gt;"A"),AND(AL106="E",OR(AT106=1,AT106=3))),Sick*W106,0)</f>
        <v>0</v>
      </c>
      <c r="BL106" s="462">
        <f t="shared" si="22"/>
        <v>0</v>
      </c>
      <c r="BM106" s="462">
        <f t="shared" si="23"/>
        <v>0</v>
      </c>
      <c r="BN106" s="462">
        <f>IF(AND(AT106=1,AK106="E",AU106&gt;=0.75,AW106=1),HealthBY,IF(AND(AT106=1,AK106="E",AU106&gt;=0.75),HealthBY*P106,IF(AND(AT106=1,AK106="E",AU106&gt;=0.5,AW106=1),PTHealthBY,IF(AND(AT106=1,AK106="E",AU106&gt;=0.5),PTHealthBY*P106,0))))</f>
        <v>0</v>
      </c>
      <c r="BO106" s="462">
        <f>IF(AND(AT106=3,AK106="E",AV106&gt;=0.75,AW106=1),HealthBY,IF(AND(AT106=3,AK106="E",AV106&gt;=0.75),HealthBY*P106,IF(AND(AT106=3,AK106="E",AV106&gt;=0.5,AW106=1),PTHealthBY,IF(AND(AT106=3,AK106="E",AV106&gt;=0.5),PTHealthBY*P106,0))))</f>
        <v>0</v>
      </c>
      <c r="BP106" s="462">
        <f>IF(AND(AT106&lt;&gt;0,(AX106+BA106)&gt;=MAXSSDIBY),SSDIBY*MAXSSDIBY*P106,IF(AT106&lt;&gt;0,SSDIBY*W106,0))</f>
        <v>0</v>
      </c>
      <c r="BQ106" s="462">
        <f>IF(AT106&lt;&gt;0,SSHIBY*W106,0)</f>
        <v>0</v>
      </c>
      <c r="BR106" s="462">
        <f>IF(AND(AT106&lt;&gt;0,AN106&lt;&gt;"NE"),VLOOKUP(AN106,Retirement_Rates,4,FALSE)*W106,0)</f>
        <v>0</v>
      </c>
      <c r="BS106" s="462">
        <f>IF(AND(AT106&lt;&gt;0,AJ106&lt;&gt;"PF"),LifeBY*W106,0)</f>
        <v>0</v>
      </c>
      <c r="BT106" s="462">
        <f>IF(AND(AT106&lt;&gt;0,AM106="Y"),UIBY*W106,0)</f>
        <v>0</v>
      </c>
      <c r="BU106" s="462">
        <f>IF(AND(AT106&lt;&gt;0,N106&lt;&gt;"NR"),DHRBY*W106,0)</f>
        <v>0</v>
      </c>
      <c r="BV106" s="462">
        <f>IF(AT106&lt;&gt;0,WCBY*W106,0)</f>
        <v>0</v>
      </c>
      <c r="BW106" s="462">
        <f>IF(OR(AND(AT106&lt;&gt;0,AJ106&lt;&gt;"PF",AN106&lt;&gt;"NE",AG106&lt;&gt;"A"),AND(AL106="E",OR(AT106=1,AT106=3))),SickBY*W106,0)</f>
        <v>0</v>
      </c>
      <c r="BX106" s="462">
        <f t="shared" si="24"/>
        <v>0</v>
      </c>
      <c r="BY106" s="462">
        <f t="shared" si="25"/>
        <v>0</v>
      </c>
      <c r="BZ106" s="462">
        <f t="shared" si="26"/>
        <v>0</v>
      </c>
      <c r="CA106" s="462">
        <f t="shared" si="27"/>
        <v>0</v>
      </c>
      <c r="CB106" s="462">
        <f t="shared" si="28"/>
        <v>0</v>
      </c>
      <c r="CC106" s="462">
        <f>IF(AT106&lt;&gt;0,SSHICHG*Y106,0)</f>
        <v>0</v>
      </c>
      <c r="CD106" s="462">
        <f>IF(AND(AT106&lt;&gt;0,AN106&lt;&gt;"NE"),VLOOKUP(AN106,Retirement_Rates,5,FALSE)*Y106,0)</f>
        <v>0</v>
      </c>
      <c r="CE106" s="462">
        <f>IF(AND(AT106&lt;&gt;0,AJ106&lt;&gt;"PF"),LifeCHG*Y106,0)</f>
        <v>0</v>
      </c>
      <c r="CF106" s="462">
        <f>IF(AND(AT106&lt;&gt;0,AM106="Y"),UICHG*Y106,0)</f>
        <v>0</v>
      </c>
      <c r="CG106" s="462">
        <f>IF(AND(AT106&lt;&gt;0,N106&lt;&gt;"NR"),DHRCHG*Y106,0)</f>
        <v>0</v>
      </c>
      <c r="CH106" s="462">
        <f>IF(AT106&lt;&gt;0,WCCHG*Y106,0)</f>
        <v>0</v>
      </c>
      <c r="CI106" s="462">
        <f>IF(OR(AND(AT106&lt;&gt;0,AJ106&lt;&gt;"PF",AN106&lt;&gt;"NE",AG106&lt;&gt;"A"),AND(AL106="E",OR(AT106=1,AT106=3))),SickCHG*Y106,0)</f>
        <v>0</v>
      </c>
      <c r="CJ106" s="462">
        <f t="shared" si="29"/>
        <v>0</v>
      </c>
      <c r="CK106" s="462" t="str">
        <f t="shared" si="30"/>
        <v/>
      </c>
      <c r="CL106" s="462">
        <f t="shared" si="31"/>
        <v>0</v>
      </c>
      <c r="CM106" s="462">
        <f t="shared" si="32"/>
        <v>0</v>
      </c>
      <c r="CN106" s="462" t="str">
        <f t="shared" si="33"/>
        <v>0332-06</v>
      </c>
    </row>
    <row r="107" spans="1:92" ht="15" thickBot="1" x14ac:dyDescent="0.35">
      <c r="A107" s="376" t="s">
        <v>161</v>
      </c>
      <c r="B107" s="376" t="s">
        <v>162</v>
      </c>
      <c r="C107" s="376" t="s">
        <v>466</v>
      </c>
      <c r="D107" s="376" t="s">
        <v>467</v>
      </c>
      <c r="E107" s="376" t="s">
        <v>535</v>
      </c>
      <c r="F107" s="382" t="s">
        <v>536</v>
      </c>
      <c r="G107" s="376" t="s">
        <v>356</v>
      </c>
      <c r="H107" s="378"/>
      <c r="I107" s="378"/>
      <c r="J107" s="376" t="s">
        <v>185</v>
      </c>
      <c r="K107" s="376" t="s">
        <v>468</v>
      </c>
      <c r="L107" s="376" t="s">
        <v>224</v>
      </c>
      <c r="M107" s="376" t="s">
        <v>170</v>
      </c>
      <c r="N107" s="376" t="s">
        <v>202</v>
      </c>
      <c r="O107" s="379">
        <v>1</v>
      </c>
      <c r="P107" s="460">
        <v>0.25</v>
      </c>
      <c r="Q107" s="460">
        <v>0.25</v>
      </c>
      <c r="R107" s="380">
        <v>80</v>
      </c>
      <c r="S107" s="460">
        <v>0.25</v>
      </c>
      <c r="T107" s="380">
        <v>7.23</v>
      </c>
      <c r="U107" s="380">
        <v>0</v>
      </c>
      <c r="V107" s="380">
        <v>3.57</v>
      </c>
      <c r="W107" s="380">
        <v>13072.8</v>
      </c>
      <c r="X107" s="380">
        <v>5871.78</v>
      </c>
      <c r="Y107" s="380">
        <v>13072.8</v>
      </c>
      <c r="Z107" s="380">
        <v>5837.79</v>
      </c>
      <c r="AA107" s="376" t="s">
        <v>469</v>
      </c>
      <c r="AB107" s="376" t="s">
        <v>470</v>
      </c>
      <c r="AC107" s="376" t="s">
        <v>471</v>
      </c>
      <c r="AD107" s="376" t="s">
        <v>215</v>
      </c>
      <c r="AE107" s="376" t="s">
        <v>468</v>
      </c>
      <c r="AF107" s="376" t="s">
        <v>232</v>
      </c>
      <c r="AG107" s="376" t="s">
        <v>177</v>
      </c>
      <c r="AH107" s="381">
        <v>25.14</v>
      </c>
      <c r="AI107" s="381">
        <v>6495.4</v>
      </c>
      <c r="AJ107" s="376" t="s">
        <v>178</v>
      </c>
      <c r="AK107" s="376" t="s">
        <v>179</v>
      </c>
      <c r="AL107" s="376" t="s">
        <v>180</v>
      </c>
      <c r="AM107" s="376" t="s">
        <v>181</v>
      </c>
      <c r="AN107" s="376" t="s">
        <v>68</v>
      </c>
      <c r="AO107" s="379">
        <v>80</v>
      </c>
      <c r="AP107" s="460">
        <v>1</v>
      </c>
      <c r="AQ107" s="460">
        <v>0.25</v>
      </c>
      <c r="AR107" s="458" t="s">
        <v>182</v>
      </c>
      <c r="AS107" s="462">
        <f t="shared" si="17"/>
        <v>0.25</v>
      </c>
      <c r="AT107">
        <f t="shared" si="18"/>
        <v>1</v>
      </c>
      <c r="AU107" s="462">
        <f>IF(AT107=0,"",IF(AND(AT107=1,M107="F",SUMIF(C2:C698,C107,AS2:AS698)&lt;=1),SUMIF(C2:C698,C107,AS2:AS698),IF(AND(AT107=1,M107="F",SUMIF(C2:C698,C107,AS2:AS698)&gt;1),1,"")))</f>
        <v>1</v>
      </c>
      <c r="AV107" s="462" t="str">
        <f>IF(AT107=0,"",IF(AND(AT107=3,M107="F",SUMIF(C2:C698,C107,AS2:AS698)&lt;=1),SUMIF(C2:C698,C107,AS2:AS698),IF(AND(AT107=3,M107="F",SUMIF(C2:C698,C107,AS2:AS698)&gt;1),1,"")))</f>
        <v/>
      </c>
      <c r="AW107" s="462">
        <f>SUMIF(C2:C698,C107,O2:O698)</f>
        <v>4</v>
      </c>
      <c r="AX107" s="462">
        <f>IF(AND(M107="F",AS107&lt;&gt;0),SUMIF(C2:C698,C107,W2:W698),0)</f>
        <v>52291.199999999997</v>
      </c>
      <c r="AY107" s="462">
        <f t="shared" si="19"/>
        <v>13072.8</v>
      </c>
      <c r="AZ107" s="462" t="str">
        <f t="shared" si="20"/>
        <v/>
      </c>
      <c r="BA107" s="462">
        <f t="shared" si="21"/>
        <v>0</v>
      </c>
      <c r="BB107" s="462">
        <f>IF(AND(AT107=1,AK107="E",AU107&gt;=0.75,AW107=1),Health,IF(AND(AT107=1,AK107="E",AU107&gt;=0.75),Health*P107,IF(AND(AT107=1,AK107="E",AU107&gt;=0.5,AW107=1),PTHealth,IF(AND(AT107=1,AK107="E",AU107&gt;=0.5),PTHealth*P107,0))))</f>
        <v>2912.5</v>
      </c>
      <c r="BC107" s="462">
        <f>IF(AND(AT107=3,AK107="E",AV107&gt;=0.75,AW107=1),Health,IF(AND(AT107=3,AK107="E",AV107&gt;=0.75),Health*P107,IF(AND(AT107=3,AK107="E",AV107&gt;=0.5,AW107=1),PTHealth,IF(AND(AT107=3,AK107="E",AV107&gt;=0.5),PTHealth*P107,0))))</f>
        <v>0</v>
      </c>
      <c r="BD107" s="462">
        <f>IF(AND(AT107&lt;&gt;0,AX107&gt;=MAXSSDI),SSDI*MAXSSDI*P107,IF(AT107&lt;&gt;0,SSDI*W107,0))</f>
        <v>810.5136</v>
      </c>
      <c r="BE107" s="462">
        <f>IF(AT107&lt;&gt;0,SSHI*W107,0)</f>
        <v>189.5556</v>
      </c>
      <c r="BF107" s="462">
        <f>IF(AND(AT107&lt;&gt;0,AN107&lt;&gt;"NE"),VLOOKUP(AN107,Retirement_Rates,3,FALSE)*W107,0)</f>
        <v>1560.8923199999999</v>
      </c>
      <c r="BG107" s="462">
        <f>IF(AND(AT107&lt;&gt;0,AJ107&lt;&gt;"PF"),Life*W107,0)</f>
        <v>94.254887999999994</v>
      </c>
      <c r="BH107" s="462">
        <f>IF(AND(AT107&lt;&gt;0,AM107="Y"),UI*W107,0)</f>
        <v>64.056719999999999</v>
      </c>
      <c r="BI107" s="462">
        <f>IF(AND(AT107&lt;&gt;0,N107&lt;&gt;"NR"),DHR*W107,0)</f>
        <v>40.002767999999996</v>
      </c>
      <c r="BJ107" s="462">
        <f>IF(AT107&lt;&gt;0,WC*W107,0)</f>
        <v>200.01383999999999</v>
      </c>
      <c r="BK107" s="462">
        <f>IF(OR(AND(AT107&lt;&gt;0,AJ107&lt;&gt;"PF",AN107&lt;&gt;"NE",AG107&lt;&gt;"A"),AND(AL107="E",OR(AT107=1,AT107=3))),Sick*W107,0)</f>
        <v>0</v>
      </c>
      <c r="BL107" s="462">
        <f t="shared" si="22"/>
        <v>2959.2897359999997</v>
      </c>
      <c r="BM107" s="462">
        <f t="shared" si="23"/>
        <v>0</v>
      </c>
      <c r="BN107" s="462">
        <f>IF(AND(AT107=1,AK107="E",AU107&gt;=0.75,AW107=1),HealthBY,IF(AND(AT107=1,AK107="E",AU107&gt;=0.75),HealthBY*P107,IF(AND(AT107=1,AK107="E",AU107&gt;=0.5,AW107=1),PTHealthBY,IF(AND(AT107=1,AK107="E",AU107&gt;=0.5),PTHealthBY*P107,0))))</f>
        <v>2912.5</v>
      </c>
      <c r="BO107" s="462">
        <f>IF(AND(AT107=3,AK107="E",AV107&gt;=0.75,AW107=1),HealthBY,IF(AND(AT107=3,AK107="E",AV107&gt;=0.75),HealthBY*P107,IF(AND(AT107=3,AK107="E",AV107&gt;=0.5,AW107=1),PTHealthBY,IF(AND(AT107=3,AK107="E",AV107&gt;=0.5),PTHealthBY*P107,0))))</f>
        <v>0</v>
      </c>
      <c r="BP107" s="462">
        <f>IF(AND(AT107&lt;&gt;0,(AX107+BA107)&gt;=MAXSSDIBY),SSDIBY*MAXSSDIBY*P107,IF(AT107&lt;&gt;0,SSDIBY*W107,0))</f>
        <v>810.5136</v>
      </c>
      <c r="BQ107" s="462">
        <f>IF(AT107&lt;&gt;0,SSHIBY*W107,0)</f>
        <v>189.5556</v>
      </c>
      <c r="BR107" s="462">
        <f>IF(AND(AT107&lt;&gt;0,AN107&lt;&gt;"NE"),VLOOKUP(AN107,Retirement_Rates,4,FALSE)*W107,0)</f>
        <v>1560.8923199999999</v>
      </c>
      <c r="BS107" s="462">
        <f>IF(AND(AT107&lt;&gt;0,AJ107&lt;&gt;"PF"),LifeBY*W107,0)</f>
        <v>94.254887999999994</v>
      </c>
      <c r="BT107" s="462">
        <f>IF(AND(AT107&lt;&gt;0,AM107="Y"),UIBY*W107,0)</f>
        <v>0</v>
      </c>
      <c r="BU107" s="462">
        <f>IF(AND(AT107&lt;&gt;0,N107&lt;&gt;"NR"),DHRBY*W107,0)</f>
        <v>40.002767999999996</v>
      </c>
      <c r="BV107" s="462">
        <f>IF(AT107&lt;&gt;0,WCBY*W107,0)</f>
        <v>230.08127999999999</v>
      </c>
      <c r="BW107" s="462">
        <f>IF(OR(AND(AT107&lt;&gt;0,AJ107&lt;&gt;"PF",AN107&lt;&gt;"NE",AG107&lt;&gt;"A"),AND(AL107="E",OR(AT107=1,AT107=3))),SickBY*W107,0)</f>
        <v>0</v>
      </c>
      <c r="BX107" s="462">
        <f t="shared" si="24"/>
        <v>2925.3004559999995</v>
      </c>
      <c r="BY107" s="462">
        <f t="shared" si="25"/>
        <v>0</v>
      </c>
      <c r="BZ107" s="462">
        <f t="shared" si="26"/>
        <v>0</v>
      </c>
      <c r="CA107" s="462">
        <f t="shared" si="27"/>
        <v>0</v>
      </c>
      <c r="CB107" s="462">
        <f t="shared" si="28"/>
        <v>0</v>
      </c>
      <c r="CC107" s="462">
        <f>IF(AT107&lt;&gt;0,SSHICHG*Y107,0)</f>
        <v>0</v>
      </c>
      <c r="CD107" s="462">
        <f>IF(AND(AT107&lt;&gt;0,AN107&lt;&gt;"NE"),VLOOKUP(AN107,Retirement_Rates,5,FALSE)*Y107,0)</f>
        <v>0</v>
      </c>
      <c r="CE107" s="462">
        <f>IF(AND(AT107&lt;&gt;0,AJ107&lt;&gt;"PF"),LifeCHG*Y107,0)</f>
        <v>0</v>
      </c>
      <c r="CF107" s="462">
        <f>IF(AND(AT107&lt;&gt;0,AM107="Y"),UICHG*Y107,0)</f>
        <v>-64.056719999999999</v>
      </c>
      <c r="CG107" s="462">
        <f>IF(AND(AT107&lt;&gt;0,N107&lt;&gt;"NR"),DHRCHG*Y107,0)</f>
        <v>0</v>
      </c>
      <c r="CH107" s="462">
        <f>IF(AT107&lt;&gt;0,WCCHG*Y107,0)</f>
        <v>30.067440000000019</v>
      </c>
      <c r="CI107" s="462">
        <f>IF(OR(AND(AT107&lt;&gt;0,AJ107&lt;&gt;"PF",AN107&lt;&gt;"NE",AG107&lt;&gt;"A"),AND(AL107="E",OR(AT107=1,AT107=3))),SickCHG*Y107,0)</f>
        <v>0</v>
      </c>
      <c r="CJ107" s="462">
        <f t="shared" si="29"/>
        <v>-33.98927999999998</v>
      </c>
      <c r="CK107" s="462" t="str">
        <f t="shared" si="30"/>
        <v/>
      </c>
      <c r="CL107" s="462" t="str">
        <f t="shared" si="31"/>
        <v/>
      </c>
      <c r="CM107" s="462" t="str">
        <f t="shared" si="32"/>
        <v/>
      </c>
      <c r="CN107" s="462" t="str">
        <f t="shared" si="33"/>
        <v>0332-06</v>
      </c>
    </row>
    <row r="108" spans="1:92" ht="15" thickBot="1" x14ac:dyDescent="0.35">
      <c r="A108" s="376" t="s">
        <v>161</v>
      </c>
      <c r="B108" s="376" t="s">
        <v>162</v>
      </c>
      <c r="C108" s="376" t="s">
        <v>478</v>
      </c>
      <c r="D108" s="376" t="s">
        <v>479</v>
      </c>
      <c r="E108" s="376" t="s">
        <v>535</v>
      </c>
      <c r="F108" s="382" t="s">
        <v>536</v>
      </c>
      <c r="G108" s="376" t="s">
        <v>356</v>
      </c>
      <c r="H108" s="378"/>
      <c r="I108" s="378"/>
      <c r="J108" s="376" t="s">
        <v>185</v>
      </c>
      <c r="K108" s="376" t="s">
        <v>480</v>
      </c>
      <c r="L108" s="376" t="s">
        <v>180</v>
      </c>
      <c r="M108" s="376" t="s">
        <v>170</v>
      </c>
      <c r="N108" s="376" t="s">
        <v>202</v>
      </c>
      <c r="O108" s="379">
        <v>1</v>
      </c>
      <c r="P108" s="460">
        <v>0.42</v>
      </c>
      <c r="Q108" s="460">
        <v>0.42</v>
      </c>
      <c r="R108" s="380">
        <v>80</v>
      </c>
      <c r="S108" s="460">
        <v>0.42</v>
      </c>
      <c r="T108" s="380">
        <v>40384.129999999997</v>
      </c>
      <c r="U108" s="380">
        <v>0</v>
      </c>
      <c r="V108" s="380">
        <v>14759.86</v>
      </c>
      <c r="W108" s="380">
        <v>33319.1</v>
      </c>
      <c r="X108" s="380">
        <v>12435.43</v>
      </c>
      <c r="Y108" s="380">
        <v>33319.1</v>
      </c>
      <c r="Z108" s="380">
        <v>12348.8</v>
      </c>
      <c r="AA108" s="376" t="s">
        <v>481</v>
      </c>
      <c r="AB108" s="376" t="s">
        <v>482</v>
      </c>
      <c r="AC108" s="376" t="s">
        <v>431</v>
      </c>
      <c r="AD108" s="376" t="s">
        <v>207</v>
      </c>
      <c r="AE108" s="376" t="s">
        <v>480</v>
      </c>
      <c r="AF108" s="376" t="s">
        <v>256</v>
      </c>
      <c r="AG108" s="376" t="s">
        <v>177</v>
      </c>
      <c r="AH108" s="381">
        <v>38.14</v>
      </c>
      <c r="AI108" s="381">
        <v>48337.9</v>
      </c>
      <c r="AJ108" s="376" t="s">
        <v>178</v>
      </c>
      <c r="AK108" s="376" t="s">
        <v>179</v>
      </c>
      <c r="AL108" s="376" t="s">
        <v>180</v>
      </c>
      <c r="AM108" s="376" t="s">
        <v>181</v>
      </c>
      <c r="AN108" s="376" t="s">
        <v>68</v>
      </c>
      <c r="AO108" s="379">
        <v>80</v>
      </c>
      <c r="AP108" s="460">
        <v>1</v>
      </c>
      <c r="AQ108" s="460">
        <v>0.42</v>
      </c>
      <c r="AR108" s="458" t="s">
        <v>182</v>
      </c>
      <c r="AS108" s="462">
        <f t="shared" si="17"/>
        <v>0.42</v>
      </c>
      <c r="AT108">
        <f t="shared" si="18"/>
        <v>1</v>
      </c>
      <c r="AU108" s="462">
        <f>IF(AT108=0,"",IF(AND(AT108=1,M108="F",SUMIF(C2:C698,C108,AS2:AS698)&lt;=1),SUMIF(C2:C698,C108,AS2:AS698),IF(AND(AT108=1,M108="F",SUMIF(C2:C698,C108,AS2:AS698)&gt;1),1,"")))</f>
        <v>1</v>
      </c>
      <c r="AV108" s="462" t="str">
        <f>IF(AT108=0,"",IF(AND(AT108=3,M108="F",SUMIF(C2:C698,C108,AS2:AS698)&lt;=1),SUMIF(C2:C698,C108,AS2:AS698),IF(AND(AT108=3,M108="F",SUMIF(C2:C698,C108,AS2:AS698)&gt;1),1,"")))</f>
        <v/>
      </c>
      <c r="AW108" s="462">
        <f>SUMIF(C2:C698,C108,O2:O698)</f>
        <v>3</v>
      </c>
      <c r="AX108" s="462">
        <f>IF(AND(M108="F",AS108&lt;&gt;0),SUMIF(C2:C698,C108,W2:W698),0)</f>
        <v>79331.19</v>
      </c>
      <c r="AY108" s="462">
        <f t="shared" si="19"/>
        <v>33319.1</v>
      </c>
      <c r="AZ108" s="462" t="str">
        <f t="shared" si="20"/>
        <v/>
      </c>
      <c r="BA108" s="462">
        <f t="shared" si="21"/>
        <v>0</v>
      </c>
      <c r="BB108" s="462">
        <f>IF(AND(AT108=1,AK108="E",AU108&gt;=0.75,AW108=1),Health,IF(AND(AT108=1,AK108="E",AU108&gt;=0.75),Health*P108,IF(AND(AT108=1,AK108="E",AU108&gt;=0.5,AW108=1),PTHealth,IF(AND(AT108=1,AK108="E",AU108&gt;=0.5),PTHealth*P108,0))))</f>
        <v>4893</v>
      </c>
      <c r="BC108" s="462">
        <f>IF(AND(AT108=3,AK108="E",AV108&gt;=0.75,AW108=1),Health,IF(AND(AT108=3,AK108="E",AV108&gt;=0.75),Health*P108,IF(AND(AT108=3,AK108="E",AV108&gt;=0.5,AW108=1),PTHealth,IF(AND(AT108=3,AK108="E",AV108&gt;=0.5),PTHealth*P108,0))))</f>
        <v>0</v>
      </c>
      <c r="BD108" s="462">
        <f>IF(AND(AT108&lt;&gt;0,AX108&gt;=MAXSSDI),SSDI*MAXSSDI*P108,IF(AT108&lt;&gt;0,SSDI*W108,0))</f>
        <v>2065.7842000000001</v>
      </c>
      <c r="BE108" s="462">
        <f>IF(AT108&lt;&gt;0,SSHI*W108,0)</f>
        <v>483.12695000000002</v>
      </c>
      <c r="BF108" s="462">
        <f>IF(AND(AT108&lt;&gt;0,AN108&lt;&gt;"NE"),VLOOKUP(AN108,Retirement_Rates,3,FALSE)*W108,0)</f>
        <v>3978.3005400000002</v>
      </c>
      <c r="BG108" s="462">
        <f>IF(AND(AT108&lt;&gt;0,AJ108&lt;&gt;"PF"),Life*W108,0)</f>
        <v>240.23071099999999</v>
      </c>
      <c r="BH108" s="462">
        <f>IF(AND(AT108&lt;&gt;0,AM108="Y"),UI*W108,0)</f>
        <v>163.26358999999999</v>
      </c>
      <c r="BI108" s="462">
        <f>IF(AND(AT108&lt;&gt;0,N108&lt;&gt;"NR"),DHR*W108,0)</f>
        <v>101.95644599999999</v>
      </c>
      <c r="BJ108" s="462">
        <f>IF(AT108&lt;&gt;0,WC*W108,0)</f>
        <v>509.78222999999997</v>
      </c>
      <c r="BK108" s="462">
        <f>IF(OR(AND(AT108&lt;&gt;0,AJ108&lt;&gt;"PF",AN108&lt;&gt;"NE",AG108&lt;&gt;"A"),AND(AL108="E",OR(AT108=1,AT108=3))),Sick*W108,0)</f>
        <v>0</v>
      </c>
      <c r="BL108" s="462">
        <f t="shared" si="22"/>
        <v>7542.4446669999998</v>
      </c>
      <c r="BM108" s="462">
        <f t="shared" si="23"/>
        <v>0</v>
      </c>
      <c r="BN108" s="462">
        <f>IF(AND(AT108=1,AK108="E",AU108&gt;=0.75,AW108=1),HealthBY,IF(AND(AT108=1,AK108="E",AU108&gt;=0.75),HealthBY*P108,IF(AND(AT108=1,AK108="E",AU108&gt;=0.5,AW108=1),PTHealthBY,IF(AND(AT108=1,AK108="E",AU108&gt;=0.5),PTHealthBY*P108,0))))</f>
        <v>4893</v>
      </c>
      <c r="BO108" s="462">
        <f>IF(AND(AT108=3,AK108="E",AV108&gt;=0.75,AW108=1),HealthBY,IF(AND(AT108=3,AK108="E",AV108&gt;=0.75),HealthBY*P108,IF(AND(AT108=3,AK108="E",AV108&gt;=0.5,AW108=1),PTHealthBY,IF(AND(AT108=3,AK108="E",AV108&gt;=0.5),PTHealthBY*P108,0))))</f>
        <v>0</v>
      </c>
      <c r="BP108" s="462">
        <f>IF(AND(AT108&lt;&gt;0,(AX108+BA108)&gt;=MAXSSDIBY),SSDIBY*MAXSSDIBY*P108,IF(AT108&lt;&gt;0,SSDIBY*W108,0))</f>
        <v>2065.7842000000001</v>
      </c>
      <c r="BQ108" s="462">
        <f>IF(AT108&lt;&gt;0,SSHIBY*W108,0)</f>
        <v>483.12695000000002</v>
      </c>
      <c r="BR108" s="462">
        <f>IF(AND(AT108&lt;&gt;0,AN108&lt;&gt;"NE"),VLOOKUP(AN108,Retirement_Rates,4,FALSE)*W108,0)</f>
        <v>3978.3005400000002</v>
      </c>
      <c r="BS108" s="462">
        <f>IF(AND(AT108&lt;&gt;0,AJ108&lt;&gt;"PF"),LifeBY*W108,0)</f>
        <v>240.23071099999999</v>
      </c>
      <c r="BT108" s="462">
        <f>IF(AND(AT108&lt;&gt;0,AM108="Y"),UIBY*W108,0)</f>
        <v>0</v>
      </c>
      <c r="BU108" s="462">
        <f>IF(AND(AT108&lt;&gt;0,N108&lt;&gt;"NR"),DHRBY*W108,0)</f>
        <v>101.95644599999999</v>
      </c>
      <c r="BV108" s="462">
        <f>IF(AT108&lt;&gt;0,WCBY*W108,0)</f>
        <v>586.41615999999999</v>
      </c>
      <c r="BW108" s="462">
        <f>IF(OR(AND(AT108&lt;&gt;0,AJ108&lt;&gt;"PF",AN108&lt;&gt;"NE",AG108&lt;&gt;"A"),AND(AL108="E",OR(AT108=1,AT108=3))),SickBY*W108,0)</f>
        <v>0</v>
      </c>
      <c r="BX108" s="462">
        <f t="shared" si="24"/>
        <v>7455.8150070000002</v>
      </c>
      <c r="BY108" s="462">
        <f t="shared" si="25"/>
        <v>0</v>
      </c>
      <c r="BZ108" s="462">
        <f t="shared" si="26"/>
        <v>0</v>
      </c>
      <c r="CA108" s="462">
        <f t="shared" si="27"/>
        <v>0</v>
      </c>
      <c r="CB108" s="462">
        <f t="shared" si="28"/>
        <v>0</v>
      </c>
      <c r="CC108" s="462">
        <f>IF(AT108&lt;&gt;0,SSHICHG*Y108,0)</f>
        <v>0</v>
      </c>
      <c r="CD108" s="462">
        <f>IF(AND(AT108&lt;&gt;0,AN108&lt;&gt;"NE"),VLOOKUP(AN108,Retirement_Rates,5,FALSE)*Y108,0)</f>
        <v>0</v>
      </c>
      <c r="CE108" s="462">
        <f>IF(AND(AT108&lt;&gt;0,AJ108&lt;&gt;"PF"),LifeCHG*Y108,0)</f>
        <v>0</v>
      </c>
      <c r="CF108" s="462">
        <f>IF(AND(AT108&lt;&gt;0,AM108="Y"),UICHG*Y108,0)</f>
        <v>-163.26358999999999</v>
      </c>
      <c r="CG108" s="462">
        <f>IF(AND(AT108&lt;&gt;0,N108&lt;&gt;"NR"),DHRCHG*Y108,0)</f>
        <v>0</v>
      </c>
      <c r="CH108" s="462">
        <f>IF(AT108&lt;&gt;0,WCCHG*Y108,0)</f>
        <v>76.633930000000049</v>
      </c>
      <c r="CI108" s="462">
        <f>IF(OR(AND(AT108&lt;&gt;0,AJ108&lt;&gt;"PF",AN108&lt;&gt;"NE",AG108&lt;&gt;"A"),AND(AL108="E",OR(AT108=1,AT108=3))),SickCHG*Y108,0)</f>
        <v>0</v>
      </c>
      <c r="CJ108" s="462">
        <f t="shared" si="29"/>
        <v>-86.629659999999944</v>
      </c>
      <c r="CK108" s="462" t="str">
        <f t="shared" si="30"/>
        <v/>
      </c>
      <c r="CL108" s="462" t="str">
        <f t="shared" si="31"/>
        <v/>
      </c>
      <c r="CM108" s="462" t="str">
        <f t="shared" si="32"/>
        <v/>
      </c>
      <c r="CN108" s="462" t="str">
        <f t="shared" si="33"/>
        <v>0332-06</v>
      </c>
    </row>
    <row r="109" spans="1:92" ht="15" thickBot="1" x14ac:dyDescent="0.35">
      <c r="A109" s="376" t="s">
        <v>161</v>
      </c>
      <c r="B109" s="376" t="s">
        <v>162</v>
      </c>
      <c r="C109" s="376" t="s">
        <v>483</v>
      </c>
      <c r="D109" s="376" t="s">
        <v>362</v>
      </c>
      <c r="E109" s="376" t="s">
        <v>535</v>
      </c>
      <c r="F109" s="382" t="s">
        <v>536</v>
      </c>
      <c r="G109" s="376" t="s">
        <v>356</v>
      </c>
      <c r="H109" s="378"/>
      <c r="I109" s="378"/>
      <c r="J109" s="376" t="s">
        <v>185</v>
      </c>
      <c r="K109" s="376" t="s">
        <v>363</v>
      </c>
      <c r="L109" s="376" t="s">
        <v>200</v>
      </c>
      <c r="M109" s="376" t="s">
        <v>170</v>
      </c>
      <c r="N109" s="376" t="s">
        <v>202</v>
      </c>
      <c r="O109" s="379">
        <v>1</v>
      </c>
      <c r="P109" s="460">
        <v>0.56999999999999995</v>
      </c>
      <c r="Q109" s="460">
        <v>0.56999999999999995</v>
      </c>
      <c r="R109" s="380">
        <v>80</v>
      </c>
      <c r="S109" s="460">
        <v>0.56999999999999995</v>
      </c>
      <c r="T109" s="380">
        <v>4384.04</v>
      </c>
      <c r="U109" s="380">
        <v>0</v>
      </c>
      <c r="V109" s="380">
        <v>2394.7199999999998</v>
      </c>
      <c r="W109" s="380">
        <v>26676</v>
      </c>
      <c r="X109" s="380">
        <v>12679.13</v>
      </c>
      <c r="Y109" s="380">
        <v>26676</v>
      </c>
      <c r="Z109" s="380">
        <v>12609.77</v>
      </c>
      <c r="AA109" s="376" t="s">
        <v>484</v>
      </c>
      <c r="AB109" s="376" t="s">
        <v>485</v>
      </c>
      <c r="AC109" s="376" t="s">
        <v>231</v>
      </c>
      <c r="AD109" s="376" t="s">
        <v>486</v>
      </c>
      <c r="AE109" s="376" t="s">
        <v>363</v>
      </c>
      <c r="AF109" s="376" t="s">
        <v>210</v>
      </c>
      <c r="AG109" s="376" t="s">
        <v>177</v>
      </c>
      <c r="AH109" s="381">
        <v>22.5</v>
      </c>
      <c r="AI109" s="381">
        <v>13101.2</v>
      </c>
      <c r="AJ109" s="376" t="s">
        <v>178</v>
      </c>
      <c r="AK109" s="376" t="s">
        <v>179</v>
      </c>
      <c r="AL109" s="376" t="s">
        <v>180</v>
      </c>
      <c r="AM109" s="376" t="s">
        <v>181</v>
      </c>
      <c r="AN109" s="376" t="s">
        <v>68</v>
      </c>
      <c r="AO109" s="379">
        <v>80</v>
      </c>
      <c r="AP109" s="460">
        <v>1</v>
      </c>
      <c r="AQ109" s="460">
        <v>0.56999999999999995</v>
      </c>
      <c r="AR109" s="458" t="s">
        <v>182</v>
      </c>
      <c r="AS109" s="462">
        <f t="shared" si="17"/>
        <v>0.56999999999999995</v>
      </c>
      <c r="AT109">
        <f t="shared" si="18"/>
        <v>1</v>
      </c>
      <c r="AU109" s="462">
        <f>IF(AT109=0,"",IF(AND(AT109=1,M109="F",SUMIF(C2:C698,C109,AS2:AS698)&lt;=1),SUMIF(C2:C698,C109,AS2:AS698),IF(AND(AT109=1,M109="F",SUMIF(C2:C698,C109,AS2:AS698)&gt;1),1,"")))</f>
        <v>1</v>
      </c>
      <c r="AV109" s="462" t="str">
        <f>IF(AT109=0,"",IF(AND(AT109=3,M109="F",SUMIF(C2:C698,C109,AS2:AS698)&lt;=1),SUMIF(C2:C698,C109,AS2:AS698),IF(AND(AT109=3,M109="F",SUMIF(C2:C698,C109,AS2:AS698)&gt;1),1,"")))</f>
        <v/>
      </c>
      <c r="AW109" s="462">
        <f>SUMIF(C2:C698,C109,O2:O698)</f>
        <v>4</v>
      </c>
      <c r="AX109" s="462">
        <f>IF(AND(M109="F",AS109&lt;&gt;0),SUMIF(C2:C698,C109,W2:W698),0)</f>
        <v>46800</v>
      </c>
      <c r="AY109" s="462">
        <f t="shared" si="19"/>
        <v>26676</v>
      </c>
      <c r="AZ109" s="462" t="str">
        <f t="shared" si="20"/>
        <v/>
      </c>
      <c r="BA109" s="462">
        <f t="shared" si="21"/>
        <v>0</v>
      </c>
      <c r="BB109" s="462">
        <f>IF(AND(AT109=1,AK109="E",AU109&gt;=0.75,AW109=1),Health,IF(AND(AT109=1,AK109="E",AU109&gt;=0.75),Health*P109,IF(AND(AT109=1,AK109="E",AU109&gt;=0.5,AW109=1),PTHealth,IF(AND(AT109=1,AK109="E",AU109&gt;=0.5),PTHealth*P109,0))))</f>
        <v>6640.4999999999991</v>
      </c>
      <c r="BC109" s="462">
        <f>IF(AND(AT109=3,AK109="E",AV109&gt;=0.75,AW109=1),Health,IF(AND(AT109=3,AK109="E",AV109&gt;=0.75),Health*P109,IF(AND(AT109=3,AK109="E",AV109&gt;=0.5,AW109=1),PTHealth,IF(AND(AT109=3,AK109="E",AV109&gt;=0.5),PTHealth*P109,0))))</f>
        <v>0</v>
      </c>
      <c r="BD109" s="462">
        <f>IF(AND(AT109&lt;&gt;0,AX109&gt;=MAXSSDI),SSDI*MAXSSDI*P109,IF(AT109&lt;&gt;0,SSDI*W109,0))</f>
        <v>1653.912</v>
      </c>
      <c r="BE109" s="462">
        <f>IF(AT109&lt;&gt;0,SSHI*W109,0)</f>
        <v>386.80200000000002</v>
      </c>
      <c r="BF109" s="462">
        <f>IF(AND(AT109&lt;&gt;0,AN109&lt;&gt;"NE"),VLOOKUP(AN109,Retirement_Rates,3,FALSE)*W109,0)</f>
        <v>3185.1144000000004</v>
      </c>
      <c r="BG109" s="462">
        <f>IF(AND(AT109&lt;&gt;0,AJ109&lt;&gt;"PF"),Life*W109,0)</f>
        <v>192.33396000000002</v>
      </c>
      <c r="BH109" s="462">
        <f>IF(AND(AT109&lt;&gt;0,AM109="Y"),UI*W109,0)</f>
        <v>130.7124</v>
      </c>
      <c r="BI109" s="462">
        <f>IF(AND(AT109&lt;&gt;0,N109&lt;&gt;"NR"),DHR*W109,0)</f>
        <v>81.628559999999993</v>
      </c>
      <c r="BJ109" s="462">
        <f>IF(AT109&lt;&gt;0,WC*W109,0)</f>
        <v>408.14279999999997</v>
      </c>
      <c r="BK109" s="462">
        <f>IF(OR(AND(AT109&lt;&gt;0,AJ109&lt;&gt;"PF",AN109&lt;&gt;"NE",AG109&lt;&gt;"A"),AND(AL109="E",OR(AT109=1,AT109=3))),Sick*W109,0)</f>
        <v>0</v>
      </c>
      <c r="BL109" s="462">
        <f t="shared" si="22"/>
        <v>6038.6461200000003</v>
      </c>
      <c r="BM109" s="462">
        <f t="shared" si="23"/>
        <v>0</v>
      </c>
      <c r="BN109" s="462">
        <f>IF(AND(AT109=1,AK109="E",AU109&gt;=0.75,AW109=1),HealthBY,IF(AND(AT109=1,AK109="E",AU109&gt;=0.75),HealthBY*P109,IF(AND(AT109=1,AK109="E",AU109&gt;=0.5,AW109=1),PTHealthBY,IF(AND(AT109=1,AK109="E",AU109&gt;=0.5),PTHealthBY*P109,0))))</f>
        <v>6640.4999999999991</v>
      </c>
      <c r="BO109" s="462">
        <f>IF(AND(AT109=3,AK109="E",AV109&gt;=0.75,AW109=1),HealthBY,IF(AND(AT109=3,AK109="E",AV109&gt;=0.75),HealthBY*P109,IF(AND(AT109=3,AK109="E",AV109&gt;=0.5,AW109=1),PTHealthBY,IF(AND(AT109=3,AK109="E",AV109&gt;=0.5),PTHealthBY*P109,0))))</f>
        <v>0</v>
      </c>
      <c r="BP109" s="462">
        <f>IF(AND(AT109&lt;&gt;0,(AX109+BA109)&gt;=MAXSSDIBY),SSDIBY*MAXSSDIBY*P109,IF(AT109&lt;&gt;0,SSDIBY*W109,0))</f>
        <v>1653.912</v>
      </c>
      <c r="BQ109" s="462">
        <f>IF(AT109&lt;&gt;0,SSHIBY*W109,0)</f>
        <v>386.80200000000002</v>
      </c>
      <c r="BR109" s="462">
        <f>IF(AND(AT109&lt;&gt;0,AN109&lt;&gt;"NE"),VLOOKUP(AN109,Retirement_Rates,4,FALSE)*W109,0)</f>
        <v>3185.1144000000004</v>
      </c>
      <c r="BS109" s="462">
        <f>IF(AND(AT109&lt;&gt;0,AJ109&lt;&gt;"PF"),LifeBY*W109,0)</f>
        <v>192.33396000000002</v>
      </c>
      <c r="BT109" s="462">
        <f>IF(AND(AT109&lt;&gt;0,AM109="Y"),UIBY*W109,0)</f>
        <v>0</v>
      </c>
      <c r="BU109" s="462">
        <f>IF(AND(AT109&lt;&gt;0,N109&lt;&gt;"NR"),DHRBY*W109,0)</f>
        <v>81.628559999999993</v>
      </c>
      <c r="BV109" s="462">
        <f>IF(AT109&lt;&gt;0,WCBY*W109,0)</f>
        <v>469.49760000000003</v>
      </c>
      <c r="BW109" s="462">
        <f>IF(OR(AND(AT109&lt;&gt;0,AJ109&lt;&gt;"PF",AN109&lt;&gt;"NE",AG109&lt;&gt;"A"),AND(AL109="E",OR(AT109=1,AT109=3))),SickBY*W109,0)</f>
        <v>0</v>
      </c>
      <c r="BX109" s="462">
        <f t="shared" si="24"/>
        <v>5969.2885200000001</v>
      </c>
      <c r="BY109" s="462">
        <f t="shared" si="25"/>
        <v>0</v>
      </c>
      <c r="BZ109" s="462">
        <f t="shared" si="26"/>
        <v>0</v>
      </c>
      <c r="CA109" s="462">
        <f t="shared" si="27"/>
        <v>0</v>
      </c>
      <c r="CB109" s="462">
        <f t="shared" si="28"/>
        <v>0</v>
      </c>
      <c r="CC109" s="462">
        <f>IF(AT109&lt;&gt;0,SSHICHG*Y109,0)</f>
        <v>0</v>
      </c>
      <c r="CD109" s="462">
        <f>IF(AND(AT109&lt;&gt;0,AN109&lt;&gt;"NE"),VLOOKUP(AN109,Retirement_Rates,5,FALSE)*Y109,0)</f>
        <v>0</v>
      </c>
      <c r="CE109" s="462">
        <f>IF(AND(AT109&lt;&gt;0,AJ109&lt;&gt;"PF"),LifeCHG*Y109,0)</f>
        <v>0</v>
      </c>
      <c r="CF109" s="462">
        <f>IF(AND(AT109&lt;&gt;0,AM109="Y"),UICHG*Y109,0)</f>
        <v>-130.7124</v>
      </c>
      <c r="CG109" s="462">
        <f>IF(AND(AT109&lt;&gt;0,N109&lt;&gt;"NR"),DHRCHG*Y109,0)</f>
        <v>0</v>
      </c>
      <c r="CH109" s="462">
        <f>IF(AT109&lt;&gt;0,WCCHG*Y109,0)</f>
        <v>61.354800000000047</v>
      </c>
      <c r="CI109" s="462">
        <f>IF(OR(AND(AT109&lt;&gt;0,AJ109&lt;&gt;"PF",AN109&lt;&gt;"NE",AG109&lt;&gt;"A"),AND(AL109="E",OR(AT109=1,AT109=3))),SickCHG*Y109,0)</f>
        <v>0</v>
      </c>
      <c r="CJ109" s="462">
        <f t="shared" si="29"/>
        <v>-69.357599999999962</v>
      </c>
      <c r="CK109" s="462" t="str">
        <f t="shared" si="30"/>
        <v/>
      </c>
      <c r="CL109" s="462" t="str">
        <f t="shared" si="31"/>
        <v/>
      </c>
      <c r="CM109" s="462" t="str">
        <f t="shared" si="32"/>
        <v/>
      </c>
      <c r="CN109" s="462" t="str">
        <f t="shared" si="33"/>
        <v>0332-06</v>
      </c>
    </row>
    <row r="110" spans="1:92" ht="15" thickBot="1" x14ac:dyDescent="0.35">
      <c r="A110" s="376" t="s">
        <v>161</v>
      </c>
      <c r="B110" s="376" t="s">
        <v>162</v>
      </c>
      <c r="C110" s="376" t="s">
        <v>490</v>
      </c>
      <c r="D110" s="376" t="s">
        <v>457</v>
      </c>
      <c r="E110" s="376" t="s">
        <v>535</v>
      </c>
      <c r="F110" s="382" t="s">
        <v>536</v>
      </c>
      <c r="G110" s="376" t="s">
        <v>356</v>
      </c>
      <c r="H110" s="378"/>
      <c r="I110" s="378"/>
      <c r="J110" s="376" t="s">
        <v>185</v>
      </c>
      <c r="K110" s="376" t="s">
        <v>458</v>
      </c>
      <c r="L110" s="376" t="s">
        <v>177</v>
      </c>
      <c r="M110" s="376" t="s">
        <v>170</v>
      </c>
      <c r="N110" s="376" t="s">
        <v>202</v>
      </c>
      <c r="O110" s="379">
        <v>1</v>
      </c>
      <c r="P110" s="460">
        <v>0</v>
      </c>
      <c r="Q110" s="460">
        <v>0</v>
      </c>
      <c r="R110" s="380">
        <v>80</v>
      </c>
      <c r="S110" s="460">
        <v>0</v>
      </c>
      <c r="T110" s="380">
        <v>292.95</v>
      </c>
      <c r="U110" s="380">
        <v>0</v>
      </c>
      <c r="V110" s="380">
        <v>178.58</v>
      </c>
      <c r="W110" s="380">
        <v>0</v>
      </c>
      <c r="X110" s="380">
        <v>0</v>
      </c>
      <c r="Y110" s="380">
        <v>0</v>
      </c>
      <c r="Z110" s="380">
        <v>0</v>
      </c>
      <c r="AA110" s="376" t="s">
        <v>491</v>
      </c>
      <c r="AB110" s="376" t="s">
        <v>492</v>
      </c>
      <c r="AC110" s="376" t="s">
        <v>493</v>
      </c>
      <c r="AD110" s="376" t="s">
        <v>200</v>
      </c>
      <c r="AE110" s="376" t="s">
        <v>458</v>
      </c>
      <c r="AF110" s="376" t="s">
        <v>436</v>
      </c>
      <c r="AG110" s="376" t="s">
        <v>177</v>
      </c>
      <c r="AH110" s="381">
        <v>16.170000000000002</v>
      </c>
      <c r="AI110" s="379">
        <v>6680</v>
      </c>
      <c r="AJ110" s="376" t="s">
        <v>178</v>
      </c>
      <c r="AK110" s="376" t="s">
        <v>179</v>
      </c>
      <c r="AL110" s="376" t="s">
        <v>180</v>
      </c>
      <c r="AM110" s="376" t="s">
        <v>181</v>
      </c>
      <c r="AN110" s="376" t="s">
        <v>68</v>
      </c>
      <c r="AO110" s="379">
        <v>80</v>
      </c>
      <c r="AP110" s="460">
        <v>1</v>
      </c>
      <c r="AQ110" s="460">
        <v>0</v>
      </c>
      <c r="AR110" s="458" t="s">
        <v>182</v>
      </c>
      <c r="AS110" s="462">
        <f t="shared" si="17"/>
        <v>0</v>
      </c>
      <c r="AT110">
        <f t="shared" si="18"/>
        <v>0</v>
      </c>
      <c r="AU110" s="462" t="str">
        <f>IF(AT110=0,"",IF(AND(AT110=1,M110="F",SUMIF(C2:C698,C110,AS2:AS698)&lt;=1),SUMIF(C2:C698,C110,AS2:AS698),IF(AND(AT110=1,M110="F",SUMIF(C2:C698,C110,AS2:AS698)&gt;1),1,"")))</f>
        <v/>
      </c>
      <c r="AV110" s="462" t="str">
        <f>IF(AT110=0,"",IF(AND(AT110=3,M110="F",SUMIF(C2:C698,C110,AS2:AS698)&lt;=1),SUMIF(C2:C698,C110,AS2:AS698),IF(AND(AT110=3,M110="F",SUMIF(C2:C698,C110,AS2:AS698)&gt;1),1,"")))</f>
        <v/>
      </c>
      <c r="AW110" s="462">
        <f>SUMIF(C2:C698,C110,O2:O698)</f>
        <v>3</v>
      </c>
      <c r="AX110" s="462">
        <f>IF(AND(M110="F",AS110&lt;&gt;0),SUMIF(C2:C698,C110,W2:W698),0)</f>
        <v>0</v>
      </c>
      <c r="AY110" s="462" t="str">
        <f t="shared" si="19"/>
        <v/>
      </c>
      <c r="AZ110" s="462" t="str">
        <f t="shared" si="20"/>
        <v/>
      </c>
      <c r="BA110" s="462">
        <f t="shared" si="21"/>
        <v>0</v>
      </c>
      <c r="BB110" s="462">
        <f>IF(AND(AT110=1,AK110="E",AU110&gt;=0.75,AW110=1),Health,IF(AND(AT110=1,AK110="E",AU110&gt;=0.75),Health*P110,IF(AND(AT110=1,AK110="E",AU110&gt;=0.5,AW110=1),PTHealth,IF(AND(AT110=1,AK110="E",AU110&gt;=0.5),PTHealth*P110,0))))</f>
        <v>0</v>
      </c>
      <c r="BC110" s="462">
        <f>IF(AND(AT110=3,AK110="E",AV110&gt;=0.75,AW110=1),Health,IF(AND(AT110=3,AK110="E",AV110&gt;=0.75),Health*P110,IF(AND(AT110=3,AK110="E",AV110&gt;=0.5,AW110=1),PTHealth,IF(AND(AT110=3,AK110="E",AV110&gt;=0.5),PTHealth*P110,0))))</f>
        <v>0</v>
      </c>
      <c r="BD110" s="462">
        <f>IF(AND(AT110&lt;&gt;0,AX110&gt;=MAXSSDI),SSDI*MAXSSDI*P110,IF(AT110&lt;&gt;0,SSDI*W110,0))</f>
        <v>0</v>
      </c>
      <c r="BE110" s="462">
        <f>IF(AT110&lt;&gt;0,SSHI*W110,0)</f>
        <v>0</v>
      </c>
      <c r="BF110" s="462">
        <f>IF(AND(AT110&lt;&gt;0,AN110&lt;&gt;"NE"),VLOOKUP(AN110,Retirement_Rates,3,FALSE)*W110,0)</f>
        <v>0</v>
      </c>
      <c r="BG110" s="462">
        <f>IF(AND(AT110&lt;&gt;0,AJ110&lt;&gt;"PF"),Life*W110,0)</f>
        <v>0</v>
      </c>
      <c r="BH110" s="462">
        <f>IF(AND(AT110&lt;&gt;0,AM110="Y"),UI*W110,0)</f>
        <v>0</v>
      </c>
      <c r="BI110" s="462">
        <f>IF(AND(AT110&lt;&gt;0,N110&lt;&gt;"NR"),DHR*W110,0)</f>
        <v>0</v>
      </c>
      <c r="BJ110" s="462">
        <f>IF(AT110&lt;&gt;0,WC*W110,0)</f>
        <v>0</v>
      </c>
      <c r="BK110" s="462">
        <f>IF(OR(AND(AT110&lt;&gt;0,AJ110&lt;&gt;"PF",AN110&lt;&gt;"NE",AG110&lt;&gt;"A"),AND(AL110="E",OR(AT110=1,AT110=3))),Sick*W110,0)</f>
        <v>0</v>
      </c>
      <c r="BL110" s="462">
        <f t="shared" si="22"/>
        <v>0</v>
      </c>
      <c r="BM110" s="462">
        <f t="shared" si="23"/>
        <v>0</v>
      </c>
      <c r="BN110" s="462">
        <f>IF(AND(AT110=1,AK110="E",AU110&gt;=0.75,AW110=1),HealthBY,IF(AND(AT110=1,AK110="E",AU110&gt;=0.75),HealthBY*P110,IF(AND(AT110=1,AK110="E",AU110&gt;=0.5,AW110=1),PTHealthBY,IF(AND(AT110=1,AK110="E",AU110&gt;=0.5),PTHealthBY*P110,0))))</f>
        <v>0</v>
      </c>
      <c r="BO110" s="462">
        <f>IF(AND(AT110=3,AK110="E",AV110&gt;=0.75,AW110=1),HealthBY,IF(AND(AT110=3,AK110="E",AV110&gt;=0.75),HealthBY*P110,IF(AND(AT110=3,AK110="E",AV110&gt;=0.5,AW110=1),PTHealthBY,IF(AND(AT110=3,AK110="E",AV110&gt;=0.5),PTHealthBY*P110,0))))</f>
        <v>0</v>
      </c>
      <c r="BP110" s="462">
        <f>IF(AND(AT110&lt;&gt;0,(AX110+BA110)&gt;=MAXSSDIBY),SSDIBY*MAXSSDIBY*P110,IF(AT110&lt;&gt;0,SSDIBY*W110,0))</f>
        <v>0</v>
      </c>
      <c r="BQ110" s="462">
        <f>IF(AT110&lt;&gt;0,SSHIBY*W110,0)</f>
        <v>0</v>
      </c>
      <c r="BR110" s="462">
        <f>IF(AND(AT110&lt;&gt;0,AN110&lt;&gt;"NE"),VLOOKUP(AN110,Retirement_Rates,4,FALSE)*W110,0)</f>
        <v>0</v>
      </c>
      <c r="BS110" s="462">
        <f>IF(AND(AT110&lt;&gt;0,AJ110&lt;&gt;"PF"),LifeBY*W110,0)</f>
        <v>0</v>
      </c>
      <c r="BT110" s="462">
        <f>IF(AND(AT110&lt;&gt;0,AM110="Y"),UIBY*W110,0)</f>
        <v>0</v>
      </c>
      <c r="BU110" s="462">
        <f>IF(AND(AT110&lt;&gt;0,N110&lt;&gt;"NR"),DHRBY*W110,0)</f>
        <v>0</v>
      </c>
      <c r="BV110" s="462">
        <f>IF(AT110&lt;&gt;0,WCBY*W110,0)</f>
        <v>0</v>
      </c>
      <c r="BW110" s="462">
        <f>IF(OR(AND(AT110&lt;&gt;0,AJ110&lt;&gt;"PF",AN110&lt;&gt;"NE",AG110&lt;&gt;"A"),AND(AL110="E",OR(AT110=1,AT110=3))),SickBY*W110,0)</f>
        <v>0</v>
      </c>
      <c r="BX110" s="462">
        <f t="shared" si="24"/>
        <v>0</v>
      </c>
      <c r="BY110" s="462">
        <f t="shared" si="25"/>
        <v>0</v>
      </c>
      <c r="BZ110" s="462">
        <f t="shared" si="26"/>
        <v>0</v>
      </c>
      <c r="CA110" s="462">
        <f t="shared" si="27"/>
        <v>0</v>
      </c>
      <c r="CB110" s="462">
        <f t="shared" si="28"/>
        <v>0</v>
      </c>
      <c r="CC110" s="462">
        <f>IF(AT110&lt;&gt;0,SSHICHG*Y110,0)</f>
        <v>0</v>
      </c>
      <c r="CD110" s="462">
        <f>IF(AND(AT110&lt;&gt;0,AN110&lt;&gt;"NE"),VLOOKUP(AN110,Retirement_Rates,5,FALSE)*Y110,0)</f>
        <v>0</v>
      </c>
      <c r="CE110" s="462">
        <f>IF(AND(AT110&lt;&gt;0,AJ110&lt;&gt;"PF"),LifeCHG*Y110,0)</f>
        <v>0</v>
      </c>
      <c r="CF110" s="462">
        <f>IF(AND(AT110&lt;&gt;0,AM110="Y"),UICHG*Y110,0)</f>
        <v>0</v>
      </c>
      <c r="CG110" s="462">
        <f>IF(AND(AT110&lt;&gt;0,N110&lt;&gt;"NR"),DHRCHG*Y110,0)</f>
        <v>0</v>
      </c>
      <c r="CH110" s="462">
        <f>IF(AT110&lt;&gt;0,WCCHG*Y110,0)</f>
        <v>0</v>
      </c>
      <c r="CI110" s="462">
        <f>IF(OR(AND(AT110&lt;&gt;0,AJ110&lt;&gt;"PF",AN110&lt;&gt;"NE",AG110&lt;&gt;"A"),AND(AL110="E",OR(AT110=1,AT110=3))),SickCHG*Y110,0)</f>
        <v>0</v>
      </c>
      <c r="CJ110" s="462">
        <f t="shared" si="29"/>
        <v>0</v>
      </c>
      <c r="CK110" s="462" t="str">
        <f t="shared" si="30"/>
        <v/>
      </c>
      <c r="CL110" s="462" t="str">
        <f t="shared" si="31"/>
        <v/>
      </c>
      <c r="CM110" s="462" t="str">
        <f t="shared" si="32"/>
        <v/>
      </c>
      <c r="CN110" s="462" t="str">
        <f t="shared" si="33"/>
        <v>0332-06</v>
      </c>
    </row>
    <row r="111" spans="1:92" ht="15" thickBot="1" x14ac:dyDescent="0.35">
      <c r="A111" s="376" t="s">
        <v>161</v>
      </c>
      <c r="B111" s="376" t="s">
        <v>162</v>
      </c>
      <c r="C111" s="376" t="s">
        <v>542</v>
      </c>
      <c r="D111" s="376" t="s">
        <v>372</v>
      </c>
      <c r="E111" s="376" t="s">
        <v>535</v>
      </c>
      <c r="F111" s="382" t="s">
        <v>536</v>
      </c>
      <c r="G111" s="376" t="s">
        <v>356</v>
      </c>
      <c r="H111" s="378"/>
      <c r="I111" s="378"/>
      <c r="J111" s="376" t="s">
        <v>168</v>
      </c>
      <c r="K111" s="376" t="s">
        <v>373</v>
      </c>
      <c r="L111" s="376" t="s">
        <v>374</v>
      </c>
      <c r="M111" s="376" t="s">
        <v>170</v>
      </c>
      <c r="N111" s="376" t="s">
        <v>202</v>
      </c>
      <c r="O111" s="379">
        <v>1</v>
      </c>
      <c r="P111" s="460">
        <v>1</v>
      </c>
      <c r="Q111" s="460">
        <v>1</v>
      </c>
      <c r="R111" s="380">
        <v>80</v>
      </c>
      <c r="S111" s="460">
        <v>1</v>
      </c>
      <c r="T111" s="380">
        <v>19392.98</v>
      </c>
      <c r="U111" s="380">
        <v>0</v>
      </c>
      <c r="V111" s="380">
        <v>6837.08</v>
      </c>
      <c r="W111" s="380">
        <v>86715.199999999997</v>
      </c>
      <c r="X111" s="380">
        <v>31279.69</v>
      </c>
      <c r="Y111" s="380">
        <v>86715.199999999997</v>
      </c>
      <c r="Z111" s="380">
        <v>31054.23</v>
      </c>
      <c r="AA111" s="376" t="s">
        <v>543</v>
      </c>
      <c r="AB111" s="376" t="s">
        <v>544</v>
      </c>
      <c r="AC111" s="376" t="s">
        <v>231</v>
      </c>
      <c r="AD111" s="376" t="s">
        <v>545</v>
      </c>
      <c r="AE111" s="376" t="s">
        <v>373</v>
      </c>
      <c r="AF111" s="376" t="s">
        <v>378</v>
      </c>
      <c r="AG111" s="376" t="s">
        <v>177</v>
      </c>
      <c r="AH111" s="381">
        <v>41.69</v>
      </c>
      <c r="AI111" s="381">
        <v>50266.5</v>
      </c>
      <c r="AJ111" s="376" t="s">
        <v>178</v>
      </c>
      <c r="AK111" s="376" t="s">
        <v>179</v>
      </c>
      <c r="AL111" s="376" t="s">
        <v>180</v>
      </c>
      <c r="AM111" s="376" t="s">
        <v>181</v>
      </c>
      <c r="AN111" s="376" t="s">
        <v>68</v>
      </c>
      <c r="AO111" s="379">
        <v>80</v>
      </c>
      <c r="AP111" s="460">
        <v>1</v>
      </c>
      <c r="AQ111" s="460">
        <v>1</v>
      </c>
      <c r="AR111" s="458" t="s">
        <v>182</v>
      </c>
      <c r="AS111" s="462">
        <f t="shared" si="17"/>
        <v>1</v>
      </c>
      <c r="AT111">
        <f t="shared" si="18"/>
        <v>1</v>
      </c>
      <c r="AU111" s="462">
        <f>IF(AT111=0,"",IF(AND(AT111=1,M111="F",SUMIF(C2:C698,C111,AS2:AS698)&lt;=1),SUMIF(C2:C698,C111,AS2:AS698),IF(AND(AT111=1,M111="F",SUMIF(C2:C698,C111,AS2:AS698)&gt;1),1,"")))</f>
        <v>1</v>
      </c>
      <c r="AV111" s="462" t="str">
        <f>IF(AT111=0,"",IF(AND(AT111=3,M111="F",SUMIF(C2:C698,C111,AS2:AS698)&lt;=1),SUMIF(C2:C698,C111,AS2:AS698),IF(AND(AT111=3,M111="F",SUMIF(C2:C698,C111,AS2:AS698)&gt;1),1,"")))</f>
        <v/>
      </c>
      <c r="AW111" s="462">
        <f>SUMIF(C2:C698,C111,O2:O698)</f>
        <v>6</v>
      </c>
      <c r="AX111" s="462">
        <f>IF(AND(M111="F",AS111&lt;&gt;0),SUMIF(C2:C698,C111,W2:W698),0)</f>
        <v>86715.199999999997</v>
      </c>
      <c r="AY111" s="462">
        <f t="shared" si="19"/>
        <v>86715.199999999997</v>
      </c>
      <c r="AZ111" s="462" t="str">
        <f t="shared" si="20"/>
        <v/>
      </c>
      <c r="BA111" s="462">
        <f t="shared" si="21"/>
        <v>0</v>
      </c>
      <c r="BB111" s="462">
        <f>IF(AND(AT111=1,AK111="E",AU111&gt;=0.75,AW111=1),Health,IF(AND(AT111=1,AK111="E",AU111&gt;=0.75),Health*P111,IF(AND(AT111=1,AK111="E",AU111&gt;=0.5,AW111=1),PTHealth,IF(AND(AT111=1,AK111="E",AU111&gt;=0.5),PTHealth*P111,0))))</f>
        <v>11650</v>
      </c>
      <c r="BC111" s="462">
        <f>IF(AND(AT111=3,AK111="E",AV111&gt;=0.75,AW111=1),Health,IF(AND(AT111=3,AK111="E",AV111&gt;=0.75),Health*P111,IF(AND(AT111=3,AK111="E",AV111&gt;=0.5,AW111=1),PTHealth,IF(AND(AT111=3,AK111="E",AV111&gt;=0.5),PTHealth*P111,0))))</f>
        <v>0</v>
      </c>
      <c r="BD111" s="462">
        <f>IF(AND(AT111&lt;&gt;0,AX111&gt;=MAXSSDI),SSDI*MAXSSDI*P111,IF(AT111&lt;&gt;0,SSDI*W111,0))</f>
        <v>5376.3423999999995</v>
      </c>
      <c r="BE111" s="462">
        <f>IF(AT111&lt;&gt;0,SSHI*W111,0)</f>
        <v>1257.3704</v>
      </c>
      <c r="BF111" s="462">
        <f>IF(AND(AT111&lt;&gt;0,AN111&lt;&gt;"NE"),VLOOKUP(AN111,Retirement_Rates,3,FALSE)*W111,0)</f>
        <v>10353.794879999999</v>
      </c>
      <c r="BG111" s="462">
        <f>IF(AND(AT111&lt;&gt;0,AJ111&lt;&gt;"PF"),Life*W111,0)</f>
        <v>625.21659199999999</v>
      </c>
      <c r="BH111" s="462">
        <f>IF(AND(AT111&lt;&gt;0,AM111="Y"),UI*W111,0)</f>
        <v>424.90447999999998</v>
      </c>
      <c r="BI111" s="462">
        <f>IF(AND(AT111&lt;&gt;0,N111&lt;&gt;"NR"),DHR*W111,0)</f>
        <v>265.34851199999997</v>
      </c>
      <c r="BJ111" s="462">
        <f>IF(AT111&lt;&gt;0,WC*W111,0)</f>
        <v>1326.7425599999999</v>
      </c>
      <c r="BK111" s="462">
        <f>IF(OR(AND(AT111&lt;&gt;0,AJ111&lt;&gt;"PF",AN111&lt;&gt;"NE",AG111&lt;&gt;"A"),AND(AL111="E",OR(AT111=1,AT111=3))),Sick*W111,0)</f>
        <v>0</v>
      </c>
      <c r="BL111" s="462">
        <f t="shared" si="22"/>
        <v>19629.719824</v>
      </c>
      <c r="BM111" s="462">
        <f t="shared" si="23"/>
        <v>0</v>
      </c>
      <c r="BN111" s="462">
        <f>IF(AND(AT111=1,AK111="E",AU111&gt;=0.75,AW111=1),HealthBY,IF(AND(AT111=1,AK111="E",AU111&gt;=0.75),HealthBY*P111,IF(AND(AT111=1,AK111="E",AU111&gt;=0.5,AW111=1),PTHealthBY,IF(AND(AT111=1,AK111="E",AU111&gt;=0.5),PTHealthBY*P111,0))))</f>
        <v>11650</v>
      </c>
      <c r="BO111" s="462">
        <f>IF(AND(AT111=3,AK111="E",AV111&gt;=0.75,AW111=1),HealthBY,IF(AND(AT111=3,AK111="E",AV111&gt;=0.75),HealthBY*P111,IF(AND(AT111=3,AK111="E",AV111&gt;=0.5,AW111=1),PTHealthBY,IF(AND(AT111=3,AK111="E",AV111&gt;=0.5),PTHealthBY*P111,0))))</f>
        <v>0</v>
      </c>
      <c r="BP111" s="462">
        <f>IF(AND(AT111&lt;&gt;0,(AX111+BA111)&gt;=MAXSSDIBY),SSDIBY*MAXSSDIBY*P111,IF(AT111&lt;&gt;0,SSDIBY*W111,0))</f>
        <v>5376.3423999999995</v>
      </c>
      <c r="BQ111" s="462">
        <f>IF(AT111&lt;&gt;0,SSHIBY*W111,0)</f>
        <v>1257.3704</v>
      </c>
      <c r="BR111" s="462">
        <f>IF(AND(AT111&lt;&gt;0,AN111&lt;&gt;"NE"),VLOOKUP(AN111,Retirement_Rates,4,FALSE)*W111,0)</f>
        <v>10353.794879999999</v>
      </c>
      <c r="BS111" s="462">
        <f>IF(AND(AT111&lt;&gt;0,AJ111&lt;&gt;"PF"),LifeBY*W111,0)</f>
        <v>625.21659199999999</v>
      </c>
      <c r="BT111" s="462">
        <f>IF(AND(AT111&lt;&gt;0,AM111="Y"),UIBY*W111,0)</f>
        <v>0</v>
      </c>
      <c r="BU111" s="462">
        <f>IF(AND(AT111&lt;&gt;0,N111&lt;&gt;"NR"),DHRBY*W111,0)</f>
        <v>265.34851199999997</v>
      </c>
      <c r="BV111" s="462">
        <f>IF(AT111&lt;&gt;0,WCBY*W111,0)</f>
        <v>1526.1875199999999</v>
      </c>
      <c r="BW111" s="462">
        <f>IF(OR(AND(AT111&lt;&gt;0,AJ111&lt;&gt;"PF",AN111&lt;&gt;"NE",AG111&lt;&gt;"A"),AND(AL111="E",OR(AT111=1,AT111=3))),SickBY*W111,0)</f>
        <v>0</v>
      </c>
      <c r="BX111" s="462">
        <f t="shared" si="24"/>
        <v>19404.260303999999</v>
      </c>
      <c r="BY111" s="462">
        <f t="shared" si="25"/>
        <v>0</v>
      </c>
      <c r="BZ111" s="462">
        <f t="shared" si="26"/>
        <v>0</v>
      </c>
      <c r="CA111" s="462">
        <f t="shared" si="27"/>
        <v>0</v>
      </c>
      <c r="CB111" s="462">
        <f t="shared" si="28"/>
        <v>0</v>
      </c>
      <c r="CC111" s="462">
        <f>IF(AT111&lt;&gt;0,SSHICHG*Y111,0)</f>
        <v>0</v>
      </c>
      <c r="CD111" s="462">
        <f>IF(AND(AT111&lt;&gt;0,AN111&lt;&gt;"NE"),VLOOKUP(AN111,Retirement_Rates,5,FALSE)*Y111,0)</f>
        <v>0</v>
      </c>
      <c r="CE111" s="462">
        <f>IF(AND(AT111&lt;&gt;0,AJ111&lt;&gt;"PF"),LifeCHG*Y111,0)</f>
        <v>0</v>
      </c>
      <c r="CF111" s="462">
        <f>IF(AND(AT111&lt;&gt;0,AM111="Y"),UICHG*Y111,0)</f>
        <v>-424.90447999999998</v>
      </c>
      <c r="CG111" s="462">
        <f>IF(AND(AT111&lt;&gt;0,N111&lt;&gt;"NR"),DHRCHG*Y111,0)</f>
        <v>0</v>
      </c>
      <c r="CH111" s="462">
        <f>IF(AT111&lt;&gt;0,WCCHG*Y111,0)</f>
        <v>199.44496000000015</v>
      </c>
      <c r="CI111" s="462">
        <f>IF(OR(AND(AT111&lt;&gt;0,AJ111&lt;&gt;"PF",AN111&lt;&gt;"NE",AG111&lt;&gt;"A"),AND(AL111="E",OR(AT111=1,AT111=3))),SickCHG*Y111,0)</f>
        <v>0</v>
      </c>
      <c r="CJ111" s="462">
        <f t="shared" si="29"/>
        <v>-225.45951999999983</v>
      </c>
      <c r="CK111" s="462" t="str">
        <f t="shared" si="30"/>
        <v/>
      </c>
      <c r="CL111" s="462" t="str">
        <f t="shared" si="31"/>
        <v/>
      </c>
      <c r="CM111" s="462" t="str">
        <f t="shared" si="32"/>
        <v/>
      </c>
      <c r="CN111" s="462" t="str">
        <f t="shared" si="33"/>
        <v>0332-06</v>
      </c>
    </row>
    <row r="112" spans="1:92" ht="15" thickBot="1" x14ac:dyDescent="0.35">
      <c r="A112" s="376" t="s">
        <v>161</v>
      </c>
      <c r="B112" s="376" t="s">
        <v>162</v>
      </c>
      <c r="C112" s="376" t="s">
        <v>494</v>
      </c>
      <c r="D112" s="376" t="s">
        <v>467</v>
      </c>
      <c r="E112" s="376" t="s">
        <v>535</v>
      </c>
      <c r="F112" s="382" t="s">
        <v>536</v>
      </c>
      <c r="G112" s="376" t="s">
        <v>356</v>
      </c>
      <c r="H112" s="378"/>
      <c r="I112" s="378"/>
      <c r="J112" s="376" t="s">
        <v>185</v>
      </c>
      <c r="K112" s="376" t="s">
        <v>468</v>
      </c>
      <c r="L112" s="376" t="s">
        <v>224</v>
      </c>
      <c r="M112" s="376" t="s">
        <v>170</v>
      </c>
      <c r="N112" s="376" t="s">
        <v>202</v>
      </c>
      <c r="O112" s="379">
        <v>1</v>
      </c>
      <c r="P112" s="460">
        <v>0.25</v>
      </c>
      <c r="Q112" s="460">
        <v>0.25</v>
      </c>
      <c r="R112" s="380">
        <v>80</v>
      </c>
      <c r="S112" s="460">
        <v>0.25</v>
      </c>
      <c r="T112" s="380">
        <v>267.5</v>
      </c>
      <c r="U112" s="380">
        <v>0</v>
      </c>
      <c r="V112" s="380">
        <v>124.52</v>
      </c>
      <c r="W112" s="380">
        <v>13072.8</v>
      </c>
      <c r="X112" s="380">
        <v>5871.78</v>
      </c>
      <c r="Y112" s="380">
        <v>13072.8</v>
      </c>
      <c r="Z112" s="380">
        <v>5837.79</v>
      </c>
      <c r="AA112" s="376" t="s">
        <v>495</v>
      </c>
      <c r="AB112" s="376" t="s">
        <v>496</v>
      </c>
      <c r="AC112" s="376" t="s">
        <v>497</v>
      </c>
      <c r="AD112" s="376" t="s">
        <v>224</v>
      </c>
      <c r="AE112" s="376" t="s">
        <v>468</v>
      </c>
      <c r="AF112" s="376" t="s">
        <v>232</v>
      </c>
      <c r="AG112" s="376" t="s">
        <v>177</v>
      </c>
      <c r="AH112" s="381">
        <v>25.14</v>
      </c>
      <c r="AI112" s="379">
        <v>5960</v>
      </c>
      <c r="AJ112" s="376" t="s">
        <v>178</v>
      </c>
      <c r="AK112" s="376" t="s">
        <v>179</v>
      </c>
      <c r="AL112" s="376" t="s">
        <v>180</v>
      </c>
      <c r="AM112" s="376" t="s">
        <v>181</v>
      </c>
      <c r="AN112" s="376" t="s">
        <v>68</v>
      </c>
      <c r="AO112" s="379">
        <v>80</v>
      </c>
      <c r="AP112" s="460">
        <v>1</v>
      </c>
      <c r="AQ112" s="460">
        <v>0.25</v>
      </c>
      <c r="AR112" s="458" t="s">
        <v>182</v>
      </c>
      <c r="AS112" s="462">
        <f t="shared" si="17"/>
        <v>0.25</v>
      </c>
      <c r="AT112">
        <f t="shared" si="18"/>
        <v>1</v>
      </c>
      <c r="AU112" s="462">
        <f>IF(AT112=0,"",IF(AND(AT112=1,M112="F",SUMIF(C2:C698,C112,AS2:AS698)&lt;=1),SUMIF(C2:C698,C112,AS2:AS698),IF(AND(AT112=1,M112="F",SUMIF(C2:C698,C112,AS2:AS698)&gt;1),1,"")))</f>
        <v>1</v>
      </c>
      <c r="AV112" s="462" t="str">
        <f>IF(AT112=0,"",IF(AND(AT112=3,M112="F",SUMIF(C2:C698,C112,AS2:AS698)&lt;=1),SUMIF(C2:C698,C112,AS2:AS698),IF(AND(AT112=3,M112="F",SUMIF(C2:C698,C112,AS2:AS698)&gt;1),1,"")))</f>
        <v/>
      </c>
      <c r="AW112" s="462">
        <f>SUMIF(C2:C698,C112,O2:O698)</f>
        <v>3</v>
      </c>
      <c r="AX112" s="462">
        <f>IF(AND(M112="F",AS112&lt;&gt;0),SUMIF(C2:C698,C112,W2:W698),0)</f>
        <v>52291.199999999997</v>
      </c>
      <c r="AY112" s="462">
        <f t="shared" si="19"/>
        <v>13072.8</v>
      </c>
      <c r="AZ112" s="462" t="str">
        <f t="shared" si="20"/>
        <v/>
      </c>
      <c r="BA112" s="462">
        <f t="shared" si="21"/>
        <v>0</v>
      </c>
      <c r="BB112" s="462">
        <f>IF(AND(AT112=1,AK112="E",AU112&gt;=0.75,AW112=1),Health,IF(AND(AT112=1,AK112="E",AU112&gt;=0.75),Health*P112,IF(AND(AT112=1,AK112="E",AU112&gt;=0.5,AW112=1),PTHealth,IF(AND(AT112=1,AK112="E",AU112&gt;=0.5),PTHealth*P112,0))))</f>
        <v>2912.5</v>
      </c>
      <c r="BC112" s="462">
        <f>IF(AND(AT112=3,AK112="E",AV112&gt;=0.75,AW112=1),Health,IF(AND(AT112=3,AK112="E",AV112&gt;=0.75),Health*P112,IF(AND(AT112=3,AK112="E",AV112&gt;=0.5,AW112=1),PTHealth,IF(AND(AT112=3,AK112="E",AV112&gt;=0.5),PTHealth*P112,0))))</f>
        <v>0</v>
      </c>
      <c r="BD112" s="462">
        <f>IF(AND(AT112&lt;&gt;0,AX112&gt;=MAXSSDI),SSDI*MAXSSDI*P112,IF(AT112&lt;&gt;0,SSDI*W112,0))</f>
        <v>810.5136</v>
      </c>
      <c r="BE112" s="462">
        <f>IF(AT112&lt;&gt;0,SSHI*W112,0)</f>
        <v>189.5556</v>
      </c>
      <c r="BF112" s="462">
        <f>IF(AND(AT112&lt;&gt;0,AN112&lt;&gt;"NE"),VLOOKUP(AN112,Retirement_Rates,3,FALSE)*W112,0)</f>
        <v>1560.8923199999999</v>
      </c>
      <c r="BG112" s="462">
        <f>IF(AND(AT112&lt;&gt;0,AJ112&lt;&gt;"PF"),Life*W112,0)</f>
        <v>94.254887999999994</v>
      </c>
      <c r="BH112" s="462">
        <f>IF(AND(AT112&lt;&gt;0,AM112="Y"),UI*W112,0)</f>
        <v>64.056719999999999</v>
      </c>
      <c r="BI112" s="462">
        <f>IF(AND(AT112&lt;&gt;0,N112&lt;&gt;"NR"),DHR*W112,0)</f>
        <v>40.002767999999996</v>
      </c>
      <c r="BJ112" s="462">
        <f>IF(AT112&lt;&gt;0,WC*W112,0)</f>
        <v>200.01383999999999</v>
      </c>
      <c r="BK112" s="462">
        <f>IF(OR(AND(AT112&lt;&gt;0,AJ112&lt;&gt;"PF",AN112&lt;&gt;"NE",AG112&lt;&gt;"A"),AND(AL112="E",OR(AT112=1,AT112=3))),Sick*W112,0)</f>
        <v>0</v>
      </c>
      <c r="BL112" s="462">
        <f t="shared" si="22"/>
        <v>2959.2897359999997</v>
      </c>
      <c r="BM112" s="462">
        <f t="shared" si="23"/>
        <v>0</v>
      </c>
      <c r="BN112" s="462">
        <f>IF(AND(AT112=1,AK112="E",AU112&gt;=0.75,AW112=1),HealthBY,IF(AND(AT112=1,AK112="E",AU112&gt;=0.75),HealthBY*P112,IF(AND(AT112=1,AK112="E",AU112&gt;=0.5,AW112=1),PTHealthBY,IF(AND(AT112=1,AK112="E",AU112&gt;=0.5),PTHealthBY*P112,0))))</f>
        <v>2912.5</v>
      </c>
      <c r="BO112" s="462">
        <f>IF(AND(AT112=3,AK112="E",AV112&gt;=0.75,AW112=1),HealthBY,IF(AND(AT112=3,AK112="E",AV112&gt;=0.75),HealthBY*P112,IF(AND(AT112=3,AK112="E",AV112&gt;=0.5,AW112=1),PTHealthBY,IF(AND(AT112=3,AK112="E",AV112&gt;=0.5),PTHealthBY*P112,0))))</f>
        <v>0</v>
      </c>
      <c r="BP112" s="462">
        <f>IF(AND(AT112&lt;&gt;0,(AX112+BA112)&gt;=MAXSSDIBY),SSDIBY*MAXSSDIBY*P112,IF(AT112&lt;&gt;0,SSDIBY*W112,0))</f>
        <v>810.5136</v>
      </c>
      <c r="BQ112" s="462">
        <f>IF(AT112&lt;&gt;0,SSHIBY*W112,0)</f>
        <v>189.5556</v>
      </c>
      <c r="BR112" s="462">
        <f>IF(AND(AT112&lt;&gt;0,AN112&lt;&gt;"NE"),VLOOKUP(AN112,Retirement_Rates,4,FALSE)*W112,0)</f>
        <v>1560.8923199999999</v>
      </c>
      <c r="BS112" s="462">
        <f>IF(AND(AT112&lt;&gt;0,AJ112&lt;&gt;"PF"),LifeBY*W112,0)</f>
        <v>94.254887999999994</v>
      </c>
      <c r="BT112" s="462">
        <f>IF(AND(AT112&lt;&gt;0,AM112="Y"),UIBY*W112,0)</f>
        <v>0</v>
      </c>
      <c r="BU112" s="462">
        <f>IF(AND(AT112&lt;&gt;0,N112&lt;&gt;"NR"),DHRBY*W112,0)</f>
        <v>40.002767999999996</v>
      </c>
      <c r="BV112" s="462">
        <f>IF(AT112&lt;&gt;0,WCBY*W112,0)</f>
        <v>230.08127999999999</v>
      </c>
      <c r="BW112" s="462">
        <f>IF(OR(AND(AT112&lt;&gt;0,AJ112&lt;&gt;"PF",AN112&lt;&gt;"NE",AG112&lt;&gt;"A"),AND(AL112="E",OR(AT112=1,AT112=3))),SickBY*W112,0)</f>
        <v>0</v>
      </c>
      <c r="BX112" s="462">
        <f t="shared" si="24"/>
        <v>2925.3004559999995</v>
      </c>
      <c r="BY112" s="462">
        <f t="shared" si="25"/>
        <v>0</v>
      </c>
      <c r="BZ112" s="462">
        <f t="shared" si="26"/>
        <v>0</v>
      </c>
      <c r="CA112" s="462">
        <f t="shared" si="27"/>
        <v>0</v>
      </c>
      <c r="CB112" s="462">
        <f t="shared" si="28"/>
        <v>0</v>
      </c>
      <c r="CC112" s="462">
        <f>IF(AT112&lt;&gt;0,SSHICHG*Y112,0)</f>
        <v>0</v>
      </c>
      <c r="CD112" s="462">
        <f>IF(AND(AT112&lt;&gt;0,AN112&lt;&gt;"NE"),VLOOKUP(AN112,Retirement_Rates,5,FALSE)*Y112,0)</f>
        <v>0</v>
      </c>
      <c r="CE112" s="462">
        <f>IF(AND(AT112&lt;&gt;0,AJ112&lt;&gt;"PF"),LifeCHG*Y112,0)</f>
        <v>0</v>
      </c>
      <c r="CF112" s="462">
        <f>IF(AND(AT112&lt;&gt;0,AM112="Y"),UICHG*Y112,0)</f>
        <v>-64.056719999999999</v>
      </c>
      <c r="CG112" s="462">
        <f>IF(AND(AT112&lt;&gt;0,N112&lt;&gt;"NR"),DHRCHG*Y112,0)</f>
        <v>0</v>
      </c>
      <c r="CH112" s="462">
        <f>IF(AT112&lt;&gt;0,WCCHG*Y112,0)</f>
        <v>30.067440000000019</v>
      </c>
      <c r="CI112" s="462">
        <f>IF(OR(AND(AT112&lt;&gt;0,AJ112&lt;&gt;"PF",AN112&lt;&gt;"NE",AG112&lt;&gt;"A"),AND(AL112="E",OR(AT112=1,AT112=3))),SickCHG*Y112,0)</f>
        <v>0</v>
      </c>
      <c r="CJ112" s="462">
        <f t="shared" si="29"/>
        <v>-33.98927999999998</v>
      </c>
      <c r="CK112" s="462" t="str">
        <f t="shared" si="30"/>
        <v/>
      </c>
      <c r="CL112" s="462" t="str">
        <f t="shared" si="31"/>
        <v/>
      </c>
      <c r="CM112" s="462" t="str">
        <f t="shared" si="32"/>
        <v/>
      </c>
      <c r="CN112" s="462" t="str">
        <f t="shared" si="33"/>
        <v>0332-06</v>
      </c>
    </row>
    <row r="113" spans="1:92" ht="15" thickBot="1" x14ac:dyDescent="0.35">
      <c r="A113" s="376" t="s">
        <v>161</v>
      </c>
      <c r="B113" s="376" t="s">
        <v>162</v>
      </c>
      <c r="C113" s="376" t="s">
        <v>498</v>
      </c>
      <c r="D113" s="376" t="s">
        <v>418</v>
      </c>
      <c r="E113" s="376" t="s">
        <v>535</v>
      </c>
      <c r="F113" s="382" t="s">
        <v>536</v>
      </c>
      <c r="G113" s="376" t="s">
        <v>356</v>
      </c>
      <c r="H113" s="378"/>
      <c r="I113" s="378"/>
      <c r="J113" s="376" t="s">
        <v>168</v>
      </c>
      <c r="K113" s="376" t="s">
        <v>419</v>
      </c>
      <c r="L113" s="376" t="s">
        <v>177</v>
      </c>
      <c r="M113" s="376" t="s">
        <v>170</v>
      </c>
      <c r="N113" s="376" t="s">
        <v>202</v>
      </c>
      <c r="O113" s="379">
        <v>1</v>
      </c>
      <c r="P113" s="460">
        <v>1</v>
      </c>
      <c r="Q113" s="460">
        <v>1</v>
      </c>
      <c r="R113" s="380">
        <v>80</v>
      </c>
      <c r="S113" s="460">
        <v>1</v>
      </c>
      <c r="T113" s="380">
        <v>144.5</v>
      </c>
      <c r="U113" s="380">
        <v>0</v>
      </c>
      <c r="V113" s="380">
        <v>90.39</v>
      </c>
      <c r="W113" s="380">
        <v>32240</v>
      </c>
      <c r="X113" s="380">
        <v>18948.150000000001</v>
      </c>
      <c r="Y113" s="380">
        <v>32240</v>
      </c>
      <c r="Z113" s="380">
        <v>18864.330000000002</v>
      </c>
      <c r="AA113" s="376" t="s">
        <v>499</v>
      </c>
      <c r="AB113" s="376" t="s">
        <v>500</v>
      </c>
      <c r="AC113" s="376" t="s">
        <v>501</v>
      </c>
      <c r="AD113" s="376" t="s">
        <v>278</v>
      </c>
      <c r="AE113" s="376" t="s">
        <v>419</v>
      </c>
      <c r="AF113" s="376" t="s">
        <v>436</v>
      </c>
      <c r="AG113" s="376" t="s">
        <v>177</v>
      </c>
      <c r="AH113" s="381">
        <v>15.5</v>
      </c>
      <c r="AI113" s="381">
        <v>1367.3</v>
      </c>
      <c r="AJ113" s="376" t="s">
        <v>178</v>
      </c>
      <c r="AK113" s="376" t="s">
        <v>179</v>
      </c>
      <c r="AL113" s="376" t="s">
        <v>180</v>
      </c>
      <c r="AM113" s="376" t="s">
        <v>181</v>
      </c>
      <c r="AN113" s="376" t="s">
        <v>68</v>
      </c>
      <c r="AO113" s="379">
        <v>80</v>
      </c>
      <c r="AP113" s="460">
        <v>1</v>
      </c>
      <c r="AQ113" s="460">
        <v>1</v>
      </c>
      <c r="AR113" s="458" t="s">
        <v>182</v>
      </c>
      <c r="AS113" s="462">
        <f t="shared" si="17"/>
        <v>1</v>
      </c>
      <c r="AT113">
        <f t="shared" si="18"/>
        <v>1</v>
      </c>
      <c r="AU113" s="462">
        <f>IF(AT113=0,"",IF(AND(AT113=1,M113="F",SUMIF(C2:C698,C113,AS2:AS698)&lt;=1),SUMIF(C2:C698,C113,AS2:AS698),IF(AND(AT113=1,M113="F",SUMIF(C2:C698,C113,AS2:AS698)&gt;1),1,"")))</f>
        <v>1</v>
      </c>
      <c r="AV113" s="462" t="str">
        <f>IF(AT113=0,"",IF(AND(AT113=3,M113="F",SUMIF(C2:C698,C113,AS2:AS698)&lt;=1),SUMIF(C2:C698,C113,AS2:AS698),IF(AND(AT113=3,M113="F",SUMIF(C2:C698,C113,AS2:AS698)&gt;1),1,"")))</f>
        <v/>
      </c>
      <c r="AW113" s="462">
        <f>SUMIF(C2:C698,C113,O2:O698)</f>
        <v>4</v>
      </c>
      <c r="AX113" s="462">
        <f>IF(AND(M113="F",AS113&lt;&gt;0),SUMIF(C2:C698,C113,W2:W698),0)</f>
        <v>32240</v>
      </c>
      <c r="AY113" s="462">
        <f t="shared" si="19"/>
        <v>32240</v>
      </c>
      <c r="AZ113" s="462" t="str">
        <f t="shared" si="20"/>
        <v/>
      </c>
      <c r="BA113" s="462">
        <f t="shared" si="21"/>
        <v>0</v>
      </c>
      <c r="BB113" s="462">
        <f>IF(AND(AT113=1,AK113="E",AU113&gt;=0.75,AW113=1),Health,IF(AND(AT113=1,AK113="E",AU113&gt;=0.75),Health*P113,IF(AND(AT113=1,AK113="E",AU113&gt;=0.5,AW113=1),PTHealth,IF(AND(AT113=1,AK113="E",AU113&gt;=0.5),PTHealth*P113,0))))</f>
        <v>11650</v>
      </c>
      <c r="BC113" s="462">
        <f>IF(AND(AT113=3,AK113="E",AV113&gt;=0.75,AW113=1),Health,IF(AND(AT113=3,AK113="E",AV113&gt;=0.75),Health*P113,IF(AND(AT113=3,AK113="E",AV113&gt;=0.5,AW113=1),PTHealth,IF(AND(AT113=3,AK113="E",AV113&gt;=0.5),PTHealth*P113,0))))</f>
        <v>0</v>
      </c>
      <c r="BD113" s="462">
        <f>IF(AND(AT113&lt;&gt;0,AX113&gt;=MAXSSDI),SSDI*MAXSSDI*P113,IF(AT113&lt;&gt;0,SSDI*W113,0))</f>
        <v>1998.8799999999999</v>
      </c>
      <c r="BE113" s="462">
        <f>IF(AT113&lt;&gt;0,SSHI*W113,0)</f>
        <v>467.48</v>
      </c>
      <c r="BF113" s="462">
        <f>IF(AND(AT113&lt;&gt;0,AN113&lt;&gt;"NE"),VLOOKUP(AN113,Retirement_Rates,3,FALSE)*W113,0)</f>
        <v>3849.4560000000001</v>
      </c>
      <c r="BG113" s="462">
        <f>IF(AND(AT113&lt;&gt;0,AJ113&lt;&gt;"PF"),Life*W113,0)</f>
        <v>232.4504</v>
      </c>
      <c r="BH113" s="462">
        <f>IF(AND(AT113&lt;&gt;0,AM113="Y"),UI*W113,0)</f>
        <v>157.976</v>
      </c>
      <c r="BI113" s="462">
        <f>IF(AND(AT113&lt;&gt;0,N113&lt;&gt;"NR"),DHR*W113,0)</f>
        <v>98.654399999999995</v>
      </c>
      <c r="BJ113" s="462">
        <f>IF(AT113&lt;&gt;0,WC*W113,0)</f>
        <v>493.27199999999999</v>
      </c>
      <c r="BK113" s="462">
        <f>IF(OR(AND(AT113&lt;&gt;0,AJ113&lt;&gt;"PF",AN113&lt;&gt;"NE",AG113&lt;&gt;"A"),AND(AL113="E",OR(AT113=1,AT113=3))),Sick*W113,0)</f>
        <v>0</v>
      </c>
      <c r="BL113" s="462">
        <f t="shared" si="22"/>
        <v>7298.1687999999995</v>
      </c>
      <c r="BM113" s="462">
        <f t="shared" si="23"/>
        <v>0</v>
      </c>
      <c r="BN113" s="462">
        <f>IF(AND(AT113=1,AK113="E",AU113&gt;=0.75,AW113=1),HealthBY,IF(AND(AT113=1,AK113="E",AU113&gt;=0.75),HealthBY*P113,IF(AND(AT113=1,AK113="E",AU113&gt;=0.5,AW113=1),PTHealthBY,IF(AND(AT113=1,AK113="E",AU113&gt;=0.5),PTHealthBY*P113,0))))</f>
        <v>11650</v>
      </c>
      <c r="BO113" s="462">
        <f>IF(AND(AT113=3,AK113="E",AV113&gt;=0.75,AW113=1),HealthBY,IF(AND(AT113=3,AK113="E",AV113&gt;=0.75),HealthBY*P113,IF(AND(AT113=3,AK113="E",AV113&gt;=0.5,AW113=1),PTHealthBY,IF(AND(AT113=3,AK113="E",AV113&gt;=0.5),PTHealthBY*P113,0))))</f>
        <v>0</v>
      </c>
      <c r="BP113" s="462">
        <f>IF(AND(AT113&lt;&gt;0,(AX113+BA113)&gt;=MAXSSDIBY),SSDIBY*MAXSSDIBY*P113,IF(AT113&lt;&gt;0,SSDIBY*W113,0))</f>
        <v>1998.8799999999999</v>
      </c>
      <c r="BQ113" s="462">
        <f>IF(AT113&lt;&gt;0,SSHIBY*W113,0)</f>
        <v>467.48</v>
      </c>
      <c r="BR113" s="462">
        <f>IF(AND(AT113&lt;&gt;0,AN113&lt;&gt;"NE"),VLOOKUP(AN113,Retirement_Rates,4,FALSE)*W113,0)</f>
        <v>3849.4560000000001</v>
      </c>
      <c r="BS113" s="462">
        <f>IF(AND(AT113&lt;&gt;0,AJ113&lt;&gt;"PF"),LifeBY*W113,0)</f>
        <v>232.4504</v>
      </c>
      <c r="BT113" s="462">
        <f>IF(AND(AT113&lt;&gt;0,AM113="Y"),UIBY*W113,0)</f>
        <v>0</v>
      </c>
      <c r="BU113" s="462">
        <f>IF(AND(AT113&lt;&gt;0,N113&lt;&gt;"NR"),DHRBY*W113,0)</f>
        <v>98.654399999999995</v>
      </c>
      <c r="BV113" s="462">
        <f>IF(AT113&lt;&gt;0,WCBY*W113,0)</f>
        <v>567.42399999999998</v>
      </c>
      <c r="BW113" s="462">
        <f>IF(OR(AND(AT113&lt;&gt;0,AJ113&lt;&gt;"PF",AN113&lt;&gt;"NE",AG113&lt;&gt;"A"),AND(AL113="E",OR(AT113=1,AT113=3))),SickBY*W113,0)</f>
        <v>0</v>
      </c>
      <c r="BX113" s="462">
        <f t="shared" si="24"/>
        <v>7214.3447999999999</v>
      </c>
      <c r="BY113" s="462">
        <f t="shared" si="25"/>
        <v>0</v>
      </c>
      <c r="BZ113" s="462">
        <f t="shared" si="26"/>
        <v>0</v>
      </c>
      <c r="CA113" s="462">
        <f t="shared" si="27"/>
        <v>0</v>
      </c>
      <c r="CB113" s="462">
        <f t="shared" si="28"/>
        <v>0</v>
      </c>
      <c r="CC113" s="462">
        <f>IF(AT113&lt;&gt;0,SSHICHG*Y113,0)</f>
        <v>0</v>
      </c>
      <c r="CD113" s="462">
        <f>IF(AND(AT113&lt;&gt;0,AN113&lt;&gt;"NE"),VLOOKUP(AN113,Retirement_Rates,5,FALSE)*Y113,0)</f>
        <v>0</v>
      </c>
      <c r="CE113" s="462">
        <f>IF(AND(AT113&lt;&gt;0,AJ113&lt;&gt;"PF"),LifeCHG*Y113,0)</f>
        <v>0</v>
      </c>
      <c r="CF113" s="462">
        <f>IF(AND(AT113&lt;&gt;0,AM113="Y"),UICHG*Y113,0)</f>
        <v>-157.976</v>
      </c>
      <c r="CG113" s="462">
        <f>IF(AND(AT113&lt;&gt;0,N113&lt;&gt;"NR"),DHRCHG*Y113,0)</f>
        <v>0</v>
      </c>
      <c r="CH113" s="462">
        <f>IF(AT113&lt;&gt;0,WCCHG*Y113,0)</f>
        <v>74.152000000000058</v>
      </c>
      <c r="CI113" s="462">
        <f>IF(OR(AND(AT113&lt;&gt;0,AJ113&lt;&gt;"PF",AN113&lt;&gt;"NE",AG113&lt;&gt;"A"),AND(AL113="E",OR(AT113=1,AT113=3))),SickCHG*Y113,0)</f>
        <v>0</v>
      </c>
      <c r="CJ113" s="462">
        <f t="shared" si="29"/>
        <v>-83.823999999999941</v>
      </c>
      <c r="CK113" s="462" t="str">
        <f t="shared" si="30"/>
        <v/>
      </c>
      <c r="CL113" s="462" t="str">
        <f t="shared" si="31"/>
        <v/>
      </c>
      <c r="CM113" s="462" t="str">
        <f t="shared" si="32"/>
        <v/>
      </c>
      <c r="CN113" s="462" t="str">
        <f t="shared" si="33"/>
        <v>0332-06</v>
      </c>
    </row>
    <row r="114" spans="1:92" ht="15" thickBot="1" x14ac:dyDescent="0.35">
      <c r="A114" s="376" t="s">
        <v>161</v>
      </c>
      <c r="B114" s="376" t="s">
        <v>162</v>
      </c>
      <c r="C114" s="376" t="s">
        <v>502</v>
      </c>
      <c r="D114" s="376" t="s">
        <v>418</v>
      </c>
      <c r="E114" s="376" t="s">
        <v>535</v>
      </c>
      <c r="F114" s="382" t="s">
        <v>536</v>
      </c>
      <c r="G114" s="376" t="s">
        <v>356</v>
      </c>
      <c r="H114" s="378"/>
      <c r="I114" s="378"/>
      <c r="J114" s="376" t="s">
        <v>168</v>
      </c>
      <c r="K114" s="376" t="s">
        <v>419</v>
      </c>
      <c r="L114" s="376" t="s">
        <v>177</v>
      </c>
      <c r="M114" s="376" t="s">
        <v>170</v>
      </c>
      <c r="N114" s="376" t="s">
        <v>202</v>
      </c>
      <c r="O114" s="379">
        <v>1</v>
      </c>
      <c r="P114" s="460">
        <v>1</v>
      </c>
      <c r="Q114" s="460">
        <v>1</v>
      </c>
      <c r="R114" s="380">
        <v>80</v>
      </c>
      <c r="S114" s="460">
        <v>1</v>
      </c>
      <c r="T114" s="380">
        <v>0</v>
      </c>
      <c r="U114" s="380">
        <v>0</v>
      </c>
      <c r="V114" s="380">
        <v>0</v>
      </c>
      <c r="W114" s="380">
        <v>33134.400000000001</v>
      </c>
      <c r="X114" s="380">
        <v>19150.59</v>
      </c>
      <c r="Y114" s="380">
        <v>33134.400000000001</v>
      </c>
      <c r="Z114" s="380">
        <v>19064.45</v>
      </c>
      <c r="AA114" s="376" t="s">
        <v>503</v>
      </c>
      <c r="AB114" s="376" t="s">
        <v>218</v>
      </c>
      <c r="AC114" s="376" t="s">
        <v>504</v>
      </c>
      <c r="AD114" s="376" t="s">
        <v>215</v>
      </c>
      <c r="AE114" s="376" t="s">
        <v>419</v>
      </c>
      <c r="AF114" s="376" t="s">
        <v>436</v>
      </c>
      <c r="AG114" s="376" t="s">
        <v>177</v>
      </c>
      <c r="AH114" s="381">
        <v>15.93</v>
      </c>
      <c r="AI114" s="381">
        <v>5922.8</v>
      </c>
      <c r="AJ114" s="376" t="s">
        <v>178</v>
      </c>
      <c r="AK114" s="376" t="s">
        <v>179</v>
      </c>
      <c r="AL114" s="376" t="s">
        <v>180</v>
      </c>
      <c r="AM114" s="376" t="s">
        <v>181</v>
      </c>
      <c r="AN114" s="376" t="s">
        <v>68</v>
      </c>
      <c r="AO114" s="379">
        <v>80</v>
      </c>
      <c r="AP114" s="460">
        <v>1</v>
      </c>
      <c r="AQ114" s="460">
        <v>1</v>
      </c>
      <c r="AR114" s="458" t="s">
        <v>182</v>
      </c>
      <c r="AS114" s="462">
        <f t="shared" si="17"/>
        <v>1</v>
      </c>
      <c r="AT114">
        <f t="shared" si="18"/>
        <v>1</v>
      </c>
      <c r="AU114" s="462">
        <f>IF(AT114=0,"",IF(AND(AT114=1,M114="F",SUMIF(C2:C698,C114,AS2:AS698)&lt;=1),SUMIF(C2:C698,C114,AS2:AS698),IF(AND(AT114=1,M114="F",SUMIF(C2:C698,C114,AS2:AS698)&gt;1),1,"")))</f>
        <v>1</v>
      </c>
      <c r="AV114" s="462" t="str">
        <f>IF(AT114=0,"",IF(AND(AT114=3,M114="F",SUMIF(C2:C698,C114,AS2:AS698)&lt;=1),SUMIF(C2:C698,C114,AS2:AS698),IF(AND(AT114=3,M114="F",SUMIF(C2:C698,C114,AS2:AS698)&gt;1),1,"")))</f>
        <v/>
      </c>
      <c r="AW114" s="462">
        <f>SUMIF(C2:C698,C114,O2:O698)</f>
        <v>4</v>
      </c>
      <c r="AX114" s="462">
        <f>IF(AND(M114="F",AS114&lt;&gt;0),SUMIF(C2:C698,C114,W2:W698),0)</f>
        <v>33134.400000000001</v>
      </c>
      <c r="AY114" s="462">
        <f t="shared" si="19"/>
        <v>33134.400000000001</v>
      </c>
      <c r="AZ114" s="462" t="str">
        <f t="shared" si="20"/>
        <v/>
      </c>
      <c r="BA114" s="462">
        <f t="shared" si="21"/>
        <v>0</v>
      </c>
      <c r="BB114" s="462">
        <f>IF(AND(AT114=1,AK114="E",AU114&gt;=0.75,AW114=1),Health,IF(AND(AT114=1,AK114="E",AU114&gt;=0.75),Health*P114,IF(AND(AT114=1,AK114="E",AU114&gt;=0.5,AW114=1),PTHealth,IF(AND(AT114=1,AK114="E",AU114&gt;=0.5),PTHealth*P114,0))))</f>
        <v>11650</v>
      </c>
      <c r="BC114" s="462">
        <f>IF(AND(AT114=3,AK114="E",AV114&gt;=0.75,AW114=1),Health,IF(AND(AT114=3,AK114="E",AV114&gt;=0.75),Health*P114,IF(AND(AT114=3,AK114="E",AV114&gt;=0.5,AW114=1),PTHealth,IF(AND(AT114=3,AK114="E",AV114&gt;=0.5),PTHealth*P114,0))))</f>
        <v>0</v>
      </c>
      <c r="BD114" s="462">
        <f>IF(AND(AT114&lt;&gt;0,AX114&gt;=MAXSSDI),SSDI*MAXSSDI*P114,IF(AT114&lt;&gt;0,SSDI*W114,0))</f>
        <v>2054.3328000000001</v>
      </c>
      <c r="BE114" s="462">
        <f>IF(AT114&lt;&gt;0,SSHI*W114,0)</f>
        <v>480.44880000000006</v>
      </c>
      <c r="BF114" s="462">
        <f>IF(AND(AT114&lt;&gt;0,AN114&lt;&gt;"NE"),VLOOKUP(AN114,Retirement_Rates,3,FALSE)*W114,0)</f>
        <v>3956.2473600000003</v>
      </c>
      <c r="BG114" s="462">
        <f>IF(AND(AT114&lt;&gt;0,AJ114&lt;&gt;"PF"),Life*W114,0)</f>
        <v>238.89902400000003</v>
      </c>
      <c r="BH114" s="462">
        <f>IF(AND(AT114&lt;&gt;0,AM114="Y"),UI*W114,0)</f>
        <v>162.35856000000001</v>
      </c>
      <c r="BI114" s="462">
        <f>IF(AND(AT114&lt;&gt;0,N114&lt;&gt;"NR"),DHR*W114,0)</f>
        <v>101.39126399999999</v>
      </c>
      <c r="BJ114" s="462">
        <f>IF(AT114&lt;&gt;0,WC*W114,0)</f>
        <v>506.95632000000001</v>
      </c>
      <c r="BK114" s="462">
        <f>IF(OR(AND(AT114&lt;&gt;0,AJ114&lt;&gt;"PF",AN114&lt;&gt;"NE",AG114&lt;&gt;"A"),AND(AL114="E",OR(AT114=1,AT114=3))),Sick*W114,0)</f>
        <v>0</v>
      </c>
      <c r="BL114" s="462">
        <f t="shared" si="22"/>
        <v>7500.6341280000006</v>
      </c>
      <c r="BM114" s="462">
        <f t="shared" si="23"/>
        <v>0</v>
      </c>
      <c r="BN114" s="462">
        <f>IF(AND(AT114=1,AK114="E",AU114&gt;=0.75,AW114=1),HealthBY,IF(AND(AT114=1,AK114="E",AU114&gt;=0.75),HealthBY*P114,IF(AND(AT114=1,AK114="E",AU114&gt;=0.5,AW114=1),PTHealthBY,IF(AND(AT114=1,AK114="E",AU114&gt;=0.5),PTHealthBY*P114,0))))</f>
        <v>11650</v>
      </c>
      <c r="BO114" s="462">
        <f>IF(AND(AT114=3,AK114="E",AV114&gt;=0.75,AW114=1),HealthBY,IF(AND(AT114=3,AK114="E",AV114&gt;=0.75),HealthBY*P114,IF(AND(AT114=3,AK114="E",AV114&gt;=0.5,AW114=1),PTHealthBY,IF(AND(AT114=3,AK114="E",AV114&gt;=0.5),PTHealthBY*P114,0))))</f>
        <v>0</v>
      </c>
      <c r="BP114" s="462">
        <f>IF(AND(AT114&lt;&gt;0,(AX114+BA114)&gt;=MAXSSDIBY),SSDIBY*MAXSSDIBY*P114,IF(AT114&lt;&gt;0,SSDIBY*W114,0))</f>
        <v>2054.3328000000001</v>
      </c>
      <c r="BQ114" s="462">
        <f>IF(AT114&lt;&gt;0,SSHIBY*W114,0)</f>
        <v>480.44880000000006</v>
      </c>
      <c r="BR114" s="462">
        <f>IF(AND(AT114&lt;&gt;0,AN114&lt;&gt;"NE"),VLOOKUP(AN114,Retirement_Rates,4,FALSE)*W114,0)</f>
        <v>3956.2473600000003</v>
      </c>
      <c r="BS114" s="462">
        <f>IF(AND(AT114&lt;&gt;0,AJ114&lt;&gt;"PF"),LifeBY*W114,0)</f>
        <v>238.89902400000003</v>
      </c>
      <c r="BT114" s="462">
        <f>IF(AND(AT114&lt;&gt;0,AM114="Y"),UIBY*W114,0)</f>
        <v>0</v>
      </c>
      <c r="BU114" s="462">
        <f>IF(AND(AT114&lt;&gt;0,N114&lt;&gt;"NR"),DHRBY*W114,0)</f>
        <v>101.39126399999999</v>
      </c>
      <c r="BV114" s="462">
        <f>IF(AT114&lt;&gt;0,WCBY*W114,0)</f>
        <v>583.1654400000001</v>
      </c>
      <c r="BW114" s="462">
        <f>IF(OR(AND(AT114&lt;&gt;0,AJ114&lt;&gt;"PF",AN114&lt;&gt;"NE",AG114&lt;&gt;"A"),AND(AL114="E",OR(AT114=1,AT114=3))),SickBY*W114,0)</f>
        <v>0</v>
      </c>
      <c r="BX114" s="462">
        <f t="shared" si="24"/>
        <v>7414.4846880000005</v>
      </c>
      <c r="BY114" s="462">
        <f t="shared" si="25"/>
        <v>0</v>
      </c>
      <c r="BZ114" s="462">
        <f t="shared" si="26"/>
        <v>0</v>
      </c>
      <c r="CA114" s="462">
        <f t="shared" si="27"/>
        <v>0</v>
      </c>
      <c r="CB114" s="462">
        <f t="shared" si="28"/>
        <v>0</v>
      </c>
      <c r="CC114" s="462">
        <f>IF(AT114&lt;&gt;0,SSHICHG*Y114,0)</f>
        <v>0</v>
      </c>
      <c r="CD114" s="462">
        <f>IF(AND(AT114&lt;&gt;0,AN114&lt;&gt;"NE"),VLOOKUP(AN114,Retirement_Rates,5,FALSE)*Y114,0)</f>
        <v>0</v>
      </c>
      <c r="CE114" s="462">
        <f>IF(AND(AT114&lt;&gt;0,AJ114&lt;&gt;"PF"),LifeCHG*Y114,0)</f>
        <v>0</v>
      </c>
      <c r="CF114" s="462">
        <f>IF(AND(AT114&lt;&gt;0,AM114="Y"),UICHG*Y114,0)</f>
        <v>-162.35856000000001</v>
      </c>
      <c r="CG114" s="462">
        <f>IF(AND(AT114&lt;&gt;0,N114&lt;&gt;"NR"),DHRCHG*Y114,0)</f>
        <v>0</v>
      </c>
      <c r="CH114" s="462">
        <f>IF(AT114&lt;&gt;0,WCCHG*Y114,0)</f>
        <v>76.209120000000055</v>
      </c>
      <c r="CI114" s="462">
        <f>IF(OR(AND(AT114&lt;&gt;0,AJ114&lt;&gt;"PF",AN114&lt;&gt;"NE",AG114&lt;&gt;"A"),AND(AL114="E",OR(AT114=1,AT114=3))),SickCHG*Y114,0)</f>
        <v>0</v>
      </c>
      <c r="CJ114" s="462">
        <f t="shared" si="29"/>
        <v>-86.149439999999956</v>
      </c>
      <c r="CK114" s="462" t="str">
        <f t="shared" si="30"/>
        <v/>
      </c>
      <c r="CL114" s="462" t="str">
        <f t="shared" si="31"/>
        <v/>
      </c>
      <c r="CM114" s="462" t="str">
        <f t="shared" si="32"/>
        <v/>
      </c>
      <c r="CN114" s="462" t="str">
        <f t="shared" si="33"/>
        <v>0332-06</v>
      </c>
    </row>
    <row r="115" spans="1:92" ht="15" thickBot="1" x14ac:dyDescent="0.35">
      <c r="A115" s="376" t="s">
        <v>161</v>
      </c>
      <c r="B115" s="376" t="s">
        <v>162</v>
      </c>
      <c r="C115" s="376" t="s">
        <v>515</v>
      </c>
      <c r="D115" s="376" t="s">
        <v>516</v>
      </c>
      <c r="E115" s="376" t="s">
        <v>535</v>
      </c>
      <c r="F115" s="382" t="s">
        <v>536</v>
      </c>
      <c r="G115" s="376" t="s">
        <v>356</v>
      </c>
      <c r="H115" s="378"/>
      <c r="I115" s="378"/>
      <c r="J115" s="376" t="s">
        <v>185</v>
      </c>
      <c r="K115" s="376" t="s">
        <v>517</v>
      </c>
      <c r="L115" s="376" t="s">
        <v>247</v>
      </c>
      <c r="M115" s="376" t="s">
        <v>170</v>
      </c>
      <c r="N115" s="376" t="s">
        <v>202</v>
      </c>
      <c r="O115" s="379">
        <v>1</v>
      </c>
      <c r="P115" s="460">
        <v>0.28999999999999998</v>
      </c>
      <c r="Q115" s="460">
        <v>0.28999999999999998</v>
      </c>
      <c r="R115" s="380">
        <v>80</v>
      </c>
      <c r="S115" s="460">
        <v>0.28999999999999998</v>
      </c>
      <c r="T115" s="380">
        <v>0</v>
      </c>
      <c r="U115" s="380">
        <v>0</v>
      </c>
      <c r="V115" s="380">
        <v>0</v>
      </c>
      <c r="W115" s="380">
        <v>17577.240000000002</v>
      </c>
      <c r="X115" s="380">
        <v>7357.45</v>
      </c>
      <c r="Y115" s="380">
        <v>17577.240000000002</v>
      </c>
      <c r="Z115" s="380">
        <v>7311.75</v>
      </c>
      <c r="AA115" s="376" t="s">
        <v>518</v>
      </c>
      <c r="AB115" s="376" t="s">
        <v>519</v>
      </c>
      <c r="AC115" s="376" t="s">
        <v>520</v>
      </c>
      <c r="AD115" s="376" t="s">
        <v>224</v>
      </c>
      <c r="AE115" s="376" t="s">
        <v>517</v>
      </c>
      <c r="AF115" s="376" t="s">
        <v>299</v>
      </c>
      <c r="AG115" s="376" t="s">
        <v>177</v>
      </c>
      <c r="AH115" s="381">
        <v>29.14</v>
      </c>
      <c r="AI115" s="379">
        <v>9969</v>
      </c>
      <c r="AJ115" s="376" t="s">
        <v>178</v>
      </c>
      <c r="AK115" s="376" t="s">
        <v>179</v>
      </c>
      <c r="AL115" s="376" t="s">
        <v>180</v>
      </c>
      <c r="AM115" s="376" t="s">
        <v>181</v>
      </c>
      <c r="AN115" s="376" t="s">
        <v>68</v>
      </c>
      <c r="AO115" s="379">
        <v>80</v>
      </c>
      <c r="AP115" s="460">
        <v>1</v>
      </c>
      <c r="AQ115" s="460">
        <v>0.28999999999999998</v>
      </c>
      <c r="AR115" s="458" t="s">
        <v>182</v>
      </c>
      <c r="AS115" s="462">
        <f t="shared" si="17"/>
        <v>0.28999999999999998</v>
      </c>
      <c r="AT115">
        <f t="shared" si="18"/>
        <v>1</v>
      </c>
      <c r="AU115" s="462">
        <f>IF(AT115=0,"",IF(AND(AT115=1,M115="F",SUMIF(C2:C698,C115,AS2:AS698)&lt;=1),SUMIF(C2:C698,C115,AS2:AS698),IF(AND(AT115=1,M115="F",SUMIF(C2:C698,C115,AS2:AS698)&gt;1),1,"")))</f>
        <v>1</v>
      </c>
      <c r="AV115" s="462" t="str">
        <f>IF(AT115=0,"",IF(AND(AT115=3,M115="F",SUMIF(C2:C698,C115,AS2:AS698)&lt;=1),SUMIF(C2:C698,C115,AS2:AS698),IF(AND(AT115=3,M115="F",SUMIF(C2:C698,C115,AS2:AS698)&gt;1),1,"")))</f>
        <v/>
      </c>
      <c r="AW115" s="462">
        <f>SUMIF(C2:C698,C115,O2:O698)</f>
        <v>3</v>
      </c>
      <c r="AX115" s="462">
        <f>IF(AND(M115="F",AS115&lt;&gt;0),SUMIF(C2:C698,C115,W2:W698),0)</f>
        <v>60611.19</v>
      </c>
      <c r="AY115" s="462">
        <f t="shared" si="19"/>
        <v>17577.240000000002</v>
      </c>
      <c r="AZ115" s="462" t="str">
        <f t="shared" si="20"/>
        <v/>
      </c>
      <c r="BA115" s="462">
        <f t="shared" si="21"/>
        <v>0</v>
      </c>
      <c r="BB115" s="462">
        <f>IF(AND(AT115=1,AK115="E",AU115&gt;=0.75,AW115=1),Health,IF(AND(AT115=1,AK115="E",AU115&gt;=0.75),Health*P115,IF(AND(AT115=1,AK115="E",AU115&gt;=0.5,AW115=1),PTHealth,IF(AND(AT115=1,AK115="E",AU115&gt;=0.5),PTHealth*P115,0))))</f>
        <v>3378.4999999999995</v>
      </c>
      <c r="BC115" s="462">
        <f>IF(AND(AT115=3,AK115="E",AV115&gt;=0.75,AW115=1),Health,IF(AND(AT115=3,AK115="E",AV115&gt;=0.75),Health*P115,IF(AND(AT115=3,AK115="E",AV115&gt;=0.5,AW115=1),PTHealth,IF(AND(AT115=3,AK115="E",AV115&gt;=0.5),PTHealth*P115,0))))</f>
        <v>0</v>
      </c>
      <c r="BD115" s="462">
        <f>IF(AND(AT115&lt;&gt;0,AX115&gt;=MAXSSDI),SSDI*MAXSSDI*P115,IF(AT115&lt;&gt;0,SSDI*W115,0))</f>
        <v>1089.7888800000001</v>
      </c>
      <c r="BE115" s="462">
        <f>IF(AT115&lt;&gt;0,SSHI*W115,0)</f>
        <v>254.86998000000003</v>
      </c>
      <c r="BF115" s="462">
        <f>IF(AND(AT115&lt;&gt;0,AN115&lt;&gt;"NE"),VLOOKUP(AN115,Retirement_Rates,3,FALSE)*W115,0)</f>
        <v>2098.7224560000004</v>
      </c>
      <c r="BG115" s="462">
        <f>IF(AND(AT115&lt;&gt;0,AJ115&lt;&gt;"PF"),Life*W115,0)</f>
        <v>126.73190040000001</v>
      </c>
      <c r="BH115" s="462">
        <f>IF(AND(AT115&lt;&gt;0,AM115="Y"),UI*W115,0)</f>
        <v>86.128476000000006</v>
      </c>
      <c r="BI115" s="462">
        <f>IF(AND(AT115&lt;&gt;0,N115&lt;&gt;"NR"),DHR*W115,0)</f>
        <v>53.7863544</v>
      </c>
      <c r="BJ115" s="462">
        <f>IF(AT115&lt;&gt;0,WC*W115,0)</f>
        <v>268.93177200000002</v>
      </c>
      <c r="BK115" s="462">
        <f>IF(OR(AND(AT115&lt;&gt;0,AJ115&lt;&gt;"PF",AN115&lt;&gt;"NE",AG115&lt;&gt;"A"),AND(AL115="E",OR(AT115=1,AT115=3))),Sick*W115,0)</f>
        <v>0</v>
      </c>
      <c r="BL115" s="462">
        <f t="shared" si="22"/>
        <v>3978.9598188000004</v>
      </c>
      <c r="BM115" s="462">
        <f t="shared" si="23"/>
        <v>0</v>
      </c>
      <c r="BN115" s="462">
        <f>IF(AND(AT115=1,AK115="E",AU115&gt;=0.75,AW115=1),HealthBY,IF(AND(AT115=1,AK115="E",AU115&gt;=0.75),HealthBY*P115,IF(AND(AT115=1,AK115="E",AU115&gt;=0.5,AW115=1),PTHealthBY,IF(AND(AT115=1,AK115="E",AU115&gt;=0.5),PTHealthBY*P115,0))))</f>
        <v>3378.4999999999995</v>
      </c>
      <c r="BO115" s="462">
        <f>IF(AND(AT115=3,AK115="E",AV115&gt;=0.75,AW115=1),HealthBY,IF(AND(AT115=3,AK115="E",AV115&gt;=0.75),HealthBY*P115,IF(AND(AT115=3,AK115="E",AV115&gt;=0.5,AW115=1),PTHealthBY,IF(AND(AT115=3,AK115="E",AV115&gt;=0.5),PTHealthBY*P115,0))))</f>
        <v>0</v>
      </c>
      <c r="BP115" s="462">
        <f>IF(AND(AT115&lt;&gt;0,(AX115+BA115)&gt;=MAXSSDIBY),SSDIBY*MAXSSDIBY*P115,IF(AT115&lt;&gt;0,SSDIBY*W115,0))</f>
        <v>1089.7888800000001</v>
      </c>
      <c r="BQ115" s="462">
        <f>IF(AT115&lt;&gt;0,SSHIBY*W115,0)</f>
        <v>254.86998000000003</v>
      </c>
      <c r="BR115" s="462">
        <f>IF(AND(AT115&lt;&gt;0,AN115&lt;&gt;"NE"),VLOOKUP(AN115,Retirement_Rates,4,FALSE)*W115,0)</f>
        <v>2098.7224560000004</v>
      </c>
      <c r="BS115" s="462">
        <f>IF(AND(AT115&lt;&gt;0,AJ115&lt;&gt;"PF"),LifeBY*W115,0)</f>
        <v>126.73190040000001</v>
      </c>
      <c r="BT115" s="462">
        <f>IF(AND(AT115&lt;&gt;0,AM115="Y"),UIBY*W115,0)</f>
        <v>0</v>
      </c>
      <c r="BU115" s="462">
        <f>IF(AND(AT115&lt;&gt;0,N115&lt;&gt;"NR"),DHRBY*W115,0)</f>
        <v>53.7863544</v>
      </c>
      <c r="BV115" s="462">
        <f>IF(AT115&lt;&gt;0,WCBY*W115,0)</f>
        <v>309.35942400000005</v>
      </c>
      <c r="BW115" s="462">
        <f>IF(OR(AND(AT115&lt;&gt;0,AJ115&lt;&gt;"PF",AN115&lt;&gt;"NE",AG115&lt;&gt;"A"),AND(AL115="E",OR(AT115=1,AT115=3))),SickBY*W115,0)</f>
        <v>0</v>
      </c>
      <c r="BX115" s="462">
        <f t="shared" si="24"/>
        <v>3933.2589948000009</v>
      </c>
      <c r="BY115" s="462">
        <f t="shared" si="25"/>
        <v>0</v>
      </c>
      <c r="BZ115" s="462">
        <f t="shared" si="26"/>
        <v>0</v>
      </c>
      <c r="CA115" s="462">
        <f t="shared" si="27"/>
        <v>0</v>
      </c>
      <c r="CB115" s="462">
        <f t="shared" si="28"/>
        <v>0</v>
      </c>
      <c r="CC115" s="462">
        <f>IF(AT115&lt;&gt;0,SSHICHG*Y115,0)</f>
        <v>0</v>
      </c>
      <c r="CD115" s="462">
        <f>IF(AND(AT115&lt;&gt;0,AN115&lt;&gt;"NE"),VLOOKUP(AN115,Retirement_Rates,5,FALSE)*Y115,0)</f>
        <v>0</v>
      </c>
      <c r="CE115" s="462">
        <f>IF(AND(AT115&lt;&gt;0,AJ115&lt;&gt;"PF"),LifeCHG*Y115,0)</f>
        <v>0</v>
      </c>
      <c r="CF115" s="462">
        <f>IF(AND(AT115&lt;&gt;0,AM115="Y"),UICHG*Y115,0)</f>
        <v>-86.128476000000006</v>
      </c>
      <c r="CG115" s="462">
        <f>IF(AND(AT115&lt;&gt;0,N115&lt;&gt;"NR"),DHRCHG*Y115,0)</f>
        <v>0</v>
      </c>
      <c r="CH115" s="462">
        <f>IF(AT115&lt;&gt;0,WCCHG*Y115,0)</f>
        <v>40.42765200000003</v>
      </c>
      <c r="CI115" s="462">
        <f>IF(OR(AND(AT115&lt;&gt;0,AJ115&lt;&gt;"PF",AN115&lt;&gt;"NE",AG115&lt;&gt;"A"),AND(AL115="E",OR(AT115=1,AT115=3))),SickCHG*Y115,0)</f>
        <v>0</v>
      </c>
      <c r="CJ115" s="462">
        <f t="shared" si="29"/>
        <v>-45.700823999999976</v>
      </c>
      <c r="CK115" s="462" t="str">
        <f t="shared" si="30"/>
        <v/>
      </c>
      <c r="CL115" s="462" t="str">
        <f t="shared" si="31"/>
        <v/>
      </c>
      <c r="CM115" s="462" t="str">
        <f t="shared" si="32"/>
        <v/>
      </c>
      <c r="CN115" s="462" t="str">
        <f t="shared" si="33"/>
        <v>0332-06</v>
      </c>
    </row>
    <row r="116" spans="1:92" ht="15" thickBot="1" x14ac:dyDescent="0.35">
      <c r="A116" s="376" t="s">
        <v>161</v>
      </c>
      <c r="B116" s="376" t="s">
        <v>162</v>
      </c>
      <c r="C116" s="376" t="s">
        <v>530</v>
      </c>
      <c r="D116" s="376" t="s">
        <v>365</v>
      </c>
      <c r="E116" s="376" t="s">
        <v>535</v>
      </c>
      <c r="F116" s="382" t="s">
        <v>536</v>
      </c>
      <c r="G116" s="376" t="s">
        <v>356</v>
      </c>
      <c r="H116" s="378"/>
      <c r="I116" s="378"/>
      <c r="J116" s="376" t="s">
        <v>168</v>
      </c>
      <c r="K116" s="376" t="s">
        <v>366</v>
      </c>
      <c r="L116" s="376" t="s">
        <v>274</v>
      </c>
      <c r="M116" s="376" t="s">
        <v>170</v>
      </c>
      <c r="N116" s="376" t="s">
        <v>202</v>
      </c>
      <c r="O116" s="379">
        <v>1</v>
      </c>
      <c r="P116" s="460">
        <v>1</v>
      </c>
      <c r="Q116" s="460">
        <v>1</v>
      </c>
      <c r="R116" s="380">
        <v>80</v>
      </c>
      <c r="S116" s="460">
        <v>1</v>
      </c>
      <c r="T116" s="380">
        <v>134</v>
      </c>
      <c r="U116" s="380">
        <v>0</v>
      </c>
      <c r="V116" s="380">
        <v>76.239999999999995</v>
      </c>
      <c r="W116" s="380">
        <v>36400</v>
      </c>
      <c r="X116" s="380">
        <v>19889.86</v>
      </c>
      <c r="Y116" s="380">
        <v>36400</v>
      </c>
      <c r="Z116" s="380">
        <v>19795.22</v>
      </c>
      <c r="AA116" s="376" t="s">
        <v>531</v>
      </c>
      <c r="AB116" s="376" t="s">
        <v>532</v>
      </c>
      <c r="AC116" s="376" t="s">
        <v>533</v>
      </c>
      <c r="AD116" s="376" t="s">
        <v>534</v>
      </c>
      <c r="AE116" s="376" t="s">
        <v>366</v>
      </c>
      <c r="AF116" s="376" t="s">
        <v>279</v>
      </c>
      <c r="AG116" s="376" t="s">
        <v>177</v>
      </c>
      <c r="AH116" s="381">
        <v>17.5</v>
      </c>
      <c r="AI116" s="381">
        <v>9108.5</v>
      </c>
      <c r="AJ116" s="376" t="s">
        <v>178</v>
      </c>
      <c r="AK116" s="376" t="s">
        <v>179</v>
      </c>
      <c r="AL116" s="376" t="s">
        <v>180</v>
      </c>
      <c r="AM116" s="376" t="s">
        <v>181</v>
      </c>
      <c r="AN116" s="376" t="s">
        <v>68</v>
      </c>
      <c r="AO116" s="379">
        <v>80</v>
      </c>
      <c r="AP116" s="460">
        <v>1</v>
      </c>
      <c r="AQ116" s="460">
        <v>1</v>
      </c>
      <c r="AR116" s="458" t="s">
        <v>182</v>
      </c>
      <c r="AS116" s="462">
        <f t="shared" si="17"/>
        <v>1</v>
      </c>
      <c r="AT116">
        <f t="shared" si="18"/>
        <v>1</v>
      </c>
      <c r="AU116" s="462">
        <f>IF(AT116=0,"",IF(AND(AT116=1,M116="F",SUMIF(C2:C698,C116,AS2:AS698)&lt;=1),SUMIF(C2:C698,C116,AS2:AS698),IF(AND(AT116=1,M116="F",SUMIF(C2:C698,C116,AS2:AS698)&gt;1),1,"")))</f>
        <v>1</v>
      </c>
      <c r="AV116" s="462" t="str">
        <f>IF(AT116=0,"",IF(AND(AT116=3,M116="F",SUMIF(C2:C698,C116,AS2:AS698)&lt;=1),SUMIF(C2:C698,C116,AS2:AS698),IF(AND(AT116=3,M116="F",SUMIF(C2:C698,C116,AS2:AS698)&gt;1),1,"")))</f>
        <v/>
      </c>
      <c r="AW116" s="462">
        <f>SUMIF(C2:C698,C116,O2:O698)</f>
        <v>3</v>
      </c>
      <c r="AX116" s="462">
        <f>IF(AND(M116="F",AS116&lt;&gt;0),SUMIF(C2:C698,C116,W2:W698),0)</f>
        <v>36400</v>
      </c>
      <c r="AY116" s="462">
        <f t="shared" si="19"/>
        <v>36400</v>
      </c>
      <c r="AZ116" s="462" t="str">
        <f t="shared" si="20"/>
        <v/>
      </c>
      <c r="BA116" s="462">
        <f t="shared" si="21"/>
        <v>0</v>
      </c>
      <c r="BB116" s="462">
        <f>IF(AND(AT116=1,AK116="E",AU116&gt;=0.75,AW116=1),Health,IF(AND(AT116=1,AK116="E",AU116&gt;=0.75),Health*P116,IF(AND(AT116=1,AK116="E",AU116&gt;=0.5,AW116=1),PTHealth,IF(AND(AT116=1,AK116="E",AU116&gt;=0.5),PTHealth*P116,0))))</f>
        <v>11650</v>
      </c>
      <c r="BC116" s="462">
        <f>IF(AND(AT116=3,AK116="E",AV116&gt;=0.75,AW116=1),Health,IF(AND(AT116=3,AK116="E",AV116&gt;=0.75),Health*P116,IF(AND(AT116=3,AK116="E",AV116&gt;=0.5,AW116=1),PTHealth,IF(AND(AT116=3,AK116="E",AV116&gt;=0.5),PTHealth*P116,0))))</f>
        <v>0</v>
      </c>
      <c r="BD116" s="462">
        <f>IF(AND(AT116&lt;&gt;0,AX116&gt;=MAXSSDI),SSDI*MAXSSDI*P116,IF(AT116&lt;&gt;0,SSDI*W116,0))</f>
        <v>2256.8000000000002</v>
      </c>
      <c r="BE116" s="462">
        <f>IF(AT116&lt;&gt;0,SSHI*W116,0)</f>
        <v>527.80000000000007</v>
      </c>
      <c r="BF116" s="462">
        <f>IF(AND(AT116&lt;&gt;0,AN116&lt;&gt;"NE"),VLOOKUP(AN116,Retirement_Rates,3,FALSE)*W116,0)</f>
        <v>4346.16</v>
      </c>
      <c r="BG116" s="462">
        <f>IF(AND(AT116&lt;&gt;0,AJ116&lt;&gt;"PF"),Life*W116,0)</f>
        <v>262.44400000000002</v>
      </c>
      <c r="BH116" s="462">
        <f>IF(AND(AT116&lt;&gt;0,AM116="Y"),UI*W116,0)</f>
        <v>178.35999999999999</v>
      </c>
      <c r="BI116" s="462">
        <f>IF(AND(AT116&lt;&gt;0,N116&lt;&gt;"NR"),DHR*W116,0)</f>
        <v>111.38399999999999</v>
      </c>
      <c r="BJ116" s="462">
        <f>IF(AT116&lt;&gt;0,WC*W116,0)</f>
        <v>556.91999999999996</v>
      </c>
      <c r="BK116" s="462">
        <f>IF(OR(AND(AT116&lt;&gt;0,AJ116&lt;&gt;"PF",AN116&lt;&gt;"NE",AG116&lt;&gt;"A"),AND(AL116="E",OR(AT116=1,AT116=3))),Sick*W116,0)</f>
        <v>0</v>
      </c>
      <c r="BL116" s="462">
        <f t="shared" si="22"/>
        <v>8239.8680000000004</v>
      </c>
      <c r="BM116" s="462">
        <f t="shared" si="23"/>
        <v>0</v>
      </c>
      <c r="BN116" s="462">
        <f>IF(AND(AT116=1,AK116="E",AU116&gt;=0.75,AW116=1),HealthBY,IF(AND(AT116=1,AK116="E",AU116&gt;=0.75),HealthBY*P116,IF(AND(AT116=1,AK116="E",AU116&gt;=0.5,AW116=1),PTHealthBY,IF(AND(AT116=1,AK116="E",AU116&gt;=0.5),PTHealthBY*P116,0))))</f>
        <v>11650</v>
      </c>
      <c r="BO116" s="462">
        <f>IF(AND(AT116=3,AK116="E",AV116&gt;=0.75,AW116=1),HealthBY,IF(AND(AT116=3,AK116="E",AV116&gt;=0.75),HealthBY*P116,IF(AND(AT116=3,AK116="E",AV116&gt;=0.5,AW116=1),PTHealthBY,IF(AND(AT116=3,AK116="E",AV116&gt;=0.5),PTHealthBY*P116,0))))</f>
        <v>0</v>
      </c>
      <c r="BP116" s="462">
        <f>IF(AND(AT116&lt;&gt;0,(AX116+BA116)&gt;=MAXSSDIBY),SSDIBY*MAXSSDIBY*P116,IF(AT116&lt;&gt;0,SSDIBY*W116,0))</f>
        <v>2256.8000000000002</v>
      </c>
      <c r="BQ116" s="462">
        <f>IF(AT116&lt;&gt;0,SSHIBY*W116,0)</f>
        <v>527.80000000000007</v>
      </c>
      <c r="BR116" s="462">
        <f>IF(AND(AT116&lt;&gt;0,AN116&lt;&gt;"NE"),VLOOKUP(AN116,Retirement_Rates,4,FALSE)*W116,0)</f>
        <v>4346.16</v>
      </c>
      <c r="BS116" s="462">
        <f>IF(AND(AT116&lt;&gt;0,AJ116&lt;&gt;"PF"),LifeBY*W116,0)</f>
        <v>262.44400000000002</v>
      </c>
      <c r="BT116" s="462">
        <f>IF(AND(AT116&lt;&gt;0,AM116="Y"),UIBY*W116,0)</f>
        <v>0</v>
      </c>
      <c r="BU116" s="462">
        <f>IF(AND(AT116&lt;&gt;0,N116&lt;&gt;"NR"),DHRBY*W116,0)</f>
        <v>111.38399999999999</v>
      </c>
      <c r="BV116" s="462">
        <f>IF(AT116&lt;&gt;0,WCBY*W116,0)</f>
        <v>640.64</v>
      </c>
      <c r="BW116" s="462">
        <f>IF(OR(AND(AT116&lt;&gt;0,AJ116&lt;&gt;"PF",AN116&lt;&gt;"NE",AG116&lt;&gt;"A"),AND(AL116="E",OR(AT116=1,AT116=3))),SickBY*W116,0)</f>
        <v>0</v>
      </c>
      <c r="BX116" s="462">
        <f t="shared" si="24"/>
        <v>8145.228000000001</v>
      </c>
      <c r="BY116" s="462">
        <f t="shared" si="25"/>
        <v>0</v>
      </c>
      <c r="BZ116" s="462">
        <f t="shared" si="26"/>
        <v>0</v>
      </c>
      <c r="CA116" s="462">
        <f t="shared" si="27"/>
        <v>0</v>
      </c>
      <c r="CB116" s="462">
        <f t="shared" si="28"/>
        <v>0</v>
      </c>
      <c r="CC116" s="462">
        <f>IF(AT116&lt;&gt;0,SSHICHG*Y116,0)</f>
        <v>0</v>
      </c>
      <c r="CD116" s="462">
        <f>IF(AND(AT116&lt;&gt;0,AN116&lt;&gt;"NE"),VLOOKUP(AN116,Retirement_Rates,5,FALSE)*Y116,0)</f>
        <v>0</v>
      </c>
      <c r="CE116" s="462">
        <f>IF(AND(AT116&lt;&gt;0,AJ116&lt;&gt;"PF"),LifeCHG*Y116,0)</f>
        <v>0</v>
      </c>
      <c r="CF116" s="462">
        <f>IF(AND(AT116&lt;&gt;0,AM116="Y"),UICHG*Y116,0)</f>
        <v>-178.35999999999999</v>
      </c>
      <c r="CG116" s="462">
        <f>IF(AND(AT116&lt;&gt;0,N116&lt;&gt;"NR"),DHRCHG*Y116,0)</f>
        <v>0</v>
      </c>
      <c r="CH116" s="462">
        <f>IF(AT116&lt;&gt;0,WCCHG*Y116,0)</f>
        <v>83.720000000000056</v>
      </c>
      <c r="CI116" s="462">
        <f>IF(OR(AND(AT116&lt;&gt;0,AJ116&lt;&gt;"PF",AN116&lt;&gt;"NE",AG116&lt;&gt;"A"),AND(AL116="E",OR(AT116=1,AT116=3))),SickCHG*Y116,0)</f>
        <v>0</v>
      </c>
      <c r="CJ116" s="462">
        <f t="shared" si="29"/>
        <v>-94.63999999999993</v>
      </c>
      <c r="CK116" s="462" t="str">
        <f t="shared" si="30"/>
        <v/>
      </c>
      <c r="CL116" s="462" t="str">
        <f t="shared" si="31"/>
        <v/>
      </c>
      <c r="CM116" s="462" t="str">
        <f t="shared" si="32"/>
        <v/>
      </c>
      <c r="CN116" s="462" t="str">
        <f t="shared" si="33"/>
        <v>0332-06</v>
      </c>
    </row>
    <row r="117" spans="1:92" ht="15" thickBot="1" x14ac:dyDescent="0.35">
      <c r="A117" s="376" t="s">
        <v>161</v>
      </c>
      <c r="B117" s="376" t="s">
        <v>162</v>
      </c>
      <c r="C117" s="376" t="s">
        <v>546</v>
      </c>
      <c r="D117" s="376" t="s">
        <v>222</v>
      </c>
      <c r="E117" s="376" t="s">
        <v>535</v>
      </c>
      <c r="F117" s="382" t="s">
        <v>536</v>
      </c>
      <c r="G117" s="376" t="s">
        <v>356</v>
      </c>
      <c r="H117" s="378"/>
      <c r="I117" s="378"/>
      <c r="J117" s="376" t="s">
        <v>547</v>
      </c>
      <c r="K117" s="376" t="s">
        <v>548</v>
      </c>
      <c r="L117" s="376" t="s">
        <v>247</v>
      </c>
      <c r="M117" s="376" t="s">
        <v>170</v>
      </c>
      <c r="N117" s="376" t="s">
        <v>202</v>
      </c>
      <c r="O117" s="379">
        <v>1</v>
      </c>
      <c r="P117" s="460">
        <v>0.2</v>
      </c>
      <c r="Q117" s="460">
        <v>0.2</v>
      </c>
      <c r="R117" s="380">
        <v>80</v>
      </c>
      <c r="S117" s="460">
        <v>0.2</v>
      </c>
      <c r="T117" s="380">
        <v>16720.650000000001</v>
      </c>
      <c r="U117" s="380">
        <v>0</v>
      </c>
      <c r="V117" s="380">
        <v>5722.17</v>
      </c>
      <c r="W117" s="380">
        <v>17338.88</v>
      </c>
      <c r="X117" s="380">
        <v>6254.99</v>
      </c>
      <c r="Y117" s="380">
        <v>17338.88</v>
      </c>
      <c r="Z117" s="380">
        <v>6209.91</v>
      </c>
      <c r="AA117" s="376" t="s">
        <v>549</v>
      </c>
      <c r="AB117" s="376" t="s">
        <v>550</v>
      </c>
      <c r="AC117" s="376" t="s">
        <v>551</v>
      </c>
      <c r="AD117" s="376" t="s">
        <v>200</v>
      </c>
      <c r="AE117" s="376" t="s">
        <v>548</v>
      </c>
      <c r="AF117" s="376" t="s">
        <v>299</v>
      </c>
      <c r="AG117" s="376" t="s">
        <v>177</v>
      </c>
      <c r="AH117" s="381">
        <v>41.68</v>
      </c>
      <c r="AI117" s="381">
        <v>67068.3</v>
      </c>
      <c r="AJ117" s="376" t="s">
        <v>178</v>
      </c>
      <c r="AK117" s="376" t="s">
        <v>179</v>
      </c>
      <c r="AL117" s="376" t="s">
        <v>180</v>
      </c>
      <c r="AM117" s="376" t="s">
        <v>181</v>
      </c>
      <c r="AN117" s="376" t="s">
        <v>68</v>
      </c>
      <c r="AO117" s="379">
        <v>80</v>
      </c>
      <c r="AP117" s="460">
        <v>1</v>
      </c>
      <c r="AQ117" s="460">
        <v>0.2</v>
      </c>
      <c r="AR117" s="458" t="s">
        <v>182</v>
      </c>
      <c r="AS117" s="462">
        <f t="shared" si="17"/>
        <v>0.2</v>
      </c>
      <c r="AT117">
        <f t="shared" si="18"/>
        <v>1</v>
      </c>
      <c r="AU117" s="462">
        <f>IF(AT117=0,"",IF(AND(AT117=1,M117="F",SUMIF(C2:C698,C117,AS2:AS698)&lt;=1),SUMIF(C2:C698,C117,AS2:AS698),IF(AND(AT117=1,M117="F",SUMIF(C2:C698,C117,AS2:AS698)&gt;1),1,"")))</f>
        <v>1</v>
      </c>
      <c r="AV117" s="462" t="str">
        <f>IF(AT117=0,"",IF(AND(AT117=3,M117="F",SUMIF(C2:C698,C117,AS2:AS698)&lt;=1),SUMIF(C2:C698,C117,AS2:AS698),IF(AND(AT117=3,M117="F",SUMIF(C2:C698,C117,AS2:AS698)&gt;1),1,"")))</f>
        <v/>
      </c>
      <c r="AW117" s="462">
        <f>SUMIF(C2:C698,C117,O2:O698)</f>
        <v>3</v>
      </c>
      <c r="AX117" s="462">
        <f>IF(AND(M117="F",AS117&lt;&gt;0),SUMIF(C2:C698,C117,W2:W698),0)</f>
        <v>86694.399999999994</v>
      </c>
      <c r="AY117" s="462">
        <f t="shared" si="19"/>
        <v>17338.88</v>
      </c>
      <c r="AZ117" s="462" t="str">
        <f t="shared" si="20"/>
        <v/>
      </c>
      <c r="BA117" s="462">
        <f t="shared" si="21"/>
        <v>0</v>
      </c>
      <c r="BB117" s="462">
        <f>IF(AND(AT117=1,AK117="E",AU117&gt;=0.75,AW117=1),Health,IF(AND(AT117=1,AK117="E",AU117&gt;=0.75),Health*P117,IF(AND(AT117=1,AK117="E",AU117&gt;=0.5,AW117=1),PTHealth,IF(AND(AT117=1,AK117="E",AU117&gt;=0.5),PTHealth*P117,0))))</f>
        <v>2330</v>
      </c>
      <c r="BC117" s="462">
        <f>IF(AND(AT117=3,AK117="E",AV117&gt;=0.75,AW117=1),Health,IF(AND(AT117=3,AK117="E",AV117&gt;=0.75),Health*P117,IF(AND(AT117=3,AK117="E",AV117&gt;=0.5,AW117=1),PTHealth,IF(AND(AT117=3,AK117="E",AV117&gt;=0.5),PTHealth*P117,0))))</f>
        <v>0</v>
      </c>
      <c r="BD117" s="462">
        <f>IF(AND(AT117&lt;&gt;0,AX117&gt;=MAXSSDI),SSDI*MAXSSDI*P117,IF(AT117&lt;&gt;0,SSDI*W117,0))</f>
        <v>1075.0105600000002</v>
      </c>
      <c r="BE117" s="462">
        <f>IF(AT117&lt;&gt;0,SSHI*W117,0)</f>
        <v>251.41376000000002</v>
      </c>
      <c r="BF117" s="462">
        <f>IF(AND(AT117&lt;&gt;0,AN117&lt;&gt;"NE"),VLOOKUP(AN117,Retirement_Rates,3,FALSE)*W117,0)</f>
        <v>2070.2622720000004</v>
      </c>
      <c r="BG117" s="462">
        <f>IF(AND(AT117&lt;&gt;0,AJ117&lt;&gt;"PF"),Life*W117,0)</f>
        <v>125.01332480000001</v>
      </c>
      <c r="BH117" s="462">
        <f>IF(AND(AT117&lt;&gt;0,AM117="Y"),UI*W117,0)</f>
        <v>84.960512000000008</v>
      </c>
      <c r="BI117" s="462">
        <f>IF(AND(AT117&lt;&gt;0,N117&lt;&gt;"NR"),DHR*W117,0)</f>
        <v>53.056972799999997</v>
      </c>
      <c r="BJ117" s="462">
        <f>IF(AT117&lt;&gt;0,WC*W117,0)</f>
        <v>265.28486400000003</v>
      </c>
      <c r="BK117" s="462">
        <f>IF(OR(AND(AT117&lt;&gt;0,AJ117&lt;&gt;"PF",AN117&lt;&gt;"NE",AG117&lt;&gt;"A"),AND(AL117="E",OR(AT117=1,AT117=3))),Sick*W117,0)</f>
        <v>0</v>
      </c>
      <c r="BL117" s="462">
        <f t="shared" si="22"/>
        <v>3925.002265600001</v>
      </c>
      <c r="BM117" s="462">
        <f t="shared" si="23"/>
        <v>0</v>
      </c>
      <c r="BN117" s="462">
        <f>IF(AND(AT117=1,AK117="E",AU117&gt;=0.75,AW117=1),HealthBY,IF(AND(AT117=1,AK117="E",AU117&gt;=0.75),HealthBY*P117,IF(AND(AT117=1,AK117="E",AU117&gt;=0.5,AW117=1),PTHealthBY,IF(AND(AT117=1,AK117="E",AU117&gt;=0.5),PTHealthBY*P117,0))))</f>
        <v>2330</v>
      </c>
      <c r="BO117" s="462">
        <f>IF(AND(AT117=3,AK117="E",AV117&gt;=0.75,AW117=1),HealthBY,IF(AND(AT117=3,AK117="E",AV117&gt;=0.75),HealthBY*P117,IF(AND(AT117=3,AK117="E",AV117&gt;=0.5,AW117=1),PTHealthBY,IF(AND(AT117=3,AK117="E",AV117&gt;=0.5),PTHealthBY*P117,0))))</f>
        <v>0</v>
      </c>
      <c r="BP117" s="462">
        <f>IF(AND(AT117&lt;&gt;0,(AX117+BA117)&gt;=MAXSSDIBY),SSDIBY*MAXSSDIBY*P117,IF(AT117&lt;&gt;0,SSDIBY*W117,0))</f>
        <v>1075.0105600000002</v>
      </c>
      <c r="BQ117" s="462">
        <f>IF(AT117&lt;&gt;0,SSHIBY*W117,0)</f>
        <v>251.41376000000002</v>
      </c>
      <c r="BR117" s="462">
        <f>IF(AND(AT117&lt;&gt;0,AN117&lt;&gt;"NE"),VLOOKUP(AN117,Retirement_Rates,4,FALSE)*W117,0)</f>
        <v>2070.2622720000004</v>
      </c>
      <c r="BS117" s="462">
        <f>IF(AND(AT117&lt;&gt;0,AJ117&lt;&gt;"PF"),LifeBY*W117,0)</f>
        <v>125.01332480000001</v>
      </c>
      <c r="BT117" s="462">
        <f>IF(AND(AT117&lt;&gt;0,AM117="Y"),UIBY*W117,0)</f>
        <v>0</v>
      </c>
      <c r="BU117" s="462">
        <f>IF(AND(AT117&lt;&gt;0,N117&lt;&gt;"NR"),DHRBY*W117,0)</f>
        <v>53.056972799999997</v>
      </c>
      <c r="BV117" s="462">
        <f>IF(AT117&lt;&gt;0,WCBY*W117,0)</f>
        <v>305.16428800000006</v>
      </c>
      <c r="BW117" s="462">
        <f>IF(OR(AND(AT117&lt;&gt;0,AJ117&lt;&gt;"PF",AN117&lt;&gt;"NE",AG117&lt;&gt;"A"),AND(AL117="E",OR(AT117=1,AT117=3))),SickBY*W117,0)</f>
        <v>0</v>
      </c>
      <c r="BX117" s="462">
        <f t="shared" si="24"/>
        <v>3879.9211776000006</v>
      </c>
      <c r="BY117" s="462">
        <f t="shared" si="25"/>
        <v>0</v>
      </c>
      <c r="BZ117" s="462">
        <f t="shared" si="26"/>
        <v>0</v>
      </c>
      <c r="CA117" s="462">
        <f t="shared" si="27"/>
        <v>0</v>
      </c>
      <c r="CB117" s="462">
        <f t="shared" si="28"/>
        <v>0</v>
      </c>
      <c r="CC117" s="462">
        <f>IF(AT117&lt;&gt;0,SSHICHG*Y117,0)</f>
        <v>0</v>
      </c>
      <c r="CD117" s="462">
        <f>IF(AND(AT117&lt;&gt;0,AN117&lt;&gt;"NE"),VLOOKUP(AN117,Retirement_Rates,5,FALSE)*Y117,0)</f>
        <v>0</v>
      </c>
      <c r="CE117" s="462">
        <f>IF(AND(AT117&lt;&gt;0,AJ117&lt;&gt;"PF"),LifeCHG*Y117,0)</f>
        <v>0</v>
      </c>
      <c r="CF117" s="462">
        <f>IF(AND(AT117&lt;&gt;0,AM117="Y"),UICHG*Y117,0)</f>
        <v>-84.960512000000008</v>
      </c>
      <c r="CG117" s="462">
        <f>IF(AND(AT117&lt;&gt;0,N117&lt;&gt;"NR"),DHRCHG*Y117,0)</f>
        <v>0</v>
      </c>
      <c r="CH117" s="462">
        <f>IF(AT117&lt;&gt;0,WCCHG*Y117,0)</f>
        <v>39.879424000000029</v>
      </c>
      <c r="CI117" s="462">
        <f>IF(OR(AND(AT117&lt;&gt;0,AJ117&lt;&gt;"PF",AN117&lt;&gt;"NE",AG117&lt;&gt;"A"),AND(AL117="E",OR(AT117=1,AT117=3))),SickCHG*Y117,0)</f>
        <v>0</v>
      </c>
      <c r="CJ117" s="462">
        <f t="shared" si="29"/>
        <v>-45.08108799999998</v>
      </c>
      <c r="CK117" s="462" t="str">
        <f t="shared" si="30"/>
        <v/>
      </c>
      <c r="CL117" s="462" t="str">
        <f t="shared" si="31"/>
        <v/>
      </c>
      <c r="CM117" s="462" t="str">
        <f t="shared" si="32"/>
        <v/>
      </c>
      <c r="CN117" s="462" t="str">
        <f t="shared" si="33"/>
        <v>0332-06</v>
      </c>
    </row>
    <row r="118" spans="1:92" ht="15" thickBot="1" x14ac:dyDescent="0.35">
      <c r="A118" s="376" t="s">
        <v>161</v>
      </c>
      <c r="B118" s="376" t="s">
        <v>162</v>
      </c>
      <c r="C118" s="376" t="s">
        <v>552</v>
      </c>
      <c r="D118" s="376" t="s">
        <v>553</v>
      </c>
      <c r="E118" s="376" t="s">
        <v>535</v>
      </c>
      <c r="F118" s="382" t="s">
        <v>536</v>
      </c>
      <c r="G118" s="376" t="s">
        <v>356</v>
      </c>
      <c r="H118" s="378"/>
      <c r="I118" s="378"/>
      <c r="J118" s="376" t="s">
        <v>547</v>
      </c>
      <c r="K118" s="376" t="s">
        <v>554</v>
      </c>
      <c r="L118" s="376" t="s">
        <v>180</v>
      </c>
      <c r="M118" s="376" t="s">
        <v>170</v>
      </c>
      <c r="N118" s="376" t="s">
        <v>202</v>
      </c>
      <c r="O118" s="379">
        <v>1</v>
      </c>
      <c r="P118" s="460">
        <v>0.3</v>
      </c>
      <c r="Q118" s="460">
        <v>0.3</v>
      </c>
      <c r="R118" s="380">
        <v>80</v>
      </c>
      <c r="S118" s="460">
        <v>0.3</v>
      </c>
      <c r="T118" s="380">
        <v>19369.29</v>
      </c>
      <c r="U118" s="380">
        <v>0</v>
      </c>
      <c r="V118" s="380">
        <v>7580.01</v>
      </c>
      <c r="W118" s="380">
        <v>20186.400000000001</v>
      </c>
      <c r="X118" s="380">
        <v>8064.58</v>
      </c>
      <c r="Y118" s="380">
        <v>20186.400000000001</v>
      </c>
      <c r="Z118" s="380">
        <v>8012.1</v>
      </c>
      <c r="AA118" s="376" t="s">
        <v>555</v>
      </c>
      <c r="AB118" s="376" t="s">
        <v>556</v>
      </c>
      <c r="AC118" s="376" t="s">
        <v>557</v>
      </c>
      <c r="AD118" s="376" t="s">
        <v>558</v>
      </c>
      <c r="AE118" s="376" t="s">
        <v>554</v>
      </c>
      <c r="AF118" s="376" t="s">
        <v>256</v>
      </c>
      <c r="AG118" s="376" t="s">
        <v>177</v>
      </c>
      <c r="AH118" s="381">
        <v>32.35</v>
      </c>
      <c r="AI118" s="381">
        <v>20350.900000000001</v>
      </c>
      <c r="AJ118" s="376" t="s">
        <v>178</v>
      </c>
      <c r="AK118" s="376" t="s">
        <v>179</v>
      </c>
      <c r="AL118" s="376" t="s">
        <v>180</v>
      </c>
      <c r="AM118" s="376" t="s">
        <v>181</v>
      </c>
      <c r="AN118" s="376" t="s">
        <v>68</v>
      </c>
      <c r="AO118" s="379">
        <v>80</v>
      </c>
      <c r="AP118" s="460">
        <v>1</v>
      </c>
      <c r="AQ118" s="460">
        <v>0.3</v>
      </c>
      <c r="AR118" s="458" t="s">
        <v>182</v>
      </c>
      <c r="AS118" s="462">
        <f t="shared" si="17"/>
        <v>0.3</v>
      </c>
      <c r="AT118">
        <f t="shared" si="18"/>
        <v>1</v>
      </c>
      <c r="AU118" s="462">
        <f>IF(AT118=0,"",IF(AND(AT118=1,M118="F",SUMIF(C2:C698,C118,AS2:AS698)&lt;=1),SUMIF(C2:C698,C118,AS2:AS698),IF(AND(AT118=1,M118="F",SUMIF(C2:C698,C118,AS2:AS698)&gt;1),1,"")))</f>
        <v>0.99999999999999989</v>
      </c>
      <c r="AV118" s="462" t="str">
        <f>IF(AT118=0,"",IF(AND(AT118=3,M118="F",SUMIF(C2:C698,C118,AS2:AS698)&lt;=1),SUMIF(C2:C698,C118,AS2:AS698),IF(AND(AT118=3,M118="F",SUMIF(C2:C698,C118,AS2:AS698)&gt;1),1,"")))</f>
        <v/>
      </c>
      <c r="AW118" s="462">
        <f>SUMIF(C2:C698,C118,O2:O698)</f>
        <v>3</v>
      </c>
      <c r="AX118" s="462">
        <f>IF(AND(M118="F",AS118&lt;&gt;0),SUMIF(C2:C698,C118,W2:W698),0)</f>
        <v>67288</v>
      </c>
      <c r="AY118" s="462">
        <f t="shared" si="19"/>
        <v>20186.400000000001</v>
      </c>
      <c r="AZ118" s="462" t="str">
        <f t="shared" si="20"/>
        <v/>
      </c>
      <c r="BA118" s="462">
        <f t="shared" si="21"/>
        <v>0</v>
      </c>
      <c r="BB118" s="462">
        <f>IF(AND(AT118=1,AK118="E",AU118&gt;=0.75,AW118=1),Health,IF(AND(AT118=1,AK118="E",AU118&gt;=0.75),Health*P118,IF(AND(AT118=1,AK118="E",AU118&gt;=0.5,AW118=1),PTHealth,IF(AND(AT118=1,AK118="E",AU118&gt;=0.5),PTHealth*P118,0))))</f>
        <v>3495</v>
      </c>
      <c r="BC118" s="462">
        <f>IF(AND(AT118=3,AK118="E",AV118&gt;=0.75,AW118=1),Health,IF(AND(AT118=3,AK118="E",AV118&gt;=0.75),Health*P118,IF(AND(AT118=3,AK118="E",AV118&gt;=0.5,AW118=1),PTHealth,IF(AND(AT118=3,AK118="E",AV118&gt;=0.5),PTHealth*P118,0))))</f>
        <v>0</v>
      </c>
      <c r="BD118" s="462">
        <f>IF(AND(AT118&lt;&gt;0,AX118&gt;=MAXSSDI),SSDI*MAXSSDI*P118,IF(AT118&lt;&gt;0,SSDI*W118,0))</f>
        <v>1251.5568000000001</v>
      </c>
      <c r="BE118" s="462">
        <f>IF(AT118&lt;&gt;0,SSHI*W118,0)</f>
        <v>292.70280000000002</v>
      </c>
      <c r="BF118" s="462">
        <f>IF(AND(AT118&lt;&gt;0,AN118&lt;&gt;"NE"),VLOOKUP(AN118,Retirement_Rates,3,FALSE)*W118,0)</f>
        <v>2410.2561600000004</v>
      </c>
      <c r="BG118" s="462">
        <f>IF(AND(AT118&lt;&gt;0,AJ118&lt;&gt;"PF"),Life*W118,0)</f>
        <v>145.54394400000001</v>
      </c>
      <c r="BH118" s="462">
        <f>IF(AND(AT118&lt;&gt;0,AM118="Y"),UI*W118,0)</f>
        <v>98.913359999999997</v>
      </c>
      <c r="BI118" s="462">
        <f>IF(AND(AT118&lt;&gt;0,N118&lt;&gt;"NR"),DHR*W118,0)</f>
        <v>61.770384</v>
      </c>
      <c r="BJ118" s="462">
        <f>IF(AT118&lt;&gt;0,WC*W118,0)</f>
        <v>308.85192000000001</v>
      </c>
      <c r="BK118" s="462">
        <f>IF(OR(AND(AT118&lt;&gt;0,AJ118&lt;&gt;"PF",AN118&lt;&gt;"NE",AG118&lt;&gt;"A"),AND(AL118="E",OR(AT118=1,AT118=3))),Sick*W118,0)</f>
        <v>0</v>
      </c>
      <c r="BL118" s="462">
        <f t="shared" si="22"/>
        <v>4569.5953680000002</v>
      </c>
      <c r="BM118" s="462">
        <f t="shared" si="23"/>
        <v>0</v>
      </c>
      <c r="BN118" s="462">
        <f>IF(AND(AT118=1,AK118="E",AU118&gt;=0.75,AW118=1),HealthBY,IF(AND(AT118=1,AK118="E",AU118&gt;=0.75),HealthBY*P118,IF(AND(AT118=1,AK118="E",AU118&gt;=0.5,AW118=1),PTHealthBY,IF(AND(AT118=1,AK118="E",AU118&gt;=0.5),PTHealthBY*P118,0))))</f>
        <v>3495</v>
      </c>
      <c r="BO118" s="462">
        <f>IF(AND(AT118=3,AK118="E",AV118&gt;=0.75,AW118=1),HealthBY,IF(AND(AT118=3,AK118="E",AV118&gt;=0.75),HealthBY*P118,IF(AND(AT118=3,AK118="E",AV118&gt;=0.5,AW118=1),PTHealthBY,IF(AND(AT118=3,AK118="E",AV118&gt;=0.5),PTHealthBY*P118,0))))</f>
        <v>0</v>
      </c>
      <c r="BP118" s="462">
        <f>IF(AND(AT118&lt;&gt;0,(AX118+BA118)&gt;=MAXSSDIBY),SSDIBY*MAXSSDIBY*P118,IF(AT118&lt;&gt;0,SSDIBY*W118,0))</f>
        <v>1251.5568000000001</v>
      </c>
      <c r="BQ118" s="462">
        <f>IF(AT118&lt;&gt;0,SSHIBY*W118,0)</f>
        <v>292.70280000000002</v>
      </c>
      <c r="BR118" s="462">
        <f>IF(AND(AT118&lt;&gt;0,AN118&lt;&gt;"NE"),VLOOKUP(AN118,Retirement_Rates,4,FALSE)*W118,0)</f>
        <v>2410.2561600000004</v>
      </c>
      <c r="BS118" s="462">
        <f>IF(AND(AT118&lt;&gt;0,AJ118&lt;&gt;"PF"),LifeBY*W118,0)</f>
        <v>145.54394400000001</v>
      </c>
      <c r="BT118" s="462">
        <f>IF(AND(AT118&lt;&gt;0,AM118="Y"),UIBY*W118,0)</f>
        <v>0</v>
      </c>
      <c r="BU118" s="462">
        <f>IF(AND(AT118&lt;&gt;0,N118&lt;&gt;"NR"),DHRBY*W118,0)</f>
        <v>61.770384</v>
      </c>
      <c r="BV118" s="462">
        <f>IF(AT118&lt;&gt;0,WCBY*W118,0)</f>
        <v>355.28064000000006</v>
      </c>
      <c r="BW118" s="462">
        <f>IF(OR(AND(AT118&lt;&gt;0,AJ118&lt;&gt;"PF",AN118&lt;&gt;"NE",AG118&lt;&gt;"A"),AND(AL118="E",OR(AT118=1,AT118=3))),SickBY*W118,0)</f>
        <v>0</v>
      </c>
      <c r="BX118" s="462">
        <f t="shared" si="24"/>
        <v>4517.1107280000006</v>
      </c>
      <c r="BY118" s="462">
        <f t="shared" si="25"/>
        <v>0</v>
      </c>
      <c r="BZ118" s="462">
        <f t="shared" si="26"/>
        <v>0</v>
      </c>
      <c r="CA118" s="462">
        <f t="shared" si="27"/>
        <v>0</v>
      </c>
      <c r="CB118" s="462">
        <f t="shared" si="28"/>
        <v>0</v>
      </c>
      <c r="CC118" s="462">
        <f>IF(AT118&lt;&gt;0,SSHICHG*Y118,0)</f>
        <v>0</v>
      </c>
      <c r="CD118" s="462">
        <f>IF(AND(AT118&lt;&gt;0,AN118&lt;&gt;"NE"),VLOOKUP(AN118,Retirement_Rates,5,FALSE)*Y118,0)</f>
        <v>0</v>
      </c>
      <c r="CE118" s="462">
        <f>IF(AND(AT118&lt;&gt;0,AJ118&lt;&gt;"PF"),LifeCHG*Y118,0)</f>
        <v>0</v>
      </c>
      <c r="CF118" s="462">
        <f>IF(AND(AT118&lt;&gt;0,AM118="Y"),UICHG*Y118,0)</f>
        <v>-98.913359999999997</v>
      </c>
      <c r="CG118" s="462">
        <f>IF(AND(AT118&lt;&gt;0,N118&lt;&gt;"NR"),DHRCHG*Y118,0)</f>
        <v>0</v>
      </c>
      <c r="CH118" s="462">
        <f>IF(AT118&lt;&gt;0,WCCHG*Y118,0)</f>
        <v>46.428720000000041</v>
      </c>
      <c r="CI118" s="462">
        <f>IF(OR(AND(AT118&lt;&gt;0,AJ118&lt;&gt;"PF",AN118&lt;&gt;"NE",AG118&lt;&gt;"A"),AND(AL118="E",OR(AT118=1,AT118=3))),SickCHG*Y118,0)</f>
        <v>0</v>
      </c>
      <c r="CJ118" s="462">
        <f t="shared" si="29"/>
        <v>-52.484639999999956</v>
      </c>
      <c r="CK118" s="462" t="str">
        <f t="shared" si="30"/>
        <v/>
      </c>
      <c r="CL118" s="462" t="str">
        <f t="shared" si="31"/>
        <v/>
      </c>
      <c r="CM118" s="462" t="str">
        <f t="shared" si="32"/>
        <v/>
      </c>
      <c r="CN118" s="462" t="str">
        <f t="shared" si="33"/>
        <v>0332-06</v>
      </c>
    </row>
    <row r="119" spans="1:92" ht="15" thickBot="1" x14ac:dyDescent="0.35">
      <c r="A119" s="376" t="s">
        <v>161</v>
      </c>
      <c r="B119" s="376" t="s">
        <v>162</v>
      </c>
      <c r="C119" s="376" t="s">
        <v>354</v>
      </c>
      <c r="D119" s="376" t="s">
        <v>355</v>
      </c>
      <c r="E119" s="376" t="s">
        <v>535</v>
      </c>
      <c r="F119" s="382" t="s">
        <v>536</v>
      </c>
      <c r="G119" s="376" t="s">
        <v>356</v>
      </c>
      <c r="H119" s="378"/>
      <c r="I119" s="378"/>
      <c r="J119" s="376" t="s">
        <v>168</v>
      </c>
      <c r="K119" s="376" t="s">
        <v>357</v>
      </c>
      <c r="L119" s="376" t="s">
        <v>220</v>
      </c>
      <c r="M119" s="376" t="s">
        <v>170</v>
      </c>
      <c r="N119" s="376" t="s">
        <v>202</v>
      </c>
      <c r="O119" s="379">
        <v>1</v>
      </c>
      <c r="P119" s="460">
        <v>1</v>
      </c>
      <c r="Q119" s="460">
        <v>1</v>
      </c>
      <c r="R119" s="380">
        <v>80</v>
      </c>
      <c r="S119" s="460">
        <v>1</v>
      </c>
      <c r="T119" s="380">
        <v>4336.37</v>
      </c>
      <c r="U119" s="380">
        <v>0</v>
      </c>
      <c r="V119" s="380">
        <v>1959.55</v>
      </c>
      <c r="W119" s="380">
        <v>33800</v>
      </c>
      <c r="X119" s="380">
        <v>19301.29</v>
      </c>
      <c r="Y119" s="380">
        <v>33800</v>
      </c>
      <c r="Z119" s="380">
        <v>19213.41</v>
      </c>
      <c r="AA119" s="376" t="s">
        <v>358</v>
      </c>
      <c r="AB119" s="376" t="s">
        <v>359</v>
      </c>
      <c r="AC119" s="376" t="s">
        <v>360</v>
      </c>
      <c r="AD119" s="376" t="s">
        <v>220</v>
      </c>
      <c r="AE119" s="376" t="s">
        <v>357</v>
      </c>
      <c r="AF119" s="376" t="s">
        <v>264</v>
      </c>
      <c r="AG119" s="376" t="s">
        <v>177</v>
      </c>
      <c r="AH119" s="379">
        <v>20</v>
      </c>
      <c r="AI119" s="381">
        <v>7395.3</v>
      </c>
      <c r="AJ119" s="376" t="s">
        <v>313</v>
      </c>
      <c r="AK119" s="376" t="s">
        <v>179</v>
      </c>
      <c r="AL119" s="376" t="s">
        <v>180</v>
      </c>
      <c r="AM119" s="376" t="s">
        <v>181</v>
      </c>
      <c r="AN119" s="376" t="s">
        <v>68</v>
      </c>
      <c r="AO119" s="379">
        <v>65</v>
      </c>
      <c r="AP119" s="460">
        <v>1</v>
      </c>
      <c r="AQ119" s="460">
        <v>0.81</v>
      </c>
      <c r="AR119" s="458" t="s">
        <v>182</v>
      </c>
      <c r="AS119" s="462">
        <f t="shared" si="17"/>
        <v>0.8125</v>
      </c>
      <c r="AT119">
        <f t="shared" si="18"/>
        <v>1</v>
      </c>
      <c r="AU119" s="462">
        <f>IF(AT119=0,"",IF(AND(AT119=1,M119="F",SUMIF(C2:C698,C119,AS2:AS698)&lt;=1),SUMIF(C2:C698,C119,AS2:AS698),IF(AND(AT119=1,M119="F",SUMIF(C2:C698,C119,AS2:AS698)&gt;1),1,"")))</f>
        <v>0.8125</v>
      </c>
      <c r="AV119" s="462" t="str">
        <f>IF(AT119=0,"",IF(AND(AT119=3,M119="F",SUMIF(C2:C698,C119,AS2:AS698)&lt;=1),SUMIF(C2:C698,C119,AS2:AS698),IF(AND(AT119=3,M119="F",SUMIF(C2:C698,C119,AS2:AS698)&gt;1),1,"")))</f>
        <v/>
      </c>
      <c r="AW119" s="462">
        <f>SUMIF(C2:C698,C119,O2:O698)</f>
        <v>3</v>
      </c>
      <c r="AX119" s="462">
        <f>IF(AND(M119="F",AS119&lt;&gt;0),SUMIF(C2:C698,C119,W2:W698),0)</f>
        <v>33800</v>
      </c>
      <c r="AY119" s="462">
        <f t="shared" si="19"/>
        <v>33800</v>
      </c>
      <c r="AZ119" s="462" t="str">
        <f t="shared" si="20"/>
        <v/>
      </c>
      <c r="BA119" s="462">
        <f t="shared" si="21"/>
        <v>0</v>
      </c>
      <c r="BB119" s="462">
        <f>IF(AND(AT119=1,AK119="E",AU119&gt;=0.75,AW119=1),Health,IF(AND(AT119=1,AK119="E",AU119&gt;=0.75),Health*P119,IF(AND(AT119=1,AK119="E",AU119&gt;=0.5,AW119=1),PTHealth,IF(AND(AT119=1,AK119="E",AU119&gt;=0.5),PTHealth*P119,0))))</f>
        <v>11650</v>
      </c>
      <c r="BC119" s="462">
        <f>IF(AND(AT119=3,AK119="E",AV119&gt;=0.75,AW119=1),Health,IF(AND(AT119=3,AK119="E",AV119&gt;=0.75),Health*P119,IF(AND(AT119=3,AK119="E",AV119&gt;=0.5,AW119=1),PTHealth,IF(AND(AT119=3,AK119="E",AV119&gt;=0.5),PTHealth*P119,0))))</f>
        <v>0</v>
      </c>
      <c r="BD119" s="462">
        <f>IF(AND(AT119&lt;&gt;0,AX119&gt;=MAXSSDI),SSDI*MAXSSDI*P119,IF(AT119&lt;&gt;0,SSDI*W119,0))</f>
        <v>2095.6</v>
      </c>
      <c r="BE119" s="462">
        <f>IF(AT119&lt;&gt;0,SSHI*W119,0)</f>
        <v>490.1</v>
      </c>
      <c r="BF119" s="462">
        <f>IF(AND(AT119&lt;&gt;0,AN119&lt;&gt;"NE"),VLOOKUP(AN119,Retirement_Rates,3,FALSE)*W119,0)</f>
        <v>4035.7200000000003</v>
      </c>
      <c r="BG119" s="462">
        <f>IF(AND(AT119&lt;&gt;0,AJ119&lt;&gt;"PF"),Life*W119,0)</f>
        <v>243.69800000000001</v>
      </c>
      <c r="BH119" s="462">
        <f>IF(AND(AT119&lt;&gt;0,AM119="Y"),UI*W119,0)</f>
        <v>165.62</v>
      </c>
      <c r="BI119" s="462">
        <f>IF(AND(AT119&lt;&gt;0,N119&lt;&gt;"NR"),DHR*W119,0)</f>
        <v>103.428</v>
      </c>
      <c r="BJ119" s="462">
        <f>IF(AT119&lt;&gt;0,WC*W119,0)</f>
        <v>517.14</v>
      </c>
      <c r="BK119" s="462">
        <f>IF(OR(AND(AT119&lt;&gt;0,AJ119&lt;&gt;"PF",AN119&lt;&gt;"NE",AG119&lt;&gt;"A"),AND(AL119="E",OR(AT119=1,AT119=3))),Sick*W119,0)</f>
        <v>0</v>
      </c>
      <c r="BL119" s="462">
        <f t="shared" si="22"/>
        <v>7651.3060000000005</v>
      </c>
      <c r="BM119" s="462">
        <f t="shared" si="23"/>
        <v>0</v>
      </c>
      <c r="BN119" s="462">
        <f>IF(AND(AT119=1,AK119="E",AU119&gt;=0.75,AW119=1),HealthBY,IF(AND(AT119=1,AK119="E",AU119&gt;=0.75),HealthBY*P119,IF(AND(AT119=1,AK119="E",AU119&gt;=0.5,AW119=1),PTHealthBY,IF(AND(AT119=1,AK119="E",AU119&gt;=0.5),PTHealthBY*P119,0))))</f>
        <v>11650</v>
      </c>
      <c r="BO119" s="462">
        <f>IF(AND(AT119=3,AK119="E",AV119&gt;=0.75,AW119=1),HealthBY,IF(AND(AT119=3,AK119="E",AV119&gt;=0.75),HealthBY*P119,IF(AND(AT119=3,AK119="E",AV119&gt;=0.5,AW119=1),PTHealthBY,IF(AND(AT119=3,AK119="E",AV119&gt;=0.5),PTHealthBY*P119,0))))</f>
        <v>0</v>
      </c>
      <c r="BP119" s="462">
        <f>IF(AND(AT119&lt;&gt;0,(AX119+BA119)&gt;=MAXSSDIBY),SSDIBY*MAXSSDIBY*P119,IF(AT119&lt;&gt;0,SSDIBY*W119,0))</f>
        <v>2095.6</v>
      </c>
      <c r="BQ119" s="462">
        <f>IF(AT119&lt;&gt;0,SSHIBY*W119,0)</f>
        <v>490.1</v>
      </c>
      <c r="BR119" s="462">
        <f>IF(AND(AT119&lt;&gt;0,AN119&lt;&gt;"NE"),VLOOKUP(AN119,Retirement_Rates,4,FALSE)*W119,0)</f>
        <v>4035.7200000000003</v>
      </c>
      <c r="BS119" s="462">
        <f>IF(AND(AT119&lt;&gt;0,AJ119&lt;&gt;"PF"),LifeBY*W119,0)</f>
        <v>243.69800000000001</v>
      </c>
      <c r="BT119" s="462">
        <f>IF(AND(AT119&lt;&gt;0,AM119="Y"),UIBY*W119,0)</f>
        <v>0</v>
      </c>
      <c r="BU119" s="462">
        <f>IF(AND(AT119&lt;&gt;0,N119&lt;&gt;"NR"),DHRBY*W119,0)</f>
        <v>103.428</v>
      </c>
      <c r="BV119" s="462">
        <f>IF(AT119&lt;&gt;0,WCBY*W119,0)</f>
        <v>594.88</v>
      </c>
      <c r="BW119" s="462">
        <f>IF(OR(AND(AT119&lt;&gt;0,AJ119&lt;&gt;"PF",AN119&lt;&gt;"NE",AG119&lt;&gt;"A"),AND(AL119="E",OR(AT119=1,AT119=3))),SickBY*W119,0)</f>
        <v>0</v>
      </c>
      <c r="BX119" s="462">
        <f t="shared" si="24"/>
        <v>7563.4260000000004</v>
      </c>
      <c r="BY119" s="462">
        <f t="shared" si="25"/>
        <v>0</v>
      </c>
      <c r="BZ119" s="462">
        <f t="shared" si="26"/>
        <v>0</v>
      </c>
      <c r="CA119" s="462">
        <f t="shared" si="27"/>
        <v>0</v>
      </c>
      <c r="CB119" s="462">
        <f t="shared" si="28"/>
        <v>0</v>
      </c>
      <c r="CC119" s="462">
        <f>IF(AT119&lt;&gt;0,SSHICHG*Y119,0)</f>
        <v>0</v>
      </c>
      <c r="CD119" s="462">
        <f>IF(AND(AT119&lt;&gt;0,AN119&lt;&gt;"NE"),VLOOKUP(AN119,Retirement_Rates,5,FALSE)*Y119,0)</f>
        <v>0</v>
      </c>
      <c r="CE119" s="462">
        <f>IF(AND(AT119&lt;&gt;0,AJ119&lt;&gt;"PF"),LifeCHG*Y119,0)</f>
        <v>0</v>
      </c>
      <c r="CF119" s="462">
        <f>IF(AND(AT119&lt;&gt;0,AM119="Y"),UICHG*Y119,0)</f>
        <v>-165.62</v>
      </c>
      <c r="CG119" s="462">
        <f>IF(AND(AT119&lt;&gt;0,N119&lt;&gt;"NR"),DHRCHG*Y119,0)</f>
        <v>0</v>
      </c>
      <c r="CH119" s="462">
        <f>IF(AT119&lt;&gt;0,WCCHG*Y119,0)</f>
        <v>77.740000000000052</v>
      </c>
      <c r="CI119" s="462">
        <f>IF(OR(AND(AT119&lt;&gt;0,AJ119&lt;&gt;"PF",AN119&lt;&gt;"NE",AG119&lt;&gt;"A"),AND(AL119="E",OR(AT119=1,AT119=3))),SickCHG*Y119,0)</f>
        <v>0</v>
      </c>
      <c r="CJ119" s="462">
        <f t="shared" si="29"/>
        <v>-87.879999999999953</v>
      </c>
      <c r="CK119" s="462" t="str">
        <f t="shared" si="30"/>
        <v/>
      </c>
      <c r="CL119" s="462" t="str">
        <f t="shared" si="31"/>
        <v/>
      </c>
      <c r="CM119" s="462" t="str">
        <f t="shared" si="32"/>
        <v/>
      </c>
      <c r="CN119" s="462" t="str">
        <f t="shared" si="33"/>
        <v>0332-06</v>
      </c>
    </row>
    <row r="120" spans="1:92" ht="15" thickBot="1" x14ac:dyDescent="0.35">
      <c r="A120" s="376" t="s">
        <v>161</v>
      </c>
      <c r="B120" s="376" t="s">
        <v>162</v>
      </c>
      <c r="C120" s="376" t="s">
        <v>364</v>
      </c>
      <c r="D120" s="376" t="s">
        <v>365</v>
      </c>
      <c r="E120" s="376" t="s">
        <v>535</v>
      </c>
      <c r="F120" s="382" t="s">
        <v>536</v>
      </c>
      <c r="G120" s="376" t="s">
        <v>356</v>
      </c>
      <c r="H120" s="378"/>
      <c r="I120" s="378"/>
      <c r="J120" s="376" t="s">
        <v>168</v>
      </c>
      <c r="K120" s="376" t="s">
        <v>366</v>
      </c>
      <c r="L120" s="376" t="s">
        <v>274</v>
      </c>
      <c r="M120" s="376" t="s">
        <v>170</v>
      </c>
      <c r="N120" s="376" t="s">
        <v>202</v>
      </c>
      <c r="O120" s="379">
        <v>1</v>
      </c>
      <c r="P120" s="460">
        <v>0</v>
      </c>
      <c r="Q120" s="460">
        <v>0</v>
      </c>
      <c r="R120" s="380">
        <v>80</v>
      </c>
      <c r="S120" s="460">
        <v>0</v>
      </c>
      <c r="T120" s="380">
        <v>5.31</v>
      </c>
      <c r="U120" s="380">
        <v>0</v>
      </c>
      <c r="V120" s="380">
        <v>2.9</v>
      </c>
      <c r="W120" s="380">
        <v>0</v>
      </c>
      <c r="X120" s="380">
        <v>0</v>
      </c>
      <c r="Y120" s="380">
        <v>0</v>
      </c>
      <c r="Z120" s="380">
        <v>0</v>
      </c>
      <c r="AA120" s="376" t="s">
        <v>367</v>
      </c>
      <c r="AB120" s="376" t="s">
        <v>368</v>
      </c>
      <c r="AC120" s="376" t="s">
        <v>369</v>
      </c>
      <c r="AD120" s="376" t="s">
        <v>370</v>
      </c>
      <c r="AE120" s="376" t="s">
        <v>366</v>
      </c>
      <c r="AF120" s="376" t="s">
        <v>279</v>
      </c>
      <c r="AG120" s="376" t="s">
        <v>177</v>
      </c>
      <c r="AH120" s="381">
        <v>18.46</v>
      </c>
      <c r="AI120" s="379">
        <v>16594</v>
      </c>
      <c r="AJ120" s="376" t="s">
        <v>178</v>
      </c>
      <c r="AK120" s="376" t="s">
        <v>179</v>
      </c>
      <c r="AL120" s="376" t="s">
        <v>180</v>
      </c>
      <c r="AM120" s="376" t="s">
        <v>181</v>
      </c>
      <c r="AN120" s="376" t="s">
        <v>68</v>
      </c>
      <c r="AO120" s="379">
        <v>80</v>
      </c>
      <c r="AP120" s="460">
        <v>1</v>
      </c>
      <c r="AQ120" s="460">
        <v>0</v>
      </c>
      <c r="AR120" s="458" t="s">
        <v>182</v>
      </c>
      <c r="AS120" s="462">
        <f t="shared" si="17"/>
        <v>0</v>
      </c>
      <c r="AT120">
        <f t="shared" si="18"/>
        <v>0</v>
      </c>
      <c r="AU120" s="462" t="str">
        <f>IF(AT120=0,"",IF(AND(AT120=1,M120="F",SUMIF(C2:C698,C120,AS2:AS698)&lt;=1),SUMIF(C2:C698,C120,AS2:AS698),IF(AND(AT120=1,M120="F",SUMIF(C2:C698,C120,AS2:AS698)&gt;1),1,"")))</f>
        <v/>
      </c>
      <c r="AV120" s="462" t="str">
        <f>IF(AT120=0,"",IF(AND(AT120=3,M120="F",SUMIF(C2:C698,C120,AS2:AS698)&lt;=1),SUMIF(C2:C698,C120,AS2:AS698),IF(AND(AT120=3,M120="F",SUMIF(C2:C698,C120,AS2:AS698)&gt;1),1,"")))</f>
        <v/>
      </c>
      <c r="AW120" s="462">
        <f>SUMIF(C2:C698,C120,O2:O698)</f>
        <v>7</v>
      </c>
      <c r="AX120" s="462">
        <f>IF(AND(M120="F",AS120&lt;&gt;0),SUMIF(C2:C698,C120,W2:W698),0)</f>
        <v>0</v>
      </c>
      <c r="AY120" s="462" t="str">
        <f t="shared" si="19"/>
        <v/>
      </c>
      <c r="AZ120" s="462" t="str">
        <f t="shared" si="20"/>
        <v/>
      </c>
      <c r="BA120" s="462">
        <f t="shared" si="21"/>
        <v>0</v>
      </c>
      <c r="BB120" s="462">
        <f>IF(AND(AT120=1,AK120="E",AU120&gt;=0.75,AW120=1),Health,IF(AND(AT120=1,AK120="E",AU120&gt;=0.75),Health*P120,IF(AND(AT120=1,AK120="E",AU120&gt;=0.5,AW120=1),PTHealth,IF(AND(AT120=1,AK120="E",AU120&gt;=0.5),PTHealth*P120,0))))</f>
        <v>0</v>
      </c>
      <c r="BC120" s="462">
        <f>IF(AND(AT120=3,AK120="E",AV120&gt;=0.75,AW120=1),Health,IF(AND(AT120=3,AK120="E",AV120&gt;=0.75),Health*P120,IF(AND(AT120=3,AK120="E",AV120&gt;=0.5,AW120=1),PTHealth,IF(AND(AT120=3,AK120="E",AV120&gt;=0.5),PTHealth*P120,0))))</f>
        <v>0</v>
      </c>
      <c r="BD120" s="462">
        <f>IF(AND(AT120&lt;&gt;0,AX120&gt;=MAXSSDI),SSDI*MAXSSDI*P120,IF(AT120&lt;&gt;0,SSDI*W120,0))</f>
        <v>0</v>
      </c>
      <c r="BE120" s="462">
        <f>IF(AT120&lt;&gt;0,SSHI*W120,0)</f>
        <v>0</v>
      </c>
      <c r="BF120" s="462">
        <f>IF(AND(AT120&lt;&gt;0,AN120&lt;&gt;"NE"),VLOOKUP(AN120,Retirement_Rates,3,FALSE)*W120,0)</f>
        <v>0</v>
      </c>
      <c r="BG120" s="462">
        <f>IF(AND(AT120&lt;&gt;0,AJ120&lt;&gt;"PF"),Life*W120,0)</f>
        <v>0</v>
      </c>
      <c r="BH120" s="462">
        <f>IF(AND(AT120&lt;&gt;0,AM120="Y"),UI*W120,0)</f>
        <v>0</v>
      </c>
      <c r="BI120" s="462">
        <f>IF(AND(AT120&lt;&gt;0,N120&lt;&gt;"NR"),DHR*W120,0)</f>
        <v>0</v>
      </c>
      <c r="BJ120" s="462">
        <f>IF(AT120&lt;&gt;0,WC*W120,0)</f>
        <v>0</v>
      </c>
      <c r="BK120" s="462">
        <f>IF(OR(AND(AT120&lt;&gt;0,AJ120&lt;&gt;"PF",AN120&lt;&gt;"NE",AG120&lt;&gt;"A"),AND(AL120="E",OR(AT120=1,AT120=3))),Sick*W120,0)</f>
        <v>0</v>
      </c>
      <c r="BL120" s="462">
        <f t="shared" si="22"/>
        <v>0</v>
      </c>
      <c r="BM120" s="462">
        <f t="shared" si="23"/>
        <v>0</v>
      </c>
      <c r="BN120" s="462">
        <f>IF(AND(AT120=1,AK120="E",AU120&gt;=0.75,AW120=1),HealthBY,IF(AND(AT120=1,AK120="E",AU120&gt;=0.75),HealthBY*P120,IF(AND(AT120=1,AK120="E",AU120&gt;=0.5,AW120=1),PTHealthBY,IF(AND(AT120=1,AK120="E",AU120&gt;=0.5),PTHealthBY*P120,0))))</f>
        <v>0</v>
      </c>
      <c r="BO120" s="462">
        <f>IF(AND(AT120=3,AK120="E",AV120&gt;=0.75,AW120=1),HealthBY,IF(AND(AT120=3,AK120="E",AV120&gt;=0.75),HealthBY*P120,IF(AND(AT120=3,AK120="E",AV120&gt;=0.5,AW120=1),PTHealthBY,IF(AND(AT120=3,AK120="E",AV120&gt;=0.5),PTHealthBY*P120,0))))</f>
        <v>0</v>
      </c>
      <c r="BP120" s="462">
        <f>IF(AND(AT120&lt;&gt;0,(AX120+BA120)&gt;=MAXSSDIBY),SSDIBY*MAXSSDIBY*P120,IF(AT120&lt;&gt;0,SSDIBY*W120,0))</f>
        <v>0</v>
      </c>
      <c r="BQ120" s="462">
        <f>IF(AT120&lt;&gt;0,SSHIBY*W120,0)</f>
        <v>0</v>
      </c>
      <c r="BR120" s="462">
        <f>IF(AND(AT120&lt;&gt;0,AN120&lt;&gt;"NE"),VLOOKUP(AN120,Retirement_Rates,4,FALSE)*W120,0)</f>
        <v>0</v>
      </c>
      <c r="BS120" s="462">
        <f>IF(AND(AT120&lt;&gt;0,AJ120&lt;&gt;"PF"),LifeBY*W120,0)</f>
        <v>0</v>
      </c>
      <c r="BT120" s="462">
        <f>IF(AND(AT120&lt;&gt;0,AM120="Y"),UIBY*W120,0)</f>
        <v>0</v>
      </c>
      <c r="BU120" s="462">
        <f>IF(AND(AT120&lt;&gt;0,N120&lt;&gt;"NR"),DHRBY*W120,0)</f>
        <v>0</v>
      </c>
      <c r="BV120" s="462">
        <f>IF(AT120&lt;&gt;0,WCBY*W120,0)</f>
        <v>0</v>
      </c>
      <c r="BW120" s="462">
        <f>IF(OR(AND(AT120&lt;&gt;0,AJ120&lt;&gt;"PF",AN120&lt;&gt;"NE",AG120&lt;&gt;"A"),AND(AL120="E",OR(AT120=1,AT120=3))),SickBY*W120,0)</f>
        <v>0</v>
      </c>
      <c r="BX120" s="462">
        <f t="shared" si="24"/>
        <v>0</v>
      </c>
      <c r="BY120" s="462">
        <f t="shared" si="25"/>
        <v>0</v>
      </c>
      <c r="BZ120" s="462">
        <f t="shared" si="26"/>
        <v>0</v>
      </c>
      <c r="CA120" s="462">
        <f t="shared" si="27"/>
        <v>0</v>
      </c>
      <c r="CB120" s="462">
        <f t="shared" si="28"/>
        <v>0</v>
      </c>
      <c r="CC120" s="462">
        <f>IF(AT120&lt;&gt;0,SSHICHG*Y120,0)</f>
        <v>0</v>
      </c>
      <c r="CD120" s="462">
        <f>IF(AND(AT120&lt;&gt;0,AN120&lt;&gt;"NE"),VLOOKUP(AN120,Retirement_Rates,5,FALSE)*Y120,0)</f>
        <v>0</v>
      </c>
      <c r="CE120" s="462">
        <f>IF(AND(AT120&lt;&gt;0,AJ120&lt;&gt;"PF"),LifeCHG*Y120,0)</f>
        <v>0</v>
      </c>
      <c r="CF120" s="462">
        <f>IF(AND(AT120&lt;&gt;0,AM120="Y"),UICHG*Y120,0)</f>
        <v>0</v>
      </c>
      <c r="CG120" s="462">
        <f>IF(AND(AT120&lt;&gt;0,N120&lt;&gt;"NR"),DHRCHG*Y120,0)</f>
        <v>0</v>
      </c>
      <c r="CH120" s="462">
        <f>IF(AT120&lt;&gt;0,WCCHG*Y120,0)</f>
        <v>0</v>
      </c>
      <c r="CI120" s="462">
        <f>IF(OR(AND(AT120&lt;&gt;0,AJ120&lt;&gt;"PF",AN120&lt;&gt;"NE",AG120&lt;&gt;"A"),AND(AL120="E",OR(AT120=1,AT120=3))),SickCHG*Y120,0)</f>
        <v>0</v>
      </c>
      <c r="CJ120" s="462">
        <f t="shared" si="29"/>
        <v>0</v>
      </c>
      <c r="CK120" s="462" t="str">
        <f t="shared" si="30"/>
        <v/>
      </c>
      <c r="CL120" s="462" t="str">
        <f t="shared" si="31"/>
        <v/>
      </c>
      <c r="CM120" s="462" t="str">
        <f t="shared" si="32"/>
        <v/>
      </c>
      <c r="CN120" s="462" t="str">
        <f t="shared" si="33"/>
        <v>0332-06</v>
      </c>
    </row>
    <row r="121" spans="1:92" ht="15" thickBot="1" x14ac:dyDescent="0.35">
      <c r="A121" s="376" t="s">
        <v>161</v>
      </c>
      <c r="B121" s="376" t="s">
        <v>162</v>
      </c>
      <c r="C121" s="376" t="s">
        <v>559</v>
      </c>
      <c r="D121" s="376" t="s">
        <v>339</v>
      </c>
      <c r="E121" s="376" t="s">
        <v>535</v>
      </c>
      <c r="F121" s="382" t="s">
        <v>536</v>
      </c>
      <c r="G121" s="376" t="s">
        <v>356</v>
      </c>
      <c r="H121" s="378"/>
      <c r="I121" s="378"/>
      <c r="J121" s="376" t="s">
        <v>168</v>
      </c>
      <c r="K121" s="376" t="s">
        <v>340</v>
      </c>
      <c r="L121" s="376" t="s">
        <v>247</v>
      </c>
      <c r="M121" s="376" t="s">
        <v>170</v>
      </c>
      <c r="N121" s="376" t="s">
        <v>202</v>
      </c>
      <c r="O121" s="379">
        <v>1</v>
      </c>
      <c r="P121" s="460">
        <v>1</v>
      </c>
      <c r="Q121" s="460">
        <v>1</v>
      </c>
      <c r="R121" s="380">
        <v>80</v>
      </c>
      <c r="S121" s="460">
        <v>1</v>
      </c>
      <c r="T121" s="380">
        <v>13884</v>
      </c>
      <c r="U121" s="380">
        <v>0</v>
      </c>
      <c r="V121" s="380">
        <v>4816.41</v>
      </c>
      <c r="W121" s="380">
        <v>91270.399999999994</v>
      </c>
      <c r="X121" s="380">
        <v>32310.84</v>
      </c>
      <c r="Y121" s="380">
        <v>91270.399999999994</v>
      </c>
      <c r="Z121" s="380">
        <v>32073.54</v>
      </c>
      <c r="AA121" s="376" t="s">
        <v>560</v>
      </c>
      <c r="AB121" s="376" t="s">
        <v>561</v>
      </c>
      <c r="AC121" s="376" t="s">
        <v>562</v>
      </c>
      <c r="AD121" s="376" t="s">
        <v>563</v>
      </c>
      <c r="AE121" s="376" t="s">
        <v>340</v>
      </c>
      <c r="AF121" s="376" t="s">
        <v>299</v>
      </c>
      <c r="AG121" s="376" t="s">
        <v>177</v>
      </c>
      <c r="AH121" s="381">
        <v>43.88</v>
      </c>
      <c r="AI121" s="381">
        <v>14939.5</v>
      </c>
      <c r="AJ121" s="376" t="s">
        <v>178</v>
      </c>
      <c r="AK121" s="376" t="s">
        <v>179</v>
      </c>
      <c r="AL121" s="376" t="s">
        <v>180</v>
      </c>
      <c r="AM121" s="376" t="s">
        <v>181</v>
      </c>
      <c r="AN121" s="376" t="s">
        <v>68</v>
      </c>
      <c r="AO121" s="379">
        <v>80</v>
      </c>
      <c r="AP121" s="460">
        <v>1</v>
      </c>
      <c r="AQ121" s="460">
        <v>1</v>
      </c>
      <c r="AR121" s="458" t="s">
        <v>182</v>
      </c>
      <c r="AS121" s="462">
        <f t="shared" si="17"/>
        <v>1</v>
      </c>
      <c r="AT121">
        <f t="shared" si="18"/>
        <v>1</v>
      </c>
      <c r="AU121" s="462">
        <f>IF(AT121=0,"",IF(AND(AT121=1,M121="F",SUMIF(C2:C698,C121,AS2:AS698)&lt;=1),SUMIF(C2:C698,C121,AS2:AS698),IF(AND(AT121=1,M121="F",SUMIF(C2:C698,C121,AS2:AS698)&gt;1),1,"")))</f>
        <v>1</v>
      </c>
      <c r="AV121" s="462" t="str">
        <f>IF(AT121=0,"",IF(AND(AT121=3,M121="F",SUMIF(C2:C698,C121,AS2:AS698)&lt;=1),SUMIF(C2:C698,C121,AS2:AS698),IF(AND(AT121=3,M121="F",SUMIF(C2:C698,C121,AS2:AS698)&gt;1),1,"")))</f>
        <v/>
      </c>
      <c r="AW121" s="462">
        <f>SUMIF(C2:C698,C121,O2:O698)</f>
        <v>2</v>
      </c>
      <c r="AX121" s="462">
        <f>IF(AND(M121="F",AS121&lt;&gt;0),SUMIF(C2:C698,C121,W2:W698),0)</f>
        <v>91270.399999999994</v>
      </c>
      <c r="AY121" s="462">
        <f t="shared" si="19"/>
        <v>91270.399999999994</v>
      </c>
      <c r="AZ121" s="462" t="str">
        <f t="shared" si="20"/>
        <v/>
      </c>
      <c r="BA121" s="462">
        <f t="shared" si="21"/>
        <v>0</v>
      </c>
      <c r="BB121" s="462">
        <f>IF(AND(AT121=1,AK121="E",AU121&gt;=0.75,AW121=1),Health,IF(AND(AT121=1,AK121="E",AU121&gt;=0.75),Health*P121,IF(AND(AT121=1,AK121="E",AU121&gt;=0.5,AW121=1),PTHealth,IF(AND(AT121=1,AK121="E",AU121&gt;=0.5),PTHealth*P121,0))))</f>
        <v>11650</v>
      </c>
      <c r="BC121" s="462">
        <f>IF(AND(AT121=3,AK121="E",AV121&gt;=0.75,AW121=1),Health,IF(AND(AT121=3,AK121="E",AV121&gt;=0.75),Health*P121,IF(AND(AT121=3,AK121="E",AV121&gt;=0.5,AW121=1),PTHealth,IF(AND(AT121=3,AK121="E",AV121&gt;=0.5),PTHealth*P121,0))))</f>
        <v>0</v>
      </c>
      <c r="BD121" s="462">
        <f>IF(AND(AT121&lt;&gt;0,AX121&gt;=MAXSSDI),SSDI*MAXSSDI*P121,IF(AT121&lt;&gt;0,SSDI*W121,0))</f>
        <v>5658.7647999999999</v>
      </c>
      <c r="BE121" s="462">
        <f>IF(AT121&lt;&gt;0,SSHI*W121,0)</f>
        <v>1323.4207999999999</v>
      </c>
      <c r="BF121" s="462">
        <f>IF(AND(AT121&lt;&gt;0,AN121&lt;&gt;"NE"),VLOOKUP(AN121,Retirement_Rates,3,FALSE)*W121,0)</f>
        <v>10897.68576</v>
      </c>
      <c r="BG121" s="462">
        <f>IF(AND(AT121&lt;&gt;0,AJ121&lt;&gt;"PF"),Life*W121,0)</f>
        <v>658.05958399999997</v>
      </c>
      <c r="BH121" s="462">
        <f>IF(AND(AT121&lt;&gt;0,AM121="Y"),UI*W121,0)</f>
        <v>447.22495999999995</v>
      </c>
      <c r="BI121" s="462">
        <f>IF(AND(AT121&lt;&gt;0,N121&lt;&gt;"NR"),DHR*W121,0)</f>
        <v>279.28742399999999</v>
      </c>
      <c r="BJ121" s="462">
        <f>IF(AT121&lt;&gt;0,WC*W121,0)</f>
        <v>1396.4371199999998</v>
      </c>
      <c r="BK121" s="462">
        <f>IF(OR(AND(AT121&lt;&gt;0,AJ121&lt;&gt;"PF",AN121&lt;&gt;"NE",AG121&lt;&gt;"A"),AND(AL121="E",OR(AT121=1,AT121=3))),Sick*W121,0)</f>
        <v>0</v>
      </c>
      <c r="BL121" s="462">
        <f t="shared" si="22"/>
        <v>20660.880447999996</v>
      </c>
      <c r="BM121" s="462">
        <f t="shared" si="23"/>
        <v>0</v>
      </c>
      <c r="BN121" s="462">
        <f>IF(AND(AT121=1,AK121="E",AU121&gt;=0.75,AW121=1),HealthBY,IF(AND(AT121=1,AK121="E",AU121&gt;=0.75),HealthBY*P121,IF(AND(AT121=1,AK121="E",AU121&gt;=0.5,AW121=1),PTHealthBY,IF(AND(AT121=1,AK121="E",AU121&gt;=0.5),PTHealthBY*P121,0))))</f>
        <v>11650</v>
      </c>
      <c r="BO121" s="462">
        <f>IF(AND(AT121=3,AK121="E",AV121&gt;=0.75,AW121=1),HealthBY,IF(AND(AT121=3,AK121="E",AV121&gt;=0.75),HealthBY*P121,IF(AND(AT121=3,AK121="E",AV121&gt;=0.5,AW121=1),PTHealthBY,IF(AND(AT121=3,AK121="E",AV121&gt;=0.5),PTHealthBY*P121,0))))</f>
        <v>0</v>
      </c>
      <c r="BP121" s="462">
        <f>IF(AND(AT121&lt;&gt;0,(AX121+BA121)&gt;=MAXSSDIBY),SSDIBY*MAXSSDIBY*P121,IF(AT121&lt;&gt;0,SSDIBY*W121,0))</f>
        <v>5658.7647999999999</v>
      </c>
      <c r="BQ121" s="462">
        <f>IF(AT121&lt;&gt;0,SSHIBY*W121,0)</f>
        <v>1323.4207999999999</v>
      </c>
      <c r="BR121" s="462">
        <f>IF(AND(AT121&lt;&gt;0,AN121&lt;&gt;"NE"),VLOOKUP(AN121,Retirement_Rates,4,FALSE)*W121,0)</f>
        <v>10897.68576</v>
      </c>
      <c r="BS121" s="462">
        <f>IF(AND(AT121&lt;&gt;0,AJ121&lt;&gt;"PF"),LifeBY*W121,0)</f>
        <v>658.05958399999997</v>
      </c>
      <c r="BT121" s="462">
        <f>IF(AND(AT121&lt;&gt;0,AM121="Y"),UIBY*W121,0)</f>
        <v>0</v>
      </c>
      <c r="BU121" s="462">
        <f>IF(AND(AT121&lt;&gt;0,N121&lt;&gt;"NR"),DHRBY*W121,0)</f>
        <v>279.28742399999999</v>
      </c>
      <c r="BV121" s="462">
        <f>IF(AT121&lt;&gt;0,WCBY*W121,0)</f>
        <v>1606.35904</v>
      </c>
      <c r="BW121" s="462">
        <f>IF(OR(AND(AT121&lt;&gt;0,AJ121&lt;&gt;"PF",AN121&lt;&gt;"NE",AG121&lt;&gt;"A"),AND(AL121="E",OR(AT121=1,AT121=3))),SickBY*W121,0)</f>
        <v>0</v>
      </c>
      <c r="BX121" s="462">
        <f t="shared" si="24"/>
        <v>20423.577407999997</v>
      </c>
      <c r="BY121" s="462">
        <f t="shared" si="25"/>
        <v>0</v>
      </c>
      <c r="BZ121" s="462">
        <f t="shared" si="26"/>
        <v>0</v>
      </c>
      <c r="CA121" s="462">
        <f t="shared" si="27"/>
        <v>0</v>
      </c>
      <c r="CB121" s="462">
        <f t="shared" si="28"/>
        <v>0</v>
      </c>
      <c r="CC121" s="462">
        <f>IF(AT121&lt;&gt;0,SSHICHG*Y121,0)</f>
        <v>0</v>
      </c>
      <c r="CD121" s="462">
        <f>IF(AND(AT121&lt;&gt;0,AN121&lt;&gt;"NE"),VLOOKUP(AN121,Retirement_Rates,5,FALSE)*Y121,0)</f>
        <v>0</v>
      </c>
      <c r="CE121" s="462">
        <f>IF(AND(AT121&lt;&gt;0,AJ121&lt;&gt;"PF"),LifeCHG*Y121,0)</f>
        <v>0</v>
      </c>
      <c r="CF121" s="462">
        <f>IF(AND(AT121&lt;&gt;0,AM121="Y"),UICHG*Y121,0)</f>
        <v>-447.22495999999995</v>
      </c>
      <c r="CG121" s="462">
        <f>IF(AND(AT121&lt;&gt;0,N121&lt;&gt;"NR"),DHRCHG*Y121,0)</f>
        <v>0</v>
      </c>
      <c r="CH121" s="462">
        <f>IF(AT121&lt;&gt;0,WCCHG*Y121,0)</f>
        <v>209.92192000000014</v>
      </c>
      <c r="CI121" s="462">
        <f>IF(OR(AND(AT121&lt;&gt;0,AJ121&lt;&gt;"PF",AN121&lt;&gt;"NE",AG121&lt;&gt;"A"),AND(AL121="E",OR(AT121=1,AT121=3))),SickCHG*Y121,0)</f>
        <v>0</v>
      </c>
      <c r="CJ121" s="462">
        <f t="shared" si="29"/>
        <v>-237.30303999999981</v>
      </c>
      <c r="CK121" s="462" t="str">
        <f t="shared" si="30"/>
        <v/>
      </c>
      <c r="CL121" s="462" t="str">
        <f t="shared" si="31"/>
        <v/>
      </c>
      <c r="CM121" s="462" t="str">
        <f t="shared" si="32"/>
        <v/>
      </c>
      <c r="CN121" s="462" t="str">
        <f t="shared" si="33"/>
        <v>0332-06</v>
      </c>
    </row>
    <row r="122" spans="1:92" ht="15" thickBot="1" x14ac:dyDescent="0.35">
      <c r="A122" s="376" t="s">
        <v>161</v>
      </c>
      <c r="B122" s="376" t="s">
        <v>162</v>
      </c>
      <c r="C122" s="376" t="s">
        <v>564</v>
      </c>
      <c r="D122" s="376" t="s">
        <v>467</v>
      </c>
      <c r="E122" s="376" t="s">
        <v>535</v>
      </c>
      <c r="F122" s="382" t="s">
        <v>565</v>
      </c>
      <c r="G122" s="376" t="s">
        <v>356</v>
      </c>
      <c r="H122" s="378"/>
      <c r="I122" s="378"/>
      <c r="J122" s="376" t="s">
        <v>168</v>
      </c>
      <c r="K122" s="376" t="s">
        <v>468</v>
      </c>
      <c r="L122" s="376" t="s">
        <v>224</v>
      </c>
      <c r="M122" s="376" t="s">
        <v>170</v>
      </c>
      <c r="N122" s="376" t="s">
        <v>202</v>
      </c>
      <c r="O122" s="379">
        <v>1</v>
      </c>
      <c r="P122" s="460">
        <v>1</v>
      </c>
      <c r="Q122" s="460">
        <v>1</v>
      </c>
      <c r="R122" s="380">
        <v>80</v>
      </c>
      <c r="S122" s="460">
        <v>1</v>
      </c>
      <c r="T122" s="380">
        <v>49700.08</v>
      </c>
      <c r="U122" s="380">
        <v>0</v>
      </c>
      <c r="V122" s="380">
        <v>22423.23</v>
      </c>
      <c r="W122" s="380">
        <v>52000</v>
      </c>
      <c r="X122" s="380">
        <v>23421.24</v>
      </c>
      <c r="Y122" s="380">
        <v>52000</v>
      </c>
      <c r="Z122" s="380">
        <v>23286.04</v>
      </c>
      <c r="AA122" s="376" t="s">
        <v>566</v>
      </c>
      <c r="AB122" s="376" t="s">
        <v>567</v>
      </c>
      <c r="AC122" s="376" t="s">
        <v>568</v>
      </c>
      <c r="AD122" s="376" t="s">
        <v>220</v>
      </c>
      <c r="AE122" s="376" t="s">
        <v>468</v>
      </c>
      <c r="AF122" s="376" t="s">
        <v>232</v>
      </c>
      <c r="AG122" s="376" t="s">
        <v>177</v>
      </c>
      <c r="AH122" s="379">
        <v>25</v>
      </c>
      <c r="AI122" s="379">
        <v>3760</v>
      </c>
      <c r="AJ122" s="376" t="s">
        <v>178</v>
      </c>
      <c r="AK122" s="376" t="s">
        <v>179</v>
      </c>
      <c r="AL122" s="376" t="s">
        <v>180</v>
      </c>
      <c r="AM122" s="376" t="s">
        <v>181</v>
      </c>
      <c r="AN122" s="376" t="s">
        <v>68</v>
      </c>
      <c r="AO122" s="379">
        <v>80</v>
      </c>
      <c r="AP122" s="460">
        <v>1</v>
      </c>
      <c r="AQ122" s="460">
        <v>1</v>
      </c>
      <c r="AR122" s="458" t="s">
        <v>182</v>
      </c>
      <c r="AS122" s="462">
        <f t="shared" si="17"/>
        <v>1</v>
      </c>
      <c r="AT122">
        <f t="shared" si="18"/>
        <v>1</v>
      </c>
      <c r="AU122" s="462">
        <f>IF(AT122=0,"",IF(AND(AT122=1,M122="F",SUMIF(C2:C698,C122,AS2:AS698)&lt;=1),SUMIF(C2:C698,C122,AS2:AS698),IF(AND(AT122=1,M122="F",SUMIF(C2:C698,C122,AS2:AS698)&gt;1),1,"")))</f>
        <v>1</v>
      </c>
      <c r="AV122" s="462" t="str">
        <f>IF(AT122=0,"",IF(AND(AT122=3,M122="F",SUMIF(C2:C698,C122,AS2:AS698)&lt;=1),SUMIF(C2:C698,C122,AS2:AS698),IF(AND(AT122=3,M122="F",SUMIF(C2:C698,C122,AS2:AS698)&gt;1),1,"")))</f>
        <v/>
      </c>
      <c r="AW122" s="462">
        <f>SUMIF(C2:C698,C122,O2:O698)</f>
        <v>1</v>
      </c>
      <c r="AX122" s="462">
        <f>IF(AND(M122="F",AS122&lt;&gt;0),SUMIF(C2:C698,C122,W2:W698),0)</f>
        <v>52000</v>
      </c>
      <c r="AY122" s="462">
        <f t="shared" si="19"/>
        <v>52000</v>
      </c>
      <c r="AZ122" s="462" t="str">
        <f t="shared" si="20"/>
        <v/>
      </c>
      <c r="BA122" s="462">
        <f t="shared" si="21"/>
        <v>0</v>
      </c>
      <c r="BB122" s="462">
        <f>IF(AND(AT122=1,AK122="E",AU122&gt;=0.75,AW122=1),Health,IF(AND(AT122=1,AK122="E",AU122&gt;=0.75),Health*P122,IF(AND(AT122=1,AK122="E",AU122&gt;=0.5,AW122=1),PTHealth,IF(AND(AT122=1,AK122="E",AU122&gt;=0.5),PTHealth*P122,0))))</f>
        <v>11650</v>
      </c>
      <c r="BC122" s="462">
        <f>IF(AND(AT122=3,AK122="E",AV122&gt;=0.75,AW122=1),Health,IF(AND(AT122=3,AK122="E",AV122&gt;=0.75),Health*P122,IF(AND(AT122=3,AK122="E",AV122&gt;=0.5,AW122=1),PTHealth,IF(AND(AT122=3,AK122="E",AV122&gt;=0.5),PTHealth*P122,0))))</f>
        <v>0</v>
      </c>
      <c r="BD122" s="462">
        <f>IF(AND(AT122&lt;&gt;0,AX122&gt;=MAXSSDI),SSDI*MAXSSDI*P122,IF(AT122&lt;&gt;0,SSDI*W122,0))</f>
        <v>3224</v>
      </c>
      <c r="BE122" s="462">
        <f>IF(AT122&lt;&gt;0,SSHI*W122,0)</f>
        <v>754</v>
      </c>
      <c r="BF122" s="462">
        <f>IF(AND(AT122&lt;&gt;0,AN122&lt;&gt;"NE"),VLOOKUP(AN122,Retirement_Rates,3,FALSE)*W122,0)</f>
        <v>6208.8</v>
      </c>
      <c r="BG122" s="462">
        <f>IF(AND(AT122&lt;&gt;0,AJ122&lt;&gt;"PF"),Life*W122,0)</f>
        <v>374.92</v>
      </c>
      <c r="BH122" s="462">
        <f>IF(AND(AT122&lt;&gt;0,AM122="Y"),UI*W122,0)</f>
        <v>254.79999999999998</v>
      </c>
      <c r="BI122" s="462">
        <f>IF(AND(AT122&lt;&gt;0,N122&lt;&gt;"NR"),DHR*W122,0)</f>
        <v>159.11999999999998</v>
      </c>
      <c r="BJ122" s="462">
        <f>IF(AT122&lt;&gt;0,WC*W122,0)</f>
        <v>795.6</v>
      </c>
      <c r="BK122" s="462">
        <f>IF(OR(AND(AT122&lt;&gt;0,AJ122&lt;&gt;"PF",AN122&lt;&gt;"NE",AG122&lt;&gt;"A"),AND(AL122="E",OR(AT122=1,AT122=3))),Sick*W122,0)</f>
        <v>0</v>
      </c>
      <c r="BL122" s="462">
        <f t="shared" si="22"/>
        <v>11771.24</v>
      </c>
      <c r="BM122" s="462">
        <f t="shared" si="23"/>
        <v>0</v>
      </c>
      <c r="BN122" s="462">
        <f>IF(AND(AT122=1,AK122="E",AU122&gt;=0.75,AW122=1),HealthBY,IF(AND(AT122=1,AK122="E",AU122&gt;=0.75),HealthBY*P122,IF(AND(AT122=1,AK122="E",AU122&gt;=0.5,AW122=1),PTHealthBY,IF(AND(AT122=1,AK122="E",AU122&gt;=0.5),PTHealthBY*P122,0))))</f>
        <v>11650</v>
      </c>
      <c r="BO122" s="462">
        <f>IF(AND(AT122=3,AK122="E",AV122&gt;=0.75,AW122=1),HealthBY,IF(AND(AT122=3,AK122="E",AV122&gt;=0.75),HealthBY*P122,IF(AND(AT122=3,AK122="E",AV122&gt;=0.5,AW122=1),PTHealthBY,IF(AND(AT122=3,AK122="E",AV122&gt;=0.5),PTHealthBY*P122,0))))</f>
        <v>0</v>
      </c>
      <c r="BP122" s="462">
        <f>IF(AND(AT122&lt;&gt;0,(AX122+BA122)&gt;=MAXSSDIBY),SSDIBY*MAXSSDIBY*P122,IF(AT122&lt;&gt;0,SSDIBY*W122,0))</f>
        <v>3224</v>
      </c>
      <c r="BQ122" s="462">
        <f>IF(AT122&lt;&gt;0,SSHIBY*W122,0)</f>
        <v>754</v>
      </c>
      <c r="BR122" s="462">
        <f>IF(AND(AT122&lt;&gt;0,AN122&lt;&gt;"NE"),VLOOKUP(AN122,Retirement_Rates,4,FALSE)*W122,0)</f>
        <v>6208.8</v>
      </c>
      <c r="BS122" s="462">
        <f>IF(AND(AT122&lt;&gt;0,AJ122&lt;&gt;"PF"),LifeBY*W122,0)</f>
        <v>374.92</v>
      </c>
      <c r="BT122" s="462">
        <f>IF(AND(AT122&lt;&gt;0,AM122="Y"),UIBY*W122,0)</f>
        <v>0</v>
      </c>
      <c r="BU122" s="462">
        <f>IF(AND(AT122&lt;&gt;0,N122&lt;&gt;"NR"),DHRBY*W122,0)</f>
        <v>159.11999999999998</v>
      </c>
      <c r="BV122" s="462">
        <f>IF(AT122&lt;&gt;0,WCBY*W122,0)</f>
        <v>915.2</v>
      </c>
      <c r="BW122" s="462">
        <f>IF(OR(AND(AT122&lt;&gt;0,AJ122&lt;&gt;"PF",AN122&lt;&gt;"NE",AG122&lt;&gt;"A"),AND(AL122="E",OR(AT122=1,AT122=3))),SickBY*W122,0)</f>
        <v>0</v>
      </c>
      <c r="BX122" s="462">
        <f t="shared" si="24"/>
        <v>11636.04</v>
      </c>
      <c r="BY122" s="462">
        <f t="shared" si="25"/>
        <v>0</v>
      </c>
      <c r="BZ122" s="462">
        <f t="shared" si="26"/>
        <v>0</v>
      </c>
      <c r="CA122" s="462">
        <f t="shared" si="27"/>
        <v>0</v>
      </c>
      <c r="CB122" s="462">
        <f t="shared" si="28"/>
        <v>0</v>
      </c>
      <c r="CC122" s="462">
        <f>IF(AT122&lt;&gt;0,SSHICHG*Y122,0)</f>
        <v>0</v>
      </c>
      <c r="CD122" s="462">
        <f>IF(AND(AT122&lt;&gt;0,AN122&lt;&gt;"NE"),VLOOKUP(AN122,Retirement_Rates,5,FALSE)*Y122,0)</f>
        <v>0</v>
      </c>
      <c r="CE122" s="462">
        <f>IF(AND(AT122&lt;&gt;0,AJ122&lt;&gt;"PF"),LifeCHG*Y122,0)</f>
        <v>0</v>
      </c>
      <c r="CF122" s="462">
        <f>IF(AND(AT122&lt;&gt;0,AM122="Y"),UICHG*Y122,0)</f>
        <v>-254.79999999999998</v>
      </c>
      <c r="CG122" s="462">
        <f>IF(AND(AT122&lt;&gt;0,N122&lt;&gt;"NR"),DHRCHG*Y122,0)</f>
        <v>0</v>
      </c>
      <c r="CH122" s="462">
        <f>IF(AT122&lt;&gt;0,WCCHG*Y122,0)</f>
        <v>119.60000000000009</v>
      </c>
      <c r="CI122" s="462">
        <f>IF(OR(AND(AT122&lt;&gt;0,AJ122&lt;&gt;"PF",AN122&lt;&gt;"NE",AG122&lt;&gt;"A"),AND(AL122="E",OR(AT122=1,AT122=3))),SickCHG*Y122,0)</f>
        <v>0</v>
      </c>
      <c r="CJ122" s="462">
        <f t="shared" si="29"/>
        <v>-135.19999999999987</v>
      </c>
      <c r="CK122" s="462" t="str">
        <f t="shared" si="30"/>
        <v/>
      </c>
      <c r="CL122" s="462" t="str">
        <f t="shared" si="31"/>
        <v/>
      </c>
      <c r="CM122" s="462" t="str">
        <f t="shared" si="32"/>
        <v/>
      </c>
      <c r="CN122" s="462" t="str">
        <f t="shared" si="33"/>
        <v>0332-07</v>
      </c>
    </row>
    <row r="123" spans="1:92" ht="15" thickBot="1" x14ac:dyDescent="0.35">
      <c r="A123" s="376" t="s">
        <v>161</v>
      </c>
      <c r="B123" s="376" t="s">
        <v>162</v>
      </c>
      <c r="C123" s="376" t="s">
        <v>569</v>
      </c>
      <c r="D123" s="376" t="s">
        <v>362</v>
      </c>
      <c r="E123" s="376" t="s">
        <v>535</v>
      </c>
      <c r="F123" s="382" t="s">
        <v>565</v>
      </c>
      <c r="G123" s="376" t="s">
        <v>356</v>
      </c>
      <c r="H123" s="378"/>
      <c r="I123" s="378"/>
      <c r="J123" s="376" t="s">
        <v>168</v>
      </c>
      <c r="K123" s="376" t="s">
        <v>363</v>
      </c>
      <c r="L123" s="376" t="s">
        <v>200</v>
      </c>
      <c r="M123" s="376" t="s">
        <v>170</v>
      </c>
      <c r="N123" s="376" t="s">
        <v>202</v>
      </c>
      <c r="O123" s="379">
        <v>1</v>
      </c>
      <c r="P123" s="460">
        <v>1</v>
      </c>
      <c r="Q123" s="460">
        <v>1</v>
      </c>
      <c r="R123" s="380">
        <v>80</v>
      </c>
      <c r="S123" s="460">
        <v>1</v>
      </c>
      <c r="T123" s="380">
        <v>44040</v>
      </c>
      <c r="U123" s="380">
        <v>0</v>
      </c>
      <c r="V123" s="380">
        <v>21039</v>
      </c>
      <c r="W123" s="380">
        <v>46800</v>
      </c>
      <c r="X123" s="380">
        <v>22244.1</v>
      </c>
      <c r="Y123" s="380">
        <v>46800</v>
      </c>
      <c r="Z123" s="380">
        <v>22122.42</v>
      </c>
      <c r="AA123" s="376" t="s">
        <v>570</v>
      </c>
      <c r="AB123" s="376" t="s">
        <v>571</v>
      </c>
      <c r="AC123" s="376" t="s">
        <v>572</v>
      </c>
      <c r="AD123" s="376" t="s">
        <v>325</v>
      </c>
      <c r="AE123" s="376" t="s">
        <v>363</v>
      </c>
      <c r="AF123" s="376" t="s">
        <v>210</v>
      </c>
      <c r="AG123" s="376" t="s">
        <v>177</v>
      </c>
      <c r="AH123" s="381">
        <v>22.5</v>
      </c>
      <c r="AI123" s="379">
        <v>2720</v>
      </c>
      <c r="AJ123" s="376" t="s">
        <v>178</v>
      </c>
      <c r="AK123" s="376" t="s">
        <v>179</v>
      </c>
      <c r="AL123" s="376" t="s">
        <v>180</v>
      </c>
      <c r="AM123" s="376" t="s">
        <v>181</v>
      </c>
      <c r="AN123" s="376" t="s">
        <v>68</v>
      </c>
      <c r="AO123" s="379">
        <v>80</v>
      </c>
      <c r="AP123" s="460">
        <v>1</v>
      </c>
      <c r="AQ123" s="460">
        <v>1</v>
      </c>
      <c r="AR123" s="458" t="s">
        <v>182</v>
      </c>
      <c r="AS123" s="462">
        <f t="shared" si="17"/>
        <v>1</v>
      </c>
      <c r="AT123">
        <f t="shared" si="18"/>
        <v>1</v>
      </c>
      <c r="AU123" s="462">
        <f>IF(AT123=0,"",IF(AND(AT123=1,M123="F",SUMIF(C2:C698,C123,AS2:AS698)&lt;=1),SUMIF(C2:C698,C123,AS2:AS698),IF(AND(AT123=1,M123="F",SUMIF(C2:C698,C123,AS2:AS698)&gt;1),1,"")))</f>
        <v>1</v>
      </c>
      <c r="AV123" s="462" t="str">
        <f>IF(AT123=0,"",IF(AND(AT123=3,M123="F",SUMIF(C2:C698,C123,AS2:AS698)&lt;=1),SUMIF(C2:C698,C123,AS2:AS698),IF(AND(AT123=3,M123="F",SUMIF(C2:C698,C123,AS2:AS698)&gt;1),1,"")))</f>
        <v/>
      </c>
      <c r="AW123" s="462">
        <f>SUMIF(C2:C698,C123,O2:O698)</f>
        <v>1</v>
      </c>
      <c r="AX123" s="462">
        <f>IF(AND(M123="F",AS123&lt;&gt;0),SUMIF(C2:C698,C123,W2:W698),0)</f>
        <v>46800</v>
      </c>
      <c r="AY123" s="462">
        <f t="shared" si="19"/>
        <v>46800</v>
      </c>
      <c r="AZ123" s="462" t="str">
        <f t="shared" si="20"/>
        <v/>
      </c>
      <c r="BA123" s="462">
        <f t="shared" si="21"/>
        <v>0</v>
      </c>
      <c r="BB123" s="462">
        <f>IF(AND(AT123=1,AK123="E",AU123&gt;=0.75,AW123=1),Health,IF(AND(AT123=1,AK123="E",AU123&gt;=0.75),Health*P123,IF(AND(AT123=1,AK123="E",AU123&gt;=0.5,AW123=1),PTHealth,IF(AND(AT123=1,AK123="E",AU123&gt;=0.5),PTHealth*P123,0))))</f>
        <v>11650</v>
      </c>
      <c r="BC123" s="462">
        <f>IF(AND(AT123=3,AK123="E",AV123&gt;=0.75,AW123=1),Health,IF(AND(AT123=3,AK123="E",AV123&gt;=0.75),Health*P123,IF(AND(AT123=3,AK123="E",AV123&gt;=0.5,AW123=1),PTHealth,IF(AND(AT123=3,AK123="E",AV123&gt;=0.5),PTHealth*P123,0))))</f>
        <v>0</v>
      </c>
      <c r="BD123" s="462">
        <f>IF(AND(AT123&lt;&gt;0,AX123&gt;=MAXSSDI),SSDI*MAXSSDI*P123,IF(AT123&lt;&gt;0,SSDI*W123,0))</f>
        <v>2901.6</v>
      </c>
      <c r="BE123" s="462">
        <f>IF(AT123&lt;&gt;0,SSHI*W123,0)</f>
        <v>678.6</v>
      </c>
      <c r="BF123" s="462">
        <f>IF(AND(AT123&lt;&gt;0,AN123&lt;&gt;"NE"),VLOOKUP(AN123,Retirement_Rates,3,FALSE)*W123,0)</f>
        <v>5587.92</v>
      </c>
      <c r="BG123" s="462">
        <f>IF(AND(AT123&lt;&gt;0,AJ123&lt;&gt;"PF"),Life*W123,0)</f>
        <v>337.428</v>
      </c>
      <c r="BH123" s="462">
        <f>IF(AND(AT123&lt;&gt;0,AM123="Y"),UI*W123,0)</f>
        <v>229.32</v>
      </c>
      <c r="BI123" s="462">
        <f>IF(AND(AT123&lt;&gt;0,N123&lt;&gt;"NR"),DHR*W123,0)</f>
        <v>143.208</v>
      </c>
      <c r="BJ123" s="462">
        <f>IF(AT123&lt;&gt;0,WC*W123,0)</f>
        <v>716.04</v>
      </c>
      <c r="BK123" s="462">
        <f>IF(OR(AND(AT123&lt;&gt;0,AJ123&lt;&gt;"PF",AN123&lt;&gt;"NE",AG123&lt;&gt;"A"),AND(AL123="E",OR(AT123=1,AT123=3))),Sick*W123,0)</f>
        <v>0</v>
      </c>
      <c r="BL123" s="462">
        <f t="shared" si="22"/>
        <v>10594.115999999998</v>
      </c>
      <c r="BM123" s="462">
        <f t="shared" si="23"/>
        <v>0</v>
      </c>
      <c r="BN123" s="462">
        <f>IF(AND(AT123=1,AK123="E",AU123&gt;=0.75,AW123=1),HealthBY,IF(AND(AT123=1,AK123="E",AU123&gt;=0.75),HealthBY*P123,IF(AND(AT123=1,AK123="E",AU123&gt;=0.5,AW123=1),PTHealthBY,IF(AND(AT123=1,AK123="E",AU123&gt;=0.5),PTHealthBY*P123,0))))</f>
        <v>11650</v>
      </c>
      <c r="BO123" s="462">
        <f>IF(AND(AT123=3,AK123="E",AV123&gt;=0.75,AW123=1),HealthBY,IF(AND(AT123=3,AK123="E",AV123&gt;=0.75),HealthBY*P123,IF(AND(AT123=3,AK123="E",AV123&gt;=0.5,AW123=1),PTHealthBY,IF(AND(AT123=3,AK123="E",AV123&gt;=0.5),PTHealthBY*P123,0))))</f>
        <v>0</v>
      </c>
      <c r="BP123" s="462">
        <f>IF(AND(AT123&lt;&gt;0,(AX123+BA123)&gt;=MAXSSDIBY),SSDIBY*MAXSSDIBY*P123,IF(AT123&lt;&gt;0,SSDIBY*W123,0))</f>
        <v>2901.6</v>
      </c>
      <c r="BQ123" s="462">
        <f>IF(AT123&lt;&gt;0,SSHIBY*W123,0)</f>
        <v>678.6</v>
      </c>
      <c r="BR123" s="462">
        <f>IF(AND(AT123&lt;&gt;0,AN123&lt;&gt;"NE"),VLOOKUP(AN123,Retirement_Rates,4,FALSE)*W123,0)</f>
        <v>5587.92</v>
      </c>
      <c r="BS123" s="462">
        <f>IF(AND(AT123&lt;&gt;0,AJ123&lt;&gt;"PF"),LifeBY*W123,0)</f>
        <v>337.428</v>
      </c>
      <c r="BT123" s="462">
        <f>IF(AND(AT123&lt;&gt;0,AM123="Y"),UIBY*W123,0)</f>
        <v>0</v>
      </c>
      <c r="BU123" s="462">
        <f>IF(AND(AT123&lt;&gt;0,N123&lt;&gt;"NR"),DHRBY*W123,0)</f>
        <v>143.208</v>
      </c>
      <c r="BV123" s="462">
        <f>IF(AT123&lt;&gt;0,WCBY*W123,0)</f>
        <v>823.68000000000006</v>
      </c>
      <c r="BW123" s="462">
        <f>IF(OR(AND(AT123&lt;&gt;0,AJ123&lt;&gt;"PF",AN123&lt;&gt;"NE",AG123&lt;&gt;"A"),AND(AL123="E",OR(AT123=1,AT123=3))),SickBY*W123,0)</f>
        <v>0</v>
      </c>
      <c r="BX123" s="462">
        <f t="shared" si="24"/>
        <v>10472.436</v>
      </c>
      <c r="BY123" s="462">
        <f t="shared" si="25"/>
        <v>0</v>
      </c>
      <c r="BZ123" s="462">
        <f t="shared" si="26"/>
        <v>0</v>
      </c>
      <c r="CA123" s="462">
        <f t="shared" si="27"/>
        <v>0</v>
      </c>
      <c r="CB123" s="462">
        <f t="shared" si="28"/>
        <v>0</v>
      </c>
      <c r="CC123" s="462">
        <f>IF(AT123&lt;&gt;0,SSHICHG*Y123,0)</f>
        <v>0</v>
      </c>
      <c r="CD123" s="462">
        <f>IF(AND(AT123&lt;&gt;0,AN123&lt;&gt;"NE"),VLOOKUP(AN123,Retirement_Rates,5,FALSE)*Y123,0)</f>
        <v>0</v>
      </c>
      <c r="CE123" s="462">
        <f>IF(AND(AT123&lt;&gt;0,AJ123&lt;&gt;"PF"),LifeCHG*Y123,0)</f>
        <v>0</v>
      </c>
      <c r="CF123" s="462">
        <f>IF(AND(AT123&lt;&gt;0,AM123="Y"),UICHG*Y123,0)</f>
        <v>-229.32</v>
      </c>
      <c r="CG123" s="462">
        <f>IF(AND(AT123&lt;&gt;0,N123&lt;&gt;"NR"),DHRCHG*Y123,0)</f>
        <v>0</v>
      </c>
      <c r="CH123" s="462">
        <f>IF(AT123&lt;&gt;0,WCCHG*Y123,0)</f>
        <v>107.64000000000009</v>
      </c>
      <c r="CI123" s="462">
        <f>IF(OR(AND(AT123&lt;&gt;0,AJ123&lt;&gt;"PF",AN123&lt;&gt;"NE",AG123&lt;&gt;"A"),AND(AL123="E",OR(AT123=1,AT123=3))),SickCHG*Y123,0)</f>
        <v>0</v>
      </c>
      <c r="CJ123" s="462">
        <f t="shared" si="29"/>
        <v>-121.67999999999991</v>
      </c>
      <c r="CK123" s="462" t="str">
        <f t="shared" si="30"/>
        <v/>
      </c>
      <c r="CL123" s="462" t="str">
        <f t="shared" si="31"/>
        <v/>
      </c>
      <c r="CM123" s="462" t="str">
        <f t="shared" si="32"/>
        <v/>
      </c>
      <c r="CN123" s="462" t="str">
        <f t="shared" si="33"/>
        <v>0332-07</v>
      </c>
    </row>
    <row r="124" spans="1:92" ht="15" thickBot="1" x14ac:dyDescent="0.35">
      <c r="A124" s="376" t="s">
        <v>161</v>
      </c>
      <c r="B124" s="376" t="s">
        <v>162</v>
      </c>
      <c r="C124" s="376" t="s">
        <v>522</v>
      </c>
      <c r="D124" s="376" t="s">
        <v>457</v>
      </c>
      <c r="E124" s="376" t="s">
        <v>535</v>
      </c>
      <c r="F124" s="382" t="s">
        <v>565</v>
      </c>
      <c r="G124" s="376" t="s">
        <v>356</v>
      </c>
      <c r="H124" s="378"/>
      <c r="I124" s="378"/>
      <c r="J124" s="376" t="s">
        <v>455</v>
      </c>
      <c r="K124" s="376" t="s">
        <v>458</v>
      </c>
      <c r="L124" s="376" t="s">
        <v>177</v>
      </c>
      <c r="M124" s="376" t="s">
        <v>170</v>
      </c>
      <c r="N124" s="376" t="s">
        <v>202</v>
      </c>
      <c r="O124" s="379">
        <v>1</v>
      </c>
      <c r="P124" s="460">
        <v>0.1</v>
      </c>
      <c r="Q124" s="460">
        <v>0.1</v>
      </c>
      <c r="R124" s="380">
        <v>80</v>
      </c>
      <c r="S124" s="460">
        <v>0.1</v>
      </c>
      <c r="T124" s="380">
        <v>2601.0100000000002</v>
      </c>
      <c r="U124" s="380">
        <v>0</v>
      </c>
      <c r="V124" s="380">
        <v>1601.58</v>
      </c>
      <c r="W124" s="380">
        <v>3224</v>
      </c>
      <c r="X124" s="380">
        <v>1894.81</v>
      </c>
      <c r="Y124" s="380">
        <v>3224</v>
      </c>
      <c r="Z124" s="380">
        <v>1886.43</v>
      </c>
      <c r="AA124" s="376" t="s">
        <v>523</v>
      </c>
      <c r="AB124" s="376" t="s">
        <v>524</v>
      </c>
      <c r="AC124" s="376" t="s">
        <v>525</v>
      </c>
      <c r="AD124" s="376" t="s">
        <v>247</v>
      </c>
      <c r="AE124" s="376" t="s">
        <v>458</v>
      </c>
      <c r="AF124" s="376" t="s">
        <v>436</v>
      </c>
      <c r="AG124" s="376" t="s">
        <v>177</v>
      </c>
      <c r="AH124" s="381">
        <v>15.5</v>
      </c>
      <c r="AI124" s="381">
        <v>600.29999999999995</v>
      </c>
      <c r="AJ124" s="376" t="s">
        <v>178</v>
      </c>
      <c r="AK124" s="376" t="s">
        <v>179</v>
      </c>
      <c r="AL124" s="376" t="s">
        <v>180</v>
      </c>
      <c r="AM124" s="376" t="s">
        <v>181</v>
      </c>
      <c r="AN124" s="376" t="s">
        <v>68</v>
      </c>
      <c r="AO124" s="379">
        <v>80</v>
      </c>
      <c r="AP124" s="460">
        <v>1</v>
      </c>
      <c r="AQ124" s="460">
        <v>0.1</v>
      </c>
      <c r="AR124" s="458" t="s">
        <v>182</v>
      </c>
      <c r="AS124" s="462">
        <f t="shared" si="17"/>
        <v>0.1</v>
      </c>
      <c r="AT124">
        <f t="shared" si="18"/>
        <v>1</v>
      </c>
      <c r="AU124" s="462">
        <f>IF(AT124=0,"",IF(AND(AT124=1,M124="F",SUMIF(C2:C698,C124,AS2:AS698)&lt;=1),SUMIF(C2:C698,C124,AS2:AS698),IF(AND(AT124=1,M124="F",SUMIF(C2:C698,C124,AS2:AS698)&gt;1),1,"")))</f>
        <v>1</v>
      </c>
      <c r="AV124" s="462" t="str">
        <f>IF(AT124=0,"",IF(AND(AT124=3,M124="F",SUMIF(C2:C698,C124,AS2:AS698)&lt;=1),SUMIF(C2:C698,C124,AS2:AS698),IF(AND(AT124=3,M124="F",SUMIF(C2:C698,C124,AS2:AS698)&gt;1),1,"")))</f>
        <v/>
      </c>
      <c r="AW124" s="462">
        <f>SUMIF(C2:C698,C124,O2:O698)</f>
        <v>7</v>
      </c>
      <c r="AX124" s="462">
        <f>IF(AND(M124="F",AS124&lt;&gt;0),SUMIF(C2:C698,C124,W2:W698),0)</f>
        <v>32240</v>
      </c>
      <c r="AY124" s="462">
        <f t="shared" si="19"/>
        <v>3224</v>
      </c>
      <c r="AZ124" s="462" t="str">
        <f t="shared" si="20"/>
        <v/>
      </c>
      <c r="BA124" s="462">
        <f t="shared" si="21"/>
        <v>0</v>
      </c>
      <c r="BB124" s="462">
        <f>IF(AND(AT124=1,AK124="E",AU124&gt;=0.75,AW124=1),Health,IF(AND(AT124=1,AK124="E",AU124&gt;=0.75),Health*P124,IF(AND(AT124=1,AK124="E",AU124&gt;=0.5,AW124=1),PTHealth,IF(AND(AT124=1,AK124="E",AU124&gt;=0.5),PTHealth*P124,0))))</f>
        <v>1165</v>
      </c>
      <c r="BC124" s="462">
        <f>IF(AND(AT124=3,AK124="E",AV124&gt;=0.75,AW124=1),Health,IF(AND(AT124=3,AK124="E",AV124&gt;=0.75),Health*P124,IF(AND(AT124=3,AK124="E",AV124&gt;=0.5,AW124=1),PTHealth,IF(AND(AT124=3,AK124="E",AV124&gt;=0.5),PTHealth*P124,0))))</f>
        <v>0</v>
      </c>
      <c r="BD124" s="462">
        <f>IF(AND(AT124&lt;&gt;0,AX124&gt;=MAXSSDI),SSDI*MAXSSDI*P124,IF(AT124&lt;&gt;0,SSDI*W124,0))</f>
        <v>199.88800000000001</v>
      </c>
      <c r="BE124" s="462">
        <f>IF(AT124&lt;&gt;0,SSHI*W124,0)</f>
        <v>46.748000000000005</v>
      </c>
      <c r="BF124" s="462">
        <f>IF(AND(AT124&lt;&gt;0,AN124&lt;&gt;"NE"),VLOOKUP(AN124,Retirement_Rates,3,FALSE)*W124,0)</f>
        <v>384.94560000000001</v>
      </c>
      <c r="BG124" s="462">
        <f>IF(AND(AT124&lt;&gt;0,AJ124&lt;&gt;"PF"),Life*W124,0)</f>
        <v>23.245039999999999</v>
      </c>
      <c r="BH124" s="462">
        <f>IF(AND(AT124&lt;&gt;0,AM124="Y"),UI*W124,0)</f>
        <v>15.797599999999999</v>
      </c>
      <c r="BI124" s="462">
        <f>IF(AND(AT124&lt;&gt;0,N124&lt;&gt;"NR"),DHR*W124,0)</f>
        <v>9.8654399999999995</v>
      </c>
      <c r="BJ124" s="462">
        <f>IF(AT124&lt;&gt;0,WC*W124,0)</f>
        <v>49.327199999999998</v>
      </c>
      <c r="BK124" s="462">
        <f>IF(OR(AND(AT124&lt;&gt;0,AJ124&lt;&gt;"PF",AN124&lt;&gt;"NE",AG124&lt;&gt;"A"),AND(AL124="E",OR(AT124=1,AT124=3))),Sick*W124,0)</f>
        <v>0</v>
      </c>
      <c r="BL124" s="462">
        <f t="shared" si="22"/>
        <v>729.81687999999997</v>
      </c>
      <c r="BM124" s="462">
        <f t="shared" si="23"/>
        <v>0</v>
      </c>
      <c r="BN124" s="462">
        <f>IF(AND(AT124=1,AK124="E",AU124&gt;=0.75,AW124=1),HealthBY,IF(AND(AT124=1,AK124="E",AU124&gt;=0.75),HealthBY*P124,IF(AND(AT124=1,AK124="E",AU124&gt;=0.5,AW124=1),PTHealthBY,IF(AND(AT124=1,AK124="E",AU124&gt;=0.5),PTHealthBY*P124,0))))</f>
        <v>1165</v>
      </c>
      <c r="BO124" s="462">
        <f>IF(AND(AT124=3,AK124="E",AV124&gt;=0.75,AW124=1),HealthBY,IF(AND(AT124=3,AK124="E",AV124&gt;=0.75),HealthBY*P124,IF(AND(AT124=3,AK124="E",AV124&gt;=0.5,AW124=1),PTHealthBY,IF(AND(AT124=3,AK124="E",AV124&gt;=0.5),PTHealthBY*P124,0))))</f>
        <v>0</v>
      </c>
      <c r="BP124" s="462">
        <f>IF(AND(AT124&lt;&gt;0,(AX124+BA124)&gt;=MAXSSDIBY),SSDIBY*MAXSSDIBY*P124,IF(AT124&lt;&gt;0,SSDIBY*W124,0))</f>
        <v>199.88800000000001</v>
      </c>
      <c r="BQ124" s="462">
        <f>IF(AT124&lt;&gt;0,SSHIBY*W124,0)</f>
        <v>46.748000000000005</v>
      </c>
      <c r="BR124" s="462">
        <f>IF(AND(AT124&lt;&gt;0,AN124&lt;&gt;"NE"),VLOOKUP(AN124,Retirement_Rates,4,FALSE)*W124,0)</f>
        <v>384.94560000000001</v>
      </c>
      <c r="BS124" s="462">
        <f>IF(AND(AT124&lt;&gt;0,AJ124&lt;&gt;"PF"),LifeBY*W124,0)</f>
        <v>23.245039999999999</v>
      </c>
      <c r="BT124" s="462">
        <f>IF(AND(AT124&lt;&gt;0,AM124="Y"),UIBY*W124,0)</f>
        <v>0</v>
      </c>
      <c r="BU124" s="462">
        <f>IF(AND(AT124&lt;&gt;0,N124&lt;&gt;"NR"),DHRBY*W124,0)</f>
        <v>9.8654399999999995</v>
      </c>
      <c r="BV124" s="462">
        <f>IF(AT124&lt;&gt;0,WCBY*W124,0)</f>
        <v>56.742400000000004</v>
      </c>
      <c r="BW124" s="462">
        <f>IF(OR(AND(AT124&lt;&gt;0,AJ124&lt;&gt;"PF",AN124&lt;&gt;"NE",AG124&lt;&gt;"A"),AND(AL124="E",OR(AT124=1,AT124=3))),SickBY*W124,0)</f>
        <v>0</v>
      </c>
      <c r="BX124" s="462">
        <f t="shared" si="24"/>
        <v>721.43448000000001</v>
      </c>
      <c r="BY124" s="462">
        <f t="shared" si="25"/>
        <v>0</v>
      </c>
      <c r="BZ124" s="462">
        <f t="shared" si="26"/>
        <v>0</v>
      </c>
      <c r="CA124" s="462">
        <f t="shared" si="27"/>
        <v>0</v>
      </c>
      <c r="CB124" s="462">
        <f t="shared" si="28"/>
        <v>0</v>
      </c>
      <c r="CC124" s="462">
        <f>IF(AT124&lt;&gt;0,SSHICHG*Y124,0)</f>
        <v>0</v>
      </c>
      <c r="CD124" s="462">
        <f>IF(AND(AT124&lt;&gt;0,AN124&lt;&gt;"NE"),VLOOKUP(AN124,Retirement_Rates,5,FALSE)*Y124,0)</f>
        <v>0</v>
      </c>
      <c r="CE124" s="462">
        <f>IF(AND(AT124&lt;&gt;0,AJ124&lt;&gt;"PF"),LifeCHG*Y124,0)</f>
        <v>0</v>
      </c>
      <c r="CF124" s="462">
        <f>IF(AND(AT124&lt;&gt;0,AM124="Y"),UICHG*Y124,0)</f>
        <v>-15.797599999999999</v>
      </c>
      <c r="CG124" s="462">
        <f>IF(AND(AT124&lt;&gt;0,N124&lt;&gt;"NR"),DHRCHG*Y124,0)</f>
        <v>0</v>
      </c>
      <c r="CH124" s="462">
        <f>IF(AT124&lt;&gt;0,WCCHG*Y124,0)</f>
        <v>7.4152000000000058</v>
      </c>
      <c r="CI124" s="462">
        <f>IF(OR(AND(AT124&lt;&gt;0,AJ124&lt;&gt;"PF",AN124&lt;&gt;"NE",AG124&lt;&gt;"A"),AND(AL124="E",OR(AT124=1,AT124=3))),SickCHG*Y124,0)</f>
        <v>0</v>
      </c>
      <c r="CJ124" s="462">
        <f t="shared" si="29"/>
        <v>-8.3823999999999934</v>
      </c>
      <c r="CK124" s="462" t="str">
        <f t="shared" si="30"/>
        <v/>
      </c>
      <c r="CL124" s="462" t="str">
        <f t="shared" si="31"/>
        <v/>
      </c>
      <c r="CM124" s="462" t="str">
        <f t="shared" si="32"/>
        <v/>
      </c>
      <c r="CN124" s="462" t="str">
        <f t="shared" si="33"/>
        <v>0332-07</v>
      </c>
    </row>
    <row r="125" spans="1:92" ht="15" thickBot="1" x14ac:dyDescent="0.35">
      <c r="A125" s="376" t="s">
        <v>161</v>
      </c>
      <c r="B125" s="376" t="s">
        <v>162</v>
      </c>
      <c r="C125" s="376" t="s">
        <v>364</v>
      </c>
      <c r="D125" s="376" t="s">
        <v>365</v>
      </c>
      <c r="E125" s="376" t="s">
        <v>535</v>
      </c>
      <c r="F125" s="382" t="s">
        <v>565</v>
      </c>
      <c r="G125" s="376" t="s">
        <v>356</v>
      </c>
      <c r="H125" s="378"/>
      <c r="I125" s="378"/>
      <c r="J125" s="376" t="s">
        <v>168</v>
      </c>
      <c r="K125" s="376" t="s">
        <v>366</v>
      </c>
      <c r="L125" s="376" t="s">
        <v>274</v>
      </c>
      <c r="M125" s="376" t="s">
        <v>170</v>
      </c>
      <c r="N125" s="376" t="s">
        <v>202</v>
      </c>
      <c r="O125" s="379">
        <v>1</v>
      </c>
      <c r="P125" s="460">
        <v>0</v>
      </c>
      <c r="Q125" s="460">
        <v>0</v>
      </c>
      <c r="R125" s="380">
        <v>80</v>
      </c>
      <c r="S125" s="460">
        <v>0</v>
      </c>
      <c r="T125" s="380">
        <v>1036.54</v>
      </c>
      <c r="U125" s="380">
        <v>0</v>
      </c>
      <c r="V125" s="380">
        <v>545.47</v>
      </c>
      <c r="W125" s="380">
        <v>0</v>
      </c>
      <c r="X125" s="380">
        <v>0</v>
      </c>
      <c r="Y125" s="380">
        <v>0</v>
      </c>
      <c r="Z125" s="380">
        <v>0</v>
      </c>
      <c r="AA125" s="376" t="s">
        <v>367</v>
      </c>
      <c r="AB125" s="376" t="s">
        <v>368</v>
      </c>
      <c r="AC125" s="376" t="s">
        <v>369</v>
      </c>
      <c r="AD125" s="376" t="s">
        <v>370</v>
      </c>
      <c r="AE125" s="376" t="s">
        <v>366</v>
      </c>
      <c r="AF125" s="376" t="s">
        <v>279</v>
      </c>
      <c r="AG125" s="376" t="s">
        <v>177</v>
      </c>
      <c r="AH125" s="381">
        <v>18.46</v>
      </c>
      <c r="AI125" s="379">
        <v>16594</v>
      </c>
      <c r="AJ125" s="376" t="s">
        <v>178</v>
      </c>
      <c r="AK125" s="376" t="s">
        <v>179</v>
      </c>
      <c r="AL125" s="376" t="s">
        <v>180</v>
      </c>
      <c r="AM125" s="376" t="s">
        <v>181</v>
      </c>
      <c r="AN125" s="376" t="s">
        <v>68</v>
      </c>
      <c r="AO125" s="379">
        <v>80</v>
      </c>
      <c r="AP125" s="460">
        <v>1</v>
      </c>
      <c r="AQ125" s="460">
        <v>0</v>
      </c>
      <c r="AR125" s="458" t="s">
        <v>182</v>
      </c>
      <c r="AS125" s="462">
        <f t="shared" si="17"/>
        <v>0</v>
      </c>
      <c r="AT125">
        <f t="shared" si="18"/>
        <v>0</v>
      </c>
      <c r="AU125" s="462" t="str">
        <f>IF(AT125=0,"",IF(AND(AT125=1,M125="F",SUMIF(C2:C698,C125,AS2:AS698)&lt;=1),SUMIF(C2:C698,C125,AS2:AS698),IF(AND(AT125=1,M125="F",SUMIF(C2:C698,C125,AS2:AS698)&gt;1),1,"")))</f>
        <v/>
      </c>
      <c r="AV125" s="462" t="str">
        <f>IF(AT125=0,"",IF(AND(AT125=3,M125="F",SUMIF(C2:C698,C125,AS2:AS698)&lt;=1),SUMIF(C2:C698,C125,AS2:AS698),IF(AND(AT125=3,M125="F",SUMIF(C2:C698,C125,AS2:AS698)&gt;1),1,"")))</f>
        <v/>
      </c>
      <c r="AW125" s="462">
        <f>SUMIF(C2:C698,C125,O2:O698)</f>
        <v>7</v>
      </c>
      <c r="AX125" s="462">
        <f>IF(AND(M125="F",AS125&lt;&gt;0),SUMIF(C2:C698,C125,W2:W698),0)</f>
        <v>0</v>
      </c>
      <c r="AY125" s="462" t="str">
        <f t="shared" si="19"/>
        <v/>
      </c>
      <c r="AZ125" s="462" t="str">
        <f t="shared" si="20"/>
        <v/>
      </c>
      <c r="BA125" s="462">
        <f t="shared" si="21"/>
        <v>0</v>
      </c>
      <c r="BB125" s="462">
        <f>IF(AND(AT125=1,AK125="E",AU125&gt;=0.75,AW125=1),Health,IF(AND(AT125=1,AK125="E",AU125&gt;=0.75),Health*P125,IF(AND(AT125=1,AK125="E",AU125&gt;=0.5,AW125=1),PTHealth,IF(AND(AT125=1,AK125="E",AU125&gt;=0.5),PTHealth*P125,0))))</f>
        <v>0</v>
      </c>
      <c r="BC125" s="462">
        <f>IF(AND(AT125=3,AK125="E",AV125&gt;=0.75,AW125=1),Health,IF(AND(AT125=3,AK125="E",AV125&gt;=0.75),Health*P125,IF(AND(AT125=3,AK125="E",AV125&gt;=0.5,AW125=1),PTHealth,IF(AND(AT125=3,AK125="E",AV125&gt;=0.5),PTHealth*P125,0))))</f>
        <v>0</v>
      </c>
      <c r="BD125" s="462">
        <f>IF(AND(AT125&lt;&gt;0,AX125&gt;=MAXSSDI),SSDI*MAXSSDI*P125,IF(AT125&lt;&gt;0,SSDI*W125,0))</f>
        <v>0</v>
      </c>
      <c r="BE125" s="462">
        <f>IF(AT125&lt;&gt;0,SSHI*W125,0)</f>
        <v>0</v>
      </c>
      <c r="BF125" s="462">
        <f>IF(AND(AT125&lt;&gt;0,AN125&lt;&gt;"NE"),VLOOKUP(AN125,Retirement_Rates,3,FALSE)*W125,0)</f>
        <v>0</v>
      </c>
      <c r="BG125" s="462">
        <f>IF(AND(AT125&lt;&gt;0,AJ125&lt;&gt;"PF"),Life*W125,0)</f>
        <v>0</v>
      </c>
      <c r="BH125" s="462">
        <f>IF(AND(AT125&lt;&gt;0,AM125="Y"),UI*W125,0)</f>
        <v>0</v>
      </c>
      <c r="BI125" s="462">
        <f>IF(AND(AT125&lt;&gt;0,N125&lt;&gt;"NR"),DHR*W125,0)</f>
        <v>0</v>
      </c>
      <c r="BJ125" s="462">
        <f>IF(AT125&lt;&gt;0,WC*W125,0)</f>
        <v>0</v>
      </c>
      <c r="BK125" s="462">
        <f>IF(OR(AND(AT125&lt;&gt;0,AJ125&lt;&gt;"PF",AN125&lt;&gt;"NE",AG125&lt;&gt;"A"),AND(AL125="E",OR(AT125=1,AT125=3))),Sick*W125,0)</f>
        <v>0</v>
      </c>
      <c r="BL125" s="462">
        <f t="shared" si="22"/>
        <v>0</v>
      </c>
      <c r="BM125" s="462">
        <f t="shared" si="23"/>
        <v>0</v>
      </c>
      <c r="BN125" s="462">
        <f>IF(AND(AT125=1,AK125="E",AU125&gt;=0.75,AW125=1),HealthBY,IF(AND(AT125=1,AK125="E",AU125&gt;=0.75),HealthBY*P125,IF(AND(AT125=1,AK125="E",AU125&gt;=0.5,AW125=1),PTHealthBY,IF(AND(AT125=1,AK125="E",AU125&gt;=0.5),PTHealthBY*P125,0))))</f>
        <v>0</v>
      </c>
      <c r="BO125" s="462">
        <f>IF(AND(AT125=3,AK125="E",AV125&gt;=0.75,AW125=1),HealthBY,IF(AND(AT125=3,AK125="E",AV125&gt;=0.75),HealthBY*P125,IF(AND(AT125=3,AK125="E",AV125&gt;=0.5,AW125=1),PTHealthBY,IF(AND(AT125=3,AK125="E",AV125&gt;=0.5),PTHealthBY*P125,0))))</f>
        <v>0</v>
      </c>
      <c r="BP125" s="462">
        <f>IF(AND(AT125&lt;&gt;0,(AX125+BA125)&gt;=MAXSSDIBY),SSDIBY*MAXSSDIBY*P125,IF(AT125&lt;&gt;0,SSDIBY*W125,0))</f>
        <v>0</v>
      </c>
      <c r="BQ125" s="462">
        <f>IF(AT125&lt;&gt;0,SSHIBY*W125,0)</f>
        <v>0</v>
      </c>
      <c r="BR125" s="462">
        <f>IF(AND(AT125&lt;&gt;0,AN125&lt;&gt;"NE"),VLOOKUP(AN125,Retirement_Rates,4,FALSE)*W125,0)</f>
        <v>0</v>
      </c>
      <c r="BS125" s="462">
        <f>IF(AND(AT125&lt;&gt;0,AJ125&lt;&gt;"PF"),LifeBY*W125,0)</f>
        <v>0</v>
      </c>
      <c r="BT125" s="462">
        <f>IF(AND(AT125&lt;&gt;0,AM125="Y"),UIBY*W125,0)</f>
        <v>0</v>
      </c>
      <c r="BU125" s="462">
        <f>IF(AND(AT125&lt;&gt;0,N125&lt;&gt;"NR"),DHRBY*W125,0)</f>
        <v>0</v>
      </c>
      <c r="BV125" s="462">
        <f>IF(AT125&lt;&gt;0,WCBY*W125,0)</f>
        <v>0</v>
      </c>
      <c r="BW125" s="462">
        <f>IF(OR(AND(AT125&lt;&gt;0,AJ125&lt;&gt;"PF",AN125&lt;&gt;"NE",AG125&lt;&gt;"A"),AND(AL125="E",OR(AT125=1,AT125=3))),SickBY*W125,0)</f>
        <v>0</v>
      </c>
      <c r="BX125" s="462">
        <f t="shared" si="24"/>
        <v>0</v>
      </c>
      <c r="BY125" s="462">
        <f t="shared" si="25"/>
        <v>0</v>
      </c>
      <c r="BZ125" s="462">
        <f t="shared" si="26"/>
        <v>0</v>
      </c>
      <c r="CA125" s="462">
        <f t="shared" si="27"/>
        <v>0</v>
      </c>
      <c r="CB125" s="462">
        <f t="shared" si="28"/>
        <v>0</v>
      </c>
      <c r="CC125" s="462">
        <f>IF(AT125&lt;&gt;0,SSHICHG*Y125,0)</f>
        <v>0</v>
      </c>
      <c r="CD125" s="462">
        <f>IF(AND(AT125&lt;&gt;0,AN125&lt;&gt;"NE"),VLOOKUP(AN125,Retirement_Rates,5,FALSE)*Y125,0)</f>
        <v>0</v>
      </c>
      <c r="CE125" s="462">
        <f>IF(AND(AT125&lt;&gt;0,AJ125&lt;&gt;"PF"),LifeCHG*Y125,0)</f>
        <v>0</v>
      </c>
      <c r="CF125" s="462">
        <f>IF(AND(AT125&lt;&gt;0,AM125="Y"),UICHG*Y125,0)</f>
        <v>0</v>
      </c>
      <c r="CG125" s="462">
        <f>IF(AND(AT125&lt;&gt;0,N125&lt;&gt;"NR"),DHRCHG*Y125,0)</f>
        <v>0</v>
      </c>
      <c r="CH125" s="462">
        <f>IF(AT125&lt;&gt;0,WCCHG*Y125,0)</f>
        <v>0</v>
      </c>
      <c r="CI125" s="462">
        <f>IF(OR(AND(AT125&lt;&gt;0,AJ125&lt;&gt;"PF",AN125&lt;&gt;"NE",AG125&lt;&gt;"A"),AND(AL125="E",OR(AT125=1,AT125=3))),SickCHG*Y125,0)</f>
        <v>0</v>
      </c>
      <c r="CJ125" s="462">
        <f t="shared" si="29"/>
        <v>0</v>
      </c>
      <c r="CK125" s="462" t="str">
        <f t="shared" si="30"/>
        <v/>
      </c>
      <c r="CL125" s="462" t="str">
        <f t="shared" si="31"/>
        <v/>
      </c>
      <c r="CM125" s="462" t="str">
        <f t="shared" si="32"/>
        <v/>
      </c>
      <c r="CN125" s="462" t="str">
        <f t="shared" si="33"/>
        <v>0332-07</v>
      </c>
    </row>
    <row r="126" spans="1:92" ht="15" thickBot="1" x14ac:dyDescent="0.35">
      <c r="A126" s="376" t="s">
        <v>161</v>
      </c>
      <c r="B126" s="376" t="s">
        <v>162</v>
      </c>
      <c r="C126" s="376" t="s">
        <v>559</v>
      </c>
      <c r="D126" s="376" t="s">
        <v>339</v>
      </c>
      <c r="E126" s="376" t="s">
        <v>535</v>
      </c>
      <c r="F126" s="382" t="s">
        <v>565</v>
      </c>
      <c r="G126" s="376" t="s">
        <v>356</v>
      </c>
      <c r="H126" s="378"/>
      <c r="I126" s="378"/>
      <c r="J126" s="376" t="s">
        <v>168</v>
      </c>
      <c r="K126" s="376" t="s">
        <v>340</v>
      </c>
      <c r="L126" s="376" t="s">
        <v>247</v>
      </c>
      <c r="M126" s="376" t="s">
        <v>170</v>
      </c>
      <c r="N126" s="376" t="s">
        <v>202</v>
      </c>
      <c r="O126" s="379">
        <v>1</v>
      </c>
      <c r="P126" s="460">
        <v>0</v>
      </c>
      <c r="Q126" s="460">
        <v>0</v>
      </c>
      <c r="R126" s="380">
        <v>80</v>
      </c>
      <c r="S126" s="460">
        <v>0</v>
      </c>
      <c r="T126" s="380">
        <v>73761.600000000006</v>
      </c>
      <c r="U126" s="380">
        <v>0</v>
      </c>
      <c r="V126" s="380">
        <v>24868.29</v>
      </c>
      <c r="W126" s="380">
        <v>0</v>
      </c>
      <c r="X126" s="380">
        <v>0</v>
      </c>
      <c r="Y126" s="380">
        <v>0</v>
      </c>
      <c r="Z126" s="380">
        <v>0</v>
      </c>
      <c r="AA126" s="376" t="s">
        <v>560</v>
      </c>
      <c r="AB126" s="376" t="s">
        <v>561</v>
      </c>
      <c r="AC126" s="376" t="s">
        <v>562</v>
      </c>
      <c r="AD126" s="376" t="s">
        <v>563</v>
      </c>
      <c r="AE126" s="376" t="s">
        <v>340</v>
      </c>
      <c r="AF126" s="376" t="s">
        <v>299</v>
      </c>
      <c r="AG126" s="376" t="s">
        <v>177</v>
      </c>
      <c r="AH126" s="381">
        <v>43.88</v>
      </c>
      <c r="AI126" s="381">
        <v>14939.5</v>
      </c>
      <c r="AJ126" s="376" t="s">
        <v>178</v>
      </c>
      <c r="AK126" s="376" t="s">
        <v>179</v>
      </c>
      <c r="AL126" s="376" t="s">
        <v>180</v>
      </c>
      <c r="AM126" s="376" t="s">
        <v>181</v>
      </c>
      <c r="AN126" s="376" t="s">
        <v>68</v>
      </c>
      <c r="AO126" s="379">
        <v>80</v>
      </c>
      <c r="AP126" s="460">
        <v>1</v>
      </c>
      <c r="AQ126" s="460">
        <v>0</v>
      </c>
      <c r="AR126" s="458" t="s">
        <v>182</v>
      </c>
      <c r="AS126" s="462">
        <f t="shared" si="17"/>
        <v>0</v>
      </c>
      <c r="AT126">
        <f t="shared" si="18"/>
        <v>0</v>
      </c>
      <c r="AU126" s="462" t="str">
        <f>IF(AT126=0,"",IF(AND(AT126=1,M126="F",SUMIF(C2:C698,C126,AS2:AS698)&lt;=1),SUMIF(C2:C698,C126,AS2:AS698),IF(AND(AT126=1,M126="F",SUMIF(C2:C698,C126,AS2:AS698)&gt;1),1,"")))</f>
        <v/>
      </c>
      <c r="AV126" s="462" t="str">
        <f>IF(AT126=0,"",IF(AND(AT126=3,M126="F",SUMIF(C2:C698,C126,AS2:AS698)&lt;=1),SUMIF(C2:C698,C126,AS2:AS698),IF(AND(AT126=3,M126="F",SUMIF(C2:C698,C126,AS2:AS698)&gt;1),1,"")))</f>
        <v/>
      </c>
      <c r="AW126" s="462">
        <f>SUMIF(C2:C698,C126,O2:O698)</f>
        <v>2</v>
      </c>
      <c r="AX126" s="462">
        <f>IF(AND(M126="F",AS126&lt;&gt;0),SUMIF(C2:C698,C126,W2:W698),0)</f>
        <v>0</v>
      </c>
      <c r="AY126" s="462" t="str">
        <f t="shared" si="19"/>
        <v/>
      </c>
      <c r="AZ126" s="462" t="str">
        <f t="shared" si="20"/>
        <v/>
      </c>
      <c r="BA126" s="462">
        <f t="shared" si="21"/>
        <v>0</v>
      </c>
      <c r="BB126" s="462">
        <f>IF(AND(AT126=1,AK126="E",AU126&gt;=0.75,AW126=1),Health,IF(AND(AT126=1,AK126="E",AU126&gt;=0.75),Health*P126,IF(AND(AT126=1,AK126="E",AU126&gt;=0.5,AW126=1),PTHealth,IF(AND(AT126=1,AK126="E",AU126&gt;=0.5),PTHealth*P126,0))))</f>
        <v>0</v>
      </c>
      <c r="BC126" s="462">
        <f>IF(AND(AT126=3,AK126="E",AV126&gt;=0.75,AW126=1),Health,IF(AND(AT126=3,AK126="E",AV126&gt;=0.75),Health*P126,IF(AND(AT126=3,AK126="E",AV126&gt;=0.5,AW126=1),PTHealth,IF(AND(AT126=3,AK126="E",AV126&gt;=0.5),PTHealth*P126,0))))</f>
        <v>0</v>
      </c>
      <c r="BD126" s="462">
        <f>IF(AND(AT126&lt;&gt;0,AX126&gt;=MAXSSDI),SSDI*MAXSSDI*P126,IF(AT126&lt;&gt;0,SSDI*W126,0))</f>
        <v>0</v>
      </c>
      <c r="BE126" s="462">
        <f>IF(AT126&lt;&gt;0,SSHI*W126,0)</f>
        <v>0</v>
      </c>
      <c r="BF126" s="462">
        <f>IF(AND(AT126&lt;&gt;0,AN126&lt;&gt;"NE"),VLOOKUP(AN126,Retirement_Rates,3,FALSE)*W126,0)</f>
        <v>0</v>
      </c>
      <c r="BG126" s="462">
        <f>IF(AND(AT126&lt;&gt;0,AJ126&lt;&gt;"PF"),Life*W126,0)</f>
        <v>0</v>
      </c>
      <c r="BH126" s="462">
        <f>IF(AND(AT126&lt;&gt;0,AM126="Y"),UI*W126,0)</f>
        <v>0</v>
      </c>
      <c r="BI126" s="462">
        <f>IF(AND(AT126&lt;&gt;0,N126&lt;&gt;"NR"),DHR*W126,0)</f>
        <v>0</v>
      </c>
      <c r="BJ126" s="462">
        <f>IF(AT126&lt;&gt;0,WC*W126,0)</f>
        <v>0</v>
      </c>
      <c r="BK126" s="462">
        <f>IF(OR(AND(AT126&lt;&gt;0,AJ126&lt;&gt;"PF",AN126&lt;&gt;"NE",AG126&lt;&gt;"A"),AND(AL126="E",OR(AT126=1,AT126=3))),Sick*W126,0)</f>
        <v>0</v>
      </c>
      <c r="BL126" s="462">
        <f t="shared" si="22"/>
        <v>0</v>
      </c>
      <c r="BM126" s="462">
        <f t="shared" si="23"/>
        <v>0</v>
      </c>
      <c r="BN126" s="462">
        <f>IF(AND(AT126=1,AK126="E",AU126&gt;=0.75,AW126=1),HealthBY,IF(AND(AT126=1,AK126="E",AU126&gt;=0.75),HealthBY*P126,IF(AND(AT126=1,AK126="E",AU126&gt;=0.5,AW126=1),PTHealthBY,IF(AND(AT126=1,AK126="E",AU126&gt;=0.5),PTHealthBY*P126,0))))</f>
        <v>0</v>
      </c>
      <c r="BO126" s="462">
        <f>IF(AND(AT126=3,AK126="E",AV126&gt;=0.75,AW126=1),HealthBY,IF(AND(AT126=3,AK126="E",AV126&gt;=0.75),HealthBY*P126,IF(AND(AT126=3,AK126="E",AV126&gt;=0.5,AW126=1),PTHealthBY,IF(AND(AT126=3,AK126="E",AV126&gt;=0.5),PTHealthBY*P126,0))))</f>
        <v>0</v>
      </c>
      <c r="BP126" s="462">
        <f>IF(AND(AT126&lt;&gt;0,(AX126+BA126)&gt;=MAXSSDIBY),SSDIBY*MAXSSDIBY*P126,IF(AT126&lt;&gt;0,SSDIBY*W126,0))</f>
        <v>0</v>
      </c>
      <c r="BQ126" s="462">
        <f>IF(AT126&lt;&gt;0,SSHIBY*W126,0)</f>
        <v>0</v>
      </c>
      <c r="BR126" s="462">
        <f>IF(AND(AT126&lt;&gt;0,AN126&lt;&gt;"NE"),VLOOKUP(AN126,Retirement_Rates,4,FALSE)*W126,0)</f>
        <v>0</v>
      </c>
      <c r="BS126" s="462">
        <f>IF(AND(AT126&lt;&gt;0,AJ126&lt;&gt;"PF"),LifeBY*W126,0)</f>
        <v>0</v>
      </c>
      <c r="BT126" s="462">
        <f>IF(AND(AT126&lt;&gt;0,AM126="Y"),UIBY*W126,0)</f>
        <v>0</v>
      </c>
      <c r="BU126" s="462">
        <f>IF(AND(AT126&lt;&gt;0,N126&lt;&gt;"NR"),DHRBY*W126,0)</f>
        <v>0</v>
      </c>
      <c r="BV126" s="462">
        <f>IF(AT126&lt;&gt;0,WCBY*W126,0)</f>
        <v>0</v>
      </c>
      <c r="BW126" s="462">
        <f>IF(OR(AND(AT126&lt;&gt;0,AJ126&lt;&gt;"PF",AN126&lt;&gt;"NE",AG126&lt;&gt;"A"),AND(AL126="E",OR(AT126=1,AT126=3))),SickBY*W126,0)</f>
        <v>0</v>
      </c>
      <c r="BX126" s="462">
        <f t="shared" si="24"/>
        <v>0</v>
      </c>
      <c r="BY126" s="462">
        <f t="shared" si="25"/>
        <v>0</v>
      </c>
      <c r="BZ126" s="462">
        <f t="shared" si="26"/>
        <v>0</v>
      </c>
      <c r="CA126" s="462">
        <f t="shared" si="27"/>
        <v>0</v>
      </c>
      <c r="CB126" s="462">
        <f t="shared" si="28"/>
        <v>0</v>
      </c>
      <c r="CC126" s="462">
        <f>IF(AT126&lt;&gt;0,SSHICHG*Y126,0)</f>
        <v>0</v>
      </c>
      <c r="CD126" s="462">
        <f>IF(AND(AT126&lt;&gt;0,AN126&lt;&gt;"NE"),VLOOKUP(AN126,Retirement_Rates,5,FALSE)*Y126,0)</f>
        <v>0</v>
      </c>
      <c r="CE126" s="462">
        <f>IF(AND(AT126&lt;&gt;0,AJ126&lt;&gt;"PF"),LifeCHG*Y126,0)</f>
        <v>0</v>
      </c>
      <c r="CF126" s="462">
        <f>IF(AND(AT126&lt;&gt;0,AM126="Y"),UICHG*Y126,0)</f>
        <v>0</v>
      </c>
      <c r="CG126" s="462">
        <f>IF(AND(AT126&lt;&gt;0,N126&lt;&gt;"NR"),DHRCHG*Y126,0)</f>
        <v>0</v>
      </c>
      <c r="CH126" s="462">
        <f>IF(AT126&lt;&gt;0,WCCHG*Y126,0)</f>
        <v>0</v>
      </c>
      <c r="CI126" s="462">
        <f>IF(OR(AND(AT126&lt;&gt;0,AJ126&lt;&gt;"PF",AN126&lt;&gt;"NE",AG126&lt;&gt;"A"),AND(AL126="E",OR(AT126=1,AT126=3))),SickCHG*Y126,0)</f>
        <v>0</v>
      </c>
      <c r="CJ126" s="462">
        <f t="shared" si="29"/>
        <v>0</v>
      </c>
      <c r="CK126" s="462" t="str">
        <f t="shared" si="30"/>
        <v/>
      </c>
      <c r="CL126" s="462" t="str">
        <f t="shared" si="31"/>
        <v/>
      </c>
      <c r="CM126" s="462" t="str">
        <f t="shared" si="32"/>
        <v/>
      </c>
      <c r="CN126" s="462" t="str">
        <f t="shared" si="33"/>
        <v>0332-07</v>
      </c>
    </row>
    <row r="127" spans="1:92" ht="15" thickBot="1" x14ac:dyDescent="0.35">
      <c r="A127" s="376" t="s">
        <v>161</v>
      </c>
      <c r="B127" s="376" t="s">
        <v>162</v>
      </c>
      <c r="C127" s="376" t="s">
        <v>573</v>
      </c>
      <c r="D127" s="376" t="s">
        <v>250</v>
      </c>
      <c r="E127" s="376" t="s">
        <v>535</v>
      </c>
      <c r="F127" s="382" t="s">
        <v>565</v>
      </c>
      <c r="G127" s="376" t="s">
        <v>356</v>
      </c>
      <c r="H127" s="378"/>
      <c r="I127" s="378"/>
      <c r="J127" s="376" t="s">
        <v>168</v>
      </c>
      <c r="K127" s="376" t="s">
        <v>407</v>
      </c>
      <c r="L127" s="376" t="s">
        <v>247</v>
      </c>
      <c r="M127" s="376" t="s">
        <v>170</v>
      </c>
      <c r="N127" s="376" t="s">
        <v>202</v>
      </c>
      <c r="O127" s="379">
        <v>1</v>
      </c>
      <c r="P127" s="460">
        <v>1</v>
      </c>
      <c r="Q127" s="460">
        <v>1</v>
      </c>
      <c r="R127" s="380">
        <v>80</v>
      </c>
      <c r="S127" s="460">
        <v>1</v>
      </c>
      <c r="T127" s="380">
        <v>54336.4</v>
      </c>
      <c r="U127" s="380">
        <v>0</v>
      </c>
      <c r="V127" s="380">
        <v>23332.34</v>
      </c>
      <c r="W127" s="380">
        <v>56076.800000000003</v>
      </c>
      <c r="X127" s="380">
        <v>24344.07</v>
      </c>
      <c r="Y127" s="380">
        <v>56076.800000000003</v>
      </c>
      <c r="Z127" s="380">
        <v>24198.28</v>
      </c>
      <c r="AA127" s="376" t="s">
        <v>574</v>
      </c>
      <c r="AB127" s="376" t="s">
        <v>575</v>
      </c>
      <c r="AC127" s="376" t="s">
        <v>576</v>
      </c>
      <c r="AD127" s="376" t="s">
        <v>224</v>
      </c>
      <c r="AE127" s="376" t="s">
        <v>363</v>
      </c>
      <c r="AF127" s="376" t="s">
        <v>210</v>
      </c>
      <c r="AG127" s="376" t="s">
        <v>177</v>
      </c>
      <c r="AH127" s="381">
        <v>26.96</v>
      </c>
      <c r="AI127" s="379">
        <v>4671</v>
      </c>
      <c r="AJ127" s="376" t="s">
        <v>178</v>
      </c>
      <c r="AK127" s="376" t="s">
        <v>179</v>
      </c>
      <c r="AL127" s="376" t="s">
        <v>180</v>
      </c>
      <c r="AM127" s="376" t="s">
        <v>181</v>
      </c>
      <c r="AN127" s="376" t="s">
        <v>68</v>
      </c>
      <c r="AO127" s="379">
        <v>80</v>
      </c>
      <c r="AP127" s="460">
        <v>1</v>
      </c>
      <c r="AQ127" s="460">
        <v>1</v>
      </c>
      <c r="AR127" s="458">
        <v>3</v>
      </c>
      <c r="AS127" s="462">
        <f t="shared" si="17"/>
        <v>1</v>
      </c>
      <c r="AT127">
        <f t="shared" si="18"/>
        <v>1</v>
      </c>
      <c r="AU127" s="462">
        <f>IF(AT127=0,"",IF(AND(AT127=1,M127="F",SUMIF(C2:C698,C127,AS2:AS698)&lt;=1),SUMIF(C2:C698,C127,AS2:AS698),IF(AND(AT127=1,M127="F",SUMIF(C2:C698,C127,AS2:AS698)&gt;1),1,"")))</f>
        <v>1</v>
      </c>
      <c r="AV127" s="462" t="str">
        <f>IF(AT127=0,"",IF(AND(AT127=3,M127="F",SUMIF(C2:C698,C127,AS2:AS698)&lt;=1),SUMIF(C2:C698,C127,AS2:AS698),IF(AND(AT127=3,M127="F",SUMIF(C2:C698,C127,AS2:AS698)&gt;1),1,"")))</f>
        <v/>
      </c>
      <c r="AW127" s="462">
        <f>SUMIF(C2:C698,C127,O2:O698)</f>
        <v>1</v>
      </c>
      <c r="AX127" s="462">
        <f>IF(AND(M127="F",AS127&lt;&gt;0),SUMIF(C2:C698,C127,W2:W698),0)</f>
        <v>56076.800000000003</v>
      </c>
      <c r="AY127" s="462">
        <f t="shared" si="19"/>
        <v>56076.800000000003</v>
      </c>
      <c r="AZ127" s="462" t="str">
        <f t="shared" si="20"/>
        <v/>
      </c>
      <c r="BA127" s="462">
        <f t="shared" si="21"/>
        <v>0</v>
      </c>
      <c r="BB127" s="462">
        <f>IF(AND(AT127=1,AK127="E",AU127&gt;=0.75,AW127=1),Health,IF(AND(AT127=1,AK127="E",AU127&gt;=0.75),Health*P127,IF(AND(AT127=1,AK127="E",AU127&gt;=0.5,AW127=1),PTHealth,IF(AND(AT127=1,AK127="E",AU127&gt;=0.5),PTHealth*P127,0))))</f>
        <v>11650</v>
      </c>
      <c r="BC127" s="462">
        <f>IF(AND(AT127=3,AK127="E",AV127&gt;=0.75,AW127=1),Health,IF(AND(AT127=3,AK127="E",AV127&gt;=0.75),Health*P127,IF(AND(AT127=3,AK127="E",AV127&gt;=0.5,AW127=1),PTHealth,IF(AND(AT127=3,AK127="E",AV127&gt;=0.5),PTHealth*P127,0))))</f>
        <v>0</v>
      </c>
      <c r="BD127" s="462">
        <f>IF(AND(AT127&lt;&gt;0,AX127&gt;=MAXSSDI),SSDI*MAXSSDI*P127,IF(AT127&lt;&gt;0,SSDI*W127,0))</f>
        <v>3476.7616000000003</v>
      </c>
      <c r="BE127" s="462">
        <f>IF(AT127&lt;&gt;0,SSHI*W127,0)</f>
        <v>813.11360000000013</v>
      </c>
      <c r="BF127" s="462">
        <f>IF(AND(AT127&lt;&gt;0,AN127&lt;&gt;"NE"),VLOOKUP(AN127,Retirement_Rates,3,FALSE)*W127,0)</f>
        <v>6695.5699200000008</v>
      </c>
      <c r="BG127" s="462">
        <f>IF(AND(AT127&lt;&gt;0,AJ127&lt;&gt;"PF"),Life*W127,0)</f>
        <v>404.31372800000003</v>
      </c>
      <c r="BH127" s="462">
        <f>IF(AND(AT127&lt;&gt;0,AM127="Y"),UI*W127,0)</f>
        <v>274.77632</v>
      </c>
      <c r="BI127" s="462">
        <f>IF(AND(AT127&lt;&gt;0,N127&lt;&gt;"NR"),DHR*W127,0)</f>
        <v>171.59500800000001</v>
      </c>
      <c r="BJ127" s="462">
        <f>IF(AT127&lt;&gt;0,WC*W127,0)</f>
        <v>857.97504000000004</v>
      </c>
      <c r="BK127" s="462">
        <f>IF(OR(AND(AT127&lt;&gt;0,AJ127&lt;&gt;"PF",AN127&lt;&gt;"NE",AG127&lt;&gt;"A"),AND(AL127="E",OR(AT127=1,AT127=3))),Sick*W127,0)</f>
        <v>0</v>
      </c>
      <c r="BL127" s="462">
        <f t="shared" si="22"/>
        <v>12694.105216</v>
      </c>
      <c r="BM127" s="462">
        <f t="shared" si="23"/>
        <v>0</v>
      </c>
      <c r="BN127" s="462">
        <f>IF(AND(AT127=1,AK127="E",AU127&gt;=0.75,AW127=1),HealthBY,IF(AND(AT127=1,AK127="E",AU127&gt;=0.75),HealthBY*P127,IF(AND(AT127=1,AK127="E",AU127&gt;=0.5,AW127=1),PTHealthBY,IF(AND(AT127=1,AK127="E",AU127&gt;=0.5),PTHealthBY*P127,0))))</f>
        <v>11650</v>
      </c>
      <c r="BO127" s="462">
        <f>IF(AND(AT127=3,AK127="E",AV127&gt;=0.75,AW127=1),HealthBY,IF(AND(AT127=3,AK127="E",AV127&gt;=0.75),HealthBY*P127,IF(AND(AT127=3,AK127="E",AV127&gt;=0.5,AW127=1),PTHealthBY,IF(AND(AT127=3,AK127="E",AV127&gt;=0.5),PTHealthBY*P127,0))))</f>
        <v>0</v>
      </c>
      <c r="BP127" s="462">
        <f>IF(AND(AT127&lt;&gt;0,(AX127+BA127)&gt;=MAXSSDIBY),SSDIBY*MAXSSDIBY*P127,IF(AT127&lt;&gt;0,SSDIBY*W127,0))</f>
        <v>3476.7616000000003</v>
      </c>
      <c r="BQ127" s="462">
        <f>IF(AT127&lt;&gt;0,SSHIBY*W127,0)</f>
        <v>813.11360000000013</v>
      </c>
      <c r="BR127" s="462">
        <f>IF(AND(AT127&lt;&gt;0,AN127&lt;&gt;"NE"),VLOOKUP(AN127,Retirement_Rates,4,FALSE)*W127,0)</f>
        <v>6695.5699200000008</v>
      </c>
      <c r="BS127" s="462">
        <f>IF(AND(AT127&lt;&gt;0,AJ127&lt;&gt;"PF"),LifeBY*W127,0)</f>
        <v>404.31372800000003</v>
      </c>
      <c r="BT127" s="462">
        <f>IF(AND(AT127&lt;&gt;0,AM127="Y"),UIBY*W127,0)</f>
        <v>0</v>
      </c>
      <c r="BU127" s="462">
        <f>IF(AND(AT127&lt;&gt;0,N127&lt;&gt;"NR"),DHRBY*W127,0)</f>
        <v>171.59500800000001</v>
      </c>
      <c r="BV127" s="462">
        <f>IF(AT127&lt;&gt;0,WCBY*W127,0)</f>
        <v>986.95168000000012</v>
      </c>
      <c r="BW127" s="462">
        <f>IF(OR(AND(AT127&lt;&gt;0,AJ127&lt;&gt;"PF",AN127&lt;&gt;"NE",AG127&lt;&gt;"A"),AND(AL127="E",OR(AT127=1,AT127=3))),SickBY*W127,0)</f>
        <v>0</v>
      </c>
      <c r="BX127" s="462">
        <f t="shared" si="24"/>
        <v>12548.305536</v>
      </c>
      <c r="BY127" s="462">
        <f t="shared" si="25"/>
        <v>0</v>
      </c>
      <c r="BZ127" s="462">
        <f t="shared" si="26"/>
        <v>0</v>
      </c>
      <c r="CA127" s="462">
        <f t="shared" si="27"/>
        <v>0</v>
      </c>
      <c r="CB127" s="462">
        <f t="shared" si="28"/>
        <v>0</v>
      </c>
      <c r="CC127" s="462">
        <f>IF(AT127&lt;&gt;0,SSHICHG*Y127,0)</f>
        <v>0</v>
      </c>
      <c r="CD127" s="462">
        <f>IF(AND(AT127&lt;&gt;0,AN127&lt;&gt;"NE"),VLOOKUP(AN127,Retirement_Rates,5,FALSE)*Y127,0)</f>
        <v>0</v>
      </c>
      <c r="CE127" s="462">
        <f>IF(AND(AT127&lt;&gt;0,AJ127&lt;&gt;"PF"),LifeCHG*Y127,0)</f>
        <v>0</v>
      </c>
      <c r="CF127" s="462">
        <f>IF(AND(AT127&lt;&gt;0,AM127="Y"),UICHG*Y127,0)</f>
        <v>-274.77632</v>
      </c>
      <c r="CG127" s="462">
        <f>IF(AND(AT127&lt;&gt;0,N127&lt;&gt;"NR"),DHRCHG*Y127,0)</f>
        <v>0</v>
      </c>
      <c r="CH127" s="462">
        <f>IF(AT127&lt;&gt;0,WCCHG*Y127,0)</f>
        <v>128.97664000000009</v>
      </c>
      <c r="CI127" s="462">
        <f>IF(OR(AND(AT127&lt;&gt;0,AJ127&lt;&gt;"PF",AN127&lt;&gt;"NE",AG127&lt;&gt;"A"),AND(AL127="E",OR(AT127=1,AT127=3))),SickCHG*Y127,0)</f>
        <v>0</v>
      </c>
      <c r="CJ127" s="462">
        <f t="shared" si="29"/>
        <v>-145.79967999999991</v>
      </c>
      <c r="CK127" s="462" t="str">
        <f t="shared" si="30"/>
        <v/>
      </c>
      <c r="CL127" s="462" t="str">
        <f t="shared" si="31"/>
        <v/>
      </c>
      <c r="CM127" s="462" t="str">
        <f t="shared" si="32"/>
        <v/>
      </c>
      <c r="CN127" s="462" t="str">
        <f t="shared" si="33"/>
        <v>0332-07</v>
      </c>
    </row>
    <row r="128" spans="1:92" ht="15" thickBot="1" x14ac:dyDescent="0.35">
      <c r="A128" s="376" t="s">
        <v>161</v>
      </c>
      <c r="B128" s="376" t="s">
        <v>162</v>
      </c>
      <c r="C128" s="376" t="s">
        <v>577</v>
      </c>
      <c r="D128" s="376" t="s">
        <v>250</v>
      </c>
      <c r="E128" s="376" t="s">
        <v>535</v>
      </c>
      <c r="F128" s="382" t="s">
        <v>565</v>
      </c>
      <c r="G128" s="376" t="s">
        <v>356</v>
      </c>
      <c r="H128" s="378"/>
      <c r="I128" s="378"/>
      <c r="J128" s="376" t="s">
        <v>168</v>
      </c>
      <c r="K128" s="376" t="s">
        <v>407</v>
      </c>
      <c r="L128" s="376" t="s">
        <v>247</v>
      </c>
      <c r="M128" s="376" t="s">
        <v>170</v>
      </c>
      <c r="N128" s="376" t="s">
        <v>202</v>
      </c>
      <c r="O128" s="379">
        <v>1</v>
      </c>
      <c r="P128" s="460">
        <v>1</v>
      </c>
      <c r="Q128" s="460">
        <v>1</v>
      </c>
      <c r="R128" s="380">
        <v>80</v>
      </c>
      <c r="S128" s="460">
        <v>1</v>
      </c>
      <c r="T128" s="380">
        <v>54874.48</v>
      </c>
      <c r="U128" s="380">
        <v>0</v>
      </c>
      <c r="V128" s="380">
        <v>23152.41</v>
      </c>
      <c r="W128" s="380">
        <v>56659.199999999997</v>
      </c>
      <c r="X128" s="380">
        <v>24475.91</v>
      </c>
      <c r="Y128" s="380">
        <v>56659.199999999997</v>
      </c>
      <c r="Z128" s="380">
        <v>24328.6</v>
      </c>
      <c r="AA128" s="376" t="s">
        <v>578</v>
      </c>
      <c r="AB128" s="376" t="s">
        <v>579</v>
      </c>
      <c r="AC128" s="376" t="s">
        <v>580</v>
      </c>
      <c r="AD128" s="376" t="s">
        <v>215</v>
      </c>
      <c r="AE128" s="376" t="s">
        <v>363</v>
      </c>
      <c r="AF128" s="376" t="s">
        <v>210</v>
      </c>
      <c r="AG128" s="376" t="s">
        <v>177</v>
      </c>
      <c r="AH128" s="381">
        <v>27.24</v>
      </c>
      <c r="AI128" s="379">
        <v>4992</v>
      </c>
      <c r="AJ128" s="376" t="s">
        <v>178</v>
      </c>
      <c r="AK128" s="376" t="s">
        <v>179</v>
      </c>
      <c r="AL128" s="376" t="s">
        <v>180</v>
      </c>
      <c r="AM128" s="376" t="s">
        <v>181</v>
      </c>
      <c r="AN128" s="376" t="s">
        <v>68</v>
      </c>
      <c r="AO128" s="379">
        <v>80</v>
      </c>
      <c r="AP128" s="460">
        <v>1</v>
      </c>
      <c r="AQ128" s="460">
        <v>1</v>
      </c>
      <c r="AR128" s="458">
        <v>3</v>
      </c>
      <c r="AS128" s="462">
        <f t="shared" si="17"/>
        <v>1</v>
      </c>
      <c r="AT128">
        <f t="shared" si="18"/>
        <v>1</v>
      </c>
      <c r="AU128" s="462">
        <f>IF(AT128=0,"",IF(AND(AT128=1,M128="F",SUMIF(C2:C698,C128,AS2:AS698)&lt;=1),SUMIF(C2:C698,C128,AS2:AS698),IF(AND(AT128=1,M128="F",SUMIF(C2:C698,C128,AS2:AS698)&gt;1),1,"")))</f>
        <v>1</v>
      </c>
      <c r="AV128" s="462" t="str">
        <f>IF(AT128=0,"",IF(AND(AT128=3,M128="F",SUMIF(C2:C698,C128,AS2:AS698)&lt;=1),SUMIF(C2:C698,C128,AS2:AS698),IF(AND(AT128=3,M128="F",SUMIF(C2:C698,C128,AS2:AS698)&gt;1),1,"")))</f>
        <v/>
      </c>
      <c r="AW128" s="462">
        <f>SUMIF(C2:C698,C128,O2:O698)</f>
        <v>1</v>
      </c>
      <c r="AX128" s="462">
        <f>IF(AND(M128="F",AS128&lt;&gt;0),SUMIF(C2:C698,C128,W2:W698),0)</f>
        <v>56659.199999999997</v>
      </c>
      <c r="AY128" s="462">
        <f t="shared" si="19"/>
        <v>56659.199999999997</v>
      </c>
      <c r="AZ128" s="462" t="str">
        <f t="shared" si="20"/>
        <v/>
      </c>
      <c r="BA128" s="462">
        <f t="shared" si="21"/>
        <v>0</v>
      </c>
      <c r="BB128" s="462">
        <f>IF(AND(AT128=1,AK128="E",AU128&gt;=0.75,AW128=1),Health,IF(AND(AT128=1,AK128="E",AU128&gt;=0.75),Health*P128,IF(AND(AT128=1,AK128="E",AU128&gt;=0.5,AW128=1),PTHealth,IF(AND(AT128=1,AK128="E",AU128&gt;=0.5),PTHealth*P128,0))))</f>
        <v>11650</v>
      </c>
      <c r="BC128" s="462">
        <f>IF(AND(AT128=3,AK128="E",AV128&gt;=0.75,AW128=1),Health,IF(AND(AT128=3,AK128="E",AV128&gt;=0.75),Health*P128,IF(AND(AT128=3,AK128="E",AV128&gt;=0.5,AW128=1),PTHealth,IF(AND(AT128=3,AK128="E",AV128&gt;=0.5),PTHealth*P128,0))))</f>
        <v>0</v>
      </c>
      <c r="BD128" s="462">
        <f>IF(AND(AT128&lt;&gt;0,AX128&gt;=MAXSSDI),SSDI*MAXSSDI*P128,IF(AT128&lt;&gt;0,SSDI*W128,0))</f>
        <v>3512.8703999999998</v>
      </c>
      <c r="BE128" s="462">
        <f>IF(AT128&lt;&gt;0,SSHI*W128,0)</f>
        <v>821.55840000000001</v>
      </c>
      <c r="BF128" s="462">
        <f>IF(AND(AT128&lt;&gt;0,AN128&lt;&gt;"NE"),VLOOKUP(AN128,Retirement_Rates,3,FALSE)*W128,0)</f>
        <v>6765.1084799999999</v>
      </c>
      <c r="BG128" s="462">
        <f>IF(AND(AT128&lt;&gt;0,AJ128&lt;&gt;"PF"),Life*W128,0)</f>
        <v>408.512832</v>
      </c>
      <c r="BH128" s="462">
        <f>IF(AND(AT128&lt;&gt;0,AM128="Y"),UI*W128,0)</f>
        <v>277.63007999999996</v>
      </c>
      <c r="BI128" s="462">
        <f>IF(AND(AT128&lt;&gt;0,N128&lt;&gt;"NR"),DHR*W128,0)</f>
        <v>173.37715199999997</v>
      </c>
      <c r="BJ128" s="462">
        <f>IF(AT128&lt;&gt;0,WC*W128,0)</f>
        <v>866.88575999999989</v>
      </c>
      <c r="BK128" s="462">
        <f>IF(OR(AND(AT128&lt;&gt;0,AJ128&lt;&gt;"PF",AN128&lt;&gt;"NE",AG128&lt;&gt;"A"),AND(AL128="E",OR(AT128=1,AT128=3))),Sick*W128,0)</f>
        <v>0</v>
      </c>
      <c r="BL128" s="462">
        <f t="shared" si="22"/>
        <v>12825.943104</v>
      </c>
      <c r="BM128" s="462">
        <f t="shared" si="23"/>
        <v>0</v>
      </c>
      <c r="BN128" s="462">
        <f>IF(AND(AT128=1,AK128="E",AU128&gt;=0.75,AW128=1),HealthBY,IF(AND(AT128=1,AK128="E",AU128&gt;=0.75),HealthBY*P128,IF(AND(AT128=1,AK128="E",AU128&gt;=0.5,AW128=1),PTHealthBY,IF(AND(AT128=1,AK128="E",AU128&gt;=0.5),PTHealthBY*P128,0))))</f>
        <v>11650</v>
      </c>
      <c r="BO128" s="462">
        <f>IF(AND(AT128=3,AK128="E",AV128&gt;=0.75,AW128=1),HealthBY,IF(AND(AT128=3,AK128="E",AV128&gt;=0.75),HealthBY*P128,IF(AND(AT128=3,AK128="E",AV128&gt;=0.5,AW128=1),PTHealthBY,IF(AND(AT128=3,AK128="E",AV128&gt;=0.5),PTHealthBY*P128,0))))</f>
        <v>0</v>
      </c>
      <c r="BP128" s="462">
        <f>IF(AND(AT128&lt;&gt;0,(AX128+BA128)&gt;=MAXSSDIBY),SSDIBY*MAXSSDIBY*P128,IF(AT128&lt;&gt;0,SSDIBY*W128,0))</f>
        <v>3512.8703999999998</v>
      </c>
      <c r="BQ128" s="462">
        <f>IF(AT128&lt;&gt;0,SSHIBY*W128,0)</f>
        <v>821.55840000000001</v>
      </c>
      <c r="BR128" s="462">
        <f>IF(AND(AT128&lt;&gt;0,AN128&lt;&gt;"NE"),VLOOKUP(AN128,Retirement_Rates,4,FALSE)*W128,0)</f>
        <v>6765.1084799999999</v>
      </c>
      <c r="BS128" s="462">
        <f>IF(AND(AT128&lt;&gt;0,AJ128&lt;&gt;"PF"),LifeBY*W128,0)</f>
        <v>408.512832</v>
      </c>
      <c r="BT128" s="462">
        <f>IF(AND(AT128&lt;&gt;0,AM128="Y"),UIBY*W128,0)</f>
        <v>0</v>
      </c>
      <c r="BU128" s="462">
        <f>IF(AND(AT128&lt;&gt;0,N128&lt;&gt;"NR"),DHRBY*W128,0)</f>
        <v>173.37715199999997</v>
      </c>
      <c r="BV128" s="462">
        <f>IF(AT128&lt;&gt;0,WCBY*W128,0)</f>
        <v>997.20191999999997</v>
      </c>
      <c r="BW128" s="462">
        <f>IF(OR(AND(AT128&lt;&gt;0,AJ128&lt;&gt;"PF",AN128&lt;&gt;"NE",AG128&lt;&gt;"A"),AND(AL128="E",OR(AT128=1,AT128=3))),SickBY*W128,0)</f>
        <v>0</v>
      </c>
      <c r="BX128" s="462">
        <f t="shared" si="24"/>
        <v>12678.629183999999</v>
      </c>
      <c r="BY128" s="462">
        <f t="shared" si="25"/>
        <v>0</v>
      </c>
      <c r="BZ128" s="462">
        <f t="shared" si="26"/>
        <v>0</v>
      </c>
      <c r="CA128" s="462">
        <f t="shared" si="27"/>
        <v>0</v>
      </c>
      <c r="CB128" s="462">
        <f t="shared" si="28"/>
        <v>0</v>
      </c>
      <c r="CC128" s="462">
        <f>IF(AT128&lt;&gt;0,SSHICHG*Y128,0)</f>
        <v>0</v>
      </c>
      <c r="CD128" s="462">
        <f>IF(AND(AT128&lt;&gt;0,AN128&lt;&gt;"NE"),VLOOKUP(AN128,Retirement_Rates,5,FALSE)*Y128,0)</f>
        <v>0</v>
      </c>
      <c r="CE128" s="462">
        <f>IF(AND(AT128&lt;&gt;0,AJ128&lt;&gt;"PF"),LifeCHG*Y128,0)</f>
        <v>0</v>
      </c>
      <c r="CF128" s="462">
        <f>IF(AND(AT128&lt;&gt;0,AM128="Y"),UICHG*Y128,0)</f>
        <v>-277.63007999999996</v>
      </c>
      <c r="CG128" s="462">
        <f>IF(AND(AT128&lt;&gt;0,N128&lt;&gt;"NR"),DHRCHG*Y128,0)</f>
        <v>0</v>
      </c>
      <c r="CH128" s="462">
        <f>IF(AT128&lt;&gt;0,WCCHG*Y128,0)</f>
        <v>130.31616000000008</v>
      </c>
      <c r="CI128" s="462">
        <f>IF(OR(AND(AT128&lt;&gt;0,AJ128&lt;&gt;"PF",AN128&lt;&gt;"NE",AG128&lt;&gt;"A"),AND(AL128="E",OR(AT128=1,AT128=3))),SickCHG*Y128,0)</f>
        <v>0</v>
      </c>
      <c r="CJ128" s="462">
        <f t="shared" si="29"/>
        <v>-147.31391999999988</v>
      </c>
      <c r="CK128" s="462" t="str">
        <f t="shared" si="30"/>
        <v/>
      </c>
      <c r="CL128" s="462" t="str">
        <f t="shared" si="31"/>
        <v/>
      </c>
      <c r="CM128" s="462" t="str">
        <f t="shared" si="32"/>
        <v/>
      </c>
      <c r="CN128" s="462" t="str">
        <f t="shared" si="33"/>
        <v>0332-07</v>
      </c>
    </row>
    <row r="129" spans="1:92" ht="15" thickBot="1" x14ac:dyDescent="0.35">
      <c r="A129" s="376" t="s">
        <v>161</v>
      </c>
      <c r="B129" s="376" t="s">
        <v>162</v>
      </c>
      <c r="C129" s="376" t="s">
        <v>371</v>
      </c>
      <c r="D129" s="376" t="s">
        <v>372</v>
      </c>
      <c r="E129" s="376" t="s">
        <v>535</v>
      </c>
      <c r="F129" s="382" t="s">
        <v>565</v>
      </c>
      <c r="G129" s="376" t="s">
        <v>356</v>
      </c>
      <c r="H129" s="378"/>
      <c r="I129" s="378"/>
      <c r="J129" s="376" t="s">
        <v>185</v>
      </c>
      <c r="K129" s="376" t="s">
        <v>373</v>
      </c>
      <c r="L129" s="376" t="s">
        <v>374</v>
      </c>
      <c r="M129" s="376" t="s">
        <v>170</v>
      </c>
      <c r="N129" s="376" t="s">
        <v>202</v>
      </c>
      <c r="O129" s="379">
        <v>1</v>
      </c>
      <c r="P129" s="460">
        <v>0.5</v>
      </c>
      <c r="Q129" s="460">
        <v>0.5</v>
      </c>
      <c r="R129" s="380">
        <v>80</v>
      </c>
      <c r="S129" s="460">
        <v>0.5</v>
      </c>
      <c r="T129" s="380">
        <v>41812.06</v>
      </c>
      <c r="U129" s="380">
        <v>0</v>
      </c>
      <c r="V129" s="380">
        <v>14578.82</v>
      </c>
      <c r="W129" s="380">
        <v>43357.599999999999</v>
      </c>
      <c r="X129" s="380">
        <v>15639.84</v>
      </c>
      <c r="Y129" s="380">
        <v>43357.599999999999</v>
      </c>
      <c r="Z129" s="380">
        <v>15527.11</v>
      </c>
      <c r="AA129" s="376" t="s">
        <v>375</v>
      </c>
      <c r="AB129" s="376" t="s">
        <v>376</v>
      </c>
      <c r="AC129" s="376" t="s">
        <v>377</v>
      </c>
      <c r="AD129" s="376" t="s">
        <v>225</v>
      </c>
      <c r="AE129" s="376" t="s">
        <v>373</v>
      </c>
      <c r="AF129" s="376" t="s">
        <v>378</v>
      </c>
      <c r="AG129" s="376" t="s">
        <v>177</v>
      </c>
      <c r="AH129" s="381">
        <v>41.69</v>
      </c>
      <c r="AI129" s="379">
        <v>17599</v>
      </c>
      <c r="AJ129" s="376" t="s">
        <v>178</v>
      </c>
      <c r="AK129" s="376" t="s">
        <v>179</v>
      </c>
      <c r="AL129" s="376" t="s">
        <v>180</v>
      </c>
      <c r="AM129" s="376" t="s">
        <v>181</v>
      </c>
      <c r="AN129" s="376" t="s">
        <v>68</v>
      </c>
      <c r="AO129" s="379">
        <v>80</v>
      </c>
      <c r="AP129" s="460">
        <v>1</v>
      </c>
      <c r="AQ129" s="460">
        <v>0.5</v>
      </c>
      <c r="AR129" s="458" t="s">
        <v>182</v>
      </c>
      <c r="AS129" s="462">
        <f t="shared" si="17"/>
        <v>0.5</v>
      </c>
      <c r="AT129">
        <f t="shared" si="18"/>
        <v>1</v>
      </c>
      <c r="AU129" s="462">
        <f>IF(AT129=0,"",IF(AND(AT129=1,M129="F",SUMIF(C2:C698,C129,AS2:AS698)&lt;=1),SUMIF(C2:C698,C129,AS2:AS698),IF(AND(AT129=1,M129="F",SUMIF(C2:C698,C129,AS2:AS698)&gt;1),1,"")))</f>
        <v>1</v>
      </c>
      <c r="AV129" s="462" t="str">
        <f>IF(AT129=0,"",IF(AND(AT129=3,M129="F",SUMIF(C2:C698,C129,AS2:AS698)&lt;=1),SUMIF(C2:C698,C129,AS2:AS698),IF(AND(AT129=3,M129="F",SUMIF(C2:C698,C129,AS2:AS698)&gt;1),1,"")))</f>
        <v/>
      </c>
      <c r="AW129" s="462">
        <f>SUMIF(C2:C698,C129,O2:O698)</f>
        <v>2</v>
      </c>
      <c r="AX129" s="462">
        <f>IF(AND(M129="F",AS129&lt;&gt;0),SUMIF(C2:C698,C129,W2:W698),0)</f>
        <v>86715.199999999997</v>
      </c>
      <c r="AY129" s="462">
        <f t="shared" si="19"/>
        <v>43357.599999999999</v>
      </c>
      <c r="AZ129" s="462" t="str">
        <f t="shared" si="20"/>
        <v/>
      </c>
      <c r="BA129" s="462">
        <f t="shared" si="21"/>
        <v>0</v>
      </c>
      <c r="BB129" s="462">
        <f>IF(AND(AT129=1,AK129="E",AU129&gt;=0.75,AW129=1),Health,IF(AND(AT129=1,AK129="E",AU129&gt;=0.75),Health*P129,IF(AND(AT129=1,AK129="E",AU129&gt;=0.5,AW129=1),PTHealth,IF(AND(AT129=1,AK129="E",AU129&gt;=0.5),PTHealth*P129,0))))</f>
        <v>5825</v>
      </c>
      <c r="BC129" s="462">
        <f>IF(AND(AT129=3,AK129="E",AV129&gt;=0.75,AW129=1),Health,IF(AND(AT129=3,AK129="E",AV129&gt;=0.75),Health*P129,IF(AND(AT129=3,AK129="E",AV129&gt;=0.5,AW129=1),PTHealth,IF(AND(AT129=3,AK129="E",AV129&gt;=0.5),PTHealth*P129,0))))</f>
        <v>0</v>
      </c>
      <c r="BD129" s="462">
        <f>IF(AND(AT129&lt;&gt;0,AX129&gt;=MAXSSDI),SSDI*MAXSSDI*P129,IF(AT129&lt;&gt;0,SSDI*W129,0))</f>
        <v>2688.1711999999998</v>
      </c>
      <c r="BE129" s="462">
        <f>IF(AT129&lt;&gt;0,SSHI*W129,0)</f>
        <v>628.68520000000001</v>
      </c>
      <c r="BF129" s="462">
        <f>IF(AND(AT129&lt;&gt;0,AN129&lt;&gt;"NE"),VLOOKUP(AN129,Retirement_Rates,3,FALSE)*W129,0)</f>
        <v>5176.8974399999997</v>
      </c>
      <c r="BG129" s="462">
        <f>IF(AND(AT129&lt;&gt;0,AJ129&lt;&gt;"PF"),Life*W129,0)</f>
        <v>312.608296</v>
      </c>
      <c r="BH129" s="462">
        <f>IF(AND(AT129&lt;&gt;0,AM129="Y"),UI*W129,0)</f>
        <v>212.45223999999999</v>
      </c>
      <c r="BI129" s="462">
        <f>IF(AND(AT129&lt;&gt;0,N129&lt;&gt;"NR"),DHR*W129,0)</f>
        <v>132.67425599999999</v>
      </c>
      <c r="BJ129" s="462">
        <f>IF(AT129&lt;&gt;0,WC*W129,0)</f>
        <v>663.37127999999996</v>
      </c>
      <c r="BK129" s="462">
        <f>IF(OR(AND(AT129&lt;&gt;0,AJ129&lt;&gt;"PF",AN129&lt;&gt;"NE",AG129&lt;&gt;"A"),AND(AL129="E",OR(AT129=1,AT129=3))),Sick*W129,0)</f>
        <v>0</v>
      </c>
      <c r="BL129" s="462">
        <f t="shared" si="22"/>
        <v>9814.8599119999999</v>
      </c>
      <c r="BM129" s="462">
        <f t="shared" si="23"/>
        <v>0</v>
      </c>
      <c r="BN129" s="462">
        <f>IF(AND(AT129=1,AK129="E",AU129&gt;=0.75,AW129=1),HealthBY,IF(AND(AT129=1,AK129="E",AU129&gt;=0.75),HealthBY*P129,IF(AND(AT129=1,AK129="E",AU129&gt;=0.5,AW129=1),PTHealthBY,IF(AND(AT129=1,AK129="E",AU129&gt;=0.5),PTHealthBY*P129,0))))</f>
        <v>5825</v>
      </c>
      <c r="BO129" s="462">
        <f>IF(AND(AT129=3,AK129="E",AV129&gt;=0.75,AW129=1),HealthBY,IF(AND(AT129=3,AK129="E",AV129&gt;=0.75),HealthBY*P129,IF(AND(AT129=3,AK129="E",AV129&gt;=0.5,AW129=1),PTHealthBY,IF(AND(AT129=3,AK129="E",AV129&gt;=0.5),PTHealthBY*P129,0))))</f>
        <v>0</v>
      </c>
      <c r="BP129" s="462">
        <f>IF(AND(AT129&lt;&gt;0,(AX129+BA129)&gt;=MAXSSDIBY),SSDIBY*MAXSSDIBY*P129,IF(AT129&lt;&gt;0,SSDIBY*W129,0))</f>
        <v>2688.1711999999998</v>
      </c>
      <c r="BQ129" s="462">
        <f>IF(AT129&lt;&gt;0,SSHIBY*W129,0)</f>
        <v>628.68520000000001</v>
      </c>
      <c r="BR129" s="462">
        <f>IF(AND(AT129&lt;&gt;0,AN129&lt;&gt;"NE"),VLOOKUP(AN129,Retirement_Rates,4,FALSE)*W129,0)</f>
        <v>5176.8974399999997</v>
      </c>
      <c r="BS129" s="462">
        <f>IF(AND(AT129&lt;&gt;0,AJ129&lt;&gt;"PF"),LifeBY*W129,0)</f>
        <v>312.608296</v>
      </c>
      <c r="BT129" s="462">
        <f>IF(AND(AT129&lt;&gt;0,AM129="Y"),UIBY*W129,0)</f>
        <v>0</v>
      </c>
      <c r="BU129" s="462">
        <f>IF(AND(AT129&lt;&gt;0,N129&lt;&gt;"NR"),DHRBY*W129,0)</f>
        <v>132.67425599999999</v>
      </c>
      <c r="BV129" s="462">
        <f>IF(AT129&lt;&gt;0,WCBY*W129,0)</f>
        <v>763.09375999999997</v>
      </c>
      <c r="BW129" s="462">
        <f>IF(OR(AND(AT129&lt;&gt;0,AJ129&lt;&gt;"PF",AN129&lt;&gt;"NE",AG129&lt;&gt;"A"),AND(AL129="E",OR(AT129=1,AT129=3))),SickBY*W129,0)</f>
        <v>0</v>
      </c>
      <c r="BX129" s="462">
        <f t="shared" si="24"/>
        <v>9702.1301519999997</v>
      </c>
      <c r="BY129" s="462">
        <f t="shared" si="25"/>
        <v>0</v>
      </c>
      <c r="BZ129" s="462">
        <f t="shared" si="26"/>
        <v>0</v>
      </c>
      <c r="CA129" s="462">
        <f t="shared" si="27"/>
        <v>0</v>
      </c>
      <c r="CB129" s="462">
        <f t="shared" si="28"/>
        <v>0</v>
      </c>
      <c r="CC129" s="462">
        <f>IF(AT129&lt;&gt;0,SSHICHG*Y129,0)</f>
        <v>0</v>
      </c>
      <c r="CD129" s="462">
        <f>IF(AND(AT129&lt;&gt;0,AN129&lt;&gt;"NE"),VLOOKUP(AN129,Retirement_Rates,5,FALSE)*Y129,0)</f>
        <v>0</v>
      </c>
      <c r="CE129" s="462">
        <f>IF(AND(AT129&lt;&gt;0,AJ129&lt;&gt;"PF"),LifeCHG*Y129,0)</f>
        <v>0</v>
      </c>
      <c r="CF129" s="462">
        <f>IF(AND(AT129&lt;&gt;0,AM129="Y"),UICHG*Y129,0)</f>
        <v>-212.45223999999999</v>
      </c>
      <c r="CG129" s="462">
        <f>IF(AND(AT129&lt;&gt;0,N129&lt;&gt;"NR"),DHRCHG*Y129,0)</f>
        <v>0</v>
      </c>
      <c r="CH129" s="462">
        <f>IF(AT129&lt;&gt;0,WCCHG*Y129,0)</f>
        <v>99.722480000000076</v>
      </c>
      <c r="CI129" s="462">
        <f>IF(OR(AND(AT129&lt;&gt;0,AJ129&lt;&gt;"PF",AN129&lt;&gt;"NE",AG129&lt;&gt;"A"),AND(AL129="E",OR(AT129=1,AT129=3))),SickCHG*Y129,0)</f>
        <v>0</v>
      </c>
      <c r="CJ129" s="462">
        <f t="shared" si="29"/>
        <v>-112.72975999999991</v>
      </c>
      <c r="CK129" s="462" t="str">
        <f t="shared" si="30"/>
        <v/>
      </c>
      <c r="CL129" s="462" t="str">
        <f t="shared" si="31"/>
        <v/>
      </c>
      <c r="CM129" s="462" t="str">
        <f t="shared" si="32"/>
        <v/>
      </c>
      <c r="CN129" s="462" t="str">
        <f t="shared" si="33"/>
        <v>0332-07</v>
      </c>
    </row>
    <row r="130" spans="1:92" ht="15" thickBot="1" x14ac:dyDescent="0.35">
      <c r="A130" s="376" t="s">
        <v>161</v>
      </c>
      <c r="B130" s="376" t="s">
        <v>162</v>
      </c>
      <c r="C130" s="376" t="s">
        <v>581</v>
      </c>
      <c r="D130" s="376" t="s">
        <v>204</v>
      </c>
      <c r="E130" s="376" t="s">
        <v>535</v>
      </c>
      <c r="F130" s="382" t="s">
        <v>565</v>
      </c>
      <c r="G130" s="376" t="s">
        <v>356</v>
      </c>
      <c r="H130" s="378"/>
      <c r="I130" s="378"/>
      <c r="J130" s="376" t="s">
        <v>185</v>
      </c>
      <c r="K130" s="376" t="s">
        <v>205</v>
      </c>
      <c r="L130" s="376" t="s">
        <v>200</v>
      </c>
      <c r="M130" s="376" t="s">
        <v>170</v>
      </c>
      <c r="N130" s="376" t="s">
        <v>202</v>
      </c>
      <c r="O130" s="379">
        <v>1</v>
      </c>
      <c r="P130" s="460">
        <v>0.8</v>
      </c>
      <c r="Q130" s="460">
        <v>0.8</v>
      </c>
      <c r="R130" s="380">
        <v>80</v>
      </c>
      <c r="S130" s="460">
        <v>0.8</v>
      </c>
      <c r="T130" s="380">
        <v>39813.31</v>
      </c>
      <c r="U130" s="380">
        <v>0</v>
      </c>
      <c r="V130" s="380">
        <v>17434.75</v>
      </c>
      <c r="W130" s="380">
        <v>41333.760000000002</v>
      </c>
      <c r="X130" s="380">
        <v>18676.689999999999</v>
      </c>
      <c r="Y130" s="380">
        <v>41333.760000000002</v>
      </c>
      <c r="Z130" s="380">
        <v>18569.240000000002</v>
      </c>
      <c r="AA130" s="376" t="s">
        <v>582</v>
      </c>
      <c r="AB130" s="376" t="s">
        <v>583</v>
      </c>
      <c r="AC130" s="376" t="s">
        <v>584</v>
      </c>
      <c r="AD130" s="376" t="s">
        <v>215</v>
      </c>
      <c r="AE130" s="376" t="s">
        <v>205</v>
      </c>
      <c r="AF130" s="376" t="s">
        <v>210</v>
      </c>
      <c r="AG130" s="376" t="s">
        <v>177</v>
      </c>
      <c r="AH130" s="381">
        <v>24.84</v>
      </c>
      <c r="AI130" s="381">
        <v>44546.9</v>
      </c>
      <c r="AJ130" s="376" t="s">
        <v>178</v>
      </c>
      <c r="AK130" s="376" t="s">
        <v>179</v>
      </c>
      <c r="AL130" s="376" t="s">
        <v>180</v>
      </c>
      <c r="AM130" s="376" t="s">
        <v>181</v>
      </c>
      <c r="AN130" s="376" t="s">
        <v>68</v>
      </c>
      <c r="AO130" s="379">
        <v>80</v>
      </c>
      <c r="AP130" s="460">
        <v>1</v>
      </c>
      <c r="AQ130" s="460">
        <v>0.8</v>
      </c>
      <c r="AR130" s="458" t="s">
        <v>182</v>
      </c>
      <c r="AS130" s="462">
        <f t="shared" si="17"/>
        <v>0.8</v>
      </c>
      <c r="AT130">
        <f t="shared" si="18"/>
        <v>1</v>
      </c>
      <c r="AU130" s="462">
        <f>IF(AT130=0,"",IF(AND(AT130=1,M130="F",SUMIF(C2:C698,C130,AS2:AS698)&lt;=1),SUMIF(C2:C698,C130,AS2:AS698),IF(AND(AT130=1,M130="F",SUMIF(C2:C698,C130,AS2:AS698)&gt;1),1,"")))</f>
        <v>1</v>
      </c>
      <c r="AV130" s="462" t="str">
        <f>IF(AT130=0,"",IF(AND(AT130=3,M130="F",SUMIF(C2:C698,C130,AS2:AS698)&lt;=1),SUMIF(C2:C698,C130,AS2:AS698),IF(AND(AT130=3,M130="F",SUMIF(C2:C698,C130,AS2:AS698)&gt;1),1,"")))</f>
        <v/>
      </c>
      <c r="AW130" s="462">
        <f>SUMIF(C2:C698,C130,O2:O698)</f>
        <v>3</v>
      </c>
      <c r="AX130" s="462">
        <f>IF(AND(M130="F",AS130&lt;&gt;0),SUMIF(C2:C698,C130,W2:W698),0)</f>
        <v>51667.200000000004</v>
      </c>
      <c r="AY130" s="462">
        <f t="shared" si="19"/>
        <v>41333.760000000002</v>
      </c>
      <c r="AZ130" s="462" t="str">
        <f t="shared" si="20"/>
        <v/>
      </c>
      <c r="BA130" s="462">
        <f t="shared" si="21"/>
        <v>0</v>
      </c>
      <c r="BB130" s="462">
        <f>IF(AND(AT130=1,AK130="E",AU130&gt;=0.75,AW130=1),Health,IF(AND(AT130=1,AK130="E",AU130&gt;=0.75),Health*P130,IF(AND(AT130=1,AK130="E",AU130&gt;=0.5,AW130=1),PTHealth,IF(AND(AT130=1,AK130="E",AU130&gt;=0.5),PTHealth*P130,0))))</f>
        <v>9320</v>
      </c>
      <c r="BC130" s="462">
        <f>IF(AND(AT130=3,AK130="E",AV130&gt;=0.75,AW130=1),Health,IF(AND(AT130=3,AK130="E",AV130&gt;=0.75),Health*P130,IF(AND(AT130=3,AK130="E",AV130&gt;=0.5,AW130=1),PTHealth,IF(AND(AT130=3,AK130="E",AV130&gt;=0.5),PTHealth*P130,0))))</f>
        <v>0</v>
      </c>
      <c r="BD130" s="462">
        <f>IF(AND(AT130&lt;&gt;0,AX130&gt;=MAXSSDI),SSDI*MAXSSDI*P130,IF(AT130&lt;&gt;0,SSDI*W130,0))</f>
        <v>2562.6931199999999</v>
      </c>
      <c r="BE130" s="462">
        <f>IF(AT130&lt;&gt;0,SSHI*W130,0)</f>
        <v>599.33952000000011</v>
      </c>
      <c r="BF130" s="462">
        <f>IF(AND(AT130&lt;&gt;0,AN130&lt;&gt;"NE"),VLOOKUP(AN130,Retirement_Rates,3,FALSE)*W130,0)</f>
        <v>4935.2509440000003</v>
      </c>
      <c r="BG130" s="462">
        <f>IF(AND(AT130&lt;&gt;0,AJ130&lt;&gt;"PF"),Life*W130,0)</f>
        <v>298.01640960000003</v>
      </c>
      <c r="BH130" s="462">
        <f>IF(AND(AT130&lt;&gt;0,AM130="Y"),UI*W130,0)</f>
        <v>202.53542400000001</v>
      </c>
      <c r="BI130" s="462">
        <f>IF(AND(AT130&lt;&gt;0,N130&lt;&gt;"NR"),DHR*W130,0)</f>
        <v>126.4813056</v>
      </c>
      <c r="BJ130" s="462">
        <f>IF(AT130&lt;&gt;0,WC*W130,0)</f>
        <v>632.40652799999998</v>
      </c>
      <c r="BK130" s="462">
        <f>IF(OR(AND(AT130&lt;&gt;0,AJ130&lt;&gt;"PF",AN130&lt;&gt;"NE",AG130&lt;&gt;"A"),AND(AL130="E",OR(AT130=1,AT130=3))),Sick*W130,0)</f>
        <v>0</v>
      </c>
      <c r="BL130" s="462">
        <f t="shared" si="22"/>
        <v>9356.723251200001</v>
      </c>
      <c r="BM130" s="462">
        <f t="shared" si="23"/>
        <v>0</v>
      </c>
      <c r="BN130" s="462">
        <f>IF(AND(AT130=1,AK130="E",AU130&gt;=0.75,AW130=1),HealthBY,IF(AND(AT130=1,AK130="E",AU130&gt;=0.75),HealthBY*P130,IF(AND(AT130=1,AK130="E",AU130&gt;=0.5,AW130=1),PTHealthBY,IF(AND(AT130=1,AK130="E",AU130&gt;=0.5),PTHealthBY*P130,0))))</f>
        <v>9320</v>
      </c>
      <c r="BO130" s="462">
        <f>IF(AND(AT130=3,AK130="E",AV130&gt;=0.75,AW130=1),HealthBY,IF(AND(AT130=3,AK130="E",AV130&gt;=0.75),HealthBY*P130,IF(AND(AT130=3,AK130="E",AV130&gt;=0.5,AW130=1),PTHealthBY,IF(AND(AT130=3,AK130="E",AV130&gt;=0.5),PTHealthBY*P130,0))))</f>
        <v>0</v>
      </c>
      <c r="BP130" s="462">
        <f>IF(AND(AT130&lt;&gt;0,(AX130+BA130)&gt;=MAXSSDIBY),SSDIBY*MAXSSDIBY*P130,IF(AT130&lt;&gt;0,SSDIBY*W130,0))</f>
        <v>2562.6931199999999</v>
      </c>
      <c r="BQ130" s="462">
        <f>IF(AT130&lt;&gt;0,SSHIBY*W130,0)</f>
        <v>599.33952000000011</v>
      </c>
      <c r="BR130" s="462">
        <f>IF(AND(AT130&lt;&gt;0,AN130&lt;&gt;"NE"),VLOOKUP(AN130,Retirement_Rates,4,FALSE)*W130,0)</f>
        <v>4935.2509440000003</v>
      </c>
      <c r="BS130" s="462">
        <f>IF(AND(AT130&lt;&gt;0,AJ130&lt;&gt;"PF"),LifeBY*W130,0)</f>
        <v>298.01640960000003</v>
      </c>
      <c r="BT130" s="462">
        <f>IF(AND(AT130&lt;&gt;0,AM130="Y"),UIBY*W130,0)</f>
        <v>0</v>
      </c>
      <c r="BU130" s="462">
        <f>IF(AND(AT130&lt;&gt;0,N130&lt;&gt;"NR"),DHRBY*W130,0)</f>
        <v>126.4813056</v>
      </c>
      <c r="BV130" s="462">
        <f>IF(AT130&lt;&gt;0,WCBY*W130,0)</f>
        <v>727.47417600000006</v>
      </c>
      <c r="BW130" s="462">
        <f>IF(OR(AND(AT130&lt;&gt;0,AJ130&lt;&gt;"PF",AN130&lt;&gt;"NE",AG130&lt;&gt;"A"),AND(AL130="E",OR(AT130=1,AT130=3))),SickBY*W130,0)</f>
        <v>0</v>
      </c>
      <c r="BX130" s="462">
        <f t="shared" si="24"/>
        <v>9249.2554752000015</v>
      </c>
      <c r="BY130" s="462">
        <f t="shared" si="25"/>
        <v>0</v>
      </c>
      <c r="BZ130" s="462">
        <f t="shared" si="26"/>
        <v>0</v>
      </c>
      <c r="CA130" s="462">
        <f t="shared" si="27"/>
        <v>0</v>
      </c>
      <c r="CB130" s="462">
        <f t="shared" si="28"/>
        <v>0</v>
      </c>
      <c r="CC130" s="462">
        <f>IF(AT130&lt;&gt;0,SSHICHG*Y130,0)</f>
        <v>0</v>
      </c>
      <c r="CD130" s="462">
        <f>IF(AND(AT130&lt;&gt;0,AN130&lt;&gt;"NE"),VLOOKUP(AN130,Retirement_Rates,5,FALSE)*Y130,0)</f>
        <v>0</v>
      </c>
      <c r="CE130" s="462">
        <f>IF(AND(AT130&lt;&gt;0,AJ130&lt;&gt;"PF"),LifeCHG*Y130,0)</f>
        <v>0</v>
      </c>
      <c r="CF130" s="462">
        <f>IF(AND(AT130&lt;&gt;0,AM130="Y"),UICHG*Y130,0)</f>
        <v>-202.53542400000001</v>
      </c>
      <c r="CG130" s="462">
        <f>IF(AND(AT130&lt;&gt;0,N130&lt;&gt;"NR"),DHRCHG*Y130,0)</f>
        <v>0</v>
      </c>
      <c r="CH130" s="462">
        <f>IF(AT130&lt;&gt;0,WCCHG*Y130,0)</f>
        <v>95.067648000000077</v>
      </c>
      <c r="CI130" s="462">
        <f>IF(OR(AND(AT130&lt;&gt;0,AJ130&lt;&gt;"PF",AN130&lt;&gt;"NE",AG130&lt;&gt;"A"),AND(AL130="E",OR(AT130=1,AT130=3))),SickCHG*Y130,0)</f>
        <v>0</v>
      </c>
      <c r="CJ130" s="462">
        <f t="shared" si="29"/>
        <v>-107.46777599999993</v>
      </c>
      <c r="CK130" s="462" t="str">
        <f t="shared" si="30"/>
        <v/>
      </c>
      <c r="CL130" s="462" t="str">
        <f t="shared" si="31"/>
        <v/>
      </c>
      <c r="CM130" s="462" t="str">
        <f t="shared" si="32"/>
        <v/>
      </c>
      <c r="CN130" s="462" t="str">
        <f t="shared" si="33"/>
        <v>0332-07</v>
      </c>
    </row>
    <row r="131" spans="1:92" ht="15" thickBot="1" x14ac:dyDescent="0.35">
      <c r="A131" s="376" t="s">
        <v>161</v>
      </c>
      <c r="B131" s="376" t="s">
        <v>162</v>
      </c>
      <c r="C131" s="376" t="s">
        <v>585</v>
      </c>
      <c r="D131" s="376" t="s">
        <v>362</v>
      </c>
      <c r="E131" s="376" t="s">
        <v>535</v>
      </c>
      <c r="F131" s="382" t="s">
        <v>565</v>
      </c>
      <c r="G131" s="376" t="s">
        <v>356</v>
      </c>
      <c r="H131" s="378"/>
      <c r="I131" s="378"/>
      <c r="J131" s="376" t="s">
        <v>168</v>
      </c>
      <c r="K131" s="376" t="s">
        <v>363</v>
      </c>
      <c r="L131" s="376" t="s">
        <v>200</v>
      </c>
      <c r="M131" s="376" t="s">
        <v>170</v>
      </c>
      <c r="N131" s="376" t="s">
        <v>202</v>
      </c>
      <c r="O131" s="379">
        <v>1</v>
      </c>
      <c r="P131" s="460">
        <v>1</v>
      </c>
      <c r="Q131" s="460">
        <v>1</v>
      </c>
      <c r="R131" s="380">
        <v>80</v>
      </c>
      <c r="S131" s="460">
        <v>1</v>
      </c>
      <c r="T131" s="380">
        <v>44610.5</v>
      </c>
      <c r="U131" s="380">
        <v>0</v>
      </c>
      <c r="V131" s="380">
        <v>21153.39</v>
      </c>
      <c r="W131" s="380">
        <v>46800</v>
      </c>
      <c r="X131" s="380">
        <v>22244.1</v>
      </c>
      <c r="Y131" s="380">
        <v>46800</v>
      </c>
      <c r="Z131" s="380">
        <v>22122.42</v>
      </c>
      <c r="AA131" s="376" t="s">
        <v>586</v>
      </c>
      <c r="AB131" s="376" t="s">
        <v>587</v>
      </c>
      <c r="AC131" s="376" t="s">
        <v>576</v>
      </c>
      <c r="AD131" s="376" t="s">
        <v>180</v>
      </c>
      <c r="AE131" s="376" t="s">
        <v>363</v>
      </c>
      <c r="AF131" s="376" t="s">
        <v>210</v>
      </c>
      <c r="AG131" s="376" t="s">
        <v>177</v>
      </c>
      <c r="AH131" s="381">
        <v>22.5</v>
      </c>
      <c r="AI131" s="379">
        <v>8600</v>
      </c>
      <c r="AJ131" s="376" t="s">
        <v>178</v>
      </c>
      <c r="AK131" s="376" t="s">
        <v>179</v>
      </c>
      <c r="AL131" s="376" t="s">
        <v>180</v>
      </c>
      <c r="AM131" s="376" t="s">
        <v>181</v>
      </c>
      <c r="AN131" s="376" t="s">
        <v>68</v>
      </c>
      <c r="AO131" s="379">
        <v>80</v>
      </c>
      <c r="AP131" s="460">
        <v>1</v>
      </c>
      <c r="AQ131" s="460">
        <v>1</v>
      </c>
      <c r="AR131" s="458" t="s">
        <v>182</v>
      </c>
      <c r="AS131" s="462">
        <f t="shared" ref="AS131:AS194" si="34">IF(((AO131/80)*AP131*P131)&gt;1,AQ131,((AO131/80)*AP131*P131))</f>
        <v>1</v>
      </c>
      <c r="AT131">
        <f t="shared" ref="AT131:AT194" si="35">IF(AND(M131="F",N131&lt;&gt;"NG",AS131&lt;&gt;0,AND(AR131&lt;&gt;6,AR131&lt;&gt;36,AR131&lt;&gt;56),AG131&lt;&gt;"A",OR(AG131="H",AJ131="FS")),1,IF(AND(M131="F",N131&lt;&gt;"NG",AS131&lt;&gt;0,AG131="A"),3,0))</f>
        <v>1</v>
      </c>
      <c r="AU131" s="462">
        <f>IF(AT131=0,"",IF(AND(AT131=1,M131="F",SUMIF(C2:C698,C131,AS2:AS698)&lt;=1),SUMIF(C2:C698,C131,AS2:AS698),IF(AND(AT131=1,M131="F",SUMIF(C2:C698,C131,AS2:AS698)&gt;1),1,"")))</f>
        <v>1</v>
      </c>
      <c r="AV131" s="462" t="str">
        <f>IF(AT131=0,"",IF(AND(AT131=3,M131="F",SUMIF(C2:C698,C131,AS2:AS698)&lt;=1),SUMIF(C2:C698,C131,AS2:AS698),IF(AND(AT131=3,M131="F",SUMIF(C2:C698,C131,AS2:AS698)&gt;1),1,"")))</f>
        <v/>
      </c>
      <c r="AW131" s="462">
        <f>SUMIF(C2:C698,C131,O2:O698)</f>
        <v>1</v>
      </c>
      <c r="AX131" s="462">
        <f>IF(AND(M131="F",AS131&lt;&gt;0),SUMIF(C2:C698,C131,W2:W698),0)</f>
        <v>46800</v>
      </c>
      <c r="AY131" s="462">
        <f t="shared" ref="AY131:AY194" si="36">IF(AT131=1,W131,"")</f>
        <v>46800</v>
      </c>
      <c r="AZ131" s="462" t="str">
        <f t="shared" ref="AZ131:AZ194" si="37">IF(AT131=3,W131,"")</f>
        <v/>
      </c>
      <c r="BA131" s="462">
        <f t="shared" ref="BA131:BA194" si="38">IF(AT131=1,Y131-W131,0)</f>
        <v>0</v>
      </c>
      <c r="BB131" s="462">
        <f>IF(AND(AT131=1,AK131="E",AU131&gt;=0.75,AW131=1),Health,IF(AND(AT131=1,AK131="E",AU131&gt;=0.75),Health*P131,IF(AND(AT131=1,AK131="E",AU131&gt;=0.5,AW131=1),PTHealth,IF(AND(AT131=1,AK131="E",AU131&gt;=0.5),PTHealth*P131,0))))</f>
        <v>11650</v>
      </c>
      <c r="BC131" s="462">
        <f>IF(AND(AT131=3,AK131="E",AV131&gt;=0.75,AW131=1),Health,IF(AND(AT131=3,AK131="E",AV131&gt;=0.75),Health*P131,IF(AND(AT131=3,AK131="E",AV131&gt;=0.5,AW131=1),PTHealth,IF(AND(AT131=3,AK131="E",AV131&gt;=0.5),PTHealth*P131,0))))</f>
        <v>0</v>
      </c>
      <c r="BD131" s="462">
        <f>IF(AND(AT131&lt;&gt;0,AX131&gt;=MAXSSDI),SSDI*MAXSSDI*P131,IF(AT131&lt;&gt;0,SSDI*W131,0))</f>
        <v>2901.6</v>
      </c>
      <c r="BE131" s="462">
        <f>IF(AT131&lt;&gt;0,SSHI*W131,0)</f>
        <v>678.6</v>
      </c>
      <c r="BF131" s="462">
        <f>IF(AND(AT131&lt;&gt;0,AN131&lt;&gt;"NE"),VLOOKUP(AN131,Retirement_Rates,3,FALSE)*W131,0)</f>
        <v>5587.92</v>
      </c>
      <c r="BG131" s="462">
        <f>IF(AND(AT131&lt;&gt;0,AJ131&lt;&gt;"PF"),Life*W131,0)</f>
        <v>337.428</v>
      </c>
      <c r="BH131" s="462">
        <f>IF(AND(AT131&lt;&gt;0,AM131="Y"),UI*W131,0)</f>
        <v>229.32</v>
      </c>
      <c r="BI131" s="462">
        <f>IF(AND(AT131&lt;&gt;0,N131&lt;&gt;"NR"),DHR*W131,0)</f>
        <v>143.208</v>
      </c>
      <c r="BJ131" s="462">
        <f>IF(AT131&lt;&gt;0,WC*W131,0)</f>
        <v>716.04</v>
      </c>
      <c r="BK131" s="462">
        <f>IF(OR(AND(AT131&lt;&gt;0,AJ131&lt;&gt;"PF",AN131&lt;&gt;"NE",AG131&lt;&gt;"A"),AND(AL131="E",OR(AT131=1,AT131=3))),Sick*W131,0)</f>
        <v>0</v>
      </c>
      <c r="BL131" s="462">
        <f t="shared" ref="BL131:BL194" si="39">IF(AT131=1,SUM(BD131:BK131),0)</f>
        <v>10594.115999999998</v>
      </c>
      <c r="BM131" s="462">
        <f t="shared" ref="BM131:BM194" si="40">IF(AT131=3,SUM(BD131:BK131),0)</f>
        <v>0</v>
      </c>
      <c r="BN131" s="462">
        <f>IF(AND(AT131=1,AK131="E",AU131&gt;=0.75,AW131=1),HealthBY,IF(AND(AT131=1,AK131="E",AU131&gt;=0.75),HealthBY*P131,IF(AND(AT131=1,AK131="E",AU131&gt;=0.5,AW131=1),PTHealthBY,IF(AND(AT131=1,AK131="E",AU131&gt;=0.5),PTHealthBY*P131,0))))</f>
        <v>11650</v>
      </c>
      <c r="BO131" s="462">
        <f>IF(AND(AT131=3,AK131="E",AV131&gt;=0.75,AW131=1),HealthBY,IF(AND(AT131=3,AK131="E",AV131&gt;=0.75),HealthBY*P131,IF(AND(AT131=3,AK131="E",AV131&gt;=0.5,AW131=1),PTHealthBY,IF(AND(AT131=3,AK131="E",AV131&gt;=0.5),PTHealthBY*P131,0))))</f>
        <v>0</v>
      </c>
      <c r="BP131" s="462">
        <f>IF(AND(AT131&lt;&gt;0,(AX131+BA131)&gt;=MAXSSDIBY),SSDIBY*MAXSSDIBY*P131,IF(AT131&lt;&gt;0,SSDIBY*W131,0))</f>
        <v>2901.6</v>
      </c>
      <c r="BQ131" s="462">
        <f>IF(AT131&lt;&gt;0,SSHIBY*W131,0)</f>
        <v>678.6</v>
      </c>
      <c r="BR131" s="462">
        <f>IF(AND(AT131&lt;&gt;0,AN131&lt;&gt;"NE"),VLOOKUP(AN131,Retirement_Rates,4,FALSE)*W131,0)</f>
        <v>5587.92</v>
      </c>
      <c r="BS131" s="462">
        <f>IF(AND(AT131&lt;&gt;0,AJ131&lt;&gt;"PF"),LifeBY*W131,0)</f>
        <v>337.428</v>
      </c>
      <c r="BT131" s="462">
        <f>IF(AND(AT131&lt;&gt;0,AM131="Y"),UIBY*W131,0)</f>
        <v>0</v>
      </c>
      <c r="BU131" s="462">
        <f>IF(AND(AT131&lt;&gt;0,N131&lt;&gt;"NR"),DHRBY*W131,0)</f>
        <v>143.208</v>
      </c>
      <c r="BV131" s="462">
        <f>IF(AT131&lt;&gt;0,WCBY*W131,0)</f>
        <v>823.68000000000006</v>
      </c>
      <c r="BW131" s="462">
        <f>IF(OR(AND(AT131&lt;&gt;0,AJ131&lt;&gt;"PF",AN131&lt;&gt;"NE",AG131&lt;&gt;"A"),AND(AL131="E",OR(AT131=1,AT131=3))),SickBY*W131,0)</f>
        <v>0</v>
      </c>
      <c r="BX131" s="462">
        <f t="shared" ref="BX131:BX194" si="41">IF(AT131=1,SUM(BP131:BW131),0)</f>
        <v>10472.436</v>
      </c>
      <c r="BY131" s="462">
        <f t="shared" ref="BY131:BY194" si="42">IF(AT131=3,SUM(BP131:BW131),0)</f>
        <v>0</v>
      </c>
      <c r="BZ131" s="462">
        <f t="shared" ref="BZ131:BZ194" si="43">IF(AT131=1,BN131-BB131,0)</f>
        <v>0</v>
      </c>
      <c r="CA131" s="462">
        <f t="shared" ref="CA131:CA194" si="44">IF(AT131=3,BO131-BC131,0)</f>
        <v>0</v>
      </c>
      <c r="CB131" s="462">
        <f t="shared" ref="CB131:CB194" si="45">BP131-BD131</f>
        <v>0</v>
      </c>
      <c r="CC131" s="462">
        <f>IF(AT131&lt;&gt;0,SSHICHG*Y131,0)</f>
        <v>0</v>
      </c>
      <c r="CD131" s="462">
        <f>IF(AND(AT131&lt;&gt;0,AN131&lt;&gt;"NE"),VLOOKUP(AN131,Retirement_Rates,5,FALSE)*Y131,0)</f>
        <v>0</v>
      </c>
      <c r="CE131" s="462">
        <f>IF(AND(AT131&lt;&gt;0,AJ131&lt;&gt;"PF"),LifeCHG*Y131,0)</f>
        <v>0</v>
      </c>
      <c r="CF131" s="462">
        <f>IF(AND(AT131&lt;&gt;0,AM131="Y"),UICHG*Y131,0)</f>
        <v>-229.32</v>
      </c>
      <c r="CG131" s="462">
        <f>IF(AND(AT131&lt;&gt;0,N131&lt;&gt;"NR"),DHRCHG*Y131,0)</f>
        <v>0</v>
      </c>
      <c r="CH131" s="462">
        <f>IF(AT131&lt;&gt;0,WCCHG*Y131,0)</f>
        <v>107.64000000000009</v>
      </c>
      <c r="CI131" s="462">
        <f>IF(OR(AND(AT131&lt;&gt;0,AJ131&lt;&gt;"PF",AN131&lt;&gt;"NE",AG131&lt;&gt;"A"),AND(AL131="E",OR(AT131=1,AT131=3))),SickCHG*Y131,0)</f>
        <v>0</v>
      </c>
      <c r="CJ131" s="462">
        <f t="shared" ref="CJ131:CJ194" si="46">IF(AT131=1,SUM(CB131:CI131),0)</f>
        <v>-121.67999999999991</v>
      </c>
      <c r="CK131" s="462" t="str">
        <f t="shared" ref="CK131:CK194" si="47">IF(AT131=3,SUM(CB131:CI131),"")</f>
        <v/>
      </c>
      <c r="CL131" s="462" t="str">
        <f t="shared" ref="CL131:CL194" si="48">IF(OR(N131="NG",AG131="D"),(T131+U131),"")</f>
        <v/>
      </c>
      <c r="CM131" s="462" t="str">
        <f t="shared" ref="CM131:CM194" si="49">IF(OR(N131="NG",AG131="D"),V131,"")</f>
        <v/>
      </c>
      <c r="CN131" s="462" t="str">
        <f t="shared" ref="CN131:CN194" si="50">E131 &amp; "-" &amp; F131</f>
        <v>0332-07</v>
      </c>
    </row>
    <row r="132" spans="1:92" ht="15" thickBot="1" x14ac:dyDescent="0.35">
      <c r="A132" s="376" t="s">
        <v>161</v>
      </c>
      <c r="B132" s="376" t="s">
        <v>162</v>
      </c>
      <c r="C132" s="376" t="s">
        <v>588</v>
      </c>
      <c r="D132" s="376" t="s">
        <v>365</v>
      </c>
      <c r="E132" s="376" t="s">
        <v>535</v>
      </c>
      <c r="F132" s="382" t="s">
        <v>565</v>
      </c>
      <c r="G132" s="376" t="s">
        <v>356</v>
      </c>
      <c r="H132" s="378"/>
      <c r="I132" s="378"/>
      <c r="J132" s="376" t="s">
        <v>168</v>
      </c>
      <c r="K132" s="376" t="s">
        <v>366</v>
      </c>
      <c r="L132" s="376" t="s">
        <v>274</v>
      </c>
      <c r="M132" s="376" t="s">
        <v>170</v>
      </c>
      <c r="N132" s="376" t="s">
        <v>202</v>
      </c>
      <c r="O132" s="379">
        <v>1</v>
      </c>
      <c r="P132" s="460">
        <v>1</v>
      </c>
      <c r="Q132" s="460">
        <v>1</v>
      </c>
      <c r="R132" s="380">
        <v>80</v>
      </c>
      <c r="S132" s="460">
        <v>1</v>
      </c>
      <c r="T132" s="380">
        <v>36998.400000000001</v>
      </c>
      <c r="U132" s="380">
        <v>0</v>
      </c>
      <c r="V132" s="380">
        <v>19752.5</v>
      </c>
      <c r="W132" s="380">
        <v>38396.800000000003</v>
      </c>
      <c r="X132" s="380">
        <v>20341.86</v>
      </c>
      <c r="Y132" s="380">
        <v>38396.800000000003</v>
      </c>
      <c r="Z132" s="380">
        <v>20242.03</v>
      </c>
      <c r="AA132" s="376" t="s">
        <v>589</v>
      </c>
      <c r="AB132" s="376" t="s">
        <v>590</v>
      </c>
      <c r="AC132" s="376" t="s">
        <v>319</v>
      </c>
      <c r="AD132" s="376" t="s">
        <v>591</v>
      </c>
      <c r="AE132" s="376" t="s">
        <v>366</v>
      </c>
      <c r="AF132" s="376" t="s">
        <v>279</v>
      </c>
      <c r="AG132" s="376" t="s">
        <v>177</v>
      </c>
      <c r="AH132" s="381">
        <v>18.46</v>
      </c>
      <c r="AI132" s="379">
        <v>16033</v>
      </c>
      <c r="AJ132" s="376" t="s">
        <v>178</v>
      </c>
      <c r="AK132" s="376" t="s">
        <v>179</v>
      </c>
      <c r="AL132" s="376" t="s">
        <v>180</v>
      </c>
      <c r="AM132" s="376" t="s">
        <v>181</v>
      </c>
      <c r="AN132" s="376" t="s">
        <v>68</v>
      </c>
      <c r="AO132" s="379">
        <v>80</v>
      </c>
      <c r="AP132" s="460">
        <v>1</v>
      </c>
      <c r="AQ132" s="460">
        <v>1</v>
      </c>
      <c r="AR132" s="458" t="s">
        <v>182</v>
      </c>
      <c r="AS132" s="462">
        <f t="shared" si="34"/>
        <v>1</v>
      </c>
      <c r="AT132">
        <f t="shared" si="35"/>
        <v>1</v>
      </c>
      <c r="AU132" s="462">
        <f>IF(AT132=0,"",IF(AND(AT132=1,M132="F",SUMIF(C2:C698,C132,AS2:AS698)&lt;=1),SUMIF(C2:C698,C132,AS2:AS698),IF(AND(AT132=1,M132="F",SUMIF(C2:C698,C132,AS2:AS698)&gt;1),1,"")))</f>
        <v>1</v>
      </c>
      <c r="AV132" s="462" t="str">
        <f>IF(AT132=0,"",IF(AND(AT132=3,M132="F",SUMIF(C2:C698,C132,AS2:AS698)&lt;=1),SUMIF(C2:C698,C132,AS2:AS698),IF(AND(AT132=3,M132="F",SUMIF(C2:C698,C132,AS2:AS698)&gt;1),1,"")))</f>
        <v/>
      </c>
      <c r="AW132" s="462">
        <f>SUMIF(C2:C698,C132,O2:O698)</f>
        <v>1</v>
      </c>
      <c r="AX132" s="462">
        <f>IF(AND(M132="F",AS132&lt;&gt;0),SUMIF(C2:C698,C132,W2:W698),0)</f>
        <v>38396.800000000003</v>
      </c>
      <c r="AY132" s="462">
        <f t="shared" si="36"/>
        <v>38396.800000000003</v>
      </c>
      <c r="AZ132" s="462" t="str">
        <f t="shared" si="37"/>
        <v/>
      </c>
      <c r="BA132" s="462">
        <f t="shared" si="38"/>
        <v>0</v>
      </c>
      <c r="BB132" s="462">
        <f>IF(AND(AT132=1,AK132="E",AU132&gt;=0.75,AW132=1),Health,IF(AND(AT132=1,AK132="E",AU132&gt;=0.75),Health*P132,IF(AND(AT132=1,AK132="E",AU132&gt;=0.5,AW132=1),PTHealth,IF(AND(AT132=1,AK132="E",AU132&gt;=0.5),PTHealth*P132,0))))</f>
        <v>11650</v>
      </c>
      <c r="BC132" s="462">
        <f>IF(AND(AT132=3,AK132="E",AV132&gt;=0.75,AW132=1),Health,IF(AND(AT132=3,AK132="E",AV132&gt;=0.75),Health*P132,IF(AND(AT132=3,AK132="E",AV132&gt;=0.5,AW132=1),PTHealth,IF(AND(AT132=3,AK132="E",AV132&gt;=0.5),PTHealth*P132,0))))</f>
        <v>0</v>
      </c>
      <c r="BD132" s="462">
        <f>IF(AND(AT132&lt;&gt;0,AX132&gt;=MAXSSDI),SSDI*MAXSSDI*P132,IF(AT132&lt;&gt;0,SSDI*W132,0))</f>
        <v>2380.6016</v>
      </c>
      <c r="BE132" s="462">
        <f>IF(AT132&lt;&gt;0,SSHI*W132,0)</f>
        <v>556.75360000000012</v>
      </c>
      <c r="BF132" s="462">
        <f>IF(AND(AT132&lt;&gt;0,AN132&lt;&gt;"NE"),VLOOKUP(AN132,Retirement_Rates,3,FALSE)*W132,0)</f>
        <v>4584.5779200000006</v>
      </c>
      <c r="BG132" s="462">
        <f>IF(AND(AT132&lt;&gt;0,AJ132&lt;&gt;"PF"),Life*W132,0)</f>
        <v>276.84092800000002</v>
      </c>
      <c r="BH132" s="462">
        <f>IF(AND(AT132&lt;&gt;0,AM132="Y"),UI*W132,0)</f>
        <v>188.14432000000002</v>
      </c>
      <c r="BI132" s="462">
        <f>IF(AND(AT132&lt;&gt;0,N132&lt;&gt;"NR"),DHR*W132,0)</f>
        <v>117.494208</v>
      </c>
      <c r="BJ132" s="462">
        <f>IF(AT132&lt;&gt;0,WC*W132,0)</f>
        <v>587.47104000000002</v>
      </c>
      <c r="BK132" s="462">
        <f>IF(OR(AND(AT132&lt;&gt;0,AJ132&lt;&gt;"PF",AN132&lt;&gt;"NE",AG132&lt;&gt;"A"),AND(AL132="E",OR(AT132=1,AT132=3))),Sick*W132,0)</f>
        <v>0</v>
      </c>
      <c r="BL132" s="462">
        <f t="shared" si="39"/>
        <v>8691.883616000001</v>
      </c>
      <c r="BM132" s="462">
        <f t="shared" si="40"/>
        <v>0</v>
      </c>
      <c r="BN132" s="462">
        <f>IF(AND(AT132=1,AK132="E",AU132&gt;=0.75,AW132=1),HealthBY,IF(AND(AT132=1,AK132="E",AU132&gt;=0.75),HealthBY*P132,IF(AND(AT132=1,AK132="E",AU132&gt;=0.5,AW132=1),PTHealthBY,IF(AND(AT132=1,AK132="E",AU132&gt;=0.5),PTHealthBY*P132,0))))</f>
        <v>11650</v>
      </c>
      <c r="BO132" s="462">
        <f>IF(AND(AT132=3,AK132="E",AV132&gt;=0.75,AW132=1),HealthBY,IF(AND(AT132=3,AK132="E",AV132&gt;=0.75),HealthBY*P132,IF(AND(AT132=3,AK132="E",AV132&gt;=0.5,AW132=1),PTHealthBY,IF(AND(AT132=3,AK132="E",AV132&gt;=0.5),PTHealthBY*P132,0))))</f>
        <v>0</v>
      </c>
      <c r="BP132" s="462">
        <f>IF(AND(AT132&lt;&gt;0,(AX132+BA132)&gt;=MAXSSDIBY),SSDIBY*MAXSSDIBY*P132,IF(AT132&lt;&gt;0,SSDIBY*W132,0))</f>
        <v>2380.6016</v>
      </c>
      <c r="BQ132" s="462">
        <f>IF(AT132&lt;&gt;0,SSHIBY*W132,0)</f>
        <v>556.75360000000012</v>
      </c>
      <c r="BR132" s="462">
        <f>IF(AND(AT132&lt;&gt;0,AN132&lt;&gt;"NE"),VLOOKUP(AN132,Retirement_Rates,4,FALSE)*W132,0)</f>
        <v>4584.5779200000006</v>
      </c>
      <c r="BS132" s="462">
        <f>IF(AND(AT132&lt;&gt;0,AJ132&lt;&gt;"PF"),LifeBY*W132,0)</f>
        <v>276.84092800000002</v>
      </c>
      <c r="BT132" s="462">
        <f>IF(AND(AT132&lt;&gt;0,AM132="Y"),UIBY*W132,0)</f>
        <v>0</v>
      </c>
      <c r="BU132" s="462">
        <f>IF(AND(AT132&lt;&gt;0,N132&lt;&gt;"NR"),DHRBY*W132,0)</f>
        <v>117.494208</v>
      </c>
      <c r="BV132" s="462">
        <f>IF(AT132&lt;&gt;0,WCBY*W132,0)</f>
        <v>675.78368000000012</v>
      </c>
      <c r="BW132" s="462">
        <f>IF(OR(AND(AT132&lt;&gt;0,AJ132&lt;&gt;"PF",AN132&lt;&gt;"NE",AG132&lt;&gt;"A"),AND(AL132="E",OR(AT132=1,AT132=3))),SickBY*W132,0)</f>
        <v>0</v>
      </c>
      <c r="BX132" s="462">
        <f t="shared" si="41"/>
        <v>8592.0519359999998</v>
      </c>
      <c r="BY132" s="462">
        <f t="shared" si="42"/>
        <v>0</v>
      </c>
      <c r="BZ132" s="462">
        <f t="shared" si="43"/>
        <v>0</v>
      </c>
      <c r="CA132" s="462">
        <f t="shared" si="44"/>
        <v>0</v>
      </c>
      <c r="CB132" s="462">
        <f t="shared" si="45"/>
        <v>0</v>
      </c>
      <c r="CC132" s="462">
        <f>IF(AT132&lt;&gt;0,SSHICHG*Y132,0)</f>
        <v>0</v>
      </c>
      <c r="CD132" s="462">
        <f>IF(AND(AT132&lt;&gt;0,AN132&lt;&gt;"NE"),VLOOKUP(AN132,Retirement_Rates,5,FALSE)*Y132,0)</f>
        <v>0</v>
      </c>
      <c r="CE132" s="462">
        <f>IF(AND(AT132&lt;&gt;0,AJ132&lt;&gt;"PF"),LifeCHG*Y132,0)</f>
        <v>0</v>
      </c>
      <c r="CF132" s="462">
        <f>IF(AND(AT132&lt;&gt;0,AM132="Y"),UICHG*Y132,0)</f>
        <v>-188.14432000000002</v>
      </c>
      <c r="CG132" s="462">
        <f>IF(AND(AT132&lt;&gt;0,N132&lt;&gt;"NR"),DHRCHG*Y132,0)</f>
        <v>0</v>
      </c>
      <c r="CH132" s="462">
        <f>IF(AT132&lt;&gt;0,WCCHG*Y132,0)</f>
        <v>88.312640000000073</v>
      </c>
      <c r="CI132" s="462">
        <f>IF(OR(AND(AT132&lt;&gt;0,AJ132&lt;&gt;"PF",AN132&lt;&gt;"NE",AG132&lt;&gt;"A"),AND(AL132="E",OR(AT132=1,AT132=3))),SickCHG*Y132,0)</f>
        <v>0</v>
      </c>
      <c r="CJ132" s="462">
        <f t="shared" si="46"/>
        <v>-99.831679999999949</v>
      </c>
      <c r="CK132" s="462" t="str">
        <f t="shared" si="47"/>
        <v/>
      </c>
      <c r="CL132" s="462" t="str">
        <f t="shared" si="48"/>
        <v/>
      </c>
      <c r="CM132" s="462" t="str">
        <f t="shared" si="49"/>
        <v/>
      </c>
      <c r="CN132" s="462" t="str">
        <f t="shared" si="50"/>
        <v>0332-07</v>
      </c>
    </row>
    <row r="133" spans="1:92" ht="15" thickBot="1" x14ac:dyDescent="0.35">
      <c r="A133" s="376" t="s">
        <v>161</v>
      </c>
      <c r="B133" s="376" t="s">
        <v>162</v>
      </c>
      <c r="C133" s="376" t="s">
        <v>395</v>
      </c>
      <c r="D133" s="376" t="s">
        <v>362</v>
      </c>
      <c r="E133" s="376" t="s">
        <v>535</v>
      </c>
      <c r="F133" s="382" t="s">
        <v>565</v>
      </c>
      <c r="G133" s="376" t="s">
        <v>356</v>
      </c>
      <c r="H133" s="378"/>
      <c r="I133" s="378"/>
      <c r="J133" s="376" t="s">
        <v>168</v>
      </c>
      <c r="K133" s="376" t="s">
        <v>363</v>
      </c>
      <c r="L133" s="376" t="s">
        <v>200</v>
      </c>
      <c r="M133" s="376" t="s">
        <v>170</v>
      </c>
      <c r="N133" s="376" t="s">
        <v>202</v>
      </c>
      <c r="O133" s="379">
        <v>1</v>
      </c>
      <c r="P133" s="460">
        <v>0</v>
      </c>
      <c r="Q133" s="460">
        <v>0</v>
      </c>
      <c r="R133" s="380">
        <v>80</v>
      </c>
      <c r="S133" s="460">
        <v>0</v>
      </c>
      <c r="T133" s="380">
        <v>126</v>
      </c>
      <c r="U133" s="380">
        <v>0</v>
      </c>
      <c r="V133" s="380">
        <v>63.39</v>
      </c>
      <c r="W133" s="380">
        <v>0</v>
      </c>
      <c r="X133" s="380">
        <v>0</v>
      </c>
      <c r="Y133" s="380">
        <v>0</v>
      </c>
      <c r="Z133" s="380">
        <v>0</v>
      </c>
      <c r="AA133" s="376" t="s">
        <v>396</v>
      </c>
      <c r="AB133" s="376" t="s">
        <v>397</v>
      </c>
      <c r="AC133" s="376" t="s">
        <v>231</v>
      </c>
      <c r="AD133" s="376" t="s">
        <v>215</v>
      </c>
      <c r="AE133" s="376" t="s">
        <v>363</v>
      </c>
      <c r="AF133" s="376" t="s">
        <v>210</v>
      </c>
      <c r="AG133" s="376" t="s">
        <v>177</v>
      </c>
      <c r="AH133" s="381">
        <v>22.5</v>
      </c>
      <c r="AI133" s="379">
        <v>5648</v>
      </c>
      <c r="AJ133" s="376" t="s">
        <v>178</v>
      </c>
      <c r="AK133" s="376" t="s">
        <v>179</v>
      </c>
      <c r="AL133" s="376" t="s">
        <v>180</v>
      </c>
      <c r="AM133" s="376" t="s">
        <v>181</v>
      </c>
      <c r="AN133" s="376" t="s">
        <v>68</v>
      </c>
      <c r="AO133" s="379">
        <v>80</v>
      </c>
      <c r="AP133" s="460">
        <v>1</v>
      </c>
      <c r="AQ133" s="460">
        <v>0</v>
      </c>
      <c r="AR133" s="458" t="s">
        <v>182</v>
      </c>
      <c r="AS133" s="462">
        <f t="shared" si="34"/>
        <v>0</v>
      </c>
      <c r="AT133">
        <f t="shared" si="35"/>
        <v>0</v>
      </c>
      <c r="AU133" s="462" t="str">
        <f>IF(AT133=0,"",IF(AND(AT133=1,M133="F",SUMIF(C2:C698,C133,AS2:AS698)&lt;=1),SUMIF(C2:C698,C133,AS2:AS698),IF(AND(AT133=1,M133="F",SUMIF(C2:C698,C133,AS2:AS698)&gt;1),1,"")))</f>
        <v/>
      </c>
      <c r="AV133" s="462" t="str">
        <f>IF(AT133=0,"",IF(AND(AT133=3,M133="F",SUMIF(C2:C698,C133,AS2:AS698)&lt;=1),SUMIF(C2:C698,C133,AS2:AS698),IF(AND(AT133=3,M133="F",SUMIF(C2:C698,C133,AS2:AS698)&gt;1),1,"")))</f>
        <v/>
      </c>
      <c r="AW133" s="462">
        <f>SUMIF(C2:C698,C133,O2:O698)</f>
        <v>4</v>
      </c>
      <c r="AX133" s="462">
        <f>IF(AND(M133="F",AS133&lt;&gt;0),SUMIF(C2:C698,C133,W2:W698),0)</f>
        <v>0</v>
      </c>
      <c r="AY133" s="462" t="str">
        <f t="shared" si="36"/>
        <v/>
      </c>
      <c r="AZ133" s="462" t="str">
        <f t="shared" si="37"/>
        <v/>
      </c>
      <c r="BA133" s="462">
        <f t="shared" si="38"/>
        <v>0</v>
      </c>
      <c r="BB133" s="462">
        <f>IF(AND(AT133=1,AK133="E",AU133&gt;=0.75,AW133=1),Health,IF(AND(AT133=1,AK133="E",AU133&gt;=0.75),Health*P133,IF(AND(AT133=1,AK133="E",AU133&gt;=0.5,AW133=1),PTHealth,IF(AND(AT133=1,AK133="E",AU133&gt;=0.5),PTHealth*P133,0))))</f>
        <v>0</v>
      </c>
      <c r="BC133" s="462">
        <f>IF(AND(AT133=3,AK133="E",AV133&gt;=0.75,AW133=1),Health,IF(AND(AT133=3,AK133="E",AV133&gt;=0.75),Health*P133,IF(AND(AT133=3,AK133="E",AV133&gt;=0.5,AW133=1),PTHealth,IF(AND(AT133=3,AK133="E",AV133&gt;=0.5),PTHealth*P133,0))))</f>
        <v>0</v>
      </c>
      <c r="BD133" s="462">
        <f>IF(AND(AT133&lt;&gt;0,AX133&gt;=MAXSSDI),SSDI*MAXSSDI*P133,IF(AT133&lt;&gt;0,SSDI*W133,0))</f>
        <v>0</v>
      </c>
      <c r="BE133" s="462">
        <f>IF(AT133&lt;&gt;0,SSHI*W133,0)</f>
        <v>0</v>
      </c>
      <c r="BF133" s="462">
        <f>IF(AND(AT133&lt;&gt;0,AN133&lt;&gt;"NE"),VLOOKUP(AN133,Retirement_Rates,3,FALSE)*W133,0)</f>
        <v>0</v>
      </c>
      <c r="BG133" s="462">
        <f>IF(AND(AT133&lt;&gt;0,AJ133&lt;&gt;"PF"),Life*W133,0)</f>
        <v>0</v>
      </c>
      <c r="BH133" s="462">
        <f>IF(AND(AT133&lt;&gt;0,AM133="Y"),UI*W133,0)</f>
        <v>0</v>
      </c>
      <c r="BI133" s="462">
        <f>IF(AND(AT133&lt;&gt;0,N133&lt;&gt;"NR"),DHR*W133,0)</f>
        <v>0</v>
      </c>
      <c r="BJ133" s="462">
        <f>IF(AT133&lt;&gt;0,WC*W133,0)</f>
        <v>0</v>
      </c>
      <c r="BK133" s="462">
        <f>IF(OR(AND(AT133&lt;&gt;0,AJ133&lt;&gt;"PF",AN133&lt;&gt;"NE",AG133&lt;&gt;"A"),AND(AL133="E",OR(AT133=1,AT133=3))),Sick*W133,0)</f>
        <v>0</v>
      </c>
      <c r="BL133" s="462">
        <f t="shared" si="39"/>
        <v>0</v>
      </c>
      <c r="BM133" s="462">
        <f t="shared" si="40"/>
        <v>0</v>
      </c>
      <c r="BN133" s="462">
        <f>IF(AND(AT133=1,AK133="E",AU133&gt;=0.75,AW133=1),HealthBY,IF(AND(AT133=1,AK133="E",AU133&gt;=0.75),HealthBY*P133,IF(AND(AT133=1,AK133="E",AU133&gt;=0.5,AW133=1),PTHealthBY,IF(AND(AT133=1,AK133="E",AU133&gt;=0.5),PTHealthBY*P133,0))))</f>
        <v>0</v>
      </c>
      <c r="BO133" s="462">
        <f>IF(AND(AT133=3,AK133="E",AV133&gt;=0.75,AW133=1),HealthBY,IF(AND(AT133=3,AK133="E",AV133&gt;=0.75),HealthBY*P133,IF(AND(AT133=3,AK133="E",AV133&gt;=0.5,AW133=1),PTHealthBY,IF(AND(AT133=3,AK133="E",AV133&gt;=0.5),PTHealthBY*P133,0))))</f>
        <v>0</v>
      </c>
      <c r="BP133" s="462">
        <f>IF(AND(AT133&lt;&gt;0,(AX133+BA133)&gt;=MAXSSDIBY),SSDIBY*MAXSSDIBY*P133,IF(AT133&lt;&gt;0,SSDIBY*W133,0))</f>
        <v>0</v>
      </c>
      <c r="BQ133" s="462">
        <f>IF(AT133&lt;&gt;0,SSHIBY*W133,0)</f>
        <v>0</v>
      </c>
      <c r="BR133" s="462">
        <f>IF(AND(AT133&lt;&gt;0,AN133&lt;&gt;"NE"),VLOOKUP(AN133,Retirement_Rates,4,FALSE)*W133,0)</f>
        <v>0</v>
      </c>
      <c r="BS133" s="462">
        <f>IF(AND(AT133&lt;&gt;0,AJ133&lt;&gt;"PF"),LifeBY*W133,0)</f>
        <v>0</v>
      </c>
      <c r="BT133" s="462">
        <f>IF(AND(AT133&lt;&gt;0,AM133="Y"),UIBY*W133,0)</f>
        <v>0</v>
      </c>
      <c r="BU133" s="462">
        <f>IF(AND(AT133&lt;&gt;0,N133&lt;&gt;"NR"),DHRBY*W133,0)</f>
        <v>0</v>
      </c>
      <c r="BV133" s="462">
        <f>IF(AT133&lt;&gt;0,WCBY*W133,0)</f>
        <v>0</v>
      </c>
      <c r="BW133" s="462">
        <f>IF(OR(AND(AT133&lt;&gt;0,AJ133&lt;&gt;"PF",AN133&lt;&gt;"NE",AG133&lt;&gt;"A"),AND(AL133="E",OR(AT133=1,AT133=3))),SickBY*W133,0)</f>
        <v>0</v>
      </c>
      <c r="BX133" s="462">
        <f t="shared" si="41"/>
        <v>0</v>
      </c>
      <c r="BY133" s="462">
        <f t="shared" si="42"/>
        <v>0</v>
      </c>
      <c r="BZ133" s="462">
        <f t="shared" si="43"/>
        <v>0</v>
      </c>
      <c r="CA133" s="462">
        <f t="shared" si="44"/>
        <v>0</v>
      </c>
      <c r="CB133" s="462">
        <f t="shared" si="45"/>
        <v>0</v>
      </c>
      <c r="CC133" s="462">
        <f>IF(AT133&lt;&gt;0,SSHICHG*Y133,0)</f>
        <v>0</v>
      </c>
      <c r="CD133" s="462">
        <f>IF(AND(AT133&lt;&gt;0,AN133&lt;&gt;"NE"),VLOOKUP(AN133,Retirement_Rates,5,FALSE)*Y133,0)</f>
        <v>0</v>
      </c>
      <c r="CE133" s="462">
        <f>IF(AND(AT133&lt;&gt;0,AJ133&lt;&gt;"PF"),LifeCHG*Y133,0)</f>
        <v>0</v>
      </c>
      <c r="CF133" s="462">
        <f>IF(AND(AT133&lt;&gt;0,AM133="Y"),UICHG*Y133,0)</f>
        <v>0</v>
      </c>
      <c r="CG133" s="462">
        <f>IF(AND(AT133&lt;&gt;0,N133&lt;&gt;"NR"),DHRCHG*Y133,0)</f>
        <v>0</v>
      </c>
      <c r="CH133" s="462">
        <f>IF(AT133&lt;&gt;0,WCCHG*Y133,0)</f>
        <v>0</v>
      </c>
      <c r="CI133" s="462">
        <f>IF(OR(AND(AT133&lt;&gt;0,AJ133&lt;&gt;"PF",AN133&lt;&gt;"NE",AG133&lt;&gt;"A"),AND(AL133="E",OR(AT133=1,AT133=3))),SickCHG*Y133,0)</f>
        <v>0</v>
      </c>
      <c r="CJ133" s="462">
        <f t="shared" si="46"/>
        <v>0</v>
      </c>
      <c r="CK133" s="462" t="str">
        <f t="shared" si="47"/>
        <v/>
      </c>
      <c r="CL133" s="462" t="str">
        <f t="shared" si="48"/>
        <v/>
      </c>
      <c r="CM133" s="462" t="str">
        <f t="shared" si="49"/>
        <v/>
      </c>
      <c r="CN133" s="462" t="str">
        <f t="shared" si="50"/>
        <v>0332-07</v>
      </c>
    </row>
    <row r="134" spans="1:92" ht="15" thickBot="1" x14ac:dyDescent="0.35">
      <c r="A134" s="376" t="s">
        <v>161</v>
      </c>
      <c r="B134" s="376" t="s">
        <v>162</v>
      </c>
      <c r="C134" s="376" t="s">
        <v>592</v>
      </c>
      <c r="D134" s="376" t="s">
        <v>362</v>
      </c>
      <c r="E134" s="376" t="s">
        <v>535</v>
      </c>
      <c r="F134" s="382" t="s">
        <v>565</v>
      </c>
      <c r="G134" s="376" t="s">
        <v>356</v>
      </c>
      <c r="H134" s="378"/>
      <c r="I134" s="378"/>
      <c r="J134" s="376" t="s">
        <v>168</v>
      </c>
      <c r="K134" s="376" t="s">
        <v>363</v>
      </c>
      <c r="L134" s="376" t="s">
        <v>200</v>
      </c>
      <c r="M134" s="376" t="s">
        <v>170</v>
      </c>
      <c r="N134" s="376" t="s">
        <v>202</v>
      </c>
      <c r="O134" s="379">
        <v>1</v>
      </c>
      <c r="P134" s="460">
        <v>1</v>
      </c>
      <c r="Q134" s="460">
        <v>1</v>
      </c>
      <c r="R134" s="380">
        <v>80</v>
      </c>
      <c r="S134" s="460">
        <v>1</v>
      </c>
      <c r="T134" s="380">
        <v>44610.42</v>
      </c>
      <c r="U134" s="380">
        <v>0</v>
      </c>
      <c r="V134" s="380">
        <v>21152.720000000001</v>
      </c>
      <c r="W134" s="380">
        <v>46800</v>
      </c>
      <c r="X134" s="380">
        <v>22244.1</v>
      </c>
      <c r="Y134" s="380">
        <v>46800</v>
      </c>
      <c r="Z134" s="380">
        <v>22122.42</v>
      </c>
      <c r="AA134" s="376" t="s">
        <v>593</v>
      </c>
      <c r="AB134" s="376" t="s">
        <v>594</v>
      </c>
      <c r="AC134" s="376" t="s">
        <v>595</v>
      </c>
      <c r="AD134" s="376" t="s">
        <v>591</v>
      </c>
      <c r="AE134" s="376" t="s">
        <v>363</v>
      </c>
      <c r="AF134" s="376" t="s">
        <v>210</v>
      </c>
      <c r="AG134" s="376" t="s">
        <v>177</v>
      </c>
      <c r="AH134" s="381">
        <v>22.5</v>
      </c>
      <c r="AI134" s="381">
        <v>33557.599999999999</v>
      </c>
      <c r="AJ134" s="376" t="s">
        <v>178</v>
      </c>
      <c r="AK134" s="376" t="s">
        <v>179</v>
      </c>
      <c r="AL134" s="376" t="s">
        <v>180</v>
      </c>
      <c r="AM134" s="376" t="s">
        <v>181</v>
      </c>
      <c r="AN134" s="376" t="s">
        <v>68</v>
      </c>
      <c r="AO134" s="379">
        <v>80</v>
      </c>
      <c r="AP134" s="460">
        <v>1</v>
      </c>
      <c r="AQ134" s="460">
        <v>1</v>
      </c>
      <c r="AR134" s="458" t="s">
        <v>182</v>
      </c>
      <c r="AS134" s="462">
        <f t="shared" si="34"/>
        <v>1</v>
      </c>
      <c r="AT134">
        <f t="shared" si="35"/>
        <v>1</v>
      </c>
      <c r="AU134" s="462">
        <f>IF(AT134=0,"",IF(AND(AT134=1,M134="F",SUMIF(C2:C698,C134,AS2:AS698)&lt;=1),SUMIF(C2:C698,C134,AS2:AS698),IF(AND(AT134=1,M134="F",SUMIF(C2:C698,C134,AS2:AS698)&gt;1),1,"")))</f>
        <v>1</v>
      </c>
      <c r="AV134" s="462" t="str">
        <f>IF(AT134=0,"",IF(AND(AT134=3,M134="F",SUMIF(C2:C698,C134,AS2:AS698)&lt;=1),SUMIF(C2:C698,C134,AS2:AS698),IF(AND(AT134=3,M134="F",SUMIF(C2:C698,C134,AS2:AS698)&gt;1),1,"")))</f>
        <v/>
      </c>
      <c r="AW134" s="462">
        <f>SUMIF(C2:C698,C134,O2:O698)</f>
        <v>1</v>
      </c>
      <c r="AX134" s="462">
        <f>IF(AND(M134="F",AS134&lt;&gt;0),SUMIF(C2:C698,C134,W2:W698),0)</f>
        <v>46800</v>
      </c>
      <c r="AY134" s="462">
        <f t="shared" si="36"/>
        <v>46800</v>
      </c>
      <c r="AZ134" s="462" t="str">
        <f t="shared" si="37"/>
        <v/>
      </c>
      <c r="BA134" s="462">
        <f t="shared" si="38"/>
        <v>0</v>
      </c>
      <c r="BB134" s="462">
        <f>IF(AND(AT134=1,AK134="E",AU134&gt;=0.75,AW134=1),Health,IF(AND(AT134=1,AK134="E",AU134&gt;=0.75),Health*P134,IF(AND(AT134=1,AK134="E",AU134&gt;=0.5,AW134=1),PTHealth,IF(AND(AT134=1,AK134="E",AU134&gt;=0.5),PTHealth*P134,0))))</f>
        <v>11650</v>
      </c>
      <c r="BC134" s="462">
        <f>IF(AND(AT134=3,AK134="E",AV134&gt;=0.75,AW134=1),Health,IF(AND(AT134=3,AK134="E",AV134&gt;=0.75),Health*P134,IF(AND(AT134=3,AK134="E",AV134&gt;=0.5,AW134=1),PTHealth,IF(AND(AT134=3,AK134="E",AV134&gt;=0.5),PTHealth*P134,0))))</f>
        <v>0</v>
      </c>
      <c r="BD134" s="462">
        <f>IF(AND(AT134&lt;&gt;0,AX134&gt;=MAXSSDI),SSDI*MAXSSDI*P134,IF(AT134&lt;&gt;0,SSDI*W134,0))</f>
        <v>2901.6</v>
      </c>
      <c r="BE134" s="462">
        <f>IF(AT134&lt;&gt;0,SSHI*W134,0)</f>
        <v>678.6</v>
      </c>
      <c r="BF134" s="462">
        <f>IF(AND(AT134&lt;&gt;0,AN134&lt;&gt;"NE"),VLOOKUP(AN134,Retirement_Rates,3,FALSE)*W134,0)</f>
        <v>5587.92</v>
      </c>
      <c r="BG134" s="462">
        <f>IF(AND(AT134&lt;&gt;0,AJ134&lt;&gt;"PF"),Life*W134,0)</f>
        <v>337.428</v>
      </c>
      <c r="BH134" s="462">
        <f>IF(AND(AT134&lt;&gt;0,AM134="Y"),UI*W134,0)</f>
        <v>229.32</v>
      </c>
      <c r="BI134" s="462">
        <f>IF(AND(AT134&lt;&gt;0,N134&lt;&gt;"NR"),DHR*W134,0)</f>
        <v>143.208</v>
      </c>
      <c r="BJ134" s="462">
        <f>IF(AT134&lt;&gt;0,WC*W134,0)</f>
        <v>716.04</v>
      </c>
      <c r="BK134" s="462">
        <f>IF(OR(AND(AT134&lt;&gt;0,AJ134&lt;&gt;"PF",AN134&lt;&gt;"NE",AG134&lt;&gt;"A"),AND(AL134="E",OR(AT134=1,AT134=3))),Sick*W134,0)</f>
        <v>0</v>
      </c>
      <c r="BL134" s="462">
        <f t="shared" si="39"/>
        <v>10594.115999999998</v>
      </c>
      <c r="BM134" s="462">
        <f t="shared" si="40"/>
        <v>0</v>
      </c>
      <c r="BN134" s="462">
        <f>IF(AND(AT134=1,AK134="E",AU134&gt;=0.75,AW134=1),HealthBY,IF(AND(AT134=1,AK134="E",AU134&gt;=0.75),HealthBY*P134,IF(AND(AT134=1,AK134="E",AU134&gt;=0.5,AW134=1),PTHealthBY,IF(AND(AT134=1,AK134="E",AU134&gt;=0.5),PTHealthBY*P134,0))))</f>
        <v>11650</v>
      </c>
      <c r="BO134" s="462">
        <f>IF(AND(AT134=3,AK134="E",AV134&gt;=0.75,AW134=1),HealthBY,IF(AND(AT134=3,AK134="E",AV134&gt;=0.75),HealthBY*P134,IF(AND(AT134=3,AK134="E",AV134&gt;=0.5,AW134=1),PTHealthBY,IF(AND(AT134=3,AK134="E",AV134&gt;=0.5),PTHealthBY*P134,0))))</f>
        <v>0</v>
      </c>
      <c r="BP134" s="462">
        <f>IF(AND(AT134&lt;&gt;0,(AX134+BA134)&gt;=MAXSSDIBY),SSDIBY*MAXSSDIBY*P134,IF(AT134&lt;&gt;0,SSDIBY*W134,0))</f>
        <v>2901.6</v>
      </c>
      <c r="BQ134" s="462">
        <f>IF(AT134&lt;&gt;0,SSHIBY*W134,0)</f>
        <v>678.6</v>
      </c>
      <c r="BR134" s="462">
        <f>IF(AND(AT134&lt;&gt;0,AN134&lt;&gt;"NE"),VLOOKUP(AN134,Retirement_Rates,4,FALSE)*W134,0)</f>
        <v>5587.92</v>
      </c>
      <c r="BS134" s="462">
        <f>IF(AND(AT134&lt;&gt;0,AJ134&lt;&gt;"PF"),LifeBY*W134,0)</f>
        <v>337.428</v>
      </c>
      <c r="BT134" s="462">
        <f>IF(AND(AT134&lt;&gt;0,AM134="Y"),UIBY*W134,0)</f>
        <v>0</v>
      </c>
      <c r="BU134" s="462">
        <f>IF(AND(AT134&lt;&gt;0,N134&lt;&gt;"NR"),DHRBY*W134,0)</f>
        <v>143.208</v>
      </c>
      <c r="BV134" s="462">
        <f>IF(AT134&lt;&gt;0,WCBY*W134,0)</f>
        <v>823.68000000000006</v>
      </c>
      <c r="BW134" s="462">
        <f>IF(OR(AND(AT134&lt;&gt;0,AJ134&lt;&gt;"PF",AN134&lt;&gt;"NE",AG134&lt;&gt;"A"),AND(AL134="E",OR(AT134=1,AT134=3))),SickBY*W134,0)</f>
        <v>0</v>
      </c>
      <c r="BX134" s="462">
        <f t="shared" si="41"/>
        <v>10472.436</v>
      </c>
      <c r="BY134" s="462">
        <f t="shared" si="42"/>
        <v>0</v>
      </c>
      <c r="BZ134" s="462">
        <f t="shared" si="43"/>
        <v>0</v>
      </c>
      <c r="CA134" s="462">
        <f t="shared" si="44"/>
        <v>0</v>
      </c>
      <c r="CB134" s="462">
        <f t="shared" si="45"/>
        <v>0</v>
      </c>
      <c r="CC134" s="462">
        <f>IF(AT134&lt;&gt;0,SSHICHG*Y134,0)</f>
        <v>0</v>
      </c>
      <c r="CD134" s="462">
        <f>IF(AND(AT134&lt;&gt;0,AN134&lt;&gt;"NE"),VLOOKUP(AN134,Retirement_Rates,5,FALSE)*Y134,0)</f>
        <v>0</v>
      </c>
      <c r="CE134" s="462">
        <f>IF(AND(AT134&lt;&gt;0,AJ134&lt;&gt;"PF"),LifeCHG*Y134,0)</f>
        <v>0</v>
      </c>
      <c r="CF134" s="462">
        <f>IF(AND(AT134&lt;&gt;0,AM134="Y"),UICHG*Y134,0)</f>
        <v>-229.32</v>
      </c>
      <c r="CG134" s="462">
        <f>IF(AND(AT134&lt;&gt;0,N134&lt;&gt;"NR"),DHRCHG*Y134,0)</f>
        <v>0</v>
      </c>
      <c r="CH134" s="462">
        <f>IF(AT134&lt;&gt;0,WCCHG*Y134,0)</f>
        <v>107.64000000000009</v>
      </c>
      <c r="CI134" s="462">
        <f>IF(OR(AND(AT134&lt;&gt;0,AJ134&lt;&gt;"PF",AN134&lt;&gt;"NE",AG134&lt;&gt;"A"),AND(AL134="E",OR(AT134=1,AT134=3))),SickCHG*Y134,0)</f>
        <v>0</v>
      </c>
      <c r="CJ134" s="462">
        <f t="shared" si="46"/>
        <v>-121.67999999999991</v>
      </c>
      <c r="CK134" s="462" t="str">
        <f t="shared" si="47"/>
        <v/>
      </c>
      <c r="CL134" s="462" t="str">
        <f t="shared" si="48"/>
        <v/>
      </c>
      <c r="CM134" s="462" t="str">
        <f t="shared" si="49"/>
        <v/>
      </c>
      <c r="CN134" s="462" t="str">
        <f t="shared" si="50"/>
        <v>0332-07</v>
      </c>
    </row>
    <row r="135" spans="1:92" ht="15" thickBot="1" x14ac:dyDescent="0.35">
      <c r="A135" s="376" t="s">
        <v>161</v>
      </c>
      <c r="B135" s="376" t="s">
        <v>162</v>
      </c>
      <c r="C135" s="376" t="s">
        <v>398</v>
      </c>
      <c r="D135" s="376" t="s">
        <v>365</v>
      </c>
      <c r="E135" s="376" t="s">
        <v>535</v>
      </c>
      <c r="F135" s="382" t="s">
        <v>565</v>
      </c>
      <c r="G135" s="376" t="s">
        <v>356</v>
      </c>
      <c r="H135" s="378"/>
      <c r="I135" s="378"/>
      <c r="J135" s="376" t="s">
        <v>168</v>
      </c>
      <c r="K135" s="376" t="s">
        <v>366</v>
      </c>
      <c r="L135" s="376" t="s">
        <v>274</v>
      </c>
      <c r="M135" s="376" t="s">
        <v>170</v>
      </c>
      <c r="N135" s="376" t="s">
        <v>202</v>
      </c>
      <c r="O135" s="379">
        <v>1</v>
      </c>
      <c r="P135" s="460">
        <v>0</v>
      </c>
      <c r="Q135" s="460">
        <v>0</v>
      </c>
      <c r="R135" s="380">
        <v>80</v>
      </c>
      <c r="S135" s="460">
        <v>0</v>
      </c>
      <c r="T135" s="380">
        <v>127.88</v>
      </c>
      <c r="U135" s="380">
        <v>0</v>
      </c>
      <c r="V135" s="380">
        <v>72.739999999999995</v>
      </c>
      <c r="W135" s="380">
        <v>0</v>
      </c>
      <c r="X135" s="380">
        <v>0</v>
      </c>
      <c r="Y135" s="380">
        <v>0</v>
      </c>
      <c r="Z135" s="380">
        <v>0</v>
      </c>
      <c r="AA135" s="376" t="s">
        <v>399</v>
      </c>
      <c r="AB135" s="376" t="s">
        <v>400</v>
      </c>
      <c r="AC135" s="376" t="s">
        <v>319</v>
      </c>
      <c r="AD135" s="376" t="s">
        <v>401</v>
      </c>
      <c r="AE135" s="376" t="s">
        <v>366</v>
      </c>
      <c r="AF135" s="376" t="s">
        <v>279</v>
      </c>
      <c r="AG135" s="376" t="s">
        <v>177</v>
      </c>
      <c r="AH135" s="381">
        <v>18.77</v>
      </c>
      <c r="AI135" s="381">
        <v>35305.5</v>
      </c>
      <c r="AJ135" s="376" t="s">
        <v>313</v>
      </c>
      <c r="AK135" s="376" t="s">
        <v>179</v>
      </c>
      <c r="AL135" s="376" t="s">
        <v>180</v>
      </c>
      <c r="AM135" s="376" t="s">
        <v>181</v>
      </c>
      <c r="AN135" s="376" t="s">
        <v>68</v>
      </c>
      <c r="AO135" s="379">
        <v>72</v>
      </c>
      <c r="AP135" s="460">
        <v>1</v>
      </c>
      <c r="AQ135" s="460">
        <v>0</v>
      </c>
      <c r="AR135" s="458" t="s">
        <v>182</v>
      </c>
      <c r="AS135" s="462">
        <f t="shared" si="34"/>
        <v>0</v>
      </c>
      <c r="AT135">
        <f t="shared" si="35"/>
        <v>0</v>
      </c>
      <c r="AU135" s="462" t="str">
        <f>IF(AT135=0,"",IF(AND(AT135=1,M135="F",SUMIF(C2:C698,C135,AS2:AS698)&lt;=1),SUMIF(C2:C698,C135,AS2:AS698),IF(AND(AT135=1,M135="F",SUMIF(C2:C698,C135,AS2:AS698)&gt;1),1,"")))</f>
        <v/>
      </c>
      <c r="AV135" s="462" t="str">
        <f>IF(AT135=0,"",IF(AND(AT135=3,M135="F",SUMIF(C2:C698,C135,AS2:AS698)&lt;=1),SUMIF(C2:C698,C135,AS2:AS698),IF(AND(AT135=3,M135="F",SUMIF(C2:C698,C135,AS2:AS698)&gt;1),1,"")))</f>
        <v/>
      </c>
      <c r="AW135" s="462">
        <f>SUMIF(C2:C698,C135,O2:O698)</f>
        <v>5</v>
      </c>
      <c r="AX135" s="462">
        <f>IF(AND(M135="F",AS135&lt;&gt;0),SUMIF(C2:C698,C135,W2:W698),0)</f>
        <v>0</v>
      </c>
      <c r="AY135" s="462" t="str">
        <f t="shared" si="36"/>
        <v/>
      </c>
      <c r="AZ135" s="462" t="str">
        <f t="shared" si="37"/>
        <v/>
      </c>
      <c r="BA135" s="462">
        <f t="shared" si="38"/>
        <v>0</v>
      </c>
      <c r="BB135" s="462">
        <f>IF(AND(AT135=1,AK135="E",AU135&gt;=0.75,AW135=1),Health,IF(AND(AT135=1,AK135="E",AU135&gt;=0.75),Health*P135,IF(AND(AT135=1,AK135="E",AU135&gt;=0.5,AW135=1),PTHealth,IF(AND(AT135=1,AK135="E",AU135&gt;=0.5),PTHealth*P135,0))))</f>
        <v>0</v>
      </c>
      <c r="BC135" s="462">
        <f>IF(AND(AT135=3,AK135="E",AV135&gt;=0.75,AW135=1),Health,IF(AND(AT135=3,AK135="E",AV135&gt;=0.75),Health*P135,IF(AND(AT135=3,AK135="E",AV135&gt;=0.5,AW135=1),PTHealth,IF(AND(AT135=3,AK135="E",AV135&gt;=0.5),PTHealth*P135,0))))</f>
        <v>0</v>
      </c>
      <c r="BD135" s="462">
        <f>IF(AND(AT135&lt;&gt;0,AX135&gt;=MAXSSDI),SSDI*MAXSSDI*P135,IF(AT135&lt;&gt;0,SSDI*W135,0))</f>
        <v>0</v>
      </c>
      <c r="BE135" s="462">
        <f>IF(AT135&lt;&gt;0,SSHI*W135,0)</f>
        <v>0</v>
      </c>
      <c r="BF135" s="462">
        <f>IF(AND(AT135&lt;&gt;0,AN135&lt;&gt;"NE"),VLOOKUP(AN135,Retirement_Rates,3,FALSE)*W135,0)</f>
        <v>0</v>
      </c>
      <c r="BG135" s="462">
        <f>IF(AND(AT135&lt;&gt;0,AJ135&lt;&gt;"PF"),Life*W135,0)</f>
        <v>0</v>
      </c>
      <c r="BH135" s="462">
        <f>IF(AND(AT135&lt;&gt;0,AM135="Y"),UI*W135,0)</f>
        <v>0</v>
      </c>
      <c r="BI135" s="462">
        <f>IF(AND(AT135&lt;&gt;0,N135&lt;&gt;"NR"),DHR*W135,0)</f>
        <v>0</v>
      </c>
      <c r="BJ135" s="462">
        <f>IF(AT135&lt;&gt;0,WC*W135,0)</f>
        <v>0</v>
      </c>
      <c r="BK135" s="462">
        <f>IF(OR(AND(AT135&lt;&gt;0,AJ135&lt;&gt;"PF",AN135&lt;&gt;"NE",AG135&lt;&gt;"A"),AND(AL135="E",OR(AT135=1,AT135=3))),Sick*W135,0)</f>
        <v>0</v>
      </c>
      <c r="BL135" s="462">
        <f t="shared" si="39"/>
        <v>0</v>
      </c>
      <c r="BM135" s="462">
        <f t="shared" si="40"/>
        <v>0</v>
      </c>
      <c r="BN135" s="462">
        <f>IF(AND(AT135=1,AK135="E",AU135&gt;=0.75,AW135=1),HealthBY,IF(AND(AT135=1,AK135="E",AU135&gt;=0.75),HealthBY*P135,IF(AND(AT135=1,AK135="E",AU135&gt;=0.5,AW135=1),PTHealthBY,IF(AND(AT135=1,AK135="E",AU135&gt;=0.5),PTHealthBY*P135,0))))</f>
        <v>0</v>
      </c>
      <c r="BO135" s="462">
        <f>IF(AND(AT135=3,AK135="E",AV135&gt;=0.75,AW135=1),HealthBY,IF(AND(AT135=3,AK135="E",AV135&gt;=0.75),HealthBY*P135,IF(AND(AT135=3,AK135="E",AV135&gt;=0.5,AW135=1),PTHealthBY,IF(AND(AT135=3,AK135="E",AV135&gt;=0.5),PTHealthBY*P135,0))))</f>
        <v>0</v>
      </c>
      <c r="BP135" s="462">
        <f>IF(AND(AT135&lt;&gt;0,(AX135+BA135)&gt;=MAXSSDIBY),SSDIBY*MAXSSDIBY*P135,IF(AT135&lt;&gt;0,SSDIBY*W135,0))</f>
        <v>0</v>
      </c>
      <c r="BQ135" s="462">
        <f>IF(AT135&lt;&gt;0,SSHIBY*W135,0)</f>
        <v>0</v>
      </c>
      <c r="BR135" s="462">
        <f>IF(AND(AT135&lt;&gt;0,AN135&lt;&gt;"NE"),VLOOKUP(AN135,Retirement_Rates,4,FALSE)*W135,0)</f>
        <v>0</v>
      </c>
      <c r="BS135" s="462">
        <f>IF(AND(AT135&lt;&gt;0,AJ135&lt;&gt;"PF"),LifeBY*W135,0)</f>
        <v>0</v>
      </c>
      <c r="BT135" s="462">
        <f>IF(AND(AT135&lt;&gt;0,AM135="Y"),UIBY*W135,0)</f>
        <v>0</v>
      </c>
      <c r="BU135" s="462">
        <f>IF(AND(AT135&lt;&gt;0,N135&lt;&gt;"NR"),DHRBY*W135,0)</f>
        <v>0</v>
      </c>
      <c r="BV135" s="462">
        <f>IF(AT135&lt;&gt;0,WCBY*W135,0)</f>
        <v>0</v>
      </c>
      <c r="BW135" s="462">
        <f>IF(OR(AND(AT135&lt;&gt;0,AJ135&lt;&gt;"PF",AN135&lt;&gt;"NE",AG135&lt;&gt;"A"),AND(AL135="E",OR(AT135=1,AT135=3))),SickBY*W135,0)</f>
        <v>0</v>
      </c>
      <c r="BX135" s="462">
        <f t="shared" si="41"/>
        <v>0</v>
      </c>
      <c r="BY135" s="462">
        <f t="shared" si="42"/>
        <v>0</v>
      </c>
      <c r="BZ135" s="462">
        <f t="shared" si="43"/>
        <v>0</v>
      </c>
      <c r="CA135" s="462">
        <f t="shared" si="44"/>
        <v>0</v>
      </c>
      <c r="CB135" s="462">
        <f t="shared" si="45"/>
        <v>0</v>
      </c>
      <c r="CC135" s="462">
        <f>IF(AT135&lt;&gt;0,SSHICHG*Y135,0)</f>
        <v>0</v>
      </c>
      <c r="CD135" s="462">
        <f>IF(AND(AT135&lt;&gt;0,AN135&lt;&gt;"NE"),VLOOKUP(AN135,Retirement_Rates,5,FALSE)*Y135,0)</f>
        <v>0</v>
      </c>
      <c r="CE135" s="462">
        <f>IF(AND(AT135&lt;&gt;0,AJ135&lt;&gt;"PF"),LifeCHG*Y135,0)</f>
        <v>0</v>
      </c>
      <c r="CF135" s="462">
        <f>IF(AND(AT135&lt;&gt;0,AM135="Y"),UICHG*Y135,0)</f>
        <v>0</v>
      </c>
      <c r="CG135" s="462">
        <f>IF(AND(AT135&lt;&gt;0,N135&lt;&gt;"NR"),DHRCHG*Y135,0)</f>
        <v>0</v>
      </c>
      <c r="CH135" s="462">
        <f>IF(AT135&lt;&gt;0,WCCHG*Y135,0)</f>
        <v>0</v>
      </c>
      <c r="CI135" s="462">
        <f>IF(OR(AND(AT135&lt;&gt;0,AJ135&lt;&gt;"PF",AN135&lt;&gt;"NE",AG135&lt;&gt;"A"),AND(AL135="E",OR(AT135=1,AT135=3))),SickCHG*Y135,0)</f>
        <v>0</v>
      </c>
      <c r="CJ135" s="462">
        <f t="shared" si="46"/>
        <v>0</v>
      </c>
      <c r="CK135" s="462" t="str">
        <f t="shared" si="47"/>
        <v/>
      </c>
      <c r="CL135" s="462" t="str">
        <f t="shared" si="48"/>
        <v/>
      </c>
      <c r="CM135" s="462" t="str">
        <f t="shared" si="49"/>
        <v/>
      </c>
      <c r="CN135" s="462" t="str">
        <f t="shared" si="50"/>
        <v>0332-07</v>
      </c>
    </row>
    <row r="136" spans="1:92" ht="15" thickBot="1" x14ac:dyDescent="0.35">
      <c r="A136" s="376" t="s">
        <v>161</v>
      </c>
      <c r="B136" s="376" t="s">
        <v>162</v>
      </c>
      <c r="C136" s="376" t="s">
        <v>402</v>
      </c>
      <c r="D136" s="376" t="s">
        <v>362</v>
      </c>
      <c r="E136" s="376" t="s">
        <v>535</v>
      </c>
      <c r="F136" s="382" t="s">
        <v>565</v>
      </c>
      <c r="G136" s="376" t="s">
        <v>356</v>
      </c>
      <c r="H136" s="378"/>
      <c r="I136" s="378"/>
      <c r="J136" s="376" t="s">
        <v>168</v>
      </c>
      <c r="K136" s="376" t="s">
        <v>363</v>
      </c>
      <c r="L136" s="376" t="s">
        <v>200</v>
      </c>
      <c r="M136" s="376" t="s">
        <v>170</v>
      </c>
      <c r="N136" s="376" t="s">
        <v>202</v>
      </c>
      <c r="O136" s="379">
        <v>1</v>
      </c>
      <c r="P136" s="460">
        <v>0</v>
      </c>
      <c r="Q136" s="460">
        <v>0</v>
      </c>
      <c r="R136" s="380">
        <v>80</v>
      </c>
      <c r="S136" s="460">
        <v>0</v>
      </c>
      <c r="T136" s="380">
        <v>18267.21</v>
      </c>
      <c r="U136" s="380">
        <v>0</v>
      </c>
      <c r="V136" s="380">
        <v>8569.44</v>
      </c>
      <c r="W136" s="380">
        <v>0</v>
      </c>
      <c r="X136" s="380">
        <v>0</v>
      </c>
      <c r="Y136" s="380">
        <v>0</v>
      </c>
      <c r="Z136" s="380">
        <v>0</v>
      </c>
      <c r="AA136" s="376" t="s">
        <v>403</v>
      </c>
      <c r="AB136" s="376" t="s">
        <v>404</v>
      </c>
      <c r="AC136" s="376" t="s">
        <v>405</v>
      </c>
      <c r="AD136" s="376" t="s">
        <v>190</v>
      </c>
      <c r="AE136" s="376" t="s">
        <v>363</v>
      </c>
      <c r="AF136" s="376" t="s">
        <v>210</v>
      </c>
      <c r="AG136" s="376" t="s">
        <v>177</v>
      </c>
      <c r="AH136" s="381">
        <v>22.5</v>
      </c>
      <c r="AI136" s="381">
        <v>12098.3</v>
      </c>
      <c r="AJ136" s="376" t="s">
        <v>178</v>
      </c>
      <c r="AK136" s="376" t="s">
        <v>179</v>
      </c>
      <c r="AL136" s="376" t="s">
        <v>180</v>
      </c>
      <c r="AM136" s="376" t="s">
        <v>181</v>
      </c>
      <c r="AN136" s="376" t="s">
        <v>68</v>
      </c>
      <c r="AO136" s="379">
        <v>80</v>
      </c>
      <c r="AP136" s="460">
        <v>1</v>
      </c>
      <c r="AQ136" s="460">
        <v>0</v>
      </c>
      <c r="AR136" s="458" t="s">
        <v>182</v>
      </c>
      <c r="AS136" s="462">
        <f t="shared" si="34"/>
        <v>0</v>
      </c>
      <c r="AT136">
        <f t="shared" si="35"/>
        <v>0</v>
      </c>
      <c r="AU136" s="462" t="str">
        <f>IF(AT136=0,"",IF(AND(AT136=1,M136="F",SUMIF(C2:C698,C136,AS2:AS698)&lt;=1),SUMIF(C2:C698,C136,AS2:AS698),IF(AND(AT136=1,M136="F",SUMIF(C2:C698,C136,AS2:AS698)&gt;1),1,"")))</f>
        <v/>
      </c>
      <c r="AV136" s="462" t="str">
        <f>IF(AT136=0,"",IF(AND(AT136=3,M136="F",SUMIF(C2:C698,C136,AS2:AS698)&lt;=1),SUMIF(C2:C698,C136,AS2:AS698),IF(AND(AT136=3,M136="F",SUMIF(C2:C698,C136,AS2:AS698)&gt;1),1,"")))</f>
        <v/>
      </c>
      <c r="AW136" s="462">
        <f>SUMIF(C2:C698,C136,O2:O698)</f>
        <v>5</v>
      </c>
      <c r="AX136" s="462">
        <f>IF(AND(M136="F",AS136&lt;&gt;0),SUMIF(C2:C698,C136,W2:W698),0)</f>
        <v>0</v>
      </c>
      <c r="AY136" s="462" t="str">
        <f t="shared" si="36"/>
        <v/>
      </c>
      <c r="AZ136" s="462" t="str">
        <f t="shared" si="37"/>
        <v/>
      </c>
      <c r="BA136" s="462">
        <f t="shared" si="38"/>
        <v>0</v>
      </c>
      <c r="BB136" s="462">
        <f>IF(AND(AT136=1,AK136="E",AU136&gt;=0.75,AW136=1),Health,IF(AND(AT136=1,AK136="E",AU136&gt;=0.75),Health*P136,IF(AND(AT136=1,AK136="E",AU136&gt;=0.5,AW136=1),PTHealth,IF(AND(AT136=1,AK136="E",AU136&gt;=0.5),PTHealth*P136,0))))</f>
        <v>0</v>
      </c>
      <c r="BC136" s="462">
        <f>IF(AND(AT136=3,AK136="E",AV136&gt;=0.75,AW136=1),Health,IF(AND(AT136=3,AK136="E",AV136&gt;=0.75),Health*P136,IF(AND(AT136=3,AK136="E",AV136&gt;=0.5,AW136=1),PTHealth,IF(AND(AT136=3,AK136="E",AV136&gt;=0.5),PTHealth*P136,0))))</f>
        <v>0</v>
      </c>
      <c r="BD136" s="462">
        <f>IF(AND(AT136&lt;&gt;0,AX136&gt;=MAXSSDI),SSDI*MAXSSDI*P136,IF(AT136&lt;&gt;0,SSDI*W136,0))</f>
        <v>0</v>
      </c>
      <c r="BE136" s="462">
        <f>IF(AT136&lt;&gt;0,SSHI*W136,0)</f>
        <v>0</v>
      </c>
      <c r="BF136" s="462">
        <f>IF(AND(AT136&lt;&gt;0,AN136&lt;&gt;"NE"),VLOOKUP(AN136,Retirement_Rates,3,FALSE)*W136,0)</f>
        <v>0</v>
      </c>
      <c r="BG136" s="462">
        <f>IF(AND(AT136&lt;&gt;0,AJ136&lt;&gt;"PF"),Life*W136,0)</f>
        <v>0</v>
      </c>
      <c r="BH136" s="462">
        <f>IF(AND(AT136&lt;&gt;0,AM136="Y"),UI*W136,0)</f>
        <v>0</v>
      </c>
      <c r="BI136" s="462">
        <f>IF(AND(AT136&lt;&gt;0,N136&lt;&gt;"NR"),DHR*W136,0)</f>
        <v>0</v>
      </c>
      <c r="BJ136" s="462">
        <f>IF(AT136&lt;&gt;0,WC*W136,0)</f>
        <v>0</v>
      </c>
      <c r="BK136" s="462">
        <f>IF(OR(AND(AT136&lt;&gt;0,AJ136&lt;&gt;"PF",AN136&lt;&gt;"NE",AG136&lt;&gt;"A"),AND(AL136="E",OR(AT136=1,AT136=3))),Sick*W136,0)</f>
        <v>0</v>
      </c>
      <c r="BL136" s="462">
        <f t="shared" si="39"/>
        <v>0</v>
      </c>
      <c r="BM136" s="462">
        <f t="shared" si="40"/>
        <v>0</v>
      </c>
      <c r="BN136" s="462">
        <f>IF(AND(AT136=1,AK136="E",AU136&gt;=0.75,AW136=1),HealthBY,IF(AND(AT136=1,AK136="E",AU136&gt;=0.75),HealthBY*P136,IF(AND(AT136=1,AK136="E",AU136&gt;=0.5,AW136=1),PTHealthBY,IF(AND(AT136=1,AK136="E",AU136&gt;=0.5),PTHealthBY*P136,0))))</f>
        <v>0</v>
      </c>
      <c r="BO136" s="462">
        <f>IF(AND(AT136=3,AK136="E",AV136&gt;=0.75,AW136=1),HealthBY,IF(AND(AT136=3,AK136="E",AV136&gt;=0.75),HealthBY*P136,IF(AND(AT136=3,AK136="E",AV136&gt;=0.5,AW136=1),PTHealthBY,IF(AND(AT136=3,AK136="E",AV136&gt;=0.5),PTHealthBY*P136,0))))</f>
        <v>0</v>
      </c>
      <c r="BP136" s="462">
        <f>IF(AND(AT136&lt;&gt;0,(AX136+BA136)&gt;=MAXSSDIBY),SSDIBY*MAXSSDIBY*P136,IF(AT136&lt;&gt;0,SSDIBY*W136,0))</f>
        <v>0</v>
      </c>
      <c r="BQ136" s="462">
        <f>IF(AT136&lt;&gt;0,SSHIBY*W136,0)</f>
        <v>0</v>
      </c>
      <c r="BR136" s="462">
        <f>IF(AND(AT136&lt;&gt;0,AN136&lt;&gt;"NE"),VLOOKUP(AN136,Retirement_Rates,4,FALSE)*W136,0)</f>
        <v>0</v>
      </c>
      <c r="BS136" s="462">
        <f>IF(AND(AT136&lt;&gt;0,AJ136&lt;&gt;"PF"),LifeBY*W136,0)</f>
        <v>0</v>
      </c>
      <c r="BT136" s="462">
        <f>IF(AND(AT136&lt;&gt;0,AM136="Y"),UIBY*W136,0)</f>
        <v>0</v>
      </c>
      <c r="BU136" s="462">
        <f>IF(AND(AT136&lt;&gt;0,N136&lt;&gt;"NR"),DHRBY*W136,0)</f>
        <v>0</v>
      </c>
      <c r="BV136" s="462">
        <f>IF(AT136&lt;&gt;0,WCBY*W136,0)</f>
        <v>0</v>
      </c>
      <c r="BW136" s="462">
        <f>IF(OR(AND(AT136&lt;&gt;0,AJ136&lt;&gt;"PF",AN136&lt;&gt;"NE",AG136&lt;&gt;"A"),AND(AL136="E",OR(AT136=1,AT136=3))),SickBY*W136,0)</f>
        <v>0</v>
      </c>
      <c r="BX136" s="462">
        <f t="shared" si="41"/>
        <v>0</v>
      </c>
      <c r="BY136" s="462">
        <f t="shared" si="42"/>
        <v>0</v>
      </c>
      <c r="BZ136" s="462">
        <f t="shared" si="43"/>
        <v>0</v>
      </c>
      <c r="CA136" s="462">
        <f t="shared" si="44"/>
        <v>0</v>
      </c>
      <c r="CB136" s="462">
        <f t="shared" si="45"/>
        <v>0</v>
      </c>
      <c r="CC136" s="462">
        <f>IF(AT136&lt;&gt;0,SSHICHG*Y136,0)</f>
        <v>0</v>
      </c>
      <c r="CD136" s="462">
        <f>IF(AND(AT136&lt;&gt;0,AN136&lt;&gt;"NE"),VLOOKUP(AN136,Retirement_Rates,5,FALSE)*Y136,0)</f>
        <v>0</v>
      </c>
      <c r="CE136" s="462">
        <f>IF(AND(AT136&lt;&gt;0,AJ136&lt;&gt;"PF"),LifeCHG*Y136,0)</f>
        <v>0</v>
      </c>
      <c r="CF136" s="462">
        <f>IF(AND(AT136&lt;&gt;0,AM136="Y"),UICHG*Y136,0)</f>
        <v>0</v>
      </c>
      <c r="CG136" s="462">
        <f>IF(AND(AT136&lt;&gt;0,N136&lt;&gt;"NR"),DHRCHG*Y136,0)</f>
        <v>0</v>
      </c>
      <c r="CH136" s="462">
        <f>IF(AT136&lt;&gt;0,WCCHG*Y136,0)</f>
        <v>0</v>
      </c>
      <c r="CI136" s="462">
        <f>IF(OR(AND(AT136&lt;&gt;0,AJ136&lt;&gt;"PF",AN136&lt;&gt;"NE",AG136&lt;&gt;"A"),AND(AL136="E",OR(AT136=1,AT136=3))),SickCHG*Y136,0)</f>
        <v>0</v>
      </c>
      <c r="CJ136" s="462">
        <f t="shared" si="46"/>
        <v>0</v>
      </c>
      <c r="CK136" s="462" t="str">
        <f t="shared" si="47"/>
        <v/>
      </c>
      <c r="CL136" s="462" t="str">
        <f t="shared" si="48"/>
        <v/>
      </c>
      <c r="CM136" s="462" t="str">
        <f t="shared" si="49"/>
        <v/>
      </c>
      <c r="CN136" s="462" t="str">
        <f t="shared" si="50"/>
        <v>0332-07</v>
      </c>
    </row>
    <row r="137" spans="1:92" ht="15" thickBot="1" x14ac:dyDescent="0.35">
      <c r="A137" s="376" t="s">
        <v>161</v>
      </c>
      <c r="B137" s="376" t="s">
        <v>162</v>
      </c>
      <c r="C137" s="376" t="s">
        <v>454</v>
      </c>
      <c r="D137" s="376" t="s">
        <v>287</v>
      </c>
      <c r="E137" s="376" t="s">
        <v>535</v>
      </c>
      <c r="F137" s="382" t="s">
        <v>565</v>
      </c>
      <c r="G137" s="376" t="s">
        <v>356</v>
      </c>
      <c r="H137" s="378"/>
      <c r="I137" s="378"/>
      <c r="J137" s="376" t="s">
        <v>455</v>
      </c>
      <c r="K137" s="376" t="s">
        <v>290</v>
      </c>
      <c r="L137" s="376" t="s">
        <v>166</v>
      </c>
      <c r="M137" s="376" t="s">
        <v>201</v>
      </c>
      <c r="N137" s="376" t="s">
        <v>291</v>
      </c>
      <c r="O137" s="379">
        <v>0</v>
      </c>
      <c r="P137" s="460">
        <v>0.05</v>
      </c>
      <c r="Q137" s="460">
        <v>0</v>
      </c>
      <c r="R137" s="380">
        <v>0</v>
      </c>
      <c r="S137" s="460">
        <v>0</v>
      </c>
      <c r="T137" s="380">
        <v>0</v>
      </c>
      <c r="U137" s="380">
        <v>0</v>
      </c>
      <c r="V137" s="380">
        <v>0</v>
      </c>
      <c r="W137" s="380">
        <v>0</v>
      </c>
      <c r="X137" s="380">
        <v>0</v>
      </c>
      <c r="Y137" s="380">
        <v>0</v>
      </c>
      <c r="Z137" s="380">
        <v>0</v>
      </c>
      <c r="AA137" s="378"/>
      <c r="AB137" s="376" t="s">
        <v>45</v>
      </c>
      <c r="AC137" s="376" t="s">
        <v>45</v>
      </c>
      <c r="AD137" s="378"/>
      <c r="AE137" s="378"/>
      <c r="AF137" s="378"/>
      <c r="AG137" s="378"/>
      <c r="AH137" s="379">
        <v>0</v>
      </c>
      <c r="AI137" s="379">
        <v>0</v>
      </c>
      <c r="AJ137" s="378"/>
      <c r="AK137" s="378"/>
      <c r="AL137" s="376" t="s">
        <v>180</v>
      </c>
      <c r="AM137" s="378"/>
      <c r="AN137" s="378"/>
      <c r="AO137" s="379">
        <v>0</v>
      </c>
      <c r="AP137" s="460">
        <v>0</v>
      </c>
      <c r="AQ137" s="460">
        <v>0</v>
      </c>
      <c r="AR137" s="459"/>
      <c r="AS137" s="462">
        <f t="shared" si="34"/>
        <v>0</v>
      </c>
      <c r="AT137">
        <f t="shared" si="35"/>
        <v>0</v>
      </c>
      <c r="AU137" s="462" t="str">
        <f>IF(AT137=0,"",IF(AND(AT137=1,M137="F",SUMIF(C2:C698,C137,AS2:AS698)&lt;=1),SUMIF(C2:C698,C137,AS2:AS698),IF(AND(AT137=1,M137="F",SUMIF(C2:C698,C137,AS2:AS698)&gt;1),1,"")))</f>
        <v/>
      </c>
      <c r="AV137" s="462" t="str">
        <f>IF(AT137=0,"",IF(AND(AT137=3,M137="F",SUMIF(C2:C698,C137,AS2:AS698)&lt;=1),SUMIF(C2:C698,C137,AS2:AS698),IF(AND(AT137=3,M137="F",SUMIF(C2:C698,C137,AS2:AS698)&gt;1),1,"")))</f>
        <v/>
      </c>
      <c r="AW137" s="462">
        <f>SUMIF(C2:C698,C137,O2:O698)</f>
        <v>0</v>
      </c>
      <c r="AX137" s="462">
        <f>IF(AND(M137="F",AS137&lt;&gt;0),SUMIF(C2:C698,C137,W2:W698),0)</f>
        <v>0</v>
      </c>
      <c r="AY137" s="462" t="str">
        <f t="shared" si="36"/>
        <v/>
      </c>
      <c r="AZ137" s="462" t="str">
        <f t="shared" si="37"/>
        <v/>
      </c>
      <c r="BA137" s="462">
        <f t="shared" si="38"/>
        <v>0</v>
      </c>
      <c r="BB137" s="462">
        <f>IF(AND(AT137=1,AK137="E",AU137&gt;=0.75,AW137=1),Health,IF(AND(AT137=1,AK137="E",AU137&gt;=0.75),Health*P137,IF(AND(AT137=1,AK137="E",AU137&gt;=0.5,AW137=1),PTHealth,IF(AND(AT137=1,AK137="E",AU137&gt;=0.5),PTHealth*P137,0))))</f>
        <v>0</v>
      </c>
      <c r="BC137" s="462">
        <f>IF(AND(AT137=3,AK137="E",AV137&gt;=0.75,AW137=1),Health,IF(AND(AT137=3,AK137="E",AV137&gt;=0.75),Health*P137,IF(AND(AT137=3,AK137="E",AV137&gt;=0.5,AW137=1),PTHealth,IF(AND(AT137=3,AK137="E",AV137&gt;=0.5),PTHealth*P137,0))))</f>
        <v>0</v>
      </c>
      <c r="BD137" s="462">
        <f>IF(AND(AT137&lt;&gt;0,AX137&gt;=MAXSSDI),SSDI*MAXSSDI*P137,IF(AT137&lt;&gt;0,SSDI*W137,0))</f>
        <v>0</v>
      </c>
      <c r="BE137" s="462">
        <f>IF(AT137&lt;&gt;0,SSHI*W137,0)</f>
        <v>0</v>
      </c>
      <c r="BF137" s="462">
        <f>IF(AND(AT137&lt;&gt;0,AN137&lt;&gt;"NE"),VLOOKUP(AN137,Retirement_Rates,3,FALSE)*W137,0)</f>
        <v>0</v>
      </c>
      <c r="BG137" s="462">
        <f>IF(AND(AT137&lt;&gt;0,AJ137&lt;&gt;"PF"),Life*W137,0)</f>
        <v>0</v>
      </c>
      <c r="BH137" s="462">
        <f>IF(AND(AT137&lt;&gt;0,AM137="Y"),UI*W137,0)</f>
        <v>0</v>
      </c>
      <c r="BI137" s="462">
        <f>IF(AND(AT137&lt;&gt;0,N137&lt;&gt;"NR"),DHR*W137,0)</f>
        <v>0</v>
      </c>
      <c r="BJ137" s="462">
        <f>IF(AT137&lt;&gt;0,WC*W137,0)</f>
        <v>0</v>
      </c>
      <c r="BK137" s="462">
        <f>IF(OR(AND(AT137&lt;&gt;0,AJ137&lt;&gt;"PF",AN137&lt;&gt;"NE",AG137&lt;&gt;"A"),AND(AL137="E",OR(AT137=1,AT137=3))),Sick*W137,0)</f>
        <v>0</v>
      </c>
      <c r="BL137" s="462">
        <f t="shared" si="39"/>
        <v>0</v>
      </c>
      <c r="BM137" s="462">
        <f t="shared" si="40"/>
        <v>0</v>
      </c>
      <c r="BN137" s="462">
        <f>IF(AND(AT137=1,AK137="E",AU137&gt;=0.75,AW137=1),HealthBY,IF(AND(AT137=1,AK137="E",AU137&gt;=0.75),HealthBY*P137,IF(AND(AT137=1,AK137="E",AU137&gt;=0.5,AW137=1),PTHealthBY,IF(AND(AT137=1,AK137="E",AU137&gt;=0.5),PTHealthBY*P137,0))))</f>
        <v>0</v>
      </c>
      <c r="BO137" s="462">
        <f>IF(AND(AT137=3,AK137="E",AV137&gt;=0.75,AW137=1),HealthBY,IF(AND(AT137=3,AK137="E",AV137&gt;=0.75),HealthBY*P137,IF(AND(AT137=3,AK137="E",AV137&gt;=0.5,AW137=1),PTHealthBY,IF(AND(AT137=3,AK137="E",AV137&gt;=0.5),PTHealthBY*P137,0))))</f>
        <v>0</v>
      </c>
      <c r="BP137" s="462">
        <f>IF(AND(AT137&lt;&gt;0,(AX137+BA137)&gt;=MAXSSDIBY),SSDIBY*MAXSSDIBY*P137,IF(AT137&lt;&gt;0,SSDIBY*W137,0))</f>
        <v>0</v>
      </c>
      <c r="BQ137" s="462">
        <f>IF(AT137&lt;&gt;0,SSHIBY*W137,0)</f>
        <v>0</v>
      </c>
      <c r="BR137" s="462">
        <f>IF(AND(AT137&lt;&gt;0,AN137&lt;&gt;"NE"),VLOOKUP(AN137,Retirement_Rates,4,FALSE)*W137,0)</f>
        <v>0</v>
      </c>
      <c r="BS137" s="462">
        <f>IF(AND(AT137&lt;&gt;0,AJ137&lt;&gt;"PF"),LifeBY*W137,0)</f>
        <v>0</v>
      </c>
      <c r="BT137" s="462">
        <f>IF(AND(AT137&lt;&gt;0,AM137="Y"),UIBY*W137,0)</f>
        <v>0</v>
      </c>
      <c r="BU137" s="462">
        <f>IF(AND(AT137&lt;&gt;0,N137&lt;&gt;"NR"),DHRBY*W137,0)</f>
        <v>0</v>
      </c>
      <c r="BV137" s="462">
        <f>IF(AT137&lt;&gt;0,WCBY*W137,0)</f>
        <v>0</v>
      </c>
      <c r="BW137" s="462">
        <f>IF(OR(AND(AT137&lt;&gt;0,AJ137&lt;&gt;"PF",AN137&lt;&gt;"NE",AG137&lt;&gt;"A"),AND(AL137="E",OR(AT137=1,AT137=3))),SickBY*W137,0)</f>
        <v>0</v>
      </c>
      <c r="BX137" s="462">
        <f t="shared" si="41"/>
        <v>0</v>
      </c>
      <c r="BY137" s="462">
        <f t="shared" si="42"/>
        <v>0</v>
      </c>
      <c r="BZ137" s="462">
        <f t="shared" si="43"/>
        <v>0</v>
      </c>
      <c r="CA137" s="462">
        <f t="shared" si="44"/>
        <v>0</v>
      </c>
      <c r="CB137" s="462">
        <f t="shared" si="45"/>
        <v>0</v>
      </c>
      <c r="CC137" s="462">
        <f>IF(AT137&lt;&gt;0,SSHICHG*Y137,0)</f>
        <v>0</v>
      </c>
      <c r="CD137" s="462">
        <f>IF(AND(AT137&lt;&gt;0,AN137&lt;&gt;"NE"),VLOOKUP(AN137,Retirement_Rates,5,FALSE)*Y137,0)</f>
        <v>0</v>
      </c>
      <c r="CE137" s="462">
        <f>IF(AND(AT137&lt;&gt;0,AJ137&lt;&gt;"PF"),LifeCHG*Y137,0)</f>
        <v>0</v>
      </c>
      <c r="CF137" s="462">
        <f>IF(AND(AT137&lt;&gt;0,AM137="Y"),UICHG*Y137,0)</f>
        <v>0</v>
      </c>
      <c r="CG137" s="462">
        <f>IF(AND(AT137&lt;&gt;0,N137&lt;&gt;"NR"),DHRCHG*Y137,0)</f>
        <v>0</v>
      </c>
      <c r="CH137" s="462">
        <f>IF(AT137&lt;&gt;0,WCCHG*Y137,0)</f>
        <v>0</v>
      </c>
      <c r="CI137" s="462">
        <f>IF(OR(AND(AT137&lt;&gt;0,AJ137&lt;&gt;"PF",AN137&lt;&gt;"NE",AG137&lt;&gt;"A"),AND(AL137="E",OR(AT137=1,AT137=3))),SickCHG*Y137,0)</f>
        <v>0</v>
      </c>
      <c r="CJ137" s="462">
        <f t="shared" si="46"/>
        <v>0</v>
      </c>
      <c r="CK137" s="462" t="str">
        <f t="shared" si="47"/>
        <v/>
      </c>
      <c r="CL137" s="462">
        <f t="shared" si="48"/>
        <v>0</v>
      </c>
      <c r="CM137" s="462">
        <f t="shared" si="49"/>
        <v>0</v>
      </c>
      <c r="CN137" s="462" t="str">
        <f t="shared" si="50"/>
        <v>0332-07</v>
      </c>
    </row>
    <row r="138" spans="1:92" ht="15" thickBot="1" x14ac:dyDescent="0.35">
      <c r="A138" s="376" t="s">
        <v>161</v>
      </c>
      <c r="B138" s="376" t="s">
        <v>162</v>
      </c>
      <c r="C138" s="376" t="s">
        <v>596</v>
      </c>
      <c r="D138" s="376" t="s">
        <v>362</v>
      </c>
      <c r="E138" s="376" t="s">
        <v>535</v>
      </c>
      <c r="F138" s="382" t="s">
        <v>565</v>
      </c>
      <c r="G138" s="376" t="s">
        <v>356</v>
      </c>
      <c r="H138" s="378"/>
      <c r="I138" s="378"/>
      <c r="J138" s="376" t="s">
        <v>168</v>
      </c>
      <c r="K138" s="376" t="s">
        <v>363</v>
      </c>
      <c r="L138" s="376" t="s">
        <v>200</v>
      </c>
      <c r="M138" s="376" t="s">
        <v>170</v>
      </c>
      <c r="N138" s="376" t="s">
        <v>202</v>
      </c>
      <c r="O138" s="379">
        <v>1</v>
      </c>
      <c r="P138" s="460">
        <v>1</v>
      </c>
      <c r="Q138" s="460">
        <v>1</v>
      </c>
      <c r="R138" s="380">
        <v>80</v>
      </c>
      <c r="S138" s="460">
        <v>1</v>
      </c>
      <c r="T138" s="380">
        <v>44592</v>
      </c>
      <c r="U138" s="380">
        <v>0</v>
      </c>
      <c r="V138" s="380">
        <v>21318.35</v>
      </c>
      <c r="W138" s="380">
        <v>46800</v>
      </c>
      <c r="X138" s="380">
        <v>22244.1</v>
      </c>
      <c r="Y138" s="380">
        <v>46800</v>
      </c>
      <c r="Z138" s="380">
        <v>22122.42</v>
      </c>
      <c r="AA138" s="376" t="s">
        <v>597</v>
      </c>
      <c r="AB138" s="376" t="s">
        <v>598</v>
      </c>
      <c r="AC138" s="376" t="s">
        <v>599</v>
      </c>
      <c r="AD138" s="376" t="s">
        <v>215</v>
      </c>
      <c r="AE138" s="376" t="s">
        <v>363</v>
      </c>
      <c r="AF138" s="376" t="s">
        <v>210</v>
      </c>
      <c r="AG138" s="376" t="s">
        <v>177</v>
      </c>
      <c r="AH138" s="381">
        <v>22.5</v>
      </c>
      <c r="AI138" s="381">
        <v>10942.5</v>
      </c>
      <c r="AJ138" s="376" t="s">
        <v>178</v>
      </c>
      <c r="AK138" s="376" t="s">
        <v>179</v>
      </c>
      <c r="AL138" s="376" t="s">
        <v>180</v>
      </c>
      <c r="AM138" s="376" t="s">
        <v>181</v>
      </c>
      <c r="AN138" s="376" t="s">
        <v>68</v>
      </c>
      <c r="AO138" s="379">
        <v>80</v>
      </c>
      <c r="AP138" s="460">
        <v>1</v>
      </c>
      <c r="AQ138" s="460">
        <v>1</v>
      </c>
      <c r="AR138" s="458" t="s">
        <v>182</v>
      </c>
      <c r="AS138" s="462">
        <f t="shared" si="34"/>
        <v>1</v>
      </c>
      <c r="AT138">
        <f t="shared" si="35"/>
        <v>1</v>
      </c>
      <c r="AU138" s="462">
        <f>IF(AT138=0,"",IF(AND(AT138=1,M138="F",SUMIF(C2:C698,C138,AS2:AS698)&lt;=1),SUMIF(C2:C698,C138,AS2:AS698),IF(AND(AT138=1,M138="F",SUMIF(C2:C698,C138,AS2:AS698)&gt;1),1,"")))</f>
        <v>1</v>
      </c>
      <c r="AV138" s="462" t="str">
        <f>IF(AT138=0,"",IF(AND(AT138=3,M138="F",SUMIF(C2:C698,C138,AS2:AS698)&lt;=1),SUMIF(C2:C698,C138,AS2:AS698),IF(AND(AT138=3,M138="F",SUMIF(C2:C698,C138,AS2:AS698)&gt;1),1,"")))</f>
        <v/>
      </c>
      <c r="AW138" s="462">
        <f>SUMIF(C2:C698,C138,O2:O698)</f>
        <v>1</v>
      </c>
      <c r="AX138" s="462">
        <f>IF(AND(M138="F",AS138&lt;&gt;0),SUMIF(C2:C698,C138,W2:W698),0)</f>
        <v>46800</v>
      </c>
      <c r="AY138" s="462">
        <f t="shared" si="36"/>
        <v>46800</v>
      </c>
      <c r="AZ138" s="462" t="str">
        <f t="shared" si="37"/>
        <v/>
      </c>
      <c r="BA138" s="462">
        <f t="shared" si="38"/>
        <v>0</v>
      </c>
      <c r="BB138" s="462">
        <f>IF(AND(AT138=1,AK138="E",AU138&gt;=0.75,AW138=1),Health,IF(AND(AT138=1,AK138="E",AU138&gt;=0.75),Health*P138,IF(AND(AT138=1,AK138="E",AU138&gt;=0.5,AW138=1),PTHealth,IF(AND(AT138=1,AK138="E",AU138&gt;=0.5),PTHealth*P138,0))))</f>
        <v>11650</v>
      </c>
      <c r="BC138" s="462">
        <f>IF(AND(AT138=3,AK138="E",AV138&gt;=0.75,AW138=1),Health,IF(AND(AT138=3,AK138="E",AV138&gt;=0.75),Health*P138,IF(AND(AT138=3,AK138="E",AV138&gt;=0.5,AW138=1),PTHealth,IF(AND(AT138=3,AK138="E",AV138&gt;=0.5),PTHealth*P138,0))))</f>
        <v>0</v>
      </c>
      <c r="BD138" s="462">
        <f>IF(AND(AT138&lt;&gt;0,AX138&gt;=MAXSSDI),SSDI*MAXSSDI*P138,IF(AT138&lt;&gt;0,SSDI*W138,0))</f>
        <v>2901.6</v>
      </c>
      <c r="BE138" s="462">
        <f>IF(AT138&lt;&gt;0,SSHI*W138,0)</f>
        <v>678.6</v>
      </c>
      <c r="BF138" s="462">
        <f>IF(AND(AT138&lt;&gt;0,AN138&lt;&gt;"NE"),VLOOKUP(AN138,Retirement_Rates,3,FALSE)*W138,0)</f>
        <v>5587.92</v>
      </c>
      <c r="BG138" s="462">
        <f>IF(AND(AT138&lt;&gt;0,AJ138&lt;&gt;"PF"),Life*W138,0)</f>
        <v>337.428</v>
      </c>
      <c r="BH138" s="462">
        <f>IF(AND(AT138&lt;&gt;0,AM138="Y"),UI*W138,0)</f>
        <v>229.32</v>
      </c>
      <c r="BI138" s="462">
        <f>IF(AND(AT138&lt;&gt;0,N138&lt;&gt;"NR"),DHR*W138,0)</f>
        <v>143.208</v>
      </c>
      <c r="BJ138" s="462">
        <f>IF(AT138&lt;&gt;0,WC*W138,0)</f>
        <v>716.04</v>
      </c>
      <c r="BK138" s="462">
        <f>IF(OR(AND(AT138&lt;&gt;0,AJ138&lt;&gt;"PF",AN138&lt;&gt;"NE",AG138&lt;&gt;"A"),AND(AL138="E",OR(AT138=1,AT138=3))),Sick*W138,0)</f>
        <v>0</v>
      </c>
      <c r="BL138" s="462">
        <f t="shared" si="39"/>
        <v>10594.115999999998</v>
      </c>
      <c r="BM138" s="462">
        <f t="shared" si="40"/>
        <v>0</v>
      </c>
      <c r="BN138" s="462">
        <f>IF(AND(AT138=1,AK138="E",AU138&gt;=0.75,AW138=1),HealthBY,IF(AND(AT138=1,AK138="E",AU138&gt;=0.75),HealthBY*P138,IF(AND(AT138=1,AK138="E",AU138&gt;=0.5,AW138=1),PTHealthBY,IF(AND(AT138=1,AK138="E",AU138&gt;=0.5),PTHealthBY*P138,0))))</f>
        <v>11650</v>
      </c>
      <c r="BO138" s="462">
        <f>IF(AND(AT138=3,AK138="E",AV138&gt;=0.75,AW138=1),HealthBY,IF(AND(AT138=3,AK138="E",AV138&gt;=0.75),HealthBY*P138,IF(AND(AT138=3,AK138="E",AV138&gt;=0.5,AW138=1),PTHealthBY,IF(AND(AT138=3,AK138="E",AV138&gt;=0.5),PTHealthBY*P138,0))))</f>
        <v>0</v>
      </c>
      <c r="BP138" s="462">
        <f>IF(AND(AT138&lt;&gt;0,(AX138+BA138)&gt;=MAXSSDIBY),SSDIBY*MAXSSDIBY*P138,IF(AT138&lt;&gt;0,SSDIBY*W138,0))</f>
        <v>2901.6</v>
      </c>
      <c r="BQ138" s="462">
        <f>IF(AT138&lt;&gt;0,SSHIBY*W138,0)</f>
        <v>678.6</v>
      </c>
      <c r="BR138" s="462">
        <f>IF(AND(AT138&lt;&gt;0,AN138&lt;&gt;"NE"),VLOOKUP(AN138,Retirement_Rates,4,FALSE)*W138,0)</f>
        <v>5587.92</v>
      </c>
      <c r="BS138" s="462">
        <f>IF(AND(AT138&lt;&gt;0,AJ138&lt;&gt;"PF"),LifeBY*W138,0)</f>
        <v>337.428</v>
      </c>
      <c r="BT138" s="462">
        <f>IF(AND(AT138&lt;&gt;0,AM138="Y"),UIBY*W138,0)</f>
        <v>0</v>
      </c>
      <c r="BU138" s="462">
        <f>IF(AND(AT138&lt;&gt;0,N138&lt;&gt;"NR"),DHRBY*W138,0)</f>
        <v>143.208</v>
      </c>
      <c r="BV138" s="462">
        <f>IF(AT138&lt;&gt;0,WCBY*W138,0)</f>
        <v>823.68000000000006</v>
      </c>
      <c r="BW138" s="462">
        <f>IF(OR(AND(AT138&lt;&gt;0,AJ138&lt;&gt;"PF",AN138&lt;&gt;"NE",AG138&lt;&gt;"A"),AND(AL138="E",OR(AT138=1,AT138=3))),SickBY*W138,0)</f>
        <v>0</v>
      </c>
      <c r="BX138" s="462">
        <f t="shared" si="41"/>
        <v>10472.436</v>
      </c>
      <c r="BY138" s="462">
        <f t="shared" si="42"/>
        <v>0</v>
      </c>
      <c r="BZ138" s="462">
        <f t="shared" si="43"/>
        <v>0</v>
      </c>
      <c r="CA138" s="462">
        <f t="shared" si="44"/>
        <v>0</v>
      </c>
      <c r="CB138" s="462">
        <f t="shared" si="45"/>
        <v>0</v>
      </c>
      <c r="CC138" s="462">
        <f>IF(AT138&lt;&gt;0,SSHICHG*Y138,0)</f>
        <v>0</v>
      </c>
      <c r="CD138" s="462">
        <f>IF(AND(AT138&lt;&gt;0,AN138&lt;&gt;"NE"),VLOOKUP(AN138,Retirement_Rates,5,FALSE)*Y138,0)</f>
        <v>0</v>
      </c>
      <c r="CE138" s="462">
        <f>IF(AND(AT138&lt;&gt;0,AJ138&lt;&gt;"PF"),LifeCHG*Y138,0)</f>
        <v>0</v>
      </c>
      <c r="CF138" s="462">
        <f>IF(AND(AT138&lt;&gt;0,AM138="Y"),UICHG*Y138,0)</f>
        <v>-229.32</v>
      </c>
      <c r="CG138" s="462">
        <f>IF(AND(AT138&lt;&gt;0,N138&lt;&gt;"NR"),DHRCHG*Y138,0)</f>
        <v>0</v>
      </c>
      <c r="CH138" s="462">
        <f>IF(AT138&lt;&gt;0,WCCHG*Y138,0)</f>
        <v>107.64000000000009</v>
      </c>
      <c r="CI138" s="462">
        <f>IF(OR(AND(AT138&lt;&gt;0,AJ138&lt;&gt;"PF",AN138&lt;&gt;"NE",AG138&lt;&gt;"A"),AND(AL138="E",OR(AT138=1,AT138=3))),SickCHG*Y138,0)</f>
        <v>0</v>
      </c>
      <c r="CJ138" s="462">
        <f t="shared" si="46"/>
        <v>-121.67999999999991</v>
      </c>
      <c r="CK138" s="462" t="str">
        <f t="shared" si="47"/>
        <v/>
      </c>
      <c r="CL138" s="462" t="str">
        <f t="shared" si="48"/>
        <v/>
      </c>
      <c r="CM138" s="462" t="str">
        <f t="shared" si="49"/>
        <v/>
      </c>
      <c r="CN138" s="462" t="str">
        <f t="shared" si="50"/>
        <v>0332-07</v>
      </c>
    </row>
    <row r="139" spans="1:92" ht="15" thickBot="1" x14ac:dyDescent="0.35">
      <c r="A139" s="376" t="s">
        <v>161</v>
      </c>
      <c r="B139" s="376" t="s">
        <v>162</v>
      </c>
      <c r="C139" s="376" t="s">
        <v>600</v>
      </c>
      <c r="D139" s="376" t="s">
        <v>250</v>
      </c>
      <c r="E139" s="376" t="s">
        <v>535</v>
      </c>
      <c r="F139" s="382" t="s">
        <v>565</v>
      </c>
      <c r="G139" s="376" t="s">
        <v>356</v>
      </c>
      <c r="H139" s="378"/>
      <c r="I139" s="378"/>
      <c r="J139" s="376" t="s">
        <v>168</v>
      </c>
      <c r="K139" s="376" t="s">
        <v>407</v>
      </c>
      <c r="L139" s="376" t="s">
        <v>247</v>
      </c>
      <c r="M139" s="376" t="s">
        <v>170</v>
      </c>
      <c r="N139" s="376" t="s">
        <v>202</v>
      </c>
      <c r="O139" s="379">
        <v>1</v>
      </c>
      <c r="P139" s="460">
        <v>1</v>
      </c>
      <c r="Q139" s="460">
        <v>1</v>
      </c>
      <c r="R139" s="380">
        <v>80</v>
      </c>
      <c r="S139" s="460">
        <v>1</v>
      </c>
      <c r="T139" s="380">
        <v>55659.32</v>
      </c>
      <c r="U139" s="380">
        <v>0</v>
      </c>
      <c r="V139" s="380">
        <v>23537.040000000001</v>
      </c>
      <c r="W139" s="380">
        <v>57720</v>
      </c>
      <c r="X139" s="380">
        <v>24716.05</v>
      </c>
      <c r="Y139" s="380">
        <v>57720</v>
      </c>
      <c r="Z139" s="380">
        <v>24565.99</v>
      </c>
      <c r="AA139" s="376" t="s">
        <v>601</v>
      </c>
      <c r="AB139" s="376" t="s">
        <v>602</v>
      </c>
      <c r="AC139" s="376" t="s">
        <v>603</v>
      </c>
      <c r="AD139" s="376" t="s">
        <v>215</v>
      </c>
      <c r="AE139" s="376" t="s">
        <v>363</v>
      </c>
      <c r="AF139" s="376" t="s">
        <v>210</v>
      </c>
      <c r="AG139" s="376" t="s">
        <v>177</v>
      </c>
      <c r="AH139" s="381">
        <v>27.75</v>
      </c>
      <c r="AI139" s="379">
        <v>5641</v>
      </c>
      <c r="AJ139" s="376" t="s">
        <v>178</v>
      </c>
      <c r="AK139" s="376" t="s">
        <v>179</v>
      </c>
      <c r="AL139" s="376" t="s">
        <v>180</v>
      </c>
      <c r="AM139" s="376" t="s">
        <v>181</v>
      </c>
      <c r="AN139" s="376" t="s">
        <v>68</v>
      </c>
      <c r="AO139" s="379">
        <v>80</v>
      </c>
      <c r="AP139" s="460">
        <v>1</v>
      </c>
      <c r="AQ139" s="460">
        <v>1</v>
      </c>
      <c r="AR139" s="458">
        <v>3</v>
      </c>
      <c r="AS139" s="462">
        <f t="shared" si="34"/>
        <v>1</v>
      </c>
      <c r="AT139">
        <f t="shared" si="35"/>
        <v>1</v>
      </c>
      <c r="AU139" s="462">
        <f>IF(AT139=0,"",IF(AND(AT139=1,M139="F",SUMIF(C2:C698,C139,AS2:AS698)&lt;=1),SUMIF(C2:C698,C139,AS2:AS698),IF(AND(AT139=1,M139="F",SUMIF(C2:C698,C139,AS2:AS698)&gt;1),1,"")))</f>
        <v>1</v>
      </c>
      <c r="AV139" s="462" t="str">
        <f>IF(AT139=0,"",IF(AND(AT139=3,M139="F",SUMIF(C2:C698,C139,AS2:AS698)&lt;=1),SUMIF(C2:C698,C139,AS2:AS698),IF(AND(AT139=3,M139="F",SUMIF(C2:C698,C139,AS2:AS698)&gt;1),1,"")))</f>
        <v/>
      </c>
      <c r="AW139" s="462">
        <f>SUMIF(C2:C698,C139,O2:O698)</f>
        <v>1</v>
      </c>
      <c r="AX139" s="462">
        <f>IF(AND(M139="F",AS139&lt;&gt;0),SUMIF(C2:C698,C139,W2:W698),0)</f>
        <v>57720</v>
      </c>
      <c r="AY139" s="462">
        <f t="shared" si="36"/>
        <v>57720</v>
      </c>
      <c r="AZ139" s="462" t="str">
        <f t="shared" si="37"/>
        <v/>
      </c>
      <c r="BA139" s="462">
        <f t="shared" si="38"/>
        <v>0</v>
      </c>
      <c r="BB139" s="462">
        <f>IF(AND(AT139=1,AK139="E",AU139&gt;=0.75,AW139=1),Health,IF(AND(AT139=1,AK139="E",AU139&gt;=0.75),Health*P139,IF(AND(AT139=1,AK139="E",AU139&gt;=0.5,AW139=1),PTHealth,IF(AND(AT139=1,AK139="E",AU139&gt;=0.5),PTHealth*P139,0))))</f>
        <v>11650</v>
      </c>
      <c r="BC139" s="462">
        <f>IF(AND(AT139=3,AK139="E",AV139&gt;=0.75,AW139=1),Health,IF(AND(AT139=3,AK139="E",AV139&gt;=0.75),Health*P139,IF(AND(AT139=3,AK139="E",AV139&gt;=0.5,AW139=1),PTHealth,IF(AND(AT139=3,AK139="E",AV139&gt;=0.5),PTHealth*P139,0))))</f>
        <v>0</v>
      </c>
      <c r="BD139" s="462">
        <f>IF(AND(AT139&lt;&gt;0,AX139&gt;=MAXSSDI),SSDI*MAXSSDI*P139,IF(AT139&lt;&gt;0,SSDI*W139,0))</f>
        <v>3578.64</v>
      </c>
      <c r="BE139" s="462">
        <f>IF(AT139&lt;&gt;0,SSHI*W139,0)</f>
        <v>836.94</v>
      </c>
      <c r="BF139" s="462">
        <f>IF(AND(AT139&lt;&gt;0,AN139&lt;&gt;"NE"),VLOOKUP(AN139,Retirement_Rates,3,FALSE)*W139,0)</f>
        <v>6891.768</v>
      </c>
      <c r="BG139" s="462">
        <f>IF(AND(AT139&lt;&gt;0,AJ139&lt;&gt;"PF"),Life*W139,0)</f>
        <v>416.16120000000001</v>
      </c>
      <c r="BH139" s="462">
        <f>IF(AND(AT139&lt;&gt;0,AM139="Y"),UI*W139,0)</f>
        <v>282.82799999999997</v>
      </c>
      <c r="BI139" s="462">
        <f>IF(AND(AT139&lt;&gt;0,N139&lt;&gt;"NR"),DHR*W139,0)</f>
        <v>176.6232</v>
      </c>
      <c r="BJ139" s="462">
        <f>IF(AT139&lt;&gt;0,WC*W139,0)</f>
        <v>883.11599999999999</v>
      </c>
      <c r="BK139" s="462">
        <f>IF(OR(AND(AT139&lt;&gt;0,AJ139&lt;&gt;"PF",AN139&lt;&gt;"NE",AG139&lt;&gt;"A"),AND(AL139="E",OR(AT139=1,AT139=3))),Sick*W139,0)</f>
        <v>0</v>
      </c>
      <c r="BL139" s="462">
        <f t="shared" si="39"/>
        <v>13066.0764</v>
      </c>
      <c r="BM139" s="462">
        <f t="shared" si="40"/>
        <v>0</v>
      </c>
      <c r="BN139" s="462">
        <f>IF(AND(AT139=1,AK139="E",AU139&gt;=0.75,AW139=1),HealthBY,IF(AND(AT139=1,AK139="E",AU139&gt;=0.75),HealthBY*P139,IF(AND(AT139=1,AK139="E",AU139&gt;=0.5,AW139=1),PTHealthBY,IF(AND(AT139=1,AK139="E",AU139&gt;=0.5),PTHealthBY*P139,0))))</f>
        <v>11650</v>
      </c>
      <c r="BO139" s="462">
        <f>IF(AND(AT139=3,AK139="E",AV139&gt;=0.75,AW139=1),HealthBY,IF(AND(AT139=3,AK139="E",AV139&gt;=0.75),HealthBY*P139,IF(AND(AT139=3,AK139="E",AV139&gt;=0.5,AW139=1),PTHealthBY,IF(AND(AT139=3,AK139="E",AV139&gt;=0.5),PTHealthBY*P139,0))))</f>
        <v>0</v>
      </c>
      <c r="BP139" s="462">
        <f>IF(AND(AT139&lt;&gt;0,(AX139+BA139)&gt;=MAXSSDIBY),SSDIBY*MAXSSDIBY*P139,IF(AT139&lt;&gt;0,SSDIBY*W139,0))</f>
        <v>3578.64</v>
      </c>
      <c r="BQ139" s="462">
        <f>IF(AT139&lt;&gt;0,SSHIBY*W139,0)</f>
        <v>836.94</v>
      </c>
      <c r="BR139" s="462">
        <f>IF(AND(AT139&lt;&gt;0,AN139&lt;&gt;"NE"),VLOOKUP(AN139,Retirement_Rates,4,FALSE)*W139,0)</f>
        <v>6891.768</v>
      </c>
      <c r="BS139" s="462">
        <f>IF(AND(AT139&lt;&gt;0,AJ139&lt;&gt;"PF"),LifeBY*W139,0)</f>
        <v>416.16120000000001</v>
      </c>
      <c r="BT139" s="462">
        <f>IF(AND(AT139&lt;&gt;0,AM139="Y"),UIBY*W139,0)</f>
        <v>0</v>
      </c>
      <c r="BU139" s="462">
        <f>IF(AND(AT139&lt;&gt;0,N139&lt;&gt;"NR"),DHRBY*W139,0)</f>
        <v>176.6232</v>
      </c>
      <c r="BV139" s="462">
        <f>IF(AT139&lt;&gt;0,WCBY*W139,0)</f>
        <v>1015.8720000000001</v>
      </c>
      <c r="BW139" s="462">
        <f>IF(OR(AND(AT139&lt;&gt;0,AJ139&lt;&gt;"PF",AN139&lt;&gt;"NE",AG139&lt;&gt;"A"),AND(AL139="E",OR(AT139=1,AT139=3))),SickBY*W139,0)</f>
        <v>0</v>
      </c>
      <c r="BX139" s="462">
        <f t="shared" si="41"/>
        <v>12916.0044</v>
      </c>
      <c r="BY139" s="462">
        <f t="shared" si="42"/>
        <v>0</v>
      </c>
      <c r="BZ139" s="462">
        <f t="shared" si="43"/>
        <v>0</v>
      </c>
      <c r="CA139" s="462">
        <f t="shared" si="44"/>
        <v>0</v>
      </c>
      <c r="CB139" s="462">
        <f t="shared" si="45"/>
        <v>0</v>
      </c>
      <c r="CC139" s="462">
        <f>IF(AT139&lt;&gt;0,SSHICHG*Y139,0)</f>
        <v>0</v>
      </c>
      <c r="CD139" s="462">
        <f>IF(AND(AT139&lt;&gt;0,AN139&lt;&gt;"NE"),VLOOKUP(AN139,Retirement_Rates,5,FALSE)*Y139,0)</f>
        <v>0</v>
      </c>
      <c r="CE139" s="462">
        <f>IF(AND(AT139&lt;&gt;0,AJ139&lt;&gt;"PF"),LifeCHG*Y139,0)</f>
        <v>0</v>
      </c>
      <c r="CF139" s="462">
        <f>IF(AND(AT139&lt;&gt;0,AM139="Y"),UICHG*Y139,0)</f>
        <v>-282.82799999999997</v>
      </c>
      <c r="CG139" s="462">
        <f>IF(AND(AT139&lt;&gt;0,N139&lt;&gt;"NR"),DHRCHG*Y139,0)</f>
        <v>0</v>
      </c>
      <c r="CH139" s="462">
        <f>IF(AT139&lt;&gt;0,WCCHG*Y139,0)</f>
        <v>132.75600000000009</v>
      </c>
      <c r="CI139" s="462">
        <f>IF(OR(AND(AT139&lt;&gt;0,AJ139&lt;&gt;"PF",AN139&lt;&gt;"NE",AG139&lt;&gt;"A"),AND(AL139="E",OR(AT139=1,AT139=3))),SickCHG*Y139,0)</f>
        <v>0</v>
      </c>
      <c r="CJ139" s="462">
        <f t="shared" si="46"/>
        <v>-150.07199999999989</v>
      </c>
      <c r="CK139" s="462" t="str">
        <f t="shared" si="47"/>
        <v/>
      </c>
      <c r="CL139" s="462" t="str">
        <f t="shared" si="48"/>
        <v/>
      </c>
      <c r="CM139" s="462" t="str">
        <f t="shared" si="49"/>
        <v/>
      </c>
      <c r="CN139" s="462" t="str">
        <f t="shared" si="50"/>
        <v>0332-07</v>
      </c>
    </row>
    <row r="140" spans="1:92" ht="15" thickBot="1" x14ac:dyDescent="0.35">
      <c r="A140" s="376" t="s">
        <v>161</v>
      </c>
      <c r="B140" s="376" t="s">
        <v>162</v>
      </c>
      <c r="C140" s="376" t="s">
        <v>604</v>
      </c>
      <c r="D140" s="376" t="s">
        <v>250</v>
      </c>
      <c r="E140" s="376" t="s">
        <v>535</v>
      </c>
      <c r="F140" s="382" t="s">
        <v>565</v>
      </c>
      <c r="G140" s="376" t="s">
        <v>356</v>
      </c>
      <c r="H140" s="378"/>
      <c r="I140" s="378"/>
      <c r="J140" s="376" t="s">
        <v>168</v>
      </c>
      <c r="K140" s="376" t="s">
        <v>407</v>
      </c>
      <c r="L140" s="376" t="s">
        <v>247</v>
      </c>
      <c r="M140" s="376" t="s">
        <v>170</v>
      </c>
      <c r="N140" s="376" t="s">
        <v>202</v>
      </c>
      <c r="O140" s="379">
        <v>1</v>
      </c>
      <c r="P140" s="460">
        <v>1</v>
      </c>
      <c r="Q140" s="460">
        <v>1</v>
      </c>
      <c r="R140" s="380">
        <v>80</v>
      </c>
      <c r="S140" s="460">
        <v>1</v>
      </c>
      <c r="T140" s="380">
        <v>51515.68</v>
      </c>
      <c r="U140" s="380">
        <v>0</v>
      </c>
      <c r="V140" s="380">
        <v>20198.96</v>
      </c>
      <c r="W140" s="380">
        <v>56160</v>
      </c>
      <c r="X140" s="380">
        <v>24362.91</v>
      </c>
      <c r="Y140" s="380">
        <v>56160</v>
      </c>
      <c r="Z140" s="380">
        <v>24216.9</v>
      </c>
      <c r="AA140" s="376" t="s">
        <v>605</v>
      </c>
      <c r="AB140" s="376" t="s">
        <v>606</v>
      </c>
      <c r="AC140" s="376" t="s">
        <v>607</v>
      </c>
      <c r="AD140" s="376" t="s">
        <v>179</v>
      </c>
      <c r="AE140" s="376" t="s">
        <v>363</v>
      </c>
      <c r="AF140" s="376" t="s">
        <v>210</v>
      </c>
      <c r="AG140" s="376" t="s">
        <v>177</v>
      </c>
      <c r="AH140" s="379">
        <v>27</v>
      </c>
      <c r="AI140" s="379">
        <v>0</v>
      </c>
      <c r="AJ140" s="376" t="s">
        <v>178</v>
      </c>
      <c r="AK140" s="376" t="s">
        <v>179</v>
      </c>
      <c r="AL140" s="376" t="s">
        <v>180</v>
      </c>
      <c r="AM140" s="376" t="s">
        <v>181</v>
      </c>
      <c r="AN140" s="376" t="s">
        <v>68</v>
      </c>
      <c r="AO140" s="379">
        <v>80</v>
      </c>
      <c r="AP140" s="460">
        <v>1</v>
      </c>
      <c r="AQ140" s="460">
        <v>1</v>
      </c>
      <c r="AR140" s="458">
        <v>3</v>
      </c>
      <c r="AS140" s="462">
        <f t="shared" si="34"/>
        <v>1</v>
      </c>
      <c r="AT140">
        <f t="shared" si="35"/>
        <v>1</v>
      </c>
      <c r="AU140" s="462">
        <f>IF(AT140=0,"",IF(AND(AT140=1,M140="F",SUMIF(C2:C698,C140,AS2:AS698)&lt;=1),SUMIF(C2:C698,C140,AS2:AS698),IF(AND(AT140=1,M140="F",SUMIF(C2:C698,C140,AS2:AS698)&gt;1),1,"")))</f>
        <v>1</v>
      </c>
      <c r="AV140" s="462" t="str">
        <f>IF(AT140=0,"",IF(AND(AT140=3,M140="F",SUMIF(C2:C698,C140,AS2:AS698)&lt;=1),SUMIF(C2:C698,C140,AS2:AS698),IF(AND(AT140=3,M140="F",SUMIF(C2:C698,C140,AS2:AS698)&gt;1),1,"")))</f>
        <v/>
      </c>
      <c r="AW140" s="462">
        <f>SUMIF(C2:C698,C140,O2:O698)</f>
        <v>1</v>
      </c>
      <c r="AX140" s="462">
        <f>IF(AND(M140="F",AS140&lt;&gt;0),SUMIF(C2:C698,C140,W2:W698),0)</f>
        <v>56160</v>
      </c>
      <c r="AY140" s="462">
        <f t="shared" si="36"/>
        <v>56160</v>
      </c>
      <c r="AZ140" s="462" t="str">
        <f t="shared" si="37"/>
        <v/>
      </c>
      <c r="BA140" s="462">
        <f t="shared" si="38"/>
        <v>0</v>
      </c>
      <c r="BB140" s="462">
        <f>IF(AND(AT140=1,AK140="E",AU140&gt;=0.75,AW140=1),Health,IF(AND(AT140=1,AK140="E",AU140&gt;=0.75),Health*P140,IF(AND(AT140=1,AK140="E",AU140&gt;=0.5,AW140=1),PTHealth,IF(AND(AT140=1,AK140="E",AU140&gt;=0.5),PTHealth*P140,0))))</f>
        <v>11650</v>
      </c>
      <c r="BC140" s="462">
        <f>IF(AND(AT140=3,AK140="E",AV140&gt;=0.75,AW140=1),Health,IF(AND(AT140=3,AK140="E",AV140&gt;=0.75),Health*P140,IF(AND(AT140=3,AK140="E",AV140&gt;=0.5,AW140=1),PTHealth,IF(AND(AT140=3,AK140="E",AV140&gt;=0.5),PTHealth*P140,0))))</f>
        <v>0</v>
      </c>
      <c r="BD140" s="462">
        <f>IF(AND(AT140&lt;&gt;0,AX140&gt;=MAXSSDI),SSDI*MAXSSDI*P140,IF(AT140&lt;&gt;0,SSDI*W140,0))</f>
        <v>3481.92</v>
      </c>
      <c r="BE140" s="462">
        <f>IF(AT140&lt;&gt;0,SSHI*W140,0)</f>
        <v>814.32</v>
      </c>
      <c r="BF140" s="462">
        <f>IF(AND(AT140&lt;&gt;0,AN140&lt;&gt;"NE"),VLOOKUP(AN140,Retirement_Rates,3,FALSE)*W140,0)</f>
        <v>6705.5039999999999</v>
      </c>
      <c r="BG140" s="462">
        <f>IF(AND(AT140&lt;&gt;0,AJ140&lt;&gt;"PF"),Life*W140,0)</f>
        <v>404.91360000000003</v>
      </c>
      <c r="BH140" s="462">
        <f>IF(AND(AT140&lt;&gt;0,AM140="Y"),UI*W140,0)</f>
        <v>275.18399999999997</v>
      </c>
      <c r="BI140" s="462">
        <f>IF(AND(AT140&lt;&gt;0,N140&lt;&gt;"NR"),DHR*W140,0)</f>
        <v>171.84959999999998</v>
      </c>
      <c r="BJ140" s="462">
        <f>IF(AT140&lt;&gt;0,WC*W140,0)</f>
        <v>859.24799999999993</v>
      </c>
      <c r="BK140" s="462">
        <f>IF(OR(AND(AT140&lt;&gt;0,AJ140&lt;&gt;"PF",AN140&lt;&gt;"NE",AG140&lt;&gt;"A"),AND(AL140="E",OR(AT140=1,AT140=3))),Sick*W140,0)</f>
        <v>0</v>
      </c>
      <c r="BL140" s="462">
        <f t="shared" si="39"/>
        <v>12712.939199999997</v>
      </c>
      <c r="BM140" s="462">
        <f t="shared" si="40"/>
        <v>0</v>
      </c>
      <c r="BN140" s="462">
        <f>IF(AND(AT140=1,AK140="E",AU140&gt;=0.75,AW140=1),HealthBY,IF(AND(AT140=1,AK140="E",AU140&gt;=0.75),HealthBY*P140,IF(AND(AT140=1,AK140="E",AU140&gt;=0.5,AW140=1),PTHealthBY,IF(AND(AT140=1,AK140="E",AU140&gt;=0.5),PTHealthBY*P140,0))))</f>
        <v>11650</v>
      </c>
      <c r="BO140" s="462">
        <f>IF(AND(AT140=3,AK140="E",AV140&gt;=0.75,AW140=1),HealthBY,IF(AND(AT140=3,AK140="E",AV140&gt;=0.75),HealthBY*P140,IF(AND(AT140=3,AK140="E",AV140&gt;=0.5,AW140=1),PTHealthBY,IF(AND(AT140=3,AK140="E",AV140&gt;=0.5),PTHealthBY*P140,0))))</f>
        <v>0</v>
      </c>
      <c r="BP140" s="462">
        <f>IF(AND(AT140&lt;&gt;0,(AX140+BA140)&gt;=MAXSSDIBY),SSDIBY*MAXSSDIBY*P140,IF(AT140&lt;&gt;0,SSDIBY*W140,0))</f>
        <v>3481.92</v>
      </c>
      <c r="BQ140" s="462">
        <f>IF(AT140&lt;&gt;0,SSHIBY*W140,0)</f>
        <v>814.32</v>
      </c>
      <c r="BR140" s="462">
        <f>IF(AND(AT140&lt;&gt;0,AN140&lt;&gt;"NE"),VLOOKUP(AN140,Retirement_Rates,4,FALSE)*W140,0)</f>
        <v>6705.5039999999999</v>
      </c>
      <c r="BS140" s="462">
        <f>IF(AND(AT140&lt;&gt;0,AJ140&lt;&gt;"PF"),LifeBY*W140,0)</f>
        <v>404.91360000000003</v>
      </c>
      <c r="BT140" s="462">
        <f>IF(AND(AT140&lt;&gt;0,AM140="Y"),UIBY*W140,0)</f>
        <v>0</v>
      </c>
      <c r="BU140" s="462">
        <f>IF(AND(AT140&lt;&gt;0,N140&lt;&gt;"NR"),DHRBY*W140,0)</f>
        <v>171.84959999999998</v>
      </c>
      <c r="BV140" s="462">
        <f>IF(AT140&lt;&gt;0,WCBY*W140,0)</f>
        <v>988.41600000000005</v>
      </c>
      <c r="BW140" s="462">
        <f>IF(OR(AND(AT140&lt;&gt;0,AJ140&lt;&gt;"PF",AN140&lt;&gt;"NE",AG140&lt;&gt;"A"),AND(AL140="E",OR(AT140=1,AT140=3))),SickBY*W140,0)</f>
        <v>0</v>
      </c>
      <c r="BX140" s="462">
        <f t="shared" si="41"/>
        <v>12566.923199999997</v>
      </c>
      <c r="BY140" s="462">
        <f t="shared" si="42"/>
        <v>0</v>
      </c>
      <c r="BZ140" s="462">
        <f t="shared" si="43"/>
        <v>0</v>
      </c>
      <c r="CA140" s="462">
        <f t="shared" si="44"/>
        <v>0</v>
      </c>
      <c r="CB140" s="462">
        <f t="shared" si="45"/>
        <v>0</v>
      </c>
      <c r="CC140" s="462">
        <f>IF(AT140&lt;&gt;0,SSHICHG*Y140,0)</f>
        <v>0</v>
      </c>
      <c r="CD140" s="462">
        <f>IF(AND(AT140&lt;&gt;0,AN140&lt;&gt;"NE"),VLOOKUP(AN140,Retirement_Rates,5,FALSE)*Y140,0)</f>
        <v>0</v>
      </c>
      <c r="CE140" s="462">
        <f>IF(AND(AT140&lt;&gt;0,AJ140&lt;&gt;"PF"),LifeCHG*Y140,0)</f>
        <v>0</v>
      </c>
      <c r="CF140" s="462">
        <f>IF(AND(AT140&lt;&gt;0,AM140="Y"),UICHG*Y140,0)</f>
        <v>-275.18399999999997</v>
      </c>
      <c r="CG140" s="462">
        <f>IF(AND(AT140&lt;&gt;0,N140&lt;&gt;"NR"),DHRCHG*Y140,0)</f>
        <v>0</v>
      </c>
      <c r="CH140" s="462">
        <f>IF(AT140&lt;&gt;0,WCCHG*Y140,0)</f>
        <v>129.16800000000009</v>
      </c>
      <c r="CI140" s="462">
        <f>IF(OR(AND(AT140&lt;&gt;0,AJ140&lt;&gt;"PF",AN140&lt;&gt;"NE",AG140&lt;&gt;"A"),AND(AL140="E",OR(AT140=1,AT140=3))),SickCHG*Y140,0)</f>
        <v>0</v>
      </c>
      <c r="CJ140" s="462">
        <f t="shared" si="46"/>
        <v>-146.01599999999988</v>
      </c>
      <c r="CK140" s="462" t="str">
        <f t="shared" si="47"/>
        <v/>
      </c>
      <c r="CL140" s="462" t="str">
        <f t="shared" si="48"/>
        <v/>
      </c>
      <c r="CM140" s="462" t="str">
        <f t="shared" si="49"/>
        <v/>
      </c>
      <c r="CN140" s="462" t="str">
        <f t="shared" si="50"/>
        <v>0332-07</v>
      </c>
    </row>
    <row r="141" spans="1:92" ht="15" thickBot="1" x14ac:dyDescent="0.35">
      <c r="A141" s="376" t="s">
        <v>161</v>
      </c>
      <c r="B141" s="376" t="s">
        <v>162</v>
      </c>
      <c r="C141" s="376" t="s">
        <v>608</v>
      </c>
      <c r="D141" s="376" t="s">
        <v>362</v>
      </c>
      <c r="E141" s="376" t="s">
        <v>535</v>
      </c>
      <c r="F141" s="382" t="s">
        <v>565</v>
      </c>
      <c r="G141" s="376" t="s">
        <v>356</v>
      </c>
      <c r="H141" s="378"/>
      <c r="I141" s="378"/>
      <c r="J141" s="376" t="s">
        <v>168</v>
      </c>
      <c r="K141" s="376" t="s">
        <v>363</v>
      </c>
      <c r="L141" s="376" t="s">
        <v>200</v>
      </c>
      <c r="M141" s="376" t="s">
        <v>170</v>
      </c>
      <c r="N141" s="376" t="s">
        <v>202</v>
      </c>
      <c r="O141" s="379">
        <v>1</v>
      </c>
      <c r="P141" s="460">
        <v>1</v>
      </c>
      <c r="Q141" s="460">
        <v>1</v>
      </c>
      <c r="R141" s="380">
        <v>80</v>
      </c>
      <c r="S141" s="460">
        <v>1</v>
      </c>
      <c r="T141" s="380">
        <v>44592</v>
      </c>
      <c r="U141" s="380">
        <v>0</v>
      </c>
      <c r="V141" s="380">
        <v>21086.52</v>
      </c>
      <c r="W141" s="380">
        <v>46800</v>
      </c>
      <c r="X141" s="380">
        <v>22244.1</v>
      </c>
      <c r="Y141" s="380">
        <v>46800</v>
      </c>
      <c r="Z141" s="380">
        <v>22122.42</v>
      </c>
      <c r="AA141" s="376" t="s">
        <v>609</v>
      </c>
      <c r="AB141" s="376" t="s">
        <v>610</v>
      </c>
      <c r="AC141" s="376" t="s">
        <v>611</v>
      </c>
      <c r="AD141" s="376" t="s">
        <v>411</v>
      </c>
      <c r="AE141" s="376" t="s">
        <v>363</v>
      </c>
      <c r="AF141" s="376" t="s">
        <v>210</v>
      </c>
      <c r="AG141" s="376" t="s">
        <v>177</v>
      </c>
      <c r="AH141" s="381">
        <v>22.5</v>
      </c>
      <c r="AI141" s="381">
        <v>6800.8</v>
      </c>
      <c r="AJ141" s="376" t="s">
        <v>178</v>
      </c>
      <c r="AK141" s="376" t="s">
        <v>179</v>
      </c>
      <c r="AL141" s="376" t="s">
        <v>180</v>
      </c>
      <c r="AM141" s="376" t="s">
        <v>181</v>
      </c>
      <c r="AN141" s="376" t="s">
        <v>68</v>
      </c>
      <c r="AO141" s="379">
        <v>80</v>
      </c>
      <c r="AP141" s="460">
        <v>1</v>
      </c>
      <c r="AQ141" s="460">
        <v>1</v>
      </c>
      <c r="AR141" s="458" t="s">
        <v>182</v>
      </c>
      <c r="AS141" s="462">
        <f t="shared" si="34"/>
        <v>1</v>
      </c>
      <c r="AT141">
        <f t="shared" si="35"/>
        <v>1</v>
      </c>
      <c r="AU141" s="462">
        <f>IF(AT141=0,"",IF(AND(AT141=1,M141="F",SUMIF(C2:C698,C141,AS2:AS698)&lt;=1),SUMIF(C2:C698,C141,AS2:AS698),IF(AND(AT141=1,M141="F",SUMIF(C2:C698,C141,AS2:AS698)&gt;1),1,"")))</f>
        <v>1</v>
      </c>
      <c r="AV141" s="462" t="str">
        <f>IF(AT141=0,"",IF(AND(AT141=3,M141="F",SUMIF(C2:C698,C141,AS2:AS698)&lt;=1),SUMIF(C2:C698,C141,AS2:AS698),IF(AND(AT141=3,M141="F",SUMIF(C2:C698,C141,AS2:AS698)&gt;1),1,"")))</f>
        <v/>
      </c>
      <c r="AW141" s="462">
        <f>SUMIF(C2:C698,C141,O2:O698)</f>
        <v>1</v>
      </c>
      <c r="AX141" s="462">
        <f>IF(AND(M141="F",AS141&lt;&gt;0),SUMIF(C2:C698,C141,W2:W698),0)</f>
        <v>46800</v>
      </c>
      <c r="AY141" s="462">
        <f t="shared" si="36"/>
        <v>46800</v>
      </c>
      <c r="AZ141" s="462" t="str">
        <f t="shared" si="37"/>
        <v/>
      </c>
      <c r="BA141" s="462">
        <f t="shared" si="38"/>
        <v>0</v>
      </c>
      <c r="BB141" s="462">
        <f>IF(AND(AT141=1,AK141="E",AU141&gt;=0.75,AW141=1),Health,IF(AND(AT141=1,AK141="E",AU141&gt;=0.75),Health*P141,IF(AND(AT141=1,AK141="E",AU141&gt;=0.5,AW141=1),PTHealth,IF(AND(AT141=1,AK141="E",AU141&gt;=0.5),PTHealth*P141,0))))</f>
        <v>11650</v>
      </c>
      <c r="BC141" s="462">
        <f>IF(AND(AT141=3,AK141="E",AV141&gt;=0.75,AW141=1),Health,IF(AND(AT141=3,AK141="E",AV141&gt;=0.75),Health*P141,IF(AND(AT141=3,AK141="E",AV141&gt;=0.5,AW141=1),PTHealth,IF(AND(AT141=3,AK141="E",AV141&gt;=0.5),PTHealth*P141,0))))</f>
        <v>0</v>
      </c>
      <c r="BD141" s="462">
        <f>IF(AND(AT141&lt;&gt;0,AX141&gt;=MAXSSDI),SSDI*MAXSSDI*P141,IF(AT141&lt;&gt;0,SSDI*W141,0))</f>
        <v>2901.6</v>
      </c>
      <c r="BE141" s="462">
        <f>IF(AT141&lt;&gt;0,SSHI*W141,0)</f>
        <v>678.6</v>
      </c>
      <c r="BF141" s="462">
        <f>IF(AND(AT141&lt;&gt;0,AN141&lt;&gt;"NE"),VLOOKUP(AN141,Retirement_Rates,3,FALSE)*W141,0)</f>
        <v>5587.92</v>
      </c>
      <c r="BG141" s="462">
        <f>IF(AND(AT141&lt;&gt;0,AJ141&lt;&gt;"PF"),Life*W141,0)</f>
        <v>337.428</v>
      </c>
      <c r="BH141" s="462">
        <f>IF(AND(AT141&lt;&gt;0,AM141="Y"),UI*W141,0)</f>
        <v>229.32</v>
      </c>
      <c r="BI141" s="462">
        <f>IF(AND(AT141&lt;&gt;0,N141&lt;&gt;"NR"),DHR*W141,0)</f>
        <v>143.208</v>
      </c>
      <c r="BJ141" s="462">
        <f>IF(AT141&lt;&gt;0,WC*W141,0)</f>
        <v>716.04</v>
      </c>
      <c r="BK141" s="462">
        <f>IF(OR(AND(AT141&lt;&gt;0,AJ141&lt;&gt;"PF",AN141&lt;&gt;"NE",AG141&lt;&gt;"A"),AND(AL141="E",OR(AT141=1,AT141=3))),Sick*W141,0)</f>
        <v>0</v>
      </c>
      <c r="BL141" s="462">
        <f t="shared" si="39"/>
        <v>10594.115999999998</v>
      </c>
      <c r="BM141" s="462">
        <f t="shared" si="40"/>
        <v>0</v>
      </c>
      <c r="BN141" s="462">
        <f>IF(AND(AT141=1,AK141="E",AU141&gt;=0.75,AW141=1),HealthBY,IF(AND(AT141=1,AK141="E",AU141&gt;=0.75),HealthBY*P141,IF(AND(AT141=1,AK141="E",AU141&gt;=0.5,AW141=1),PTHealthBY,IF(AND(AT141=1,AK141="E",AU141&gt;=0.5),PTHealthBY*P141,0))))</f>
        <v>11650</v>
      </c>
      <c r="BO141" s="462">
        <f>IF(AND(AT141=3,AK141="E",AV141&gt;=0.75,AW141=1),HealthBY,IF(AND(AT141=3,AK141="E",AV141&gt;=0.75),HealthBY*P141,IF(AND(AT141=3,AK141="E",AV141&gt;=0.5,AW141=1),PTHealthBY,IF(AND(AT141=3,AK141="E",AV141&gt;=0.5),PTHealthBY*P141,0))))</f>
        <v>0</v>
      </c>
      <c r="BP141" s="462">
        <f>IF(AND(AT141&lt;&gt;0,(AX141+BA141)&gt;=MAXSSDIBY),SSDIBY*MAXSSDIBY*P141,IF(AT141&lt;&gt;0,SSDIBY*W141,0))</f>
        <v>2901.6</v>
      </c>
      <c r="BQ141" s="462">
        <f>IF(AT141&lt;&gt;0,SSHIBY*W141,0)</f>
        <v>678.6</v>
      </c>
      <c r="BR141" s="462">
        <f>IF(AND(AT141&lt;&gt;0,AN141&lt;&gt;"NE"),VLOOKUP(AN141,Retirement_Rates,4,FALSE)*W141,0)</f>
        <v>5587.92</v>
      </c>
      <c r="BS141" s="462">
        <f>IF(AND(AT141&lt;&gt;0,AJ141&lt;&gt;"PF"),LifeBY*W141,0)</f>
        <v>337.428</v>
      </c>
      <c r="BT141" s="462">
        <f>IF(AND(AT141&lt;&gt;0,AM141="Y"),UIBY*W141,0)</f>
        <v>0</v>
      </c>
      <c r="BU141" s="462">
        <f>IF(AND(AT141&lt;&gt;0,N141&lt;&gt;"NR"),DHRBY*W141,0)</f>
        <v>143.208</v>
      </c>
      <c r="BV141" s="462">
        <f>IF(AT141&lt;&gt;0,WCBY*W141,0)</f>
        <v>823.68000000000006</v>
      </c>
      <c r="BW141" s="462">
        <f>IF(OR(AND(AT141&lt;&gt;0,AJ141&lt;&gt;"PF",AN141&lt;&gt;"NE",AG141&lt;&gt;"A"),AND(AL141="E",OR(AT141=1,AT141=3))),SickBY*W141,0)</f>
        <v>0</v>
      </c>
      <c r="BX141" s="462">
        <f t="shared" si="41"/>
        <v>10472.436</v>
      </c>
      <c r="BY141" s="462">
        <f t="shared" si="42"/>
        <v>0</v>
      </c>
      <c r="BZ141" s="462">
        <f t="shared" si="43"/>
        <v>0</v>
      </c>
      <c r="CA141" s="462">
        <f t="shared" si="44"/>
        <v>0</v>
      </c>
      <c r="CB141" s="462">
        <f t="shared" si="45"/>
        <v>0</v>
      </c>
      <c r="CC141" s="462">
        <f>IF(AT141&lt;&gt;0,SSHICHG*Y141,0)</f>
        <v>0</v>
      </c>
      <c r="CD141" s="462">
        <f>IF(AND(AT141&lt;&gt;0,AN141&lt;&gt;"NE"),VLOOKUP(AN141,Retirement_Rates,5,FALSE)*Y141,0)</f>
        <v>0</v>
      </c>
      <c r="CE141" s="462">
        <f>IF(AND(AT141&lt;&gt;0,AJ141&lt;&gt;"PF"),LifeCHG*Y141,0)</f>
        <v>0</v>
      </c>
      <c r="CF141" s="462">
        <f>IF(AND(AT141&lt;&gt;0,AM141="Y"),UICHG*Y141,0)</f>
        <v>-229.32</v>
      </c>
      <c r="CG141" s="462">
        <f>IF(AND(AT141&lt;&gt;0,N141&lt;&gt;"NR"),DHRCHG*Y141,0)</f>
        <v>0</v>
      </c>
      <c r="CH141" s="462">
        <f>IF(AT141&lt;&gt;0,WCCHG*Y141,0)</f>
        <v>107.64000000000009</v>
      </c>
      <c r="CI141" s="462">
        <f>IF(OR(AND(AT141&lt;&gt;0,AJ141&lt;&gt;"PF",AN141&lt;&gt;"NE",AG141&lt;&gt;"A"),AND(AL141="E",OR(AT141=1,AT141=3))),SickCHG*Y141,0)</f>
        <v>0</v>
      </c>
      <c r="CJ141" s="462">
        <f t="shared" si="46"/>
        <v>-121.67999999999991</v>
      </c>
      <c r="CK141" s="462" t="str">
        <f t="shared" si="47"/>
        <v/>
      </c>
      <c r="CL141" s="462" t="str">
        <f t="shared" si="48"/>
        <v/>
      </c>
      <c r="CM141" s="462" t="str">
        <f t="shared" si="49"/>
        <v/>
      </c>
      <c r="CN141" s="462" t="str">
        <f t="shared" si="50"/>
        <v>0332-07</v>
      </c>
    </row>
    <row r="142" spans="1:92" ht="15" thickBot="1" x14ac:dyDescent="0.35">
      <c r="A142" s="376" t="s">
        <v>161</v>
      </c>
      <c r="B142" s="376" t="s">
        <v>162</v>
      </c>
      <c r="C142" s="376" t="s">
        <v>406</v>
      </c>
      <c r="D142" s="376" t="s">
        <v>250</v>
      </c>
      <c r="E142" s="376" t="s">
        <v>535</v>
      </c>
      <c r="F142" s="382" t="s">
        <v>565</v>
      </c>
      <c r="G142" s="376" t="s">
        <v>356</v>
      </c>
      <c r="H142" s="378"/>
      <c r="I142" s="378"/>
      <c r="J142" s="376" t="s">
        <v>168</v>
      </c>
      <c r="K142" s="376" t="s">
        <v>407</v>
      </c>
      <c r="L142" s="376" t="s">
        <v>247</v>
      </c>
      <c r="M142" s="376" t="s">
        <v>170</v>
      </c>
      <c r="N142" s="376" t="s">
        <v>202</v>
      </c>
      <c r="O142" s="379">
        <v>1</v>
      </c>
      <c r="P142" s="460">
        <v>0</v>
      </c>
      <c r="Q142" s="460">
        <v>0</v>
      </c>
      <c r="R142" s="380">
        <v>80</v>
      </c>
      <c r="S142" s="460">
        <v>0</v>
      </c>
      <c r="T142" s="380">
        <v>253.52</v>
      </c>
      <c r="U142" s="380">
        <v>0</v>
      </c>
      <c r="V142" s="380">
        <v>98.53</v>
      </c>
      <c r="W142" s="380">
        <v>0</v>
      </c>
      <c r="X142" s="380">
        <v>0</v>
      </c>
      <c r="Y142" s="380">
        <v>0</v>
      </c>
      <c r="Z142" s="380">
        <v>0</v>
      </c>
      <c r="AA142" s="376" t="s">
        <v>408</v>
      </c>
      <c r="AB142" s="376" t="s">
        <v>409</v>
      </c>
      <c r="AC142" s="376" t="s">
        <v>410</v>
      </c>
      <c r="AD142" s="376" t="s">
        <v>411</v>
      </c>
      <c r="AE142" s="376" t="s">
        <v>407</v>
      </c>
      <c r="AF142" s="376" t="s">
        <v>299</v>
      </c>
      <c r="AG142" s="376" t="s">
        <v>177</v>
      </c>
      <c r="AH142" s="379">
        <v>28</v>
      </c>
      <c r="AI142" s="381">
        <v>6915.2</v>
      </c>
      <c r="AJ142" s="376" t="s">
        <v>178</v>
      </c>
      <c r="AK142" s="376" t="s">
        <v>179</v>
      </c>
      <c r="AL142" s="376" t="s">
        <v>180</v>
      </c>
      <c r="AM142" s="376" t="s">
        <v>181</v>
      </c>
      <c r="AN142" s="376" t="s">
        <v>68</v>
      </c>
      <c r="AO142" s="379">
        <v>80</v>
      </c>
      <c r="AP142" s="460">
        <v>1</v>
      </c>
      <c r="AQ142" s="460">
        <v>0</v>
      </c>
      <c r="AR142" s="458" t="s">
        <v>182</v>
      </c>
      <c r="AS142" s="462">
        <f t="shared" si="34"/>
        <v>0</v>
      </c>
      <c r="AT142">
        <f t="shared" si="35"/>
        <v>0</v>
      </c>
      <c r="AU142" s="462" t="str">
        <f>IF(AT142=0,"",IF(AND(AT142=1,M142="F",SUMIF(C2:C698,C142,AS2:AS698)&lt;=1),SUMIF(C2:C698,C142,AS2:AS698),IF(AND(AT142=1,M142="F",SUMIF(C2:C698,C142,AS2:AS698)&gt;1),1,"")))</f>
        <v/>
      </c>
      <c r="AV142" s="462" t="str">
        <f>IF(AT142=0,"",IF(AND(AT142=3,M142="F",SUMIF(C2:C698,C142,AS2:AS698)&lt;=1),SUMIF(C2:C698,C142,AS2:AS698),IF(AND(AT142=3,M142="F",SUMIF(C2:C698,C142,AS2:AS698)&gt;1),1,"")))</f>
        <v/>
      </c>
      <c r="AW142" s="462">
        <f>SUMIF(C2:C698,C142,O2:O698)</f>
        <v>5</v>
      </c>
      <c r="AX142" s="462">
        <f>IF(AND(M142="F",AS142&lt;&gt;0),SUMIF(C2:C698,C142,W2:W698),0)</f>
        <v>0</v>
      </c>
      <c r="AY142" s="462" t="str">
        <f t="shared" si="36"/>
        <v/>
      </c>
      <c r="AZ142" s="462" t="str">
        <f t="shared" si="37"/>
        <v/>
      </c>
      <c r="BA142" s="462">
        <f t="shared" si="38"/>
        <v>0</v>
      </c>
      <c r="BB142" s="462">
        <f>IF(AND(AT142=1,AK142="E",AU142&gt;=0.75,AW142=1),Health,IF(AND(AT142=1,AK142="E",AU142&gt;=0.75),Health*P142,IF(AND(AT142=1,AK142="E",AU142&gt;=0.5,AW142=1),PTHealth,IF(AND(AT142=1,AK142="E",AU142&gt;=0.5),PTHealth*P142,0))))</f>
        <v>0</v>
      </c>
      <c r="BC142" s="462">
        <f>IF(AND(AT142=3,AK142="E",AV142&gt;=0.75,AW142=1),Health,IF(AND(AT142=3,AK142="E",AV142&gt;=0.75),Health*P142,IF(AND(AT142=3,AK142="E",AV142&gt;=0.5,AW142=1),PTHealth,IF(AND(AT142=3,AK142="E",AV142&gt;=0.5),PTHealth*P142,0))))</f>
        <v>0</v>
      </c>
      <c r="BD142" s="462">
        <f>IF(AND(AT142&lt;&gt;0,AX142&gt;=MAXSSDI),SSDI*MAXSSDI*P142,IF(AT142&lt;&gt;0,SSDI*W142,0))</f>
        <v>0</v>
      </c>
      <c r="BE142" s="462">
        <f>IF(AT142&lt;&gt;0,SSHI*W142,0)</f>
        <v>0</v>
      </c>
      <c r="BF142" s="462">
        <f>IF(AND(AT142&lt;&gt;0,AN142&lt;&gt;"NE"),VLOOKUP(AN142,Retirement_Rates,3,FALSE)*W142,0)</f>
        <v>0</v>
      </c>
      <c r="BG142" s="462">
        <f>IF(AND(AT142&lt;&gt;0,AJ142&lt;&gt;"PF"),Life*W142,0)</f>
        <v>0</v>
      </c>
      <c r="BH142" s="462">
        <f>IF(AND(AT142&lt;&gt;0,AM142="Y"),UI*W142,0)</f>
        <v>0</v>
      </c>
      <c r="BI142" s="462">
        <f>IF(AND(AT142&lt;&gt;0,N142&lt;&gt;"NR"),DHR*W142,0)</f>
        <v>0</v>
      </c>
      <c r="BJ142" s="462">
        <f>IF(AT142&lt;&gt;0,WC*W142,0)</f>
        <v>0</v>
      </c>
      <c r="BK142" s="462">
        <f>IF(OR(AND(AT142&lt;&gt;0,AJ142&lt;&gt;"PF",AN142&lt;&gt;"NE",AG142&lt;&gt;"A"),AND(AL142="E",OR(AT142=1,AT142=3))),Sick*W142,0)</f>
        <v>0</v>
      </c>
      <c r="BL142" s="462">
        <f t="shared" si="39"/>
        <v>0</v>
      </c>
      <c r="BM142" s="462">
        <f t="shared" si="40"/>
        <v>0</v>
      </c>
      <c r="BN142" s="462">
        <f>IF(AND(AT142=1,AK142="E",AU142&gt;=0.75,AW142=1),HealthBY,IF(AND(AT142=1,AK142="E",AU142&gt;=0.75),HealthBY*P142,IF(AND(AT142=1,AK142="E",AU142&gt;=0.5,AW142=1),PTHealthBY,IF(AND(AT142=1,AK142="E",AU142&gt;=0.5),PTHealthBY*P142,0))))</f>
        <v>0</v>
      </c>
      <c r="BO142" s="462">
        <f>IF(AND(AT142=3,AK142="E",AV142&gt;=0.75,AW142=1),HealthBY,IF(AND(AT142=3,AK142="E",AV142&gt;=0.75),HealthBY*P142,IF(AND(AT142=3,AK142="E",AV142&gt;=0.5,AW142=1),PTHealthBY,IF(AND(AT142=3,AK142="E",AV142&gt;=0.5),PTHealthBY*P142,0))))</f>
        <v>0</v>
      </c>
      <c r="BP142" s="462">
        <f>IF(AND(AT142&lt;&gt;0,(AX142+BA142)&gt;=MAXSSDIBY),SSDIBY*MAXSSDIBY*P142,IF(AT142&lt;&gt;0,SSDIBY*W142,0))</f>
        <v>0</v>
      </c>
      <c r="BQ142" s="462">
        <f>IF(AT142&lt;&gt;0,SSHIBY*W142,0)</f>
        <v>0</v>
      </c>
      <c r="BR142" s="462">
        <f>IF(AND(AT142&lt;&gt;0,AN142&lt;&gt;"NE"),VLOOKUP(AN142,Retirement_Rates,4,FALSE)*W142,0)</f>
        <v>0</v>
      </c>
      <c r="BS142" s="462">
        <f>IF(AND(AT142&lt;&gt;0,AJ142&lt;&gt;"PF"),LifeBY*W142,0)</f>
        <v>0</v>
      </c>
      <c r="BT142" s="462">
        <f>IF(AND(AT142&lt;&gt;0,AM142="Y"),UIBY*W142,0)</f>
        <v>0</v>
      </c>
      <c r="BU142" s="462">
        <f>IF(AND(AT142&lt;&gt;0,N142&lt;&gt;"NR"),DHRBY*W142,0)</f>
        <v>0</v>
      </c>
      <c r="BV142" s="462">
        <f>IF(AT142&lt;&gt;0,WCBY*W142,0)</f>
        <v>0</v>
      </c>
      <c r="BW142" s="462">
        <f>IF(OR(AND(AT142&lt;&gt;0,AJ142&lt;&gt;"PF",AN142&lt;&gt;"NE",AG142&lt;&gt;"A"),AND(AL142="E",OR(AT142=1,AT142=3))),SickBY*W142,0)</f>
        <v>0</v>
      </c>
      <c r="BX142" s="462">
        <f t="shared" si="41"/>
        <v>0</v>
      </c>
      <c r="BY142" s="462">
        <f t="shared" si="42"/>
        <v>0</v>
      </c>
      <c r="BZ142" s="462">
        <f t="shared" si="43"/>
        <v>0</v>
      </c>
      <c r="CA142" s="462">
        <f t="shared" si="44"/>
        <v>0</v>
      </c>
      <c r="CB142" s="462">
        <f t="shared" si="45"/>
        <v>0</v>
      </c>
      <c r="CC142" s="462">
        <f>IF(AT142&lt;&gt;0,SSHICHG*Y142,0)</f>
        <v>0</v>
      </c>
      <c r="CD142" s="462">
        <f>IF(AND(AT142&lt;&gt;0,AN142&lt;&gt;"NE"),VLOOKUP(AN142,Retirement_Rates,5,FALSE)*Y142,0)</f>
        <v>0</v>
      </c>
      <c r="CE142" s="462">
        <f>IF(AND(AT142&lt;&gt;0,AJ142&lt;&gt;"PF"),LifeCHG*Y142,0)</f>
        <v>0</v>
      </c>
      <c r="CF142" s="462">
        <f>IF(AND(AT142&lt;&gt;0,AM142="Y"),UICHG*Y142,0)</f>
        <v>0</v>
      </c>
      <c r="CG142" s="462">
        <f>IF(AND(AT142&lt;&gt;0,N142&lt;&gt;"NR"),DHRCHG*Y142,0)</f>
        <v>0</v>
      </c>
      <c r="CH142" s="462">
        <f>IF(AT142&lt;&gt;0,WCCHG*Y142,0)</f>
        <v>0</v>
      </c>
      <c r="CI142" s="462">
        <f>IF(OR(AND(AT142&lt;&gt;0,AJ142&lt;&gt;"PF",AN142&lt;&gt;"NE",AG142&lt;&gt;"A"),AND(AL142="E",OR(AT142=1,AT142=3))),SickCHG*Y142,0)</f>
        <v>0</v>
      </c>
      <c r="CJ142" s="462">
        <f t="shared" si="46"/>
        <v>0</v>
      </c>
      <c r="CK142" s="462" t="str">
        <f t="shared" si="47"/>
        <v/>
      </c>
      <c r="CL142" s="462" t="str">
        <f t="shared" si="48"/>
        <v/>
      </c>
      <c r="CM142" s="462" t="str">
        <f t="shared" si="49"/>
        <v/>
      </c>
      <c r="CN142" s="462" t="str">
        <f t="shared" si="50"/>
        <v>0332-07</v>
      </c>
    </row>
    <row r="143" spans="1:92" ht="15" thickBot="1" x14ac:dyDescent="0.35">
      <c r="A143" s="376" t="s">
        <v>161</v>
      </c>
      <c r="B143" s="376" t="s">
        <v>162</v>
      </c>
      <c r="C143" s="376" t="s">
        <v>612</v>
      </c>
      <c r="D143" s="376" t="s">
        <v>613</v>
      </c>
      <c r="E143" s="376" t="s">
        <v>535</v>
      </c>
      <c r="F143" s="382" t="s">
        <v>565</v>
      </c>
      <c r="G143" s="376" t="s">
        <v>356</v>
      </c>
      <c r="H143" s="378"/>
      <c r="I143" s="378"/>
      <c r="J143" s="376" t="s">
        <v>185</v>
      </c>
      <c r="K143" s="376" t="s">
        <v>614</v>
      </c>
      <c r="L143" s="376" t="s">
        <v>247</v>
      </c>
      <c r="M143" s="376" t="s">
        <v>170</v>
      </c>
      <c r="N143" s="376" t="s">
        <v>202</v>
      </c>
      <c r="O143" s="379">
        <v>1</v>
      </c>
      <c r="P143" s="460">
        <v>0.5</v>
      </c>
      <c r="Q143" s="460">
        <v>0.5</v>
      </c>
      <c r="R143" s="380">
        <v>80</v>
      </c>
      <c r="S143" s="460">
        <v>0.5</v>
      </c>
      <c r="T143" s="380">
        <v>29506.59</v>
      </c>
      <c r="U143" s="380">
        <v>0</v>
      </c>
      <c r="V143" s="380">
        <v>12062.18</v>
      </c>
      <c r="W143" s="380">
        <v>30617.599999999999</v>
      </c>
      <c r="X143" s="380">
        <v>12755.89</v>
      </c>
      <c r="Y143" s="380">
        <v>30617.599999999999</v>
      </c>
      <c r="Z143" s="380">
        <v>12676.28</v>
      </c>
      <c r="AA143" s="376" t="s">
        <v>615</v>
      </c>
      <c r="AB143" s="376" t="s">
        <v>616</v>
      </c>
      <c r="AC143" s="376" t="s">
        <v>617</v>
      </c>
      <c r="AD143" s="376" t="s">
        <v>215</v>
      </c>
      <c r="AE143" s="376" t="s">
        <v>614</v>
      </c>
      <c r="AF143" s="376" t="s">
        <v>299</v>
      </c>
      <c r="AG143" s="376" t="s">
        <v>177</v>
      </c>
      <c r="AH143" s="381">
        <v>29.44</v>
      </c>
      <c r="AI143" s="379">
        <v>6400</v>
      </c>
      <c r="AJ143" s="376" t="s">
        <v>178</v>
      </c>
      <c r="AK143" s="376" t="s">
        <v>179</v>
      </c>
      <c r="AL143" s="376" t="s">
        <v>180</v>
      </c>
      <c r="AM143" s="376" t="s">
        <v>181</v>
      </c>
      <c r="AN143" s="376" t="s">
        <v>68</v>
      </c>
      <c r="AO143" s="379">
        <v>80</v>
      </c>
      <c r="AP143" s="460">
        <v>1</v>
      </c>
      <c r="AQ143" s="460">
        <v>0.5</v>
      </c>
      <c r="AR143" s="458" t="s">
        <v>182</v>
      </c>
      <c r="AS143" s="462">
        <f t="shared" si="34"/>
        <v>0.5</v>
      </c>
      <c r="AT143">
        <f t="shared" si="35"/>
        <v>1</v>
      </c>
      <c r="AU143" s="462">
        <f>IF(AT143=0,"",IF(AND(AT143=1,M143="F",SUMIF(C2:C698,C143,AS2:AS698)&lt;=1),SUMIF(C2:C698,C143,AS2:AS698),IF(AND(AT143=1,M143="F",SUMIF(C2:C698,C143,AS2:AS698)&gt;1),1,"")))</f>
        <v>1</v>
      </c>
      <c r="AV143" s="462" t="str">
        <f>IF(AT143=0,"",IF(AND(AT143=3,M143="F",SUMIF(C2:C698,C143,AS2:AS698)&lt;=1),SUMIF(C2:C698,C143,AS2:AS698),IF(AND(AT143=3,M143="F",SUMIF(C2:C698,C143,AS2:AS698)&gt;1),1,"")))</f>
        <v/>
      </c>
      <c r="AW143" s="462">
        <f>SUMIF(C2:C698,C143,O2:O698)</f>
        <v>2</v>
      </c>
      <c r="AX143" s="462">
        <f>IF(AND(M143="F",AS143&lt;&gt;0),SUMIF(C2:C698,C143,W2:W698),0)</f>
        <v>61235.199999999997</v>
      </c>
      <c r="AY143" s="462">
        <f t="shared" si="36"/>
        <v>30617.599999999999</v>
      </c>
      <c r="AZ143" s="462" t="str">
        <f t="shared" si="37"/>
        <v/>
      </c>
      <c r="BA143" s="462">
        <f t="shared" si="38"/>
        <v>0</v>
      </c>
      <c r="BB143" s="462">
        <f>IF(AND(AT143=1,AK143="E",AU143&gt;=0.75,AW143=1),Health,IF(AND(AT143=1,AK143="E",AU143&gt;=0.75),Health*P143,IF(AND(AT143=1,AK143="E",AU143&gt;=0.5,AW143=1),PTHealth,IF(AND(AT143=1,AK143="E",AU143&gt;=0.5),PTHealth*P143,0))))</f>
        <v>5825</v>
      </c>
      <c r="BC143" s="462">
        <f>IF(AND(AT143=3,AK143="E",AV143&gt;=0.75,AW143=1),Health,IF(AND(AT143=3,AK143="E",AV143&gt;=0.75),Health*P143,IF(AND(AT143=3,AK143="E",AV143&gt;=0.5,AW143=1),PTHealth,IF(AND(AT143=3,AK143="E",AV143&gt;=0.5),PTHealth*P143,0))))</f>
        <v>0</v>
      </c>
      <c r="BD143" s="462">
        <f>IF(AND(AT143&lt;&gt;0,AX143&gt;=MAXSSDI),SSDI*MAXSSDI*P143,IF(AT143&lt;&gt;0,SSDI*W143,0))</f>
        <v>1898.2911999999999</v>
      </c>
      <c r="BE143" s="462">
        <f>IF(AT143&lt;&gt;0,SSHI*W143,0)</f>
        <v>443.95519999999999</v>
      </c>
      <c r="BF143" s="462">
        <f>IF(AND(AT143&lt;&gt;0,AN143&lt;&gt;"NE"),VLOOKUP(AN143,Retirement_Rates,3,FALSE)*W143,0)</f>
        <v>3655.7414400000002</v>
      </c>
      <c r="BG143" s="462">
        <f>IF(AND(AT143&lt;&gt;0,AJ143&lt;&gt;"PF"),Life*W143,0)</f>
        <v>220.75289599999999</v>
      </c>
      <c r="BH143" s="462">
        <f>IF(AND(AT143&lt;&gt;0,AM143="Y"),UI*W143,0)</f>
        <v>150.02624</v>
      </c>
      <c r="BI143" s="462">
        <f>IF(AND(AT143&lt;&gt;0,N143&lt;&gt;"NR"),DHR*W143,0)</f>
        <v>93.689855999999992</v>
      </c>
      <c r="BJ143" s="462">
        <f>IF(AT143&lt;&gt;0,WC*W143,0)</f>
        <v>468.44927999999993</v>
      </c>
      <c r="BK143" s="462">
        <f>IF(OR(AND(AT143&lt;&gt;0,AJ143&lt;&gt;"PF",AN143&lt;&gt;"NE",AG143&lt;&gt;"A"),AND(AL143="E",OR(AT143=1,AT143=3))),Sick*W143,0)</f>
        <v>0</v>
      </c>
      <c r="BL143" s="462">
        <f t="shared" si="39"/>
        <v>6930.9061119999997</v>
      </c>
      <c r="BM143" s="462">
        <f t="shared" si="40"/>
        <v>0</v>
      </c>
      <c r="BN143" s="462">
        <f>IF(AND(AT143=1,AK143="E",AU143&gt;=0.75,AW143=1),HealthBY,IF(AND(AT143=1,AK143="E",AU143&gt;=0.75),HealthBY*P143,IF(AND(AT143=1,AK143="E",AU143&gt;=0.5,AW143=1),PTHealthBY,IF(AND(AT143=1,AK143="E",AU143&gt;=0.5),PTHealthBY*P143,0))))</f>
        <v>5825</v>
      </c>
      <c r="BO143" s="462">
        <f>IF(AND(AT143=3,AK143="E",AV143&gt;=0.75,AW143=1),HealthBY,IF(AND(AT143=3,AK143="E",AV143&gt;=0.75),HealthBY*P143,IF(AND(AT143=3,AK143="E",AV143&gt;=0.5,AW143=1),PTHealthBY,IF(AND(AT143=3,AK143="E",AV143&gt;=0.5),PTHealthBY*P143,0))))</f>
        <v>0</v>
      </c>
      <c r="BP143" s="462">
        <f>IF(AND(AT143&lt;&gt;0,(AX143+BA143)&gt;=MAXSSDIBY),SSDIBY*MAXSSDIBY*P143,IF(AT143&lt;&gt;0,SSDIBY*W143,0))</f>
        <v>1898.2911999999999</v>
      </c>
      <c r="BQ143" s="462">
        <f>IF(AT143&lt;&gt;0,SSHIBY*W143,0)</f>
        <v>443.95519999999999</v>
      </c>
      <c r="BR143" s="462">
        <f>IF(AND(AT143&lt;&gt;0,AN143&lt;&gt;"NE"),VLOOKUP(AN143,Retirement_Rates,4,FALSE)*W143,0)</f>
        <v>3655.7414400000002</v>
      </c>
      <c r="BS143" s="462">
        <f>IF(AND(AT143&lt;&gt;0,AJ143&lt;&gt;"PF"),LifeBY*W143,0)</f>
        <v>220.75289599999999</v>
      </c>
      <c r="BT143" s="462">
        <f>IF(AND(AT143&lt;&gt;0,AM143="Y"),UIBY*W143,0)</f>
        <v>0</v>
      </c>
      <c r="BU143" s="462">
        <f>IF(AND(AT143&lt;&gt;0,N143&lt;&gt;"NR"),DHRBY*W143,0)</f>
        <v>93.689855999999992</v>
      </c>
      <c r="BV143" s="462">
        <f>IF(AT143&lt;&gt;0,WCBY*W143,0)</f>
        <v>538.86976000000004</v>
      </c>
      <c r="BW143" s="462">
        <f>IF(OR(AND(AT143&lt;&gt;0,AJ143&lt;&gt;"PF",AN143&lt;&gt;"NE",AG143&lt;&gt;"A"),AND(AL143="E",OR(AT143=1,AT143=3))),SickBY*W143,0)</f>
        <v>0</v>
      </c>
      <c r="BX143" s="462">
        <f t="shared" si="41"/>
        <v>6851.3003520000002</v>
      </c>
      <c r="BY143" s="462">
        <f t="shared" si="42"/>
        <v>0</v>
      </c>
      <c r="BZ143" s="462">
        <f t="shared" si="43"/>
        <v>0</v>
      </c>
      <c r="CA143" s="462">
        <f t="shared" si="44"/>
        <v>0</v>
      </c>
      <c r="CB143" s="462">
        <f t="shared" si="45"/>
        <v>0</v>
      </c>
      <c r="CC143" s="462">
        <f>IF(AT143&lt;&gt;0,SSHICHG*Y143,0)</f>
        <v>0</v>
      </c>
      <c r="CD143" s="462">
        <f>IF(AND(AT143&lt;&gt;0,AN143&lt;&gt;"NE"),VLOOKUP(AN143,Retirement_Rates,5,FALSE)*Y143,0)</f>
        <v>0</v>
      </c>
      <c r="CE143" s="462">
        <f>IF(AND(AT143&lt;&gt;0,AJ143&lt;&gt;"PF"),LifeCHG*Y143,0)</f>
        <v>0</v>
      </c>
      <c r="CF143" s="462">
        <f>IF(AND(AT143&lt;&gt;0,AM143="Y"),UICHG*Y143,0)</f>
        <v>-150.02624</v>
      </c>
      <c r="CG143" s="462">
        <f>IF(AND(AT143&lt;&gt;0,N143&lt;&gt;"NR"),DHRCHG*Y143,0)</f>
        <v>0</v>
      </c>
      <c r="CH143" s="462">
        <f>IF(AT143&lt;&gt;0,WCCHG*Y143,0)</f>
        <v>70.420480000000055</v>
      </c>
      <c r="CI143" s="462">
        <f>IF(OR(AND(AT143&lt;&gt;0,AJ143&lt;&gt;"PF",AN143&lt;&gt;"NE",AG143&lt;&gt;"A"),AND(AL143="E",OR(AT143=1,AT143=3))),SickCHG*Y143,0)</f>
        <v>0</v>
      </c>
      <c r="CJ143" s="462">
        <f t="shared" si="46"/>
        <v>-79.605759999999947</v>
      </c>
      <c r="CK143" s="462" t="str">
        <f t="shared" si="47"/>
        <v/>
      </c>
      <c r="CL143" s="462" t="str">
        <f t="shared" si="48"/>
        <v/>
      </c>
      <c r="CM143" s="462" t="str">
        <f t="shared" si="49"/>
        <v/>
      </c>
      <c r="CN143" s="462" t="str">
        <f t="shared" si="50"/>
        <v>0332-07</v>
      </c>
    </row>
    <row r="144" spans="1:92" ht="15" thickBot="1" x14ac:dyDescent="0.35">
      <c r="A144" s="376" t="s">
        <v>161</v>
      </c>
      <c r="B144" s="376" t="s">
        <v>162</v>
      </c>
      <c r="C144" s="376" t="s">
        <v>618</v>
      </c>
      <c r="D144" s="376" t="s">
        <v>287</v>
      </c>
      <c r="E144" s="376" t="s">
        <v>535</v>
      </c>
      <c r="F144" s="382" t="s">
        <v>565</v>
      </c>
      <c r="G144" s="376" t="s">
        <v>356</v>
      </c>
      <c r="H144" s="378"/>
      <c r="I144" s="378"/>
      <c r="J144" s="376" t="s">
        <v>168</v>
      </c>
      <c r="K144" s="376" t="s">
        <v>290</v>
      </c>
      <c r="L144" s="376" t="s">
        <v>166</v>
      </c>
      <c r="M144" s="376" t="s">
        <v>170</v>
      </c>
      <c r="N144" s="376" t="s">
        <v>291</v>
      </c>
      <c r="O144" s="379">
        <v>0</v>
      </c>
      <c r="P144" s="460">
        <v>1</v>
      </c>
      <c r="Q144" s="460">
        <v>0</v>
      </c>
      <c r="R144" s="380">
        <v>0</v>
      </c>
      <c r="S144" s="460">
        <v>0</v>
      </c>
      <c r="T144" s="380">
        <v>8376</v>
      </c>
      <c r="U144" s="380">
        <v>0</v>
      </c>
      <c r="V144" s="380">
        <v>1154.31</v>
      </c>
      <c r="W144" s="380">
        <v>8376</v>
      </c>
      <c r="X144" s="380">
        <v>1154.31</v>
      </c>
      <c r="Y144" s="380">
        <v>8376</v>
      </c>
      <c r="Z144" s="380">
        <v>1154.31</v>
      </c>
      <c r="AA144" s="378"/>
      <c r="AB144" s="376" t="s">
        <v>45</v>
      </c>
      <c r="AC144" s="376" t="s">
        <v>45</v>
      </c>
      <c r="AD144" s="378"/>
      <c r="AE144" s="378"/>
      <c r="AF144" s="378"/>
      <c r="AG144" s="378"/>
      <c r="AH144" s="379">
        <v>0</v>
      </c>
      <c r="AI144" s="379">
        <v>0</v>
      </c>
      <c r="AJ144" s="378"/>
      <c r="AK144" s="378"/>
      <c r="AL144" s="376" t="s">
        <v>180</v>
      </c>
      <c r="AM144" s="378"/>
      <c r="AN144" s="378"/>
      <c r="AO144" s="379">
        <v>0</v>
      </c>
      <c r="AP144" s="460">
        <v>0</v>
      </c>
      <c r="AQ144" s="460">
        <v>0</v>
      </c>
      <c r="AR144" s="459"/>
      <c r="AS144" s="462">
        <f t="shared" si="34"/>
        <v>0</v>
      </c>
      <c r="AT144">
        <f t="shared" si="35"/>
        <v>0</v>
      </c>
      <c r="AU144" s="462" t="str">
        <f>IF(AT144=0,"",IF(AND(AT144=1,M144="F",SUMIF(C2:C698,C144,AS2:AS698)&lt;=1),SUMIF(C2:C698,C144,AS2:AS698),IF(AND(AT144=1,M144="F",SUMIF(C2:C698,C144,AS2:AS698)&gt;1),1,"")))</f>
        <v/>
      </c>
      <c r="AV144" s="462" t="str">
        <f>IF(AT144=0,"",IF(AND(AT144=3,M144="F",SUMIF(C2:C698,C144,AS2:AS698)&lt;=1),SUMIF(C2:C698,C144,AS2:AS698),IF(AND(AT144=3,M144="F",SUMIF(C2:C698,C144,AS2:AS698)&gt;1),1,"")))</f>
        <v/>
      </c>
      <c r="AW144" s="462">
        <f>SUMIF(C2:C698,C144,O2:O698)</f>
        <v>0</v>
      </c>
      <c r="AX144" s="462">
        <f>IF(AND(M144="F",AS144&lt;&gt;0),SUMIF(C2:C698,C144,W2:W698),0)</f>
        <v>0</v>
      </c>
      <c r="AY144" s="462" t="str">
        <f t="shared" si="36"/>
        <v/>
      </c>
      <c r="AZ144" s="462" t="str">
        <f t="shared" si="37"/>
        <v/>
      </c>
      <c r="BA144" s="462">
        <f t="shared" si="38"/>
        <v>0</v>
      </c>
      <c r="BB144" s="462">
        <f>IF(AND(AT144=1,AK144="E",AU144&gt;=0.75,AW144=1),Health,IF(AND(AT144=1,AK144="E",AU144&gt;=0.75),Health*P144,IF(AND(AT144=1,AK144="E",AU144&gt;=0.5,AW144=1),PTHealth,IF(AND(AT144=1,AK144="E",AU144&gt;=0.5),PTHealth*P144,0))))</f>
        <v>0</v>
      </c>
      <c r="BC144" s="462">
        <f>IF(AND(AT144=3,AK144="E",AV144&gt;=0.75,AW144=1),Health,IF(AND(AT144=3,AK144="E",AV144&gt;=0.75),Health*P144,IF(AND(AT144=3,AK144="E",AV144&gt;=0.5,AW144=1),PTHealth,IF(AND(AT144=3,AK144="E",AV144&gt;=0.5),PTHealth*P144,0))))</f>
        <v>0</v>
      </c>
      <c r="BD144" s="462">
        <f>IF(AND(AT144&lt;&gt;0,AX144&gt;=MAXSSDI),SSDI*MAXSSDI*P144,IF(AT144&lt;&gt;0,SSDI*W144,0))</f>
        <v>0</v>
      </c>
      <c r="BE144" s="462">
        <f>IF(AT144&lt;&gt;0,SSHI*W144,0)</f>
        <v>0</v>
      </c>
      <c r="BF144" s="462">
        <f>IF(AND(AT144&lt;&gt;0,AN144&lt;&gt;"NE"),VLOOKUP(AN144,Retirement_Rates,3,FALSE)*W144,0)</f>
        <v>0</v>
      </c>
      <c r="BG144" s="462">
        <f>IF(AND(AT144&lt;&gt;0,AJ144&lt;&gt;"PF"),Life*W144,0)</f>
        <v>0</v>
      </c>
      <c r="BH144" s="462">
        <f>IF(AND(AT144&lt;&gt;0,AM144="Y"),UI*W144,0)</f>
        <v>0</v>
      </c>
      <c r="BI144" s="462">
        <f>IF(AND(AT144&lt;&gt;0,N144&lt;&gt;"NR"),DHR*W144,0)</f>
        <v>0</v>
      </c>
      <c r="BJ144" s="462">
        <f>IF(AT144&lt;&gt;0,WC*W144,0)</f>
        <v>0</v>
      </c>
      <c r="BK144" s="462">
        <f>IF(OR(AND(AT144&lt;&gt;0,AJ144&lt;&gt;"PF",AN144&lt;&gt;"NE",AG144&lt;&gt;"A"),AND(AL144="E",OR(AT144=1,AT144=3))),Sick*W144,0)</f>
        <v>0</v>
      </c>
      <c r="BL144" s="462">
        <f t="shared" si="39"/>
        <v>0</v>
      </c>
      <c r="BM144" s="462">
        <f t="shared" si="40"/>
        <v>0</v>
      </c>
      <c r="BN144" s="462">
        <f>IF(AND(AT144=1,AK144="E",AU144&gt;=0.75,AW144=1),HealthBY,IF(AND(AT144=1,AK144="E",AU144&gt;=0.75),HealthBY*P144,IF(AND(AT144=1,AK144="E",AU144&gt;=0.5,AW144=1),PTHealthBY,IF(AND(AT144=1,AK144="E",AU144&gt;=0.5),PTHealthBY*P144,0))))</f>
        <v>0</v>
      </c>
      <c r="BO144" s="462">
        <f>IF(AND(AT144=3,AK144="E",AV144&gt;=0.75,AW144=1),HealthBY,IF(AND(AT144=3,AK144="E",AV144&gt;=0.75),HealthBY*P144,IF(AND(AT144=3,AK144="E",AV144&gt;=0.5,AW144=1),PTHealthBY,IF(AND(AT144=3,AK144="E",AV144&gt;=0.5),PTHealthBY*P144,0))))</f>
        <v>0</v>
      </c>
      <c r="BP144" s="462">
        <f>IF(AND(AT144&lt;&gt;0,(AX144+BA144)&gt;=MAXSSDIBY),SSDIBY*MAXSSDIBY*P144,IF(AT144&lt;&gt;0,SSDIBY*W144,0))</f>
        <v>0</v>
      </c>
      <c r="BQ144" s="462">
        <f>IF(AT144&lt;&gt;0,SSHIBY*W144,0)</f>
        <v>0</v>
      </c>
      <c r="BR144" s="462">
        <f>IF(AND(AT144&lt;&gt;0,AN144&lt;&gt;"NE"),VLOOKUP(AN144,Retirement_Rates,4,FALSE)*W144,0)</f>
        <v>0</v>
      </c>
      <c r="BS144" s="462">
        <f>IF(AND(AT144&lt;&gt;0,AJ144&lt;&gt;"PF"),LifeBY*W144,0)</f>
        <v>0</v>
      </c>
      <c r="BT144" s="462">
        <f>IF(AND(AT144&lt;&gt;0,AM144="Y"),UIBY*W144,0)</f>
        <v>0</v>
      </c>
      <c r="BU144" s="462">
        <f>IF(AND(AT144&lt;&gt;0,N144&lt;&gt;"NR"),DHRBY*W144,0)</f>
        <v>0</v>
      </c>
      <c r="BV144" s="462">
        <f>IF(AT144&lt;&gt;0,WCBY*W144,0)</f>
        <v>0</v>
      </c>
      <c r="BW144" s="462">
        <f>IF(OR(AND(AT144&lt;&gt;0,AJ144&lt;&gt;"PF",AN144&lt;&gt;"NE",AG144&lt;&gt;"A"),AND(AL144="E",OR(AT144=1,AT144=3))),SickBY*W144,0)</f>
        <v>0</v>
      </c>
      <c r="BX144" s="462">
        <f t="shared" si="41"/>
        <v>0</v>
      </c>
      <c r="BY144" s="462">
        <f t="shared" si="42"/>
        <v>0</v>
      </c>
      <c r="BZ144" s="462">
        <f t="shared" si="43"/>
        <v>0</v>
      </c>
      <c r="CA144" s="462">
        <f t="shared" si="44"/>
        <v>0</v>
      </c>
      <c r="CB144" s="462">
        <f t="shared" si="45"/>
        <v>0</v>
      </c>
      <c r="CC144" s="462">
        <f>IF(AT144&lt;&gt;0,SSHICHG*Y144,0)</f>
        <v>0</v>
      </c>
      <c r="CD144" s="462">
        <f>IF(AND(AT144&lt;&gt;0,AN144&lt;&gt;"NE"),VLOOKUP(AN144,Retirement_Rates,5,FALSE)*Y144,0)</f>
        <v>0</v>
      </c>
      <c r="CE144" s="462">
        <f>IF(AND(AT144&lt;&gt;0,AJ144&lt;&gt;"PF"),LifeCHG*Y144,0)</f>
        <v>0</v>
      </c>
      <c r="CF144" s="462">
        <f>IF(AND(AT144&lt;&gt;0,AM144="Y"),UICHG*Y144,0)</f>
        <v>0</v>
      </c>
      <c r="CG144" s="462">
        <f>IF(AND(AT144&lt;&gt;0,N144&lt;&gt;"NR"),DHRCHG*Y144,0)</f>
        <v>0</v>
      </c>
      <c r="CH144" s="462">
        <f>IF(AT144&lt;&gt;0,WCCHG*Y144,0)</f>
        <v>0</v>
      </c>
      <c r="CI144" s="462">
        <f>IF(OR(AND(AT144&lt;&gt;0,AJ144&lt;&gt;"PF",AN144&lt;&gt;"NE",AG144&lt;&gt;"A"),AND(AL144="E",OR(AT144=1,AT144=3))),SickCHG*Y144,0)</f>
        <v>0</v>
      </c>
      <c r="CJ144" s="462">
        <f t="shared" si="46"/>
        <v>0</v>
      </c>
      <c r="CK144" s="462" t="str">
        <f t="shared" si="47"/>
        <v/>
      </c>
      <c r="CL144" s="462">
        <f t="shared" si="48"/>
        <v>8376</v>
      </c>
      <c r="CM144" s="462">
        <f t="shared" si="49"/>
        <v>1154.31</v>
      </c>
      <c r="CN144" s="462" t="str">
        <f t="shared" si="50"/>
        <v>0332-07</v>
      </c>
    </row>
    <row r="145" spans="1:92" ht="15" thickBot="1" x14ac:dyDescent="0.35">
      <c r="A145" s="376" t="s">
        <v>161</v>
      </c>
      <c r="B145" s="376" t="s">
        <v>162</v>
      </c>
      <c r="C145" s="376" t="s">
        <v>619</v>
      </c>
      <c r="D145" s="376" t="s">
        <v>362</v>
      </c>
      <c r="E145" s="376" t="s">
        <v>535</v>
      </c>
      <c r="F145" s="382" t="s">
        <v>565</v>
      </c>
      <c r="G145" s="376" t="s">
        <v>356</v>
      </c>
      <c r="H145" s="378"/>
      <c r="I145" s="378"/>
      <c r="J145" s="376" t="s">
        <v>168</v>
      </c>
      <c r="K145" s="376" t="s">
        <v>363</v>
      </c>
      <c r="L145" s="376" t="s">
        <v>200</v>
      </c>
      <c r="M145" s="376" t="s">
        <v>170</v>
      </c>
      <c r="N145" s="376" t="s">
        <v>202</v>
      </c>
      <c r="O145" s="379">
        <v>1</v>
      </c>
      <c r="P145" s="460">
        <v>1</v>
      </c>
      <c r="Q145" s="460">
        <v>1</v>
      </c>
      <c r="R145" s="380">
        <v>80</v>
      </c>
      <c r="S145" s="460">
        <v>1</v>
      </c>
      <c r="T145" s="380">
        <v>44610.43</v>
      </c>
      <c r="U145" s="380">
        <v>0</v>
      </c>
      <c r="V145" s="380">
        <v>21213.97</v>
      </c>
      <c r="W145" s="380">
        <v>46800</v>
      </c>
      <c r="X145" s="380">
        <v>22244.1</v>
      </c>
      <c r="Y145" s="380">
        <v>46800</v>
      </c>
      <c r="Z145" s="380">
        <v>22122.42</v>
      </c>
      <c r="AA145" s="376" t="s">
        <v>620</v>
      </c>
      <c r="AB145" s="376" t="s">
        <v>621</v>
      </c>
      <c r="AC145" s="376" t="s">
        <v>622</v>
      </c>
      <c r="AD145" s="376" t="s">
        <v>224</v>
      </c>
      <c r="AE145" s="376" t="s">
        <v>363</v>
      </c>
      <c r="AF145" s="376" t="s">
        <v>210</v>
      </c>
      <c r="AG145" s="376" t="s">
        <v>177</v>
      </c>
      <c r="AH145" s="381">
        <v>22.5</v>
      </c>
      <c r="AI145" s="381">
        <v>9871.5</v>
      </c>
      <c r="AJ145" s="376" t="s">
        <v>178</v>
      </c>
      <c r="AK145" s="376" t="s">
        <v>179</v>
      </c>
      <c r="AL145" s="376" t="s">
        <v>180</v>
      </c>
      <c r="AM145" s="376" t="s">
        <v>181</v>
      </c>
      <c r="AN145" s="376" t="s">
        <v>68</v>
      </c>
      <c r="AO145" s="379">
        <v>80</v>
      </c>
      <c r="AP145" s="460">
        <v>1</v>
      </c>
      <c r="AQ145" s="460">
        <v>1</v>
      </c>
      <c r="AR145" s="458" t="s">
        <v>182</v>
      </c>
      <c r="AS145" s="462">
        <f t="shared" si="34"/>
        <v>1</v>
      </c>
      <c r="AT145">
        <f t="shared" si="35"/>
        <v>1</v>
      </c>
      <c r="AU145" s="462">
        <f>IF(AT145=0,"",IF(AND(AT145=1,M145="F",SUMIF(C2:C698,C145,AS2:AS698)&lt;=1),SUMIF(C2:C698,C145,AS2:AS698),IF(AND(AT145=1,M145="F",SUMIF(C2:C698,C145,AS2:AS698)&gt;1),1,"")))</f>
        <v>1</v>
      </c>
      <c r="AV145" s="462" t="str">
        <f>IF(AT145=0,"",IF(AND(AT145=3,M145="F",SUMIF(C2:C698,C145,AS2:AS698)&lt;=1),SUMIF(C2:C698,C145,AS2:AS698),IF(AND(AT145=3,M145="F",SUMIF(C2:C698,C145,AS2:AS698)&gt;1),1,"")))</f>
        <v/>
      </c>
      <c r="AW145" s="462">
        <f>SUMIF(C2:C698,C145,O2:O698)</f>
        <v>1</v>
      </c>
      <c r="AX145" s="462">
        <f>IF(AND(M145="F",AS145&lt;&gt;0),SUMIF(C2:C698,C145,W2:W698),0)</f>
        <v>46800</v>
      </c>
      <c r="AY145" s="462">
        <f t="shared" si="36"/>
        <v>46800</v>
      </c>
      <c r="AZ145" s="462" t="str">
        <f t="shared" si="37"/>
        <v/>
      </c>
      <c r="BA145" s="462">
        <f t="shared" si="38"/>
        <v>0</v>
      </c>
      <c r="BB145" s="462">
        <f>IF(AND(AT145=1,AK145="E",AU145&gt;=0.75,AW145=1),Health,IF(AND(AT145=1,AK145="E",AU145&gt;=0.75),Health*P145,IF(AND(AT145=1,AK145="E",AU145&gt;=0.5,AW145=1),PTHealth,IF(AND(AT145=1,AK145="E",AU145&gt;=0.5),PTHealth*P145,0))))</f>
        <v>11650</v>
      </c>
      <c r="BC145" s="462">
        <f>IF(AND(AT145=3,AK145="E",AV145&gt;=0.75,AW145=1),Health,IF(AND(AT145=3,AK145="E",AV145&gt;=0.75),Health*P145,IF(AND(AT145=3,AK145="E",AV145&gt;=0.5,AW145=1),PTHealth,IF(AND(AT145=3,AK145="E",AV145&gt;=0.5),PTHealth*P145,0))))</f>
        <v>0</v>
      </c>
      <c r="BD145" s="462">
        <f>IF(AND(AT145&lt;&gt;0,AX145&gt;=MAXSSDI),SSDI*MAXSSDI*P145,IF(AT145&lt;&gt;0,SSDI*W145,0))</f>
        <v>2901.6</v>
      </c>
      <c r="BE145" s="462">
        <f>IF(AT145&lt;&gt;0,SSHI*W145,0)</f>
        <v>678.6</v>
      </c>
      <c r="BF145" s="462">
        <f>IF(AND(AT145&lt;&gt;0,AN145&lt;&gt;"NE"),VLOOKUP(AN145,Retirement_Rates,3,FALSE)*W145,0)</f>
        <v>5587.92</v>
      </c>
      <c r="BG145" s="462">
        <f>IF(AND(AT145&lt;&gt;0,AJ145&lt;&gt;"PF"),Life*W145,0)</f>
        <v>337.428</v>
      </c>
      <c r="BH145" s="462">
        <f>IF(AND(AT145&lt;&gt;0,AM145="Y"),UI*W145,0)</f>
        <v>229.32</v>
      </c>
      <c r="BI145" s="462">
        <f>IF(AND(AT145&lt;&gt;0,N145&lt;&gt;"NR"),DHR*W145,0)</f>
        <v>143.208</v>
      </c>
      <c r="BJ145" s="462">
        <f>IF(AT145&lt;&gt;0,WC*W145,0)</f>
        <v>716.04</v>
      </c>
      <c r="BK145" s="462">
        <f>IF(OR(AND(AT145&lt;&gt;0,AJ145&lt;&gt;"PF",AN145&lt;&gt;"NE",AG145&lt;&gt;"A"),AND(AL145="E",OR(AT145=1,AT145=3))),Sick*W145,0)</f>
        <v>0</v>
      </c>
      <c r="BL145" s="462">
        <f t="shared" si="39"/>
        <v>10594.115999999998</v>
      </c>
      <c r="BM145" s="462">
        <f t="shared" si="40"/>
        <v>0</v>
      </c>
      <c r="BN145" s="462">
        <f>IF(AND(AT145=1,AK145="E",AU145&gt;=0.75,AW145=1),HealthBY,IF(AND(AT145=1,AK145="E",AU145&gt;=0.75),HealthBY*P145,IF(AND(AT145=1,AK145="E",AU145&gt;=0.5,AW145=1),PTHealthBY,IF(AND(AT145=1,AK145="E",AU145&gt;=0.5),PTHealthBY*P145,0))))</f>
        <v>11650</v>
      </c>
      <c r="BO145" s="462">
        <f>IF(AND(AT145=3,AK145="E",AV145&gt;=0.75,AW145=1),HealthBY,IF(AND(AT145=3,AK145="E",AV145&gt;=0.75),HealthBY*P145,IF(AND(AT145=3,AK145="E",AV145&gt;=0.5,AW145=1),PTHealthBY,IF(AND(AT145=3,AK145="E",AV145&gt;=0.5),PTHealthBY*P145,0))))</f>
        <v>0</v>
      </c>
      <c r="BP145" s="462">
        <f>IF(AND(AT145&lt;&gt;0,(AX145+BA145)&gt;=MAXSSDIBY),SSDIBY*MAXSSDIBY*P145,IF(AT145&lt;&gt;0,SSDIBY*W145,0))</f>
        <v>2901.6</v>
      </c>
      <c r="BQ145" s="462">
        <f>IF(AT145&lt;&gt;0,SSHIBY*W145,0)</f>
        <v>678.6</v>
      </c>
      <c r="BR145" s="462">
        <f>IF(AND(AT145&lt;&gt;0,AN145&lt;&gt;"NE"),VLOOKUP(AN145,Retirement_Rates,4,FALSE)*W145,0)</f>
        <v>5587.92</v>
      </c>
      <c r="BS145" s="462">
        <f>IF(AND(AT145&lt;&gt;0,AJ145&lt;&gt;"PF"),LifeBY*W145,0)</f>
        <v>337.428</v>
      </c>
      <c r="BT145" s="462">
        <f>IF(AND(AT145&lt;&gt;0,AM145="Y"),UIBY*W145,0)</f>
        <v>0</v>
      </c>
      <c r="BU145" s="462">
        <f>IF(AND(AT145&lt;&gt;0,N145&lt;&gt;"NR"),DHRBY*W145,0)</f>
        <v>143.208</v>
      </c>
      <c r="BV145" s="462">
        <f>IF(AT145&lt;&gt;0,WCBY*W145,0)</f>
        <v>823.68000000000006</v>
      </c>
      <c r="BW145" s="462">
        <f>IF(OR(AND(AT145&lt;&gt;0,AJ145&lt;&gt;"PF",AN145&lt;&gt;"NE",AG145&lt;&gt;"A"),AND(AL145="E",OR(AT145=1,AT145=3))),SickBY*W145,0)</f>
        <v>0</v>
      </c>
      <c r="BX145" s="462">
        <f t="shared" si="41"/>
        <v>10472.436</v>
      </c>
      <c r="BY145" s="462">
        <f t="shared" si="42"/>
        <v>0</v>
      </c>
      <c r="BZ145" s="462">
        <f t="shared" si="43"/>
        <v>0</v>
      </c>
      <c r="CA145" s="462">
        <f t="shared" si="44"/>
        <v>0</v>
      </c>
      <c r="CB145" s="462">
        <f t="shared" si="45"/>
        <v>0</v>
      </c>
      <c r="CC145" s="462">
        <f>IF(AT145&lt;&gt;0,SSHICHG*Y145,0)</f>
        <v>0</v>
      </c>
      <c r="CD145" s="462">
        <f>IF(AND(AT145&lt;&gt;0,AN145&lt;&gt;"NE"),VLOOKUP(AN145,Retirement_Rates,5,FALSE)*Y145,0)</f>
        <v>0</v>
      </c>
      <c r="CE145" s="462">
        <f>IF(AND(AT145&lt;&gt;0,AJ145&lt;&gt;"PF"),LifeCHG*Y145,0)</f>
        <v>0</v>
      </c>
      <c r="CF145" s="462">
        <f>IF(AND(AT145&lt;&gt;0,AM145="Y"),UICHG*Y145,0)</f>
        <v>-229.32</v>
      </c>
      <c r="CG145" s="462">
        <f>IF(AND(AT145&lt;&gt;0,N145&lt;&gt;"NR"),DHRCHG*Y145,0)</f>
        <v>0</v>
      </c>
      <c r="CH145" s="462">
        <f>IF(AT145&lt;&gt;0,WCCHG*Y145,0)</f>
        <v>107.64000000000009</v>
      </c>
      <c r="CI145" s="462">
        <f>IF(OR(AND(AT145&lt;&gt;0,AJ145&lt;&gt;"PF",AN145&lt;&gt;"NE",AG145&lt;&gt;"A"),AND(AL145="E",OR(AT145=1,AT145=3))),SickCHG*Y145,0)</f>
        <v>0</v>
      </c>
      <c r="CJ145" s="462">
        <f t="shared" si="46"/>
        <v>-121.67999999999991</v>
      </c>
      <c r="CK145" s="462" t="str">
        <f t="shared" si="47"/>
        <v/>
      </c>
      <c r="CL145" s="462" t="str">
        <f t="shared" si="48"/>
        <v/>
      </c>
      <c r="CM145" s="462" t="str">
        <f t="shared" si="49"/>
        <v/>
      </c>
      <c r="CN145" s="462" t="str">
        <f t="shared" si="50"/>
        <v>0332-07</v>
      </c>
    </row>
    <row r="146" spans="1:92" ht="15" thickBot="1" x14ac:dyDescent="0.35">
      <c r="A146" s="376" t="s">
        <v>161</v>
      </c>
      <c r="B146" s="376" t="s">
        <v>162</v>
      </c>
      <c r="C146" s="376" t="s">
        <v>437</v>
      </c>
      <c r="D146" s="376" t="s">
        <v>362</v>
      </c>
      <c r="E146" s="376" t="s">
        <v>535</v>
      </c>
      <c r="F146" s="382" t="s">
        <v>565</v>
      </c>
      <c r="G146" s="376" t="s">
        <v>356</v>
      </c>
      <c r="H146" s="378"/>
      <c r="I146" s="378"/>
      <c r="J146" s="376" t="s">
        <v>168</v>
      </c>
      <c r="K146" s="376" t="s">
        <v>363</v>
      </c>
      <c r="L146" s="376" t="s">
        <v>200</v>
      </c>
      <c r="M146" s="376" t="s">
        <v>170</v>
      </c>
      <c r="N146" s="376" t="s">
        <v>202</v>
      </c>
      <c r="O146" s="379">
        <v>1</v>
      </c>
      <c r="P146" s="460">
        <v>0</v>
      </c>
      <c r="Q146" s="460">
        <v>0</v>
      </c>
      <c r="R146" s="380">
        <v>80</v>
      </c>
      <c r="S146" s="460">
        <v>0</v>
      </c>
      <c r="T146" s="380">
        <v>364.14</v>
      </c>
      <c r="U146" s="380">
        <v>0</v>
      </c>
      <c r="V146" s="380">
        <v>179.93</v>
      </c>
      <c r="W146" s="380">
        <v>0</v>
      </c>
      <c r="X146" s="380">
        <v>0</v>
      </c>
      <c r="Y146" s="380">
        <v>0</v>
      </c>
      <c r="Z146" s="380">
        <v>0</v>
      </c>
      <c r="AA146" s="376" t="s">
        <v>438</v>
      </c>
      <c r="AB146" s="376" t="s">
        <v>439</v>
      </c>
      <c r="AC146" s="376" t="s">
        <v>440</v>
      </c>
      <c r="AD146" s="376" t="s">
        <v>224</v>
      </c>
      <c r="AE146" s="376" t="s">
        <v>363</v>
      </c>
      <c r="AF146" s="376" t="s">
        <v>210</v>
      </c>
      <c r="AG146" s="376" t="s">
        <v>177</v>
      </c>
      <c r="AH146" s="381">
        <v>22.5</v>
      </c>
      <c r="AI146" s="379">
        <v>9840</v>
      </c>
      <c r="AJ146" s="376" t="s">
        <v>178</v>
      </c>
      <c r="AK146" s="376" t="s">
        <v>179</v>
      </c>
      <c r="AL146" s="376" t="s">
        <v>180</v>
      </c>
      <c r="AM146" s="376" t="s">
        <v>181</v>
      </c>
      <c r="AN146" s="376" t="s">
        <v>68</v>
      </c>
      <c r="AO146" s="379">
        <v>80</v>
      </c>
      <c r="AP146" s="460">
        <v>1</v>
      </c>
      <c r="AQ146" s="460">
        <v>0</v>
      </c>
      <c r="AR146" s="458" t="s">
        <v>182</v>
      </c>
      <c r="AS146" s="462">
        <f t="shared" si="34"/>
        <v>0</v>
      </c>
      <c r="AT146">
        <f t="shared" si="35"/>
        <v>0</v>
      </c>
      <c r="AU146" s="462" t="str">
        <f>IF(AT146=0,"",IF(AND(AT146=1,M146="F",SUMIF(C2:C698,C146,AS2:AS698)&lt;=1),SUMIF(C2:C698,C146,AS2:AS698),IF(AND(AT146=1,M146="F",SUMIF(C2:C698,C146,AS2:AS698)&gt;1),1,"")))</f>
        <v/>
      </c>
      <c r="AV146" s="462" t="str">
        <f>IF(AT146=0,"",IF(AND(AT146=3,M146="F",SUMIF(C2:C698,C146,AS2:AS698)&lt;=1),SUMIF(C2:C698,C146,AS2:AS698),IF(AND(AT146=3,M146="F",SUMIF(C2:C698,C146,AS2:AS698)&gt;1),1,"")))</f>
        <v/>
      </c>
      <c r="AW146" s="462">
        <f>SUMIF(C2:C698,C146,O2:O698)</f>
        <v>2</v>
      </c>
      <c r="AX146" s="462">
        <f>IF(AND(M146="F",AS146&lt;&gt;0),SUMIF(C2:C698,C146,W2:W698),0)</f>
        <v>0</v>
      </c>
      <c r="AY146" s="462" t="str">
        <f t="shared" si="36"/>
        <v/>
      </c>
      <c r="AZ146" s="462" t="str">
        <f t="shared" si="37"/>
        <v/>
      </c>
      <c r="BA146" s="462">
        <f t="shared" si="38"/>
        <v>0</v>
      </c>
      <c r="BB146" s="462">
        <f>IF(AND(AT146=1,AK146="E",AU146&gt;=0.75,AW146=1),Health,IF(AND(AT146=1,AK146="E",AU146&gt;=0.75),Health*P146,IF(AND(AT146=1,AK146="E",AU146&gt;=0.5,AW146=1),PTHealth,IF(AND(AT146=1,AK146="E",AU146&gt;=0.5),PTHealth*P146,0))))</f>
        <v>0</v>
      </c>
      <c r="BC146" s="462">
        <f>IF(AND(AT146=3,AK146="E",AV146&gt;=0.75,AW146=1),Health,IF(AND(AT146=3,AK146="E",AV146&gt;=0.75),Health*P146,IF(AND(AT146=3,AK146="E",AV146&gt;=0.5,AW146=1),PTHealth,IF(AND(AT146=3,AK146="E",AV146&gt;=0.5),PTHealth*P146,0))))</f>
        <v>0</v>
      </c>
      <c r="BD146" s="462">
        <f>IF(AND(AT146&lt;&gt;0,AX146&gt;=MAXSSDI),SSDI*MAXSSDI*P146,IF(AT146&lt;&gt;0,SSDI*W146,0))</f>
        <v>0</v>
      </c>
      <c r="BE146" s="462">
        <f>IF(AT146&lt;&gt;0,SSHI*W146,0)</f>
        <v>0</v>
      </c>
      <c r="BF146" s="462">
        <f>IF(AND(AT146&lt;&gt;0,AN146&lt;&gt;"NE"),VLOOKUP(AN146,Retirement_Rates,3,FALSE)*W146,0)</f>
        <v>0</v>
      </c>
      <c r="BG146" s="462">
        <f>IF(AND(AT146&lt;&gt;0,AJ146&lt;&gt;"PF"),Life*W146,0)</f>
        <v>0</v>
      </c>
      <c r="BH146" s="462">
        <f>IF(AND(AT146&lt;&gt;0,AM146="Y"),UI*W146,0)</f>
        <v>0</v>
      </c>
      <c r="BI146" s="462">
        <f>IF(AND(AT146&lt;&gt;0,N146&lt;&gt;"NR"),DHR*W146,0)</f>
        <v>0</v>
      </c>
      <c r="BJ146" s="462">
        <f>IF(AT146&lt;&gt;0,WC*W146,0)</f>
        <v>0</v>
      </c>
      <c r="BK146" s="462">
        <f>IF(OR(AND(AT146&lt;&gt;0,AJ146&lt;&gt;"PF",AN146&lt;&gt;"NE",AG146&lt;&gt;"A"),AND(AL146="E",OR(AT146=1,AT146=3))),Sick*W146,0)</f>
        <v>0</v>
      </c>
      <c r="BL146" s="462">
        <f t="shared" si="39"/>
        <v>0</v>
      </c>
      <c r="BM146" s="462">
        <f t="shared" si="40"/>
        <v>0</v>
      </c>
      <c r="BN146" s="462">
        <f>IF(AND(AT146=1,AK146="E",AU146&gt;=0.75,AW146=1),HealthBY,IF(AND(AT146=1,AK146="E",AU146&gt;=0.75),HealthBY*P146,IF(AND(AT146=1,AK146="E",AU146&gt;=0.5,AW146=1),PTHealthBY,IF(AND(AT146=1,AK146="E",AU146&gt;=0.5),PTHealthBY*P146,0))))</f>
        <v>0</v>
      </c>
      <c r="BO146" s="462">
        <f>IF(AND(AT146=3,AK146="E",AV146&gt;=0.75,AW146=1),HealthBY,IF(AND(AT146=3,AK146="E",AV146&gt;=0.75),HealthBY*P146,IF(AND(AT146=3,AK146="E",AV146&gt;=0.5,AW146=1),PTHealthBY,IF(AND(AT146=3,AK146="E",AV146&gt;=0.5),PTHealthBY*P146,0))))</f>
        <v>0</v>
      </c>
      <c r="BP146" s="462">
        <f>IF(AND(AT146&lt;&gt;0,(AX146+BA146)&gt;=MAXSSDIBY),SSDIBY*MAXSSDIBY*P146,IF(AT146&lt;&gt;0,SSDIBY*W146,0))</f>
        <v>0</v>
      </c>
      <c r="BQ146" s="462">
        <f>IF(AT146&lt;&gt;0,SSHIBY*W146,0)</f>
        <v>0</v>
      </c>
      <c r="BR146" s="462">
        <f>IF(AND(AT146&lt;&gt;0,AN146&lt;&gt;"NE"),VLOOKUP(AN146,Retirement_Rates,4,FALSE)*W146,0)</f>
        <v>0</v>
      </c>
      <c r="BS146" s="462">
        <f>IF(AND(AT146&lt;&gt;0,AJ146&lt;&gt;"PF"),LifeBY*W146,0)</f>
        <v>0</v>
      </c>
      <c r="BT146" s="462">
        <f>IF(AND(AT146&lt;&gt;0,AM146="Y"),UIBY*W146,0)</f>
        <v>0</v>
      </c>
      <c r="BU146" s="462">
        <f>IF(AND(AT146&lt;&gt;0,N146&lt;&gt;"NR"),DHRBY*W146,0)</f>
        <v>0</v>
      </c>
      <c r="BV146" s="462">
        <f>IF(AT146&lt;&gt;0,WCBY*W146,0)</f>
        <v>0</v>
      </c>
      <c r="BW146" s="462">
        <f>IF(OR(AND(AT146&lt;&gt;0,AJ146&lt;&gt;"PF",AN146&lt;&gt;"NE",AG146&lt;&gt;"A"),AND(AL146="E",OR(AT146=1,AT146=3))),SickBY*W146,0)</f>
        <v>0</v>
      </c>
      <c r="BX146" s="462">
        <f t="shared" si="41"/>
        <v>0</v>
      </c>
      <c r="BY146" s="462">
        <f t="shared" si="42"/>
        <v>0</v>
      </c>
      <c r="BZ146" s="462">
        <f t="shared" si="43"/>
        <v>0</v>
      </c>
      <c r="CA146" s="462">
        <f t="shared" si="44"/>
        <v>0</v>
      </c>
      <c r="CB146" s="462">
        <f t="shared" si="45"/>
        <v>0</v>
      </c>
      <c r="CC146" s="462">
        <f>IF(AT146&lt;&gt;0,SSHICHG*Y146,0)</f>
        <v>0</v>
      </c>
      <c r="CD146" s="462">
        <f>IF(AND(AT146&lt;&gt;0,AN146&lt;&gt;"NE"),VLOOKUP(AN146,Retirement_Rates,5,FALSE)*Y146,0)</f>
        <v>0</v>
      </c>
      <c r="CE146" s="462">
        <f>IF(AND(AT146&lt;&gt;0,AJ146&lt;&gt;"PF"),LifeCHG*Y146,0)</f>
        <v>0</v>
      </c>
      <c r="CF146" s="462">
        <f>IF(AND(AT146&lt;&gt;0,AM146="Y"),UICHG*Y146,0)</f>
        <v>0</v>
      </c>
      <c r="CG146" s="462">
        <f>IF(AND(AT146&lt;&gt;0,N146&lt;&gt;"NR"),DHRCHG*Y146,0)</f>
        <v>0</v>
      </c>
      <c r="CH146" s="462">
        <f>IF(AT146&lt;&gt;0,WCCHG*Y146,0)</f>
        <v>0</v>
      </c>
      <c r="CI146" s="462">
        <f>IF(OR(AND(AT146&lt;&gt;0,AJ146&lt;&gt;"PF",AN146&lt;&gt;"NE",AG146&lt;&gt;"A"),AND(AL146="E",OR(AT146=1,AT146=3))),SickCHG*Y146,0)</f>
        <v>0</v>
      </c>
      <c r="CJ146" s="462">
        <f t="shared" si="46"/>
        <v>0</v>
      </c>
      <c r="CK146" s="462" t="str">
        <f t="shared" si="47"/>
        <v/>
      </c>
      <c r="CL146" s="462" t="str">
        <f t="shared" si="48"/>
        <v/>
      </c>
      <c r="CM146" s="462" t="str">
        <f t="shared" si="49"/>
        <v/>
      </c>
      <c r="CN146" s="462" t="str">
        <f t="shared" si="50"/>
        <v>0332-07</v>
      </c>
    </row>
    <row r="147" spans="1:92" ht="15" thickBot="1" x14ac:dyDescent="0.35">
      <c r="A147" s="376" t="s">
        <v>161</v>
      </c>
      <c r="B147" s="376" t="s">
        <v>162</v>
      </c>
      <c r="C147" s="376" t="s">
        <v>441</v>
      </c>
      <c r="D147" s="376" t="s">
        <v>362</v>
      </c>
      <c r="E147" s="376" t="s">
        <v>535</v>
      </c>
      <c r="F147" s="382" t="s">
        <v>565</v>
      </c>
      <c r="G147" s="376" t="s">
        <v>356</v>
      </c>
      <c r="H147" s="378"/>
      <c r="I147" s="378"/>
      <c r="J147" s="376" t="s">
        <v>185</v>
      </c>
      <c r="K147" s="376" t="s">
        <v>363</v>
      </c>
      <c r="L147" s="376" t="s">
        <v>200</v>
      </c>
      <c r="M147" s="376" t="s">
        <v>170</v>
      </c>
      <c r="N147" s="376" t="s">
        <v>202</v>
      </c>
      <c r="O147" s="379">
        <v>1</v>
      </c>
      <c r="P147" s="460">
        <v>0.5</v>
      </c>
      <c r="Q147" s="460">
        <v>0.5</v>
      </c>
      <c r="R147" s="380">
        <v>80</v>
      </c>
      <c r="S147" s="460">
        <v>0.5</v>
      </c>
      <c r="T147" s="380">
        <v>33869.919999999998</v>
      </c>
      <c r="U147" s="380">
        <v>0</v>
      </c>
      <c r="V147" s="380">
        <v>16256.71</v>
      </c>
      <c r="W147" s="380">
        <v>23400</v>
      </c>
      <c r="X147" s="380">
        <v>11122.05</v>
      </c>
      <c r="Y147" s="380">
        <v>23400</v>
      </c>
      <c r="Z147" s="380">
        <v>11061.21</v>
      </c>
      <c r="AA147" s="376" t="s">
        <v>442</v>
      </c>
      <c r="AB147" s="376" t="s">
        <v>443</v>
      </c>
      <c r="AC147" s="376" t="s">
        <v>444</v>
      </c>
      <c r="AD147" s="376" t="s">
        <v>445</v>
      </c>
      <c r="AE147" s="376" t="s">
        <v>363</v>
      </c>
      <c r="AF147" s="376" t="s">
        <v>210</v>
      </c>
      <c r="AG147" s="376" t="s">
        <v>177</v>
      </c>
      <c r="AH147" s="381">
        <v>22.5</v>
      </c>
      <c r="AI147" s="379">
        <v>11400</v>
      </c>
      <c r="AJ147" s="376" t="s">
        <v>178</v>
      </c>
      <c r="AK147" s="376" t="s">
        <v>179</v>
      </c>
      <c r="AL147" s="376" t="s">
        <v>180</v>
      </c>
      <c r="AM147" s="376" t="s">
        <v>181</v>
      </c>
      <c r="AN147" s="376" t="s">
        <v>68</v>
      </c>
      <c r="AO147" s="379">
        <v>80</v>
      </c>
      <c r="AP147" s="460">
        <v>1</v>
      </c>
      <c r="AQ147" s="460">
        <v>0.5</v>
      </c>
      <c r="AR147" s="458" t="s">
        <v>182</v>
      </c>
      <c r="AS147" s="462">
        <f t="shared" si="34"/>
        <v>0.5</v>
      </c>
      <c r="AT147">
        <f t="shared" si="35"/>
        <v>1</v>
      </c>
      <c r="AU147" s="462">
        <f>IF(AT147=0,"",IF(AND(AT147=1,M147="F",SUMIF(C2:C698,C147,AS2:AS698)&lt;=1),SUMIF(C2:C698,C147,AS2:AS698),IF(AND(AT147=1,M147="F",SUMIF(C2:C698,C147,AS2:AS698)&gt;1),1,"")))</f>
        <v>1</v>
      </c>
      <c r="AV147" s="462" t="str">
        <f>IF(AT147=0,"",IF(AND(AT147=3,M147="F",SUMIF(C2:C698,C147,AS2:AS698)&lt;=1),SUMIF(C2:C698,C147,AS2:AS698),IF(AND(AT147=3,M147="F",SUMIF(C2:C698,C147,AS2:AS698)&gt;1),1,"")))</f>
        <v/>
      </c>
      <c r="AW147" s="462">
        <f>SUMIF(C2:C698,C147,O2:O698)</f>
        <v>3</v>
      </c>
      <c r="AX147" s="462">
        <f>IF(AND(M147="F",AS147&lt;&gt;0),SUMIF(C2:C698,C147,W2:W698),0)</f>
        <v>46800</v>
      </c>
      <c r="AY147" s="462">
        <f t="shared" si="36"/>
        <v>23400</v>
      </c>
      <c r="AZ147" s="462" t="str">
        <f t="shared" si="37"/>
        <v/>
      </c>
      <c r="BA147" s="462">
        <f t="shared" si="38"/>
        <v>0</v>
      </c>
      <c r="BB147" s="462">
        <f>IF(AND(AT147=1,AK147="E",AU147&gt;=0.75,AW147=1),Health,IF(AND(AT147=1,AK147="E",AU147&gt;=0.75),Health*P147,IF(AND(AT147=1,AK147="E",AU147&gt;=0.5,AW147=1),PTHealth,IF(AND(AT147=1,AK147="E",AU147&gt;=0.5),PTHealth*P147,0))))</f>
        <v>5825</v>
      </c>
      <c r="BC147" s="462">
        <f>IF(AND(AT147=3,AK147="E",AV147&gt;=0.75,AW147=1),Health,IF(AND(AT147=3,AK147="E",AV147&gt;=0.75),Health*P147,IF(AND(AT147=3,AK147="E",AV147&gt;=0.5,AW147=1),PTHealth,IF(AND(AT147=3,AK147="E",AV147&gt;=0.5),PTHealth*P147,0))))</f>
        <v>0</v>
      </c>
      <c r="BD147" s="462">
        <f>IF(AND(AT147&lt;&gt;0,AX147&gt;=MAXSSDI),SSDI*MAXSSDI*P147,IF(AT147&lt;&gt;0,SSDI*W147,0))</f>
        <v>1450.8</v>
      </c>
      <c r="BE147" s="462">
        <f>IF(AT147&lt;&gt;0,SSHI*W147,0)</f>
        <v>339.3</v>
      </c>
      <c r="BF147" s="462">
        <f>IF(AND(AT147&lt;&gt;0,AN147&lt;&gt;"NE"),VLOOKUP(AN147,Retirement_Rates,3,FALSE)*W147,0)</f>
        <v>2793.96</v>
      </c>
      <c r="BG147" s="462">
        <f>IF(AND(AT147&lt;&gt;0,AJ147&lt;&gt;"PF"),Life*W147,0)</f>
        <v>168.714</v>
      </c>
      <c r="BH147" s="462">
        <f>IF(AND(AT147&lt;&gt;0,AM147="Y"),UI*W147,0)</f>
        <v>114.66</v>
      </c>
      <c r="BI147" s="462">
        <f>IF(AND(AT147&lt;&gt;0,N147&lt;&gt;"NR"),DHR*W147,0)</f>
        <v>71.603999999999999</v>
      </c>
      <c r="BJ147" s="462">
        <f>IF(AT147&lt;&gt;0,WC*W147,0)</f>
        <v>358.02</v>
      </c>
      <c r="BK147" s="462">
        <f>IF(OR(AND(AT147&lt;&gt;0,AJ147&lt;&gt;"PF",AN147&lt;&gt;"NE",AG147&lt;&gt;"A"),AND(AL147="E",OR(AT147=1,AT147=3))),Sick*W147,0)</f>
        <v>0</v>
      </c>
      <c r="BL147" s="462">
        <f t="shared" si="39"/>
        <v>5297.0579999999991</v>
      </c>
      <c r="BM147" s="462">
        <f t="shared" si="40"/>
        <v>0</v>
      </c>
      <c r="BN147" s="462">
        <f>IF(AND(AT147=1,AK147="E",AU147&gt;=0.75,AW147=1),HealthBY,IF(AND(AT147=1,AK147="E",AU147&gt;=0.75),HealthBY*P147,IF(AND(AT147=1,AK147="E",AU147&gt;=0.5,AW147=1),PTHealthBY,IF(AND(AT147=1,AK147="E",AU147&gt;=0.5),PTHealthBY*P147,0))))</f>
        <v>5825</v>
      </c>
      <c r="BO147" s="462">
        <f>IF(AND(AT147=3,AK147="E",AV147&gt;=0.75,AW147=1),HealthBY,IF(AND(AT147=3,AK147="E",AV147&gt;=0.75),HealthBY*P147,IF(AND(AT147=3,AK147="E",AV147&gt;=0.5,AW147=1),PTHealthBY,IF(AND(AT147=3,AK147="E",AV147&gt;=0.5),PTHealthBY*P147,0))))</f>
        <v>0</v>
      </c>
      <c r="BP147" s="462">
        <f>IF(AND(AT147&lt;&gt;0,(AX147+BA147)&gt;=MAXSSDIBY),SSDIBY*MAXSSDIBY*P147,IF(AT147&lt;&gt;0,SSDIBY*W147,0))</f>
        <v>1450.8</v>
      </c>
      <c r="BQ147" s="462">
        <f>IF(AT147&lt;&gt;0,SSHIBY*W147,0)</f>
        <v>339.3</v>
      </c>
      <c r="BR147" s="462">
        <f>IF(AND(AT147&lt;&gt;0,AN147&lt;&gt;"NE"),VLOOKUP(AN147,Retirement_Rates,4,FALSE)*W147,0)</f>
        <v>2793.96</v>
      </c>
      <c r="BS147" s="462">
        <f>IF(AND(AT147&lt;&gt;0,AJ147&lt;&gt;"PF"),LifeBY*W147,0)</f>
        <v>168.714</v>
      </c>
      <c r="BT147" s="462">
        <f>IF(AND(AT147&lt;&gt;0,AM147="Y"),UIBY*W147,0)</f>
        <v>0</v>
      </c>
      <c r="BU147" s="462">
        <f>IF(AND(AT147&lt;&gt;0,N147&lt;&gt;"NR"),DHRBY*W147,0)</f>
        <v>71.603999999999999</v>
      </c>
      <c r="BV147" s="462">
        <f>IF(AT147&lt;&gt;0,WCBY*W147,0)</f>
        <v>411.84000000000003</v>
      </c>
      <c r="BW147" s="462">
        <f>IF(OR(AND(AT147&lt;&gt;0,AJ147&lt;&gt;"PF",AN147&lt;&gt;"NE",AG147&lt;&gt;"A"),AND(AL147="E",OR(AT147=1,AT147=3))),SickBY*W147,0)</f>
        <v>0</v>
      </c>
      <c r="BX147" s="462">
        <f t="shared" si="41"/>
        <v>5236.2179999999998</v>
      </c>
      <c r="BY147" s="462">
        <f t="shared" si="42"/>
        <v>0</v>
      </c>
      <c r="BZ147" s="462">
        <f t="shared" si="43"/>
        <v>0</v>
      </c>
      <c r="CA147" s="462">
        <f t="shared" si="44"/>
        <v>0</v>
      </c>
      <c r="CB147" s="462">
        <f t="shared" si="45"/>
        <v>0</v>
      </c>
      <c r="CC147" s="462">
        <f>IF(AT147&lt;&gt;0,SSHICHG*Y147,0)</f>
        <v>0</v>
      </c>
      <c r="CD147" s="462">
        <f>IF(AND(AT147&lt;&gt;0,AN147&lt;&gt;"NE"),VLOOKUP(AN147,Retirement_Rates,5,FALSE)*Y147,0)</f>
        <v>0</v>
      </c>
      <c r="CE147" s="462">
        <f>IF(AND(AT147&lt;&gt;0,AJ147&lt;&gt;"PF"),LifeCHG*Y147,0)</f>
        <v>0</v>
      </c>
      <c r="CF147" s="462">
        <f>IF(AND(AT147&lt;&gt;0,AM147="Y"),UICHG*Y147,0)</f>
        <v>-114.66</v>
      </c>
      <c r="CG147" s="462">
        <f>IF(AND(AT147&lt;&gt;0,N147&lt;&gt;"NR"),DHRCHG*Y147,0)</f>
        <v>0</v>
      </c>
      <c r="CH147" s="462">
        <f>IF(AT147&lt;&gt;0,WCCHG*Y147,0)</f>
        <v>53.820000000000043</v>
      </c>
      <c r="CI147" s="462">
        <f>IF(OR(AND(AT147&lt;&gt;0,AJ147&lt;&gt;"PF",AN147&lt;&gt;"NE",AG147&lt;&gt;"A"),AND(AL147="E",OR(AT147=1,AT147=3))),SickCHG*Y147,0)</f>
        <v>0</v>
      </c>
      <c r="CJ147" s="462">
        <f t="shared" si="46"/>
        <v>-60.839999999999954</v>
      </c>
      <c r="CK147" s="462" t="str">
        <f t="shared" si="47"/>
        <v/>
      </c>
      <c r="CL147" s="462" t="str">
        <f t="shared" si="48"/>
        <v/>
      </c>
      <c r="CM147" s="462" t="str">
        <f t="shared" si="49"/>
        <v/>
      </c>
      <c r="CN147" s="462" t="str">
        <f t="shared" si="50"/>
        <v>0332-07</v>
      </c>
    </row>
    <row r="148" spans="1:92" ht="15" thickBot="1" x14ac:dyDescent="0.35">
      <c r="A148" s="376" t="s">
        <v>161</v>
      </c>
      <c r="B148" s="376" t="s">
        <v>162</v>
      </c>
      <c r="C148" s="376" t="s">
        <v>623</v>
      </c>
      <c r="D148" s="376" t="s">
        <v>362</v>
      </c>
      <c r="E148" s="376" t="s">
        <v>535</v>
      </c>
      <c r="F148" s="382" t="s">
        <v>565</v>
      </c>
      <c r="G148" s="376" t="s">
        <v>356</v>
      </c>
      <c r="H148" s="378"/>
      <c r="I148" s="378"/>
      <c r="J148" s="376" t="s">
        <v>168</v>
      </c>
      <c r="K148" s="376" t="s">
        <v>363</v>
      </c>
      <c r="L148" s="376" t="s">
        <v>200</v>
      </c>
      <c r="M148" s="376" t="s">
        <v>170</v>
      </c>
      <c r="N148" s="376" t="s">
        <v>202</v>
      </c>
      <c r="O148" s="379">
        <v>1</v>
      </c>
      <c r="P148" s="460">
        <v>1</v>
      </c>
      <c r="Q148" s="460">
        <v>1</v>
      </c>
      <c r="R148" s="380">
        <v>80</v>
      </c>
      <c r="S148" s="460">
        <v>1</v>
      </c>
      <c r="T148" s="380">
        <v>1440</v>
      </c>
      <c r="U148" s="380">
        <v>0</v>
      </c>
      <c r="V148" s="380">
        <v>821.33</v>
      </c>
      <c r="W148" s="380">
        <v>46800</v>
      </c>
      <c r="X148" s="380">
        <v>22244.1</v>
      </c>
      <c r="Y148" s="380">
        <v>46800</v>
      </c>
      <c r="Z148" s="380">
        <v>22122.42</v>
      </c>
      <c r="AA148" s="376" t="s">
        <v>624</v>
      </c>
      <c r="AB148" s="376" t="s">
        <v>625</v>
      </c>
      <c r="AC148" s="376" t="s">
        <v>626</v>
      </c>
      <c r="AD148" s="376" t="s">
        <v>627</v>
      </c>
      <c r="AE148" s="376" t="s">
        <v>363</v>
      </c>
      <c r="AF148" s="376" t="s">
        <v>210</v>
      </c>
      <c r="AG148" s="376" t="s">
        <v>177</v>
      </c>
      <c r="AH148" s="381">
        <v>22.5</v>
      </c>
      <c r="AI148" s="379">
        <v>144</v>
      </c>
      <c r="AJ148" s="376" t="s">
        <v>178</v>
      </c>
      <c r="AK148" s="376" t="s">
        <v>179</v>
      </c>
      <c r="AL148" s="376" t="s">
        <v>180</v>
      </c>
      <c r="AM148" s="376" t="s">
        <v>181</v>
      </c>
      <c r="AN148" s="376" t="s">
        <v>68</v>
      </c>
      <c r="AO148" s="379">
        <v>80</v>
      </c>
      <c r="AP148" s="460">
        <v>1</v>
      </c>
      <c r="AQ148" s="460">
        <v>1</v>
      </c>
      <c r="AR148" s="458" t="s">
        <v>182</v>
      </c>
      <c r="AS148" s="462">
        <f t="shared" si="34"/>
        <v>1</v>
      </c>
      <c r="AT148">
        <f t="shared" si="35"/>
        <v>1</v>
      </c>
      <c r="AU148" s="462">
        <f>IF(AT148=0,"",IF(AND(AT148=1,M148="F",SUMIF(C2:C698,C148,AS2:AS698)&lt;=1),SUMIF(C2:C698,C148,AS2:AS698),IF(AND(AT148=1,M148="F",SUMIF(C2:C698,C148,AS2:AS698)&gt;1),1,"")))</f>
        <v>1</v>
      </c>
      <c r="AV148" s="462" t="str">
        <f>IF(AT148=0,"",IF(AND(AT148=3,M148="F",SUMIF(C2:C698,C148,AS2:AS698)&lt;=1),SUMIF(C2:C698,C148,AS2:AS698),IF(AND(AT148=3,M148="F",SUMIF(C2:C698,C148,AS2:AS698)&gt;1),1,"")))</f>
        <v/>
      </c>
      <c r="AW148" s="462">
        <f>SUMIF(C2:C698,C148,O2:O698)</f>
        <v>1</v>
      </c>
      <c r="AX148" s="462">
        <f>IF(AND(M148="F",AS148&lt;&gt;0),SUMIF(C2:C698,C148,W2:W698),0)</f>
        <v>46800</v>
      </c>
      <c r="AY148" s="462">
        <f t="shared" si="36"/>
        <v>46800</v>
      </c>
      <c r="AZ148" s="462" t="str">
        <f t="shared" si="37"/>
        <v/>
      </c>
      <c r="BA148" s="462">
        <f t="shared" si="38"/>
        <v>0</v>
      </c>
      <c r="BB148" s="462">
        <f>IF(AND(AT148=1,AK148="E",AU148&gt;=0.75,AW148=1),Health,IF(AND(AT148=1,AK148="E",AU148&gt;=0.75),Health*P148,IF(AND(AT148=1,AK148="E",AU148&gt;=0.5,AW148=1),PTHealth,IF(AND(AT148=1,AK148="E",AU148&gt;=0.5),PTHealth*P148,0))))</f>
        <v>11650</v>
      </c>
      <c r="BC148" s="462">
        <f>IF(AND(AT148=3,AK148="E",AV148&gt;=0.75,AW148=1),Health,IF(AND(AT148=3,AK148="E",AV148&gt;=0.75),Health*P148,IF(AND(AT148=3,AK148="E",AV148&gt;=0.5,AW148=1),PTHealth,IF(AND(AT148=3,AK148="E",AV148&gt;=0.5),PTHealth*P148,0))))</f>
        <v>0</v>
      </c>
      <c r="BD148" s="462">
        <f>IF(AND(AT148&lt;&gt;0,AX148&gt;=MAXSSDI),SSDI*MAXSSDI*P148,IF(AT148&lt;&gt;0,SSDI*W148,0))</f>
        <v>2901.6</v>
      </c>
      <c r="BE148" s="462">
        <f>IF(AT148&lt;&gt;0,SSHI*W148,0)</f>
        <v>678.6</v>
      </c>
      <c r="BF148" s="462">
        <f>IF(AND(AT148&lt;&gt;0,AN148&lt;&gt;"NE"),VLOOKUP(AN148,Retirement_Rates,3,FALSE)*W148,0)</f>
        <v>5587.92</v>
      </c>
      <c r="BG148" s="462">
        <f>IF(AND(AT148&lt;&gt;0,AJ148&lt;&gt;"PF"),Life*W148,0)</f>
        <v>337.428</v>
      </c>
      <c r="BH148" s="462">
        <f>IF(AND(AT148&lt;&gt;0,AM148="Y"),UI*W148,0)</f>
        <v>229.32</v>
      </c>
      <c r="BI148" s="462">
        <f>IF(AND(AT148&lt;&gt;0,N148&lt;&gt;"NR"),DHR*W148,0)</f>
        <v>143.208</v>
      </c>
      <c r="BJ148" s="462">
        <f>IF(AT148&lt;&gt;0,WC*W148,0)</f>
        <v>716.04</v>
      </c>
      <c r="BK148" s="462">
        <f>IF(OR(AND(AT148&lt;&gt;0,AJ148&lt;&gt;"PF",AN148&lt;&gt;"NE",AG148&lt;&gt;"A"),AND(AL148="E",OR(AT148=1,AT148=3))),Sick*W148,0)</f>
        <v>0</v>
      </c>
      <c r="BL148" s="462">
        <f t="shared" si="39"/>
        <v>10594.115999999998</v>
      </c>
      <c r="BM148" s="462">
        <f t="shared" si="40"/>
        <v>0</v>
      </c>
      <c r="BN148" s="462">
        <f>IF(AND(AT148=1,AK148="E",AU148&gt;=0.75,AW148=1),HealthBY,IF(AND(AT148=1,AK148="E",AU148&gt;=0.75),HealthBY*P148,IF(AND(AT148=1,AK148="E",AU148&gt;=0.5,AW148=1),PTHealthBY,IF(AND(AT148=1,AK148="E",AU148&gt;=0.5),PTHealthBY*P148,0))))</f>
        <v>11650</v>
      </c>
      <c r="BO148" s="462">
        <f>IF(AND(AT148=3,AK148="E",AV148&gt;=0.75,AW148=1),HealthBY,IF(AND(AT148=3,AK148="E",AV148&gt;=0.75),HealthBY*P148,IF(AND(AT148=3,AK148="E",AV148&gt;=0.5,AW148=1),PTHealthBY,IF(AND(AT148=3,AK148="E",AV148&gt;=0.5),PTHealthBY*P148,0))))</f>
        <v>0</v>
      </c>
      <c r="BP148" s="462">
        <f>IF(AND(AT148&lt;&gt;0,(AX148+BA148)&gt;=MAXSSDIBY),SSDIBY*MAXSSDIBY*P148,IF(AT148&lt;&gt;0,SSDIBY*W148,0))</f>
        <v>2901.6</v>
      </c>
      <c r="BQ148" s="462">
        <f>IF(AT148&lt;&gt;0,SSHIBY*W148,0)</f>
        <v>678.6</v>
      </c>
      <c r="BR148" s="462">
        <f>IF(AND(AT148&lt;&gt;0,AN148&lt;&gt;"NE"),VLOOKUP(AN148,Retirement_Rates,4,FALSE)*W148,0)</f>
        <v>5587.92</v>
      </c>
      <c r="BS148" s="462">
        <f>IF(AND(AT148&lt;&gt;0,AJ148&lt;&gt;"PF"),LifeBY*W148,0)</f>
        <v>337.428</v>
      </c>
      <c r="BT148" s="462">
        <f>IF(AND(AT148&lt;&gt;0,AM148="Y"),UIBY*W148,0)</f>
        <v>0</v>
      </c>
      <c r="BU148" s="462">
        <f>IF(AND(AT148&lt;&gt;0,N148&lt;&gt;"NR"),DHRBY*W148,0)</f>
        <v>143.208</v>
      </c>
      <c r="BV148" s="462">
        <f>IF(AT148&lt;&gt;0,WCBY*W148,0)</f>
        <v>823.68000000000006</v>
      </c>
      <c r="BW148" s="462">
        <f>IF(OR(AND(AT148&lt;&gt;0,AJ148&lt;&gt;"PF",AN148&lt;&gt;"NE",AG148&lt;&gt;"A"),AND(AL148="E",OR(AT148=1,AT148=3))),SickBY*W148,0)</f>
        <v>0</v>
      </c>
      <c r="BX148" s="462">
        <f t="shared" si="41"/>
        <v>10472.436</v>
      </c>
      <c r="BY148" s="462">
        <f t="shared" si="42"/>
        <v>0</v>
      </c>
      <c r="BZ148" s="462">
        <f t="shared" si="43"/>
        <v>0</v>
      </c>
      <c r="CA148" s="462">
        <f t="shared" si="44"/>
        <v>0</v>
      </c>
      <c r="CB148" s="462">
        <f t="shared" si="45"/>
        <v>0</v>
      </c>
      <c r="CC148" s="462">
        <f>IF(AT148&lt;&gt;0,SSHICHG*Y148,0)</f>
        <v>0</v>
      </c>
      <c r="CD148" s="462">
        <f>IF(AND(AT148&lt;&gt;0,AN148&lt;&gt;"NE"),VLOOKUP(AN148,Retirement_Rates,5,FALSE)*Y148,0)</f>
        <v>0</v>
      </c>
      <c r="CE148" s="462">
        <f>IF(AND(AT148&lt;&gt;0,AJ148&lt;&gt;"PF"),LifeCHG*Y148,0)</f>
        <v>0</v>
      </c>
      <c r="CF148" s="462">
        <f>IF(AND(AT148&lt;&gt;0,AM148="Y"),UICHG*Y148,0)</f>
        <v>-229.32</v>
      </c>
      <c r="CG148" s="462">
        <f>IF(AND(AT148&lt;&gt;0,N148&lt;&gt;"NR"),DHRCHG*Y148,0)</f>
        <v>0</v>
      </c>
      <c r="CH148" s="462">
        <f>IF(AT148&lt;&gt;0,WCCHG*Y148,0)</f>
        <v>107.64000000000009</v>
      </c>
      <c r="CI148" s="462">
        <f>IF(OR(AND(AT148&lt;&gt;0,AJ148&lt;&gt;"PF",AN148&lt;&gt;"NE",AG148&lt;&gt;"A"),AND(AL148="E",OR(AT148=1,AT148=3))),SickCHG*Y148,0)</f>
        <v>0</v>
      </c>
      <c r="CJ148" s="462">
        <f t="shared" si="46"/>
        <v>-121.67999999999991</v>
      </c>
      <c r="CK148" s="462" t="str">
        <f t="shared" si="47"/>
        <v/>
      </c>
      <c r="CL148" s="462" t="str">
        <f t="shared" si="48"/>
        <v/>
      </c>
      <c r="CM148" s="462" t="str">
        <f t="shared" si="49"/>
        <v/>
      </c>
      <c r="CN148" s="462" t="str">
        <f t="shared" si="50"/>
        <v>0332-07</v>
      </c>
    </row>
    <row r="149" spans="1:92" ht="15" thickBot="1" x14ac:dyDescent="0.35">
      <c r="A149" s="376" t="s">
        <v>161</v>
      </c>
      <c r="B149" s="376" t="s">
        <v>162</v>
      </c>
      <c r="C149" s="376" t="s">
        <v>628</v>
      </c>
      <c r="D149" s="376" t="s">
        <v>467</v>
      </c>
      <c r="E149" s="376" t="s">
        <v>535</v>
      </c>
      <c r="F149" s="382" t="s">
        <v>565</v>
      </c>
      <c r="G149" s="376" t="s">
        <v>356</v>
      </c>
      <c r="H149" s="378"/>
      <c r="I149" s="378"/>
      <c r="J149" s="376" t="s">
        <v>168</v>
      </c>
      <c r="K149" s="376" t="s">
        <v>468</v>
      </c>
      <c r="L149" s="376" t="s">
        <v>224</v>
      </c>
      <c r="M149" s="376" t="s">
        <v>170</v>
      </c>
      <c r="N149" s="376" t="s">
        <v>202</v>
      </c>
      <c r="O149" s="379">
        <v>1</v>
      </c>
      <c r="P149" s="460">
        <v>1</v>
      </c>
      <c r="Q149" s="460">
        <v>1</v>
      </c>
      <c r="R149" s="380">
        <v>80</v>
      </c>
      <c r="S149" s="460">
        <v>1</v>
      </c>
      <c r="T149" s="380">
        <v>54062.47</v>
      </c>
      <c r="U149" s="380">
        <v>0</v>
      </c>
      <c r="V149" s="380">
        <v>22984.02</v>
      </c>
      <c r="W149" s="380">
        <v>55307.199999999997</v>
      </c>
      <c r="X149" s="380">
        <v>24169.86</v>
      </c>
      <c r="Y149" s="380">
        <v>55307.199999999997</v>
      </c>
      <c r="Z149" s="380">
        <v>24026.06</v>
      </c>
      <c r="AA149" s="376" t="s">
        <v>629</v>
      </c>
      <c r="AB149" s="376" t="s">
        <v>630</v>
      </c>
      <c r="AC149" s="376" t="s">
        <v>631</v>
      </c>
      <c r="AD149" s="376" t="s">
        <v>170</v>
      </c>
      <c r="AE149" s="376" t="s">
        <v>468</v>
      </c>
      <c r="AF149" s="376" t="s">
        <v>232</v>
      </c>
      <c r="AG149" s="376" t="s">
        <v>177</v>
      </c>
      <c r="AH149" s="381">
        <v>26.59</v>
      </c>
      <c r="AI149" s="381">
        <v>53748.5</v>
      </c>
      <c r="AJ149" s="376" t="s">
        <v>178</v>
      </c>
      <c r="AK149" s="376" t="s">
        <v>179</v>
      </c>
      <c r="AL149" s="376" t="s">
        <v>180</v>
      </c>
      <c r="AM149" s="376" t="s">
        <v>181</v>
      </c>
      <c r="AN149" s="376" t="s">
        <v>68</v>
      </c>
      <c r="AO149" s="379">
        <v>80</v>
      </c>
      <c r="AP149" s="460">
        <v>1</v>
      </c>
      <c r="AQ149" s="460">
        <v>1</v>
      </c>
      <c r="AR149" s="458" t="s">
        <v>182</v>
      </c>
      <c r="AS149" s="462">
        <f t="shared" si="34"/>
        <v>1</v>
      </c>
      <c r="AT149">
        <f t="shared" si="35"/>
        <v>1</v>
      </c>
      <c r="AU149" s="462">
        <f>IF(AT149=0,"",IF(AND(AT149=1,M149="F",SUMIF(C2:C698,C149,AS2:AS698)&lt;=1),SUMIF(C2:C698,C149,AS2:AS698),IF(AND(AT149=1,M149="F",SUMIF(C2:C698,C149,AS2:AS698)&gt;1),1,"")))</f>
        <v>1</v>
      </c>
      <c r="AV149" s="462" t="str">
        <f>IF(AT149=0,"",IF(AND(AT149=3,M149="F",SUMIF(C2:C698,C149,AS2:AS698)&lt;=1),SUMIF(C2:C698,C149,AS2:AS698),IF(AND(AT149=3,M149="F",SUMIF(C2:C698,C149,AS2:AS698)&gt;1),1,"")))</f>
        <v/>
      </c>
      <c r="AW149" s="462">
        <f>SUMIF(C2:C698,C149,O2:O698)</f>
        <v>1</v>
      </c>
      <c r="AX149" s="462">
        <f>IF(AND(M149="F",AS149&lt;&gt;0),SUMIF(C2:C698,C149,W2:W698),0)</f>
        <v>55307.199999999997</v>
      </c>
      <c r="AY149" s="462">
        <f t="shared" si="36"/>
        <v>55307.199999999997</v>
      </c>
      <c r="AZ149" s="462" t="str">
        <f t="shared" si="37"/>
        <v/>
      </c>
      <c r="BA149" s="462">
        <f t="shared" si="38"/>
        <v>0</v>
      </c>
      <c r="BB149" s="462">
        <f>IF(AND(AT149=1,AK149="E",AU149&gt;=0.75,AW149=1),Health,IF(AND(AT149=1,AK149="E",AU149&gt;=0.75),Health*P149,IF(AND(AT149=1,AK149="E",AU149&gt;=0.5,AW149=1),PTHealth,IF(AND(AT149=1,AK149="E",AU149&gt;=0.5),PTHealth*P149,0))))</f>
        <v>11650</v>
      </c>
      <c r="BC149" s="462">
        <f>IF(AND(AT149=3,AK149="E",AV149&gt;=0.75,AW149=1),Health,IF(AND(AT149=3,AK149="E",AV149&gt;=0.75),Health*P149,IF(AND(AT149=3,AK149="E",AV149&gt;=0.5,AW149=1),PTHealth,IF(AND(AT149=3,AK149="E",AV149&gt;=0.5),PTHealth*P149,0))))</f>
        <v>0</v>
      </c>
      <c r="BD149" s="462">
        <f>IF(AND(AT149&lt;&gt;0,AX149&gt;=MAXSSDI),SSDI*MAXSSDI*P149,IF(AT149&lt;&gt;0,SSDI*W149,0))</f>
        <v>3429.0463999999997</v>
      </c>
      <c r="BE149" s="462">
        <f>IF(AT149&lt;&gt;0,SSHI*W149,0)</f>
        <v>801.95439999999996</v>
      </c>
      <c r="BF149" s="462">
        <f>IF(AND(AT149&lt;&gt;0,AN149&lt;&gt;"NE"),VLOOKUP(AN149,Retirement_Rates,3,FALSE)*W149,0)</f>
        <v>6603.6796800000002</v>
      </c>
      <c r="BG149" s="462">
        <f>IF(AND(AT149&lt;&gt;0,AJ149&lt;&gt;"PF"),Life*W149,0)</f>
        <v>398.76491199999998</v>
      </c>
      <c r="BH149" s="462">
        <f>IF(AND(AT149&lt;&gt;0,AM149="Y"),UI*W149,0)</f>
        <v>271.00527999999997</v>
      </c>
      <c r="BI149" s="462">
        <f>IF(AND(AT149&lt;&gt;0,N149&lt;&gt;"NR"),DHR*W149,0)</f>
        <v>169.24003199999999</v>
      </c>
      <c r="BJ149" s="462">
        <f>IF(AT149&lt;&gt;0,WC*W149,0)</f>
        <v>846.20015999999987</v>
      </c>
      <c r="BK149" s="462">
        <f>IF(OR(AND(AT149&lt;&gt;0,AJ149&lt;&gt;"PF",AN149&lt;&gt;"NE",AG149&lt;&gt;"A"),AND(AL149="E",OR(AT149=1,AT149=3))),Sick*W149,0)</f>
        <v>0</v>
      </c>
      <c r="BL149" s="462">
        <f t="shared" si="39"/>
        <v>12519.890863999999</v>
      </c>
      <c r="BM149" s="462">
        <f t="shared" si="40"/>
        <v>0</v>
      </c>
      <c r="BN149" s="462">
        <f>IF(AND(AT149=1,AK149="E",AU149&gt;=0.75,AW149=1),HealthBY,IF(AND(AT149=1,AK149="E",AU149&gt;=0.75),HealthBY*P149,IF(AND(AT149=1,AK149="E",AU149&gt;=0.5,AW149=1),PTHealthBY,IF(AND(AT149=1,AK149="E",AU149&gt;=0.5),PTHealthBY*P149,0))))</f>
        <v>11650</v>
      </c>
      <c r="BO149" s="462">
        <f>IF(AND(AT149=3,AK149="E",AV149&gt;=0.75,AW149=1),HealthBY,IF(AND(AT149=3,AK149="E",AV149&gt;=0.75),HealthBY*P149,IF(AND(AT149=3,AK149="E",AV149&gt;=0.5,AW149=1),PTHealthBY,IF(AND(AT149=3,AK149="E",AV149&gt;=0.5),PTHealthBY*P149,0))))</f>
        <v>0</v>
      </c>
      <c r="BP149" s="462">
        <f>IF(AND(AT149&lt;&gt;0,(AX149+BA149)&gt;=MAXSSDIBY),SSDIBY*MAXSSDIBY*P149,IF(AT149&lt;&gt;0,SSDIBY*W149,0))</f>
        <v>3429.0463999999997</v>
      </c>
      <c r="BQ149" s="462">
        <f>IF(AT149&lt;&gt;0,SSHIBY*W149,0)</f>
        <v>801.95439999999996</v>
      </c>
      <c r="BR149" s="462">
        <f>IF(AND(AT149&lt;&gt;0,AN149&lt;&gt;"NE"),VLOOKUP(AN149,Retirement_Rates,4,FALSE)*W149,0)</f>
        <v>6603.6796800000002</v>
      </c>
      <c r="BS149" s="462">
        <f>IF(AND(AT149&lt;&gt;0,AJ149&lt;&gt;"PF"),LifeBY*W149,0)</f>
        <v>398.76491199999998</v>
      </c>
      <c r="BT149" s="462">
        <f>IF(AND(AT149&lt;&gt;0,AM149="Y"),UIBY*W149,0)</f>
        <v>0</v>
      </c>
      <c r="BU149" s="462">
        <f>IF(AND(AT149&lt;&gt;0,N149&lt;&gt;"NR"),DHRBY*W149,0)</f>
        <v>169.24003199999999</v>
      </c>
      <c r="BV149" s="462">
        <f>IF(AT149&lt;&gt;0,WCBY*W149,0)</f>
        <v>973.40672000000006</v>
      </c>
      <c r="BW149" s="462">
        <f>IF(OR(AND(AT149&lt;&gt;0,AJ149&lt;&gt;"PF",AN149&lt;&gt;"NE",AG149&lt;&gt;"A"),AND(AL149="E",OR(AT149=1,AT149=3))),SickBY*W149,0)</f>
        <v>0</v>
      </c>
      <c r="BX149" s="462">
        <f t="shared" si="41"/>
        <v>12376.092144</v>
      </c>
      <c r="BY149" s="462">
        <f t="shared" si="42"/>
        <v>0</v>
      </c>
      <c r="BZ149" s="462">
        <f t="shared" si="43"/>
        <v>0</v>
      </c>
      <c r="CA149" s="462">
        <f t="shared" si="44"/>
        <v>0</v>
      </c>
      <c r="CB149" s="462">
        <f t="shared" si="45"/>
        <v>0</v>
      </c>
      <c r="CC149" s="462">
        <f>IF(AT149&lt;&gt;0,SSHICHG*Y149,0)</f>
        <v>0</v>
      </c>
      <c r="CD149" s="462">
        <f>IF(AND(AT149&lt;&gt;0,AN149&lt;&gt;"NE"),VLOOKUP(AN149,Retirement_Rates,5,FALSE)*Y149,0)</f>
        <v>0</v>
      </c>
      <c r="CE149" s="462">
        <f>IF(AND(AT149&lt;&gt;0,AJ149&lt;&gt;"PF"),LifeCHG*Y149,0)</f>
        <v>0</v>
      </c>
      <c r="CF149" s="462">
        <f>IF(AND(AT149&lt;&gt;0,AM149="Y"),UICHG*Y149,0)</f>
        <v>-271.00527999999997</v>
      </c>
      <c r="CG149" s="462">
        <f>IF(AND(AT149&lt;&gt;0,N149&lt;&gt;"NR"),DHRCHG*Y149,0)</f>
        <v>0</v>
      </c>
      <c r="CH149" s="462">
        <f>IF(AT149&lt;&gt;0,WCCHG*Y149,0)</f>
        <v>127.20656000000008</v>
      </c>
      <c r="CI149" s="462">
        <f>IF(OR(AND(AT149&lt;&gt;0,AJ149&lt;&gt;"PF",AN149&lt;&gt;"NE",AG149&lt;&gt;"A"),AND(AL149="E",OR(AT149=1,AT149=3))),SickCHG*Y149,0)</f>
        <v>0</v>
      </c>
      <c r="CJ149" s="462">
        <f t="shared" si="46"/>
        <v>-143.79871999999989</v>
      </c>
      <c r="CK149" s="462" t="str">
        <f t="shared" si="47"/>
        <v/>
      </c>
      <c r="CL149" s="462" t="str">
        <f t="shared" si="48"/>
        <v/>
      </c>
      <c r="CM149" s="462" t="str">
        <f t="shared" si="49"/>
        <v/>
      </c>
      <c r="CN149" s="462" t="str">
        <f t="shared" si="50"/>
        <v>0332-07</v>
      </c>
    </row>
    <row r="150" spans="1:92" ht="15" thickBot="1" x14ac:dyDescent="0.35">
      <c r="A150" s="376" t="s">
        <v>161</v>
      </c>
      <c r="B150" s="376" t="s">
        <v>162</v>
      </c>
      <c r="C150" s="376" t="s">
        <v>632</v>
      </c>
      <c r="D150" s="376" t="s">
        <v>250</v>
      </c>
      <c r="E150" s="376" t="s">
        <v>535</v>
      </c>
      <c r="F150" s="382" t="s">
        <v>565</v>
      </c>
      <c r="G150" s="376" t="s">
        <v>356</v>
      </c>
      <c r="H150" s="378"/>
      <c r="I150" s="378"/>
      <c r="J150" s="376" t="s">
        <v>168</v>
      </c>
      <c r="K150" s="376" t="s">
        <v>251</v>
      </c>
      <c r="L150" s="376" t="s">
        <v>180</v>
      </c>
      <c r="M150" s="376" t="s">
        <v>170</v>
      </c>
      <c r="N150" s="376" t="s">
        <v>202</v>
      </c>
      <c r="O150" s="379">
        <v>1</v>
      </c>
      <c r="P150" s="460">
        <v>1</v>
      </c>
      <c r="Q150" s="460">
        <v>1</v>
      </c>
      <c r="R150" s="380">
        <v>80</v>
      </c>
      <c r="S150" s="460">
        <v>1</v>
      </c>
      <c r="T150" s="380">
        <v>67494.080000000002</v>
      </c>
      <c r="U150" s="380">
        <v>0</v>
      </c>
      <c r="V150" s="380">
        <v>26381.05</v>
      </c>
      <c r="W150" s="380">
        <v>73465.600000000006</v>
      </c>
      <c r="X150" s="380">
        <v>28280.38</v>
      </c>
      <c r="Y150" s="380">
        <v>73465.600000000006</v>
      </c>
      <c r="Z150" s="380">
        <v>28089.37</v>
      </c>
      <c r="AA150" s="376" t="s">
        <v>633</v>
      </c>
      <c r="AB150" s="376" t="s">
        <v>634</v>
      </c>
      <c r="AC150" s="376" t="s">
        <v>635</v>
      </c>
      <c r="AD150" s="376" t="s">
        <v>278</v>
      </c>
      <c r="AE150" s="376" t="s">
        <v>251</v>
      </c>
      <c r="AF150" s="376" t="s">
        <v>256</v>
      </c>
      <c r="AG150" s="376" t="s">
        <v>177</v>
      </c>
      <c r="AH150" s="381">
        <v>35.32</v>
      </c>
      <c r="AI150" s="381">
        <v>31308.7</v>
      </c>
      <c r="AJ150" s="376" t="s">
        <v>178</v>
      </c>
      <c r="AK150" s="376" t="s">
        <v>179</v>
      </c>
      <c r="AL150" s="376" t="s">
        <v>180</v>
      </c>
      <c r="AM150" s="376" t="s">
        <v>181</v>
      </c>
      <c r="AN150" s="376" t="s">
        <v>68</v>
      </c>
      <c r="AO150" s="379">
        <v>80</v>
      </c>
      <c r="AP150" s="460">
        <v>1</v>
      </c>
      <c r="AQ150" s="460">
        <v>1</v>
      </c>
      <c r="AR150" s="458" t="s">
        <v>182</v>
      </c>
      <c r="AS150" s="462">
        <f t="shared" si="34"/>
        <v>1</v>
      </c>
      <c r="AT150">
        <f t="shared" si="35"/>
        <v>1</v>
      </c>
      <c r="AU150" s="462">
        <f>IF(AT150=0,"",IF(AND(AT150=1,M150="F",SUMIF(C2:C698,C150,AS2:AS698)&lt;=1),SUMIF(C2:C698,C150,AS2:AS698),IF(AND(AT150=1,M150="F",SUMIF(C2:C698,C150,AS2:AS698)&gt;1),1,"")))</f>
        <v>1</v>
      </c>
      <c r="AV150" s="462" t="str">
        <f>IF(AT150=0,"",IF(AND(AT150=3,M150="F",SUMIF(C2:C698,C150,AS2:AS698)&lt;=1),SUMIF(C2:C698,C150,AS2:AS698),IF(AND(AT150=3,M150="F",SUMIF(C2:C698,C150,AS2:AS698)&gt;1),1,"")))</f>
        <v/>
      </c>
      <c r="AW150" s="462">
        <f>SUMIF(C2:C698,C150,O2:O698)</f>
        <v>2</v>
      </c>
      <c r="AX150" s="462">
        <f>IF(AND(M150="F",AS150&lt;&gt;0),SUMIF(C2:C698,C150,W2:W698),0)</f>
        <v>73465.600000000006</v>
      </c>
      <c r="AY150" s="462">
        <f t="shared" si="36"/>
        <v>73465.600000000006</v>
      </c>
      <c r="AZ150" s="462" t="str">
        <f t="shared" si="37"/>
        <v/>
      </c>
      <c r="BA150" s="462">
        <f t="shared" si="38"/>
        <v>0</v>
      </c>
      <c r="BB150" s="462">
        <f>IF(AND(AT150=1,AK150="E",AU150&gt;=0.75,AW150=1),Health,IF(AND(AT150=1,AK150="E",AU150&gt;=0.75),Health*P150,IF(AND(AT150=1,AK150="E",AU150&gt;=0.5,AW150=1),PTHealth,IF(AND(AT150=1,AK150="E",AU150&gt;=0.5),PTHealth*P150,0))))</f>
        <v>11650</v>
      </c>
      <c r="BC150" s="462">
        <f>IF(AND(AT150=3,AK150="E",AV150&gt;=0.75,AW150=1),Health,IF(AND(AT150=3,AK150="E",AV150&gt;=0.75),Health*P150,IF(AND(AT150=3,AK150="E",AV150&gt;=0.5,AW150=1),PTHealth,IF(AND(AT150=3,AK150="E",AV150&gt;=0.5),PTHealth*P150,0))))</f>
        <v>0</v>
      </c>
      <c r="BD150" s="462">
        <f>IF(AND(AT150&lt;&gt;0,AX150&gt;=MAXSSDI),SSDI*MAXSSDI*P150,IF(AT150&lt;&gt;0,SSDI*W150,0))</f>
        <v>4554.8672000000006</v>
      </c>
      <c r="BE150" s="462">
        <f>IF(AT150&lt;&gt;0,SSHI*W150,0)</f>
        <v>1065.2512000000002</v>
      </c>
      <c r="BF150" s="462">
        <f>IF(AND(AT150&lt;&gt;0,AN150&lt;&gt;"NE"),VLOOKUP(AN150,Retirement_Rates,3,FALSE)*W150,0)</f>
        <v>8771.7926400000015</v>
      </c>
      <c r="BG150" s="462">
        <f>IF(AND(AT150&lt;&gt;0,AJ150&lt;&gt;"PF"),Life*W150,0)</f>
        <v>529.68697600000007</v>
      </c>
      <c r="BH150" s="462">
        <f>IF(AND(AT150&lt;&gt;0,AM150="Y"),UI*W150,0)</f>
        <v>359.98144000000002</v>
      </c>
      <c r="BI150" s="462">
        <f>IF(AND(AT150&lt;&gt;0,N150&lt;&gt;"NR"),DHR*W150,0)</f>
        <v>224.80473599999999</v>
      </c>
      <c r="BJ150" s="462">
        <f>IF(AT150&lt;&gt;0,WC*W150,0)</f>
        <v>1124.02368</v>
      </c>
      <c r="BK150" s="462">
        <f>IF(OR(AND(AT150&lt;&gt;0,AJ150&lt;&gt;"PF",AN150&lt;&gt;"NE",AG150&lt;&gt;"A"),AND(AL150="E",OR(AT150=1,AT150=3))),Sick*W150,0)</f>
        <v>0</v>
      </c>
      <c r="BL150" s="462">
        <f t="shared" si="39"/>
        <v>16630.407872000003</v>
      </c>
      <c r="BM150" s="462">
        <f t="shared" si="40"/>
        <v>0</v>
      </c>
      <c r="BN150" s="462">
        <f>IF(AND(AT150=1,AK150="E",AU150&gt;=0.75,AW150=1),HealthBY,IF(AND(AT150=1,AK150="E",AU150&gt;=0.75),HealthBY*P150,IF(AND(AT150=1,AK150="E",AU150&gt;=0.5,AW150=1),PTHealthBY,IF(AND(AT150=1,AK150="E",AU150&gt;=0.5),PTHealthBY*P150,0))))</f>
        <v>11650</v>
      </c>
      <c r="BO150" s="462">
        <f>IF(AND(AT150=3,AK150="E",AV150&gt;=0.75,AW150=1),HealthBY,IF(AND(AT150=3,AK150="E",AV150&gt;=0.75),HealthBY*P150,IF(AND(AT150=3,AK150="E",AV150&gt;=0.5,AW150=1),PTHealthBY,IF(AND(AT150=3,AK150="E",AV150&gt;=0.5),PTHealthBY*P150,0))))</f>
        <v>0</v>
      </c>
      <c r="BP150" s="462">
        <f>IF(AND(AT150&lt;&gt;0,(AX150+BA150)&gt;=MAXSSDIBY),SSDIBY*MAXSSDIBY*P150,IF(AT150&lt;&gt;0,SSDIBY*W150,0))</f>
        <v>4554.8672000000006</v>
      </c>
      <c r="BQ150" s="462">
        <f>IF(AT150&lt;&gt;0,SSHIBY*W150,0)</f>
        <v>1065.2512000000002</v>
      </c>
      <c r="BR150" s="462">
        <f>IF(AND(AT150&lt;&gt;0,AN150&lt;&gt;"NE"),VLOOKUP(AN150,Retirement_Rates,4,FALSE)*W150,0)</f>
        <v>8771.7926400000015</v>
      </c>
      <c r="BS150" s="462">
        <f>IF(AND(AT150&lt;&gt;0,AJ150&lt;&gt;"PF"),LifeBY*W150,0)</f>
        <v>529.68697600000007</v>
      </c>
      <c r="BT150" s="462">
        <f>IF(AND(AT150&lt;&gt;0,AM150="Y"),UIBY*W150,0)</f>
        <v>0</v>
      </c>
      <c r="BU150" s="462">
        <f>IF(AND(AT150&lt;&gt;0,N150&lt;&gt;"NR"),DHRBY*W150,0)</f>
        <v>224.80473599999999</v>
      </c>
      <c r="BV150" s="462">
        <f>IF(AT150&lt;&gt;0,WCBY*W150,0)</f>
        <v>1292.9945600000001</v>
      </c>
      <c r="BW150" s="462">
        <f>IF(OR(AND(AT150&lt;&gt;0,AJ150&lt;&gt;"PF",AN150&lt;&gt;"NE",AG150&lt;&gt;"A"),AND(AL150="E",OR(AT150=1,AT150=3))),SickBY*W150,0)</f>
        <v>0</v>
      </c>
      <c r="BX150" s="462">
        <f t="shared" si="41"/>
        <v>16439.397312000005</v>
      </c>
      <c r="BY150" s="462">
        <f t="shared" si="42"/>
        <v>0</v>
      </c>
      <c r="BZ150" s="462">
        <f t="shared" si="43"/>
        <v>0</v>
      </c>
      <c r="CA150" s="462">
        <f t="shared" si="44"/>
        <v>0</v>
      </c>
      <c r="CB150" s="462">
        <f t="shared" si="45"/>
        <v>0</v>
      </c>
      <c r="CC150" s="462">
        <f>IF(AT150&lt;&gt;0,SSHICHG*Y150,0)</f>
        <v>0</v>
      </c>
      <c r="CD150" s="462">
        <f>IF(AND(AT150&lt;&gt;0,AN150&lt;&gt;"NE"),VLOOKUP(AN150,Retirement_Rates,5,FALSE)*Y150,0)</f>
        <v>0</v>
      </c>
      <c r="CE150" s="462">
        <f>IF(AND(AT150&lt;&gt;0,AJ150&lt;&gt;"PF"),LifeCHG*Y150,0)</f>
        <v>0</v>
      </c>
      <c r="CF150" s="462">
        <f>IF(AND(AT150&lt;&gt;0,AM150="Y"),UICHG*Y150,0)</f>
        <v>-359.98144000000002</v>
      </c>
      <c r="CG150" s="462">
        <f>IF(AND(AT150&lt;&gt;0,N150&lt;&gt;"NR"),DHRCHG*Y150,0)</f>
        <v>0</v>
      </c>
      <c r="CH150" s="462">
        <f>IF(AT150&lt;&gt;0,WCCHG*Y150,0)</f>
        <v>168.97088000000014</v>
      </c>
      <c r="CI150" s="462">
        <f>IF(OR(AND(AT150&lt;&gt;0,AJ150&lt;&gt;"PF",AN150&lt;&gt;"NE",AG150&lt;&gt;"A"),AND(AL150="E",OR(AT150=1,AT150=3))),SickCHG*Y150,0)</f>
        <v>0</v>
      </c>
      <c r="CJ150" s="462">
        <f t="shared" si="46"/>
        <v>-191.01055999999988</v>
      </c>
      <c r="CK150" s="462" t="str">
        <f t="shared" si="47"/>
        <v/>
      </c>
      <c r="CL150" s="462" t="str">
        <f t="shared" si="48"/>
        <v/>
      </c>
      <c r="CM150" s="462" t="str">
        <f t="shared" si="49"/>
        <v/>
      </c>
      <c r="CN150" s="462" t="str">
        <f t="shared" si="50"/>
        <v>0332-07</v>
      </c>
    </row>
    <row r="151" spans="1:92" ht="15" thickBot="1" x14ac:dyDescent="0.35">
      <c r="A151" s="376" t="s">
        <v>161</v>
      </c>
      <c r="B151" s="376" t="s">
        <v>162</v>
      </c>
      <c r="C151" s="376" t="s">
        <v>636</v>
      </c>
      <c r="D151" s="376" t="s">
        <v>250</v>
      </c>
      <c r="E151" s="376" t="s">
        <v>535</v>
      </c>
      <c r="F151" s="382" t="s">
        <v>565</v>
      </c>
      <c r="G151" s="376" t="s">
        <v>356</v>
      </c>
      <c r="H151" s="378"/>
      <c r="I151" s="378"/>
      <c r="J151" s="376" t="s">
        <v>168</v>
      </c>
      <c r="K151" s="376" t="s">
        <v>251</v>
      </c>
      <c r="L151" s="376" t="s">
        <v>180</v>
      </c>
      <c r="M151" s="376" t="s">
        <v>170</v>
      </c>
      <c r="N151" s="376" t="s">
        <v>202</v>
      </c>
      <c r="O151" s="379">
        <v>1</v>
      </c>
      <c r="P151" s="460">
        <v>1</v>
      </c>
      <c r="Q151" s="460">
        <v>1</v>
      </c>
      <c r="R151" s="380">
        <v>80</v>
      </c>
      <c r="S151" s="460">
        <v>1</v>
      </c>
      <c r="T151" s="380">
        <v>69174.81</v>
      </c>
      <c r="U151" s="380">
        <v>0</v>
      </c>
      <c r="V151" s="380">
        <v>26262.86</v>
      </c>
      <c r="W151" s="380">
        <v>71926.399999999994</v>
      </c>
      <c r="X151" s="380">
        <v>27931.94</v>
      </c>
      <c r="Y151" s="380">
        <v>71926.399999999994</v>
      </c>
      <c r="Z151" s="380">
        <v>27744.94</v>
      </c>
      <c r="AA151" s="376" t="s">
        <v>637</v>
      </c>
      <c r="AB151" s="376" t="s">
        <v>638</v>
      </c>
      <c r="AC151" s="376" t="s">
        <v>639</v>
      </c>
      <c r="AD151" s="376" t="s">
        <v>278</v>
      </c>
      <c r="AE151" s="376" t="s">
        <v>251</v>
      </c>
      <c r="AF151" s="376" t="s">
        <v>256</v>
      </c>
      <c r="AG151" s="376" t="s">
        <v>177</v>
      </c>
      <c r="AH151" s="381">
        <v>34.58</v>
      </c>
      <c r="AI151" s="379">
        <v>7391</v>
      </c>
      <c r="AJ151" s="376" t="s">
        <v>178</v>
      </c>
      <c r="AK151" s="376" t="s">
        <v>179</v>
      </c>
      <c r="AL151" s="376" t="s">
        <v>180</v>
      </c>
      <c r="AM151" s="376" t="s">
        <v>181</v>
      </c>
      <c r="AN151" s="376" t="s">
        <v>68</v>
      </c>
      <c r="AO151" s="379">
        <v>80</v>
      </c>
      <c r="AP151" s="460">
        <v>1</v>
      </c>
      <c r="AQ151" s="460">
        <v>1</v>
      </c>
      <c r="AR151" s="458" t="s">
        <v>182</v>
      </c>
      <c r="AS151" s="462">
        <f t="shared" si="34"/>
        <v>1</v>
      </c>
      <c r="AT151">
        <f t="shared" si="35"/>
        <v>1</v>
      </c>
      <c r="AU151" s="462">
        <f>IF(AT151=0,"",IF(AND(AT151=1,M151="F",SUMIF(C2:C698,C151,AS2:AS698)&lt;=1),SUMIF(C2:C698,C151,AS2:AS698),IF(AND(AT151=1,M151="F",SUMIF(C2:C698,C151,AS2:AS698)&gt;1),1,"")))</f>
        <v>1</v>
      </c>
      <c r="AV151" s="462" t="str">
        <f>IF(AT151=0,"",IF(AND(AT151=3,M151="F",SUMIF(C2:C698,C151,AS2:AS698)&lt;=1),SUMIF(C2:C698,C151,AS2:AS698),IF(AND(AT151=3,M151="F",SUMIF(C2:C698,C151,AS2:AS698)&gt;1),1,"")))</f>
        <v/>
      </c>
      <c r="AW151" s="462">
        <f>SUMIF(C2:C698,C151,O2:O698)</f>
        <v>1</v>
      </c>
      <c r="AX151" s="462">
        <f>IF(AND(M151="F",AS151&lt;&gt;0),SUMIF(C2:C698,C151,W2:W698),0)</f>
        <v>71926.399999999994</v>
      </c>
      <c r="AY151" s="462">
        <f t="shared" si="36"/>
        <v>71926.399999999994</v>
      </c>
      <c r="AZ151" s="462" t="str">
        <f t="shared" si="37"/>
        <v/>
      </c>
      <c r="BA151" s="462">
        <f t="shared" si="38"/>
        <v>0</v>
      </c>
      <c r="BB151" s="462">
        <f>IF(AND(AT151=1,AK151="E",AU151&gt;=0.75,AW151=1),Health,IF(AND(AT151=1,AK151="E",AU151&gt;=0.75),Health*P151,IF(AND(AT151=1,AK151="E",AU151&gt;=0.5,AW151=1),PTHealth,IF(AND(AT151=1,AK151="E",AU151&gt;=0.5),PTHealth*P151,0))))</f>
        <v>11650</v>
      </c>
      <c r="BC151" s="462">
        <f>IF(AND(AT151=3,AK151="E",AV151&gt;=0.75,AW151=1),Health,IF(AND(AT151=3,AK151="E",AV151&gt;=0.75),Health*P151,IF(AND(AT151=3,AK151="E",AV151&gt;=0.5,AW151=1),PTHealth,IF(AND(AT151=3,AK151="E",AV151&gt;=0.5),PTHealth*P151,0))))</f>
        <v>0</v>
      </c>
      <c r="BD151" s="462">
        <f>IF(AND(AT151&lt;&gt;0,AX151&gt;=MAXSSDI),SSDI*MAXSSDI*P151,IF(AT151&lt;&gt;0,SSDI*W151,0))</f>
        <v>4459.4367999999995</v>
      </c>
      <c r="BE151" s="462">
        <f>IF(AT151&lt;&gt;0,SSHI*W151,0)</f>
        <v>1042.9328</v>
      </c>
      <c r="BF151" s="462">
        <f>IF(AND(AT151&lt;&gt;0,AN151&lt;&gt;"NE"),VLOOKUP(AN151,Retirement_Rates,3,FALSE)*W151,0)</f>
        <v>8588.0121600000002</v>
      </c>
      <c r="BG151" s="462">
        <f>IF(AND(AT151&lt;&gt;0,AJ151&lt;&gt;"PF"),Life*W151,0)</f>
        <v>518.58934399999998</v>
      </c>
      <c r="BH151" s="462">
        <f>IF(AND(AT151&lt;&gt;0,AM151="Y"),UI*W151,0)</f>
        <v>352.43935999999997</v>
      </c>
      <c r="BI151" s="462">
        <f>IF(AND(AT151&lt;&gt;0,N151&lt;&gt;"NR"),DHR*W151,0)</f>
        <v>220.09478399999998</v>
      </c>
      <c r="BJ151" s="462">
        <f>IF(AT151&lt;&gt;0,WC*W151,0)</f>
        <v>1100.4739199999999</v>
      </c>
      <c r="BK151" s="462">
        <f>IF(OR(AND(AT151&lt;&gt;0,AJ151&lt;&gt;"PF",AN151&lt;&gt;"NE",AG151&lt;&gt;"A"),AND(AL151="E",OR(AT151=1,AT151=3))),Sick*W151,0)</f>
        <v>0</v>
      </c>
      <c r="BL151" s="462">
        <f t="shared" si="39"/>
        <v>16281.979168000002</v>
      </c>
      <c r="BM151" s="462">
        <f t="shared" si="40"/>
        <v>0</v>
      </c>
      <c r="BN151" s="462">
        <f>IF(AND(AT151=1,AK151="E",AU151&gt;=0.75,AW151=1),HealthBY,IF(AND(AT151=1,AK151="E",AU151&gt;=0.75),HealthBY*P151,IF(AND(AT151=1,AK151="E",AU151&gt;=0.5,AW151=1),PTHealthBY,IF(AND(AT151=1,AK151="E",AU151&gt;=0.5),PTHealthBY*P151,0))))</f>
        <v>11650</v>
      </c>
      <c r="BO151" s="462">
        <f>IF(AND(AT151=3,AK151="E",AV151&gt;=0.75,AW151=1),HealthBY,IF(AND(AT151=3,AK151="E",AV151&gt;=0.75),HealthBY*P151,IF(AND(AT151=3,AK151="E",AV151&gt;=0.5,AW151=1),PTHealthBY,IF(AND(AT151=3,AK151="E",AV151&gt;=0.5),PTHealthBY*P151,0))))</f>
        <v>0</v>
      </c>
      <c r="BP151" s="462">
        <f>IF(AND(AT151&lt;&gt;0,(AX151+BA151)&gt;=MAXSSDIBY),SSDIBY*MAXSSDIBY*P151,IF(AT151&lt;&gt;0,SSDIBY*W151,0))</f>
        <v>4459.4367999999995</v>
      </c>
      <c r="BQ151" s="462">
        <f>IF(AT151&lt;&gt;0,SSHIBY*W151,0)</f>
        <v>1042.9328</v>
      </c>
      <c r="BR151" s="462">
        <f>IF(AND(AT151&lt;&gt;0,AN151&lt;&gt;"NE"),VLOOKUP(AN151,Retirement_Rates,4,FALSE)*W151,0)</f>
        <v>8588.0121600000002</v>
      </c>
      <c r="BS151" s="462">
        <f>IF(AND(AT151&lt;&gt;0,AJ151&lt;&gt;"PF"),LifeBY*W151,0)</f>
        <v>518.58934399999998</v>
      </c>
      <c r="BT151" s="462">
        <f>IF(AND(AT151&lt;&gt;0,AM151="Y"),UIBY*W151,0)</f>
        <v>0</v>
      </c>
      <c r="BU151" s="462">
        <f>IF(AND(AT151&lt;&gt;0,N151&lt;&gt;"NR"),DHRBY*W151,0)</f>
        <v>220.09478399999998</v>
      </c>
      <c r="BV151" s="462">
        <f>IF(AT151&lt;&gt;0,WCBY*W151,0)</f>
        <v>1265.90464</v>
      </c>
      <c r="BW151" s="462">
        <f>IF(OR(AND(AT151&lt;&gt;0,AJ151&lt;&gt;"PF",AN151&lt;&gt;"NE",AG151&lt;&gt;"A"),AND(AL151="E",OR(AT151=1,AT151=3))),SickBY*W151,0)</f>
        <v>0</v>
      </c>
      <c r="BX151" s="462">
        <f t="shared" si="41"/>
        <v>16094.970528000002</v>
      </c>
      <c r="BY151" s="462">
        <f t="shared" si="42"/>
        <v>0</v>
      </c>
      <c r="BZ151" s="462">
        <f t="shared" si="43"/>
        <v>0</v>
      </c>
      <c r="CA151" s="462">
        <f t="shared" si="44"/>
        <v>0</v>
      </c>
      <c r="CB151" s="462">
        <f t="shared" si="45"/>
        <v>0</v>
      </c>
      <c r="CC151" s="462">
        <f>IF(AT151&lt;&gt;0,SSHICHG*Y151,0)</f>
        <v>0</v>
      </c>
      <c r="CD151" s="462">
        <f>IF(AND(AT151&lt;&gt;0,AN151&lt;&gt;"NE"),VLOOKUP(AN151,Retirement_Rates,5,FALSE)*Y151,0)</f>
        <v>0</v>
      </c>
      <c r="CE151" s="462">
        <f>IF(AND(AT151&lt;&gt;0,AJ151&lt;&gt;"PF"),LifeCHG*Y151,0)</f>
        <v>0</v>
      </c>
      <c r="CF151" s="462">
        <f>IF(AND(AT151&lt;&gt;0,AM151="Y"),UICHG*Y151,0)</f>
        <v>-352.43935999999997</v>
      </c>
      <c r="CG151" s="462">
        <f>IF(AND(AT151&lt;&gt;0,N151&lt;&gt;"NR"),DHRCHG*Y151,0)</f>
        <v>0</v>
      </c>
      <c r="CH151" s="462">
        <f>IF(AT151&lt;&gt;0,WCCHG*Y151,0)</f>
        <v>165.43072000000012</v>
      </c>
      <c r="CI151" s="462">
        <f>IF(OR(AND(AT151&lt;&gt;0,AJ151&lt;&gt;"PF",AN151&lt;&gt;"NE",AG151&lt;&gt;"A"),AND(AL151="E",OR(AT151=1,AT151=3))),SickCHG*Y151,0)</f>
        <v>0</v>
      </c>
      <c r="CJ151" s="462">
        <f t="shared" si="46"/>
        <v>-187.00863999999984</v>
      </c>
      <c r="CK151" s="462" t="str">
        <f t="shared" si="47"/>
        <v/>
      </c>
      <c r="CL151" s="462" t="str">
        <f t="shared" si="48"/>
        <v/>
      </c>
      <c r="CM151" s="462" t="str">
        <f t="shared" si="49"/>
        <v/>
      </c>
      <c r="CN151" s="462" t="str">
        <f t="shared" si="50"/>
        <v>0332-07</v>
      </c>
    </row>
    <row r="152" spans="1:92" ht="15" thickBot="1" x14ac:dyDescent="0.35">
      <c r="A152" s="376" t="s">
        <v>161</v>
      </c>
      <c r="B152" s="376" t="s">
        <v>162</v>
      </c>
      <c r="C152" s="376" t="s">
        <v>483</v>
      </c>
      <c r="D152" s="376" t="s">
        <v>362</v>
      </c>
      <c r="E152" s="376" t="s">
        <v>535</v>
      </c>
      <c r="F152" s="382" t="s">
        <v>565</v>
      </c>
      <c r="G152" s="376" t="s">
        <v>356</v>
      </c>
      <c r="H152" s="378"/>
      <c r="I152" s="378"/>
      <c r="J152" s="376" t="s">
        <v>185</v>
      </c>
      <c r="K152" s="376" t="s">
        <v>363</v>
      </c>
      <c r="L152" s="376" t="s">
        <v>200</v>
      </c>
      <c r="M152" s="376" t="s">
        <v>170</v>
      </c>
      <c r="N152" s="376" t="s">
        <v>202</v>
      </c>
      <c r="O152" s="379">
        <v>1</v>
      </c>
      <c r="P152" s="460">
        <v>0</v>
      </c>
      <c r="Q152" s="460">
        <v>0</v>
      </c>
      <c r="R152" s="380">
        <v>80</v>
      </c>
      <c r="S152" s="460">
        <v>0</v>
      </c>
      <c r="T152" s="380">
        <v>64.260000000000005</v>
      </c>
      <c r="U152" s="380">
        <v>0</v>
      </c>
      <c r="V152" s="380">
        <v>31.61</v>
      </c>
      <c r="W152" s="380">
        <v>0</v>
      </c>
      <c r="X152" s="380">
        <v>0</v>
      </c>
      <c r="Y152" s="380">
        <v>0</v>
      </c>
      <c r="Z152" s="380">
        <v>0</v>
      </c>
      <c r="AA152" s="376" t="s">
        <v>484</v>
      </c>
      <c r="AB152" s="376" t="s">
        <v>485</v>
      </c>
      <c r="AC152" s="376" t="s">
        <v>231</v>
      </c>
      <c r="AD152" s="376" t="s">
        <v>486</v>
      </c>
      <c r="AE152" s="376" t="s">
        <v>363</v>
      </c>
      <c r="AF152" s="376" t="s">
        <v>210</v>
      </c>
      <c r="AG152" s="376" t="s">
        <v>177</v>
      </c>
      <c r="AH152" s="381">
        <v>22.5</v>
      </c>
      <c r="AI152" s="381">
        <v>13101.2</v>
      </c>
      <c r="AJ152" s="376" t="s">
        <v>178</v>
      </c>
      <c r="AK152" s="376" t="s">
        <v>179</v>
      </c>
      <c r="AL152" s="376" t="s">
        <v>180</v>
      </c>
      <c r="AM152" s="376" t="s">
        <v>181</v>
      </c>
      <c r="AN152" s="376" t="s">
        <v>68</v>
      </c>
      <c r="AO152" s="379">
        <v>80</v>
      </c>
      <c r="AP152" s="460">
        <v>1</v>
      </c>
      <c r="AQ152" s="460">
        <v>0</v>
      </c>
      <c r="AR152" s="458" t="s">
        <v>182</v>
      </c>
      <c r="AS152" s="462">
        <f t="shared" si="34"/>
        <v>0</v>
      </c>
      <c r="AT152">
        <f t="shared" si="35"/>
        <v>0</v>
      </c>
      <c r="AU152" s="462" t="str">
        <f>IF(AT152=0,"",IF(AND(AT152=1,M152="F",SUMIF(C2:C698,C152,AS2:AS698)&lt;=1),SUMIF(C2:C698,C152,AS2:AS698),IF(AND(AT152=1,M152="F",SUMIF(C2:C698,C152,AS2:AS698)&gt;1),1,"")))</f>
        <v/>
      </c>
      <c r="AV152" s="462" t="str">
        <f>IF(AT152=0,"",IF(AND(AT152=3,M152="F",SUMIF(C2:C698,C152,AS2:AS698)&lt;=1),SUMIF(C2:C698,C152,AS2:AS698),IF(AND(AT152=3,M152="F",SUMIF(C2:C698,C152,AS2:AS698)&gt;1),1,"")))</f>
        <v/>
      </c>
      <c r="AW152" s="462">
        <f>SUMIF(C2:C698,C152,O2:O698)</f>
        <v>4</v>
      </c>
      <c r="AX152" s="462">
        <f>IF(AND(M152="F",AS152&lt;&gt;0),SUMIF(C2:C698,C152,W2:W698),0)</f>
        <v>0</v>
      </c>
      <c r="AY152" s="462" t="str">
        <f t="shared" si="36"/>
        <v/>
      </c>
      <c r="AZ152" s="462" t="str">
        <f t="shared" si="37"/>
        <v/>
      </c>
      <c r="BA152" s="462">
        <f t="shared" si="38"/>
        <v>0</v>
      </c>
      <c r="BB152" s="462">
        <f>IF(AND(AT152=1,AK152="E",AU152&gt;=0.75,AW152=1),Health,IF(AND(AT152=1,AK152="E",AU152&gt;=0.75),Health*P152,IF(AND(AT152=1,AK152="E",AU152&gt;=0.5,AW152=1),PTHealth,IF(AND(AT152=1,AK152="E",AU152&gt;=0.5),PTHealth*P152,0))))</f>
        <v>0</v>
      </c>
      <c r="BC152" s="462">
        <f>IF(AND(AT152=3,AK152="E",AV152&gt;=0.75,AW152=1),Health,IF(AND(AT152=3,AK152="E",AV152&gt;=0.75),Health*P152,IF(AND(AT152=3,AK152="E",AV152&gt;=0.5,AW152=1),PTHealth,IF(AND(AT152=3,AK152="E",AV152&gt;=0.5),PTHealth*P152,0))))</f>
        <v>0</v>
      </c>
      <c r="BD152" s="462">
        <f>IF(AND(AT152&lt;&gt;0,AX152&gt;=MAXSSDI),SSDI*MAXSSDI*P152,IF(AT152&lt;&gt;0,SSDI*W152,0))</f>
        <v>0</v>
      </c>
      <c r="BE152" s="462">
        <f>IF(AT152&lt;&gt;0,SSHI*W152,0)</f>
        <v>0</v>
      </c>
      <c r="BF152" s="462">
        <f>IF(AND(AT152&lt;&gt;0,AN152&lt;&gt;"NE"),VLOOKUP(AN152,Retirement_Rates,3,FALSE)*W152,0)</f>
        <v>0</v>
      </c>
      <c r="BG152" s="462">
        <f>IF(AND(AT152&lt;&gt;0,AJ152&lt;&gt;"PF"),Life*W152,0)</f>
        <v>0</v>
      </c>
      <c r="BH152" s="462">
        <f>IF(AND(AT152&lt;&gt;0,AM152="Y"),UI*W152,0)</f>
        <v>0</v>
      </c>
      <c r="BI152" s="462">
        <f>IF(AND(AT152&lt;&gt;0,N152&lt;&gt;"NR"),DHR*W152,0)</f>
        <v>0</v>
      </c>
      <c r="BJ152" s="462">
        <f>IF(AT152&lt;&gt;0,WC*W152,0)</f>
        <v>0</v>
      </c>
      <c r="BK152" s="462">
        <f>IF(OR(AND(AT152&lt;&gt;0,AJ152&lt;&gt;"PF",AN152&lt;&gt;"NE",AG152&lt;&gt;"A"),AND(AL152="E",OR(AT152=1,AT152=3))),Sick*W152,0)</f>
        <v>0</v>
      </c>
      <c r="BL152" s="462">
        <f t="shared" si="39"/>
        <v>0</v>
      </c>
      <c r="BM152" s="462">
        <f t="shared" si="40"/>
        <v>0</v>
      </c>
      <c r="BN152" s="462">
        <f>IF(AND(AT152=1,AK152="E",AU152&gt;=0.75,AW152=1),HealthBY,IF(AND(AT152=1,AK152="E",AU152&gt;=0.75),HealthBY*P152,IF(AND(AT152=1,AK152="E",AU152&gt;=0.5,AW152=1),PTHealthBY,IF(AND(AT152=1,AK152="E",AU152&gt;=0.5),PTHealthBY*P152,0))))</f>
        <v>0</v>
      </c>
      <c r="BO152" s="462">
        <f>IF(AND(AT152=3,AK152="E",AV152&gt;=0.75,AW152=1),HealthBY,IF(AND(AT152=3,AK152="E",AV152&gt;=0.75),HealthBY*P152,IF(AND(AT152=3,AK152="E",AV152&gt;=0.5,AW152=1),PTHealthBY,IF(AND(AT152=3,AK152="E",AV152&gt;=0.5),PTHealthBY*P152,0))))</f>
        <v>0</v>
      </c>
      <c r="BP152" s="462">
        <f>IF(AND(AT152&lt;&gt;0,(AX152+BA152)&gt;=MAXSSDIBY),SSDIBY*MAXSSDIBY*P152,IF(AT152&lt;&gt;0,SSDIBY*W152,0))</f>
        <v>0</v>
      </c>
      <c r="BQ152" s="462">
        <f>IF(AT152&lt;&gt;0,SSHIBY*W152,0)</f>
        <v>0</v>
      </c>
      <c r="BR152" s="462">
        <f>IF(AND(AT152&lt;&gt;0,AN152&lt;&gt;"NE"),VLOOKUP(AN152,Retirement_Rates,4,FALSE)*W152,0)</f>
        <v>0</v>
      </c>
      <c r="BS152" s="462">
        <f>IF(AND(AT152&lt;&gt;0,AJ152&lt;&gt;"PF"),LifeBY*W152,0)</f>
        <v>0</v>
      </c>
      <c r="BT152" s="462">
        <f>IF(AND(AT152&lt;&gt;0,AM152="Y"),UIBY*W152,0)</f>
        <v>0</v>
      </c>
      <c r="BU152" s="462">
        <f>IF(AND(AT152&lt;&gt;0,N152&lt;&gt;"NR"),DHRBY*W152,0)</f>
        <v>0</v>
      </c>
      <c r="BV152" s="462">
        <f>IF(AT152&lt;&gt;0,WCBY*W152,0)</f>
        <v>0</v>
      </c>
      <c r="BW152" s="462">
        <f>IF(OR(AND(AT152&lt;&gt;0,AJ152&lt;&gt;"PF",AN152&lt;&gt;"NE",AG152&lt;&gt;"A"),AND(AL152="E",OR(AT152=1,AT152=3))),SickBY*W152,0)</f>
        <v>0</v>
      </c>
      <c r="BX152" s="462">
        <f t="shared" si="41"/>
        <v>0</v>
      </c>
      <c r="BY152" s="462">
        <f t="shared" si="42"/>
        <v>0</v>
      </c>
      <c r="BZ152" s="462">
        <f t="shared" si="43"/>
        <v>0</v>
      </c>
      <c r="CA152" s="462">
        <f t="shared" si="44"/>
        <v>0</v>
      </c>
      <c r="CB152" s="462">
        <f t="shared" si="45"/>
        <v>0</v>
      </c>
      <c r="CC152" s="462">
        <f>IF(AT152&lt;&gt;0,SSHICHG*Y152,0)</f>
        <v>0</v>
      </c>
      <c r="CD152" s="462">
        <f>IF(AND(AT152&lt;&gt;0,AN152&lt;&gt;"NE"),VLOOKUP(AN152,Retirement_Rates,5,FALSE)*Y152,0)</f>
        <v>0</v>
      </c>
      <c r="CE152" s="462">
        <f>IF(AND(AT152&lt;&gt;0,AJ152&lt;&gt;"PF"),LifeCHG*Y152,0)</f>
        <v>0</v>
      </c>
      <c r="CF152" s="462">
        <f>IF(AND(AT152&lt;&gt;0,AM152="Y"),UICHG*Y152,0)</f>
        <v>0</v>
      </c>
      <c r="CG152" s="462">
        <f>IF(AND(AT152&lt;&gt;0,N152&lt;&gt;"NR"),DHRCHG*Y152,0)</f>
        <v>0</v>
      </c>
      <c r="CH152" s="462">
        <f>IF(AT152&lt;&gt;0,WCCHG*Y152,0)</f>
        <v>0</v>
      </c>
      <c r="CI152" s="462">
        <f>IF(OR(AND(AT152&lt;&gt;0,AJ152&lt;&gt;"PF",AN152&lt;&gt;"NE",AG152&lt;&gt;"A"),AND(AL152="E",OR(AT152=1,AT152=3))),SickCHG*Y152,0)</f>
        <v>0</v>
      </c>
      <c r="CJ152" s="462">
        <f t="shared" si="46"/>
        <v>0</v>
      </c>
      <c r="CK152" s="462" t="str">
        <f t="shared" si="47"/>
        <v/>
      </c>
      <c r="CL152" s="462" t="str">
        <f t="shared" si="48"/>
        <v/>
      </c>
      <c r="CM152" s="462" t="str">
        <f t="shared" si="49"/>
        <v/>
      </c>
      <c r="CN152" s="462" t="str">
        <f t="shared" si="50"/>
        <v>0332-07</v>
      </c>
    </row>
    <row r="153" spans="1:92" ht="15" thickBot="1" x14ac:dyDescent="0.35">
      <c r="A153" s="376" t="s">
        <v>161</v>
      </c>
      <c r="B153" s="376" t="s">
        <v>162</v>
      </c>
      <c r="C153" s="376" t="s">
        <v>490</v>
      </c>
      <c r="D153" s="376" t="s">
        <v>457</v>
      </c>
      <c r="E153" s="376" t="s">
        <v>535</v>
      </c>
      <c r="F153" s="382" t="s">
        <v>565</v>
      </c>
      <c r="G153" s="376" t="s">
        <v>356</v>
      </c>
      <c r="H153" s="378"/>
      <c r="I153" s="378"/>
      <c r="J153" s="376" t="s">
        <v>185</v>
      </c>
      <c r="K153" s="376" t="s">
        <v>458</v>
      </c>
      <c r="L153" s="376" t="s">
        <v>177</v>
      </c>
      <c r="M153" s="376" t="s">
        <v>170</v>
      </c>
      <c r="N153" s="376" t="s">
        <v>202</v>
      </c>
      <c r="O153" s="379">
        <v>1</v>
      </c>
      <c r="P153" s="460">
        <v>1</v>
      </c>
      <c r="Q153" s="460">
        <v>1</v>
      </c>
      <c r="R153" s="380">
        <v>80</v>
      </c>
      <c r="S153" s="460">
        <v>1</v>
      </c>
      <c r="T153" s="380">
        <v>30934.5</v>
      </c>
      <c r="U153" s="380">
        <v>0</v>
      </c>
      <c r="V153" s="380">
        <v>17503.03</v>
      </c>
      <c r="W153" s="380">
        <v>33633.599999999999</v>
      </c>
      <c r="X153" s="380">
        <v>19263.599999999999</v>
      </c>
      <c r="Y153" s="380">
        <v>33633.599999999999</v>
      </c>
      <c r="Z153" s="380">
        <v>19176.16</v>
      </c>
      <c r="AA153" s="376" t="s">
        <v>491</v>
      </c>
      <c r="AB153" s="376" t="s">
        <v>492</v>
      </c>
      <c r="AC153" s="376" t="s">
        <v>493</v>
      </c>
      <c r="AD153" s="376" t="s">
        <v>200</v>
      </c>
      <c r="AE153" s="376" t="s">
        <v>458</v>
      </c>
      <c r="AF153" s="376" t="s">
        <v>436</v>
      </c>
      <c r="AG153" s="376" t="s">
        <v>177</v>
      </c>
      <c r="AH153" s="381">
        <v>16.170000000000002</v>
      </c>
      <c r="AI153" s="379">
        <v>6680</v>
      </c>
      <c r="AJ153" s="376" t="s">
        <v>178</v>
      </c>
      <c r="AK153" s="376" t="s">
        <v>179</v>
      </c>
      <c r="AL153" s="376" t="s">
        <v>180</v>
      </c>
      <c r="AM153" s="376" t="s">
        <v>181</v>
      </c>
      <c r="AN153" s="376" t="s">
        <v>68</v>
      </c>
      <c r="AO153" s="379">
        <v>80</v>
      </c>
      <c r="AP153" s="460">
        <v>1</v>
      </c>
      <c r="AQ153" s="460">
        <v>1</v>
      </c>
      <c r="AR153" s="458" t="s">
        <v>182</v>
      </c>
      <c r="AS153" s="462">
        <f t="shared" si="34"/>
        <v>1</v>
      </c>
      <c r="AT153">
        <f t="shared" si="35"/>
        <v>1</v>
      </c>
      <c r="AU153" s="462">
        <f>IF(AT153=0,"",IF(AND(AT153=1,M153="F",SUMIF(C2:C698,C153,AS2:AS698)&lt;=1),SUMIF(C2:C698,C153,AS2:AS698),IF(AND(AT153=1,M153="F",SUMIF(C2:C698,C153,AS2:AS698)&gt;1),1,"")))</f>
        <v>1</v>
      </c>
      <c r="AV153" s="462" t="str">
        <f>IF(AT153=0,"",IF(AND(AT153=3,M153="F",SUMIF(C2:C698,C153,AS2:AS698)&lt;=1),SUMIF(C2:C698,C153,AS2:AS698),IF(AND(AT153=3,M153="F",SUMIF(C2:C698,C153,AS2:AS698)&gt;1),1,"")))</f>
        <v/>
      </c>
      <c r="AW153" s="462">
        <f>SUMIF(C2:C698,C153,O2:O698)</f>
        <v>3</v>
      </c>
      <c r="AX153" s="462">
        <f>IF(AND(M153="F",AS153&lt;&gt;0),SUMIF(C2:C698,C153,W2:W698),0)</f>
        <v>33633.599999999999</v>
      </c>
      <c r="AY153" s="462">
        <f t="shared" si="36"/>
        <v>33633.599999999999</v>
      </c>
      <c r="AZ153" s="462" t="str">
        <f t="shared" si="37"/>
        <v/>
      </c>
      <c r="BA153" s="462">
        <f t="shared" si="38"/>
        <v>0</v>
      </c>
      <c r="BB153" s="462">
        <f>IF(AND(AT153=1,AK153="E",AU153&gt;=0.75,AW153=1),Health,IF(AND(AT153=1,AK153="E",AU153&gt;=0.75),Health*P153,IF(AND(AT153=1,AK153="E",AU153&gt;=0.5,AW153=1),PTHealth,IF(AND(AT153=1,AK153="E",AU153&gt;=0.5),PTHealth*P153,0))))</f>
        <v>11650</v>
      </c>
      <c r="BC153" s="462">
        <f>IF(AND(AT153=3,AK153="E",AV153&gt;=0.75,AW153=1),Health,IF(AND(AT153=3,AK153="E",AV153&gt;=0.75),Health*P153,IF(AND(AT153=3,AK153="E",AV153&gt;=0.5,AW153=1),PTHealth,IF(AND(AT153=3,AK153="E",AV153&gt;=0.5),PTHealth*P153,0))))</f>
        <v>0</v>
      </c>
      <c r="BD153" s="462">
        <f>IF(AND(AT153&lt;&gt;0,AX153&gt;=MAXSSDI),SSDI*MAXSSDI*P153,IF(AT153&lt;&gt;0,SSDI*W153,0))</f>
        <v>2085.2831999999999</v>
      </c>
      <c r="BE153" s="462">
        <f>IF(AT153&lt;&gt;0,SSHI*W153,0)</f>
        <v>487.68720000000002</v>
      </c>
      <c r="BF153" s="462">
        <f>IF(AND(AT153&lt;&gt;0,AN153&lt;&gt;"NE"),VLOOKUP(AN153,Retirement_Rates,3,FALSE)*W153,0)</f>
        <v>4015.8518399999998</v>
      </c>
      <c r="BG153" s="462">
        <f>IF(AND(AT153&lt;&gt;0,AJ153&lt;&gt;"PF"),Life*W153,0)</f>
        <v>242.498256</v>
      </c>
      <c r="BH153" s="462">
        <f>IF(AND(AT153&lt;&gt;0,AM153="Y"),UI*W153,0)</f>
        <v>164.80463999999998</v>
      </c>
      <c r="BI153" s="462">
        <f>IF(AND(AT153&lt;&gt;0,N153&lt;&gt;"NR"),DHR*W153,0)</f>
        <v>102.91881599999999</v>
      </c>
      <c r="BJ153" s="462">
        <f>IF(AT153&lt;&gt;0,WC*W153,0)</f>
        <v>514.59407999999996</v>
      </c>
      <c r="BK153" s="462">
        <f>IF(OR(AND(AT153&lt;&gt;0,AJ153&lt;&gt;"PF",AN153&lt;&gt;"NE",AG153&lt;&gt;"A"),AND(AL153="E",OR(AT153=1,AT153=3))),Sick*W153,0)</f>
        <v>0</v>
      </c>
      <c r="BL153" s="462">
        <f t="shared" si="39"/>
        <v>7613.6380319999998</v>
      </c>
      <c r="BM153" s="462">
        <f t="shared" si="40"/>
        <v>0</v>
      </c>
      <c r="BN153" s="462">
        <f>IF(AND(AT153=1,AK153="E",AU153&gt;=0.75,AW153=1),HealthBY,IF(AND(AT153=1,AK153="E",AU153&gt;=0.75),HealthBY*P153,IF(AND(AT153=1,AK153="E",AU153&gt;=0.5,AW153=1),PTHealthBY,IF(AND(AT153=1,AK153="E",AU153&gt;=0.5),PTHealthBY*P153,0))))</f>
        <v>11650</v>
      </c>
      <c r="BO153" s="462">
        <f>IF(AND(AT153=3,AK153="E",AV153&gt;=0.75,AW153=1),HealthBY,IF(AND(AT153=3,AK153="E",AV153&gt;=0.75),HealthBY*P153,IF(AND(AT153=3,AK153="E",AV153&gt;=0.5,AW153=1),PTHealthBY,IF(AND(AT153=3,AK153="E",AV153&gt;=0.5),PTHealthBY*P153,0))))</f>
        <v>0</v>
      </c>
      <c r="BP153" s="462">
        <f>IF(AND(AT153&lt;&gt;0,(AX153+BA153)&gt;=MAXSSDIBY),SSDIBY*MAXSSDIBY*P153,IF(AT153&lt;&gt;0,SSDIBY*W153,0))</f>
        <v>2085.2831999999999</v>
      </c>
      <c r="BQ153" s="462">
        <f>IF(AT153&lt;&gt;0,SSHIBY*W153,0)</f>
        <v>487.68720000000002</v>
      </c>
      <c r="BR153" s="462">
        <f>IF(AND(AT153&lt;&gt;0,AN153&lt;&gt;"NE"),VLOOKUP(AN153,Retirement_Rates,4,FALSE)*W153,0)</f>
        <v>4015.8518399999998</v>
      </c>
      <c r="BS153" s="462">
        <f>IF(AND(AT153&lt;&gt;0,AJ153&lt;&gt;"PF"),LifeBY*W153,0)</f>
        <v>242.498256</v>
      </c>
      <c r="BT153" s="462">
        <f>IF(AND(AT153&lt;&gt;0,AM153="Y"),UIBY*W153,0)</f>
        <v>0</v>
      </c>
      <c r="BU153" s="462">
        <f>IF(AND(AT153&lt;&gt;0,N153&lt;&gt;"NR"),DHRBY*W153,0)</f>
        <v>102.91881599999999</v>
      </c>
      <c r="BV153" s="462">
        <f>IF(AT153&lt;&gt;0,WCBY*W153,0)</f>
        <v>591.95136000000002</v>
      </c>
      <c r="BW153" s="462">
        <f>IF(OR(AND(AT153&lt;&gt;0,AJ153&lt;&gt;"PF",AN153&lt;&gt;"NE",AG153&lt;&gt;"A"),AND(AL153="E",OR(AT153=1,AT153=3))),SickBY*W153,0)</f>
        <v>0</v>
      </c>
      <c r="BX153" s="462">
        <f t="shared" si="41"/>
        <v>7526.1906719999997</v>
      </c>
      <c r="BY153" s="462">
        <f t="shared" si="42"/>
        <v>0</v>
      </c>
      <c r="BZ153" s="462">
        <f t="shared" si="43"/>
        <v>0</v>
      </c>
      <c r="CA153" s="462">
        <f t="shared" si="44"/>
        <v>0</v>
      </c>
      <c r="CB153" s="462">
        <f t="shared" si="45"/>
        <v>0</v>
      </c>
      <c r="CC153" s="462">
        <f>IF(AT153&lt;&gt;0,SSHICHG*Y153,0)</f>
        <v>0</v>
      </c>
      <c r="CD153" s="462">
        <f>IF(AND(AT153&lt;&gt;0,AN153&lt;&gt;"NE"),VLOOKUP(AN153,Retirement_Rates,5,FALSE)*Y153,0)</f>
        <v>0</v>
      </c>
      <c r="CE153" s="462">
        <f>IF(AND(AT153&lt;&gt;0,AJ153&lt;&gt;"PF"),LifeCHG*Y153,0)</f>
        <v>0</v>
      </c>
      <c r="CF153" s="462">
        <f>IF(AND(AT153&lt;&gt;0,AM153="Y"),UICHG*Y153,0)</f>
        <v>-164.80463999999998</v>
      </c>
      <c r="CG153" s="462">
        <f>IF(AND(AT153&lt;&gt;0,N153&lt;&gt;"NR"),DHRCHG*Y153,0)</f>
        <v>0</v>
      </c>
      <c r="CH153" s="462">
        <f>IF(AT153&lt;&gt;0,WCCHG*Y153,0)</f>
        <v>77.35728000000006</v>
      </c>
      <c r="CI153" s="462">
        <f>IF(OR(AND(AT153&lt;&gt;0,AJ153&lt;&gt;"PF",AN153&lt;&gt;"NE",AG153&lt;&gt;"A"),AND(AL153="E",OR(AT153=1,AT153=3))),SickCHG*Y153,0)</f>
        <v>0</v>
      </c>
      <c r="CJ153" s="462">
        <f t="shared" si="46"/>
        <v>-87.447359999999918</v>
      </c>
      <c r="CK153" s="462" t="str">
        <f t="shared" si="47"/>
        <v/>
      </c>
      <c r="CL153" s="462" t="str">
        <f t="shared" si="48"/>
        <v/>
      </c>
      <c r="CM153" s="462" t="str">
        <f t="shared" si="49"/>
        <v/>
      </c>
      <c r="CN153" s="462" t="str">
        <f t="shared" si="50"/>
        <v>0332-07</v>
      </c>
    </row>
    <row r="154" spans="1:92" ht="15" thickBot="1" x14ac:dyDescent="0.35">
      <c r="A154" s="376" t="s">
        <v>161</v>
      </c>
      <c r="B154" s="376" t="s">
        <v>162</v>
      </c>
      <c r="C154" s="376" t="s">
        <v>542</v>
      </c>
      <c r="D154" s="376" t="s">
        <v>372</v>
      </c>
      <c r="E154" s="376" t="s">
        <v>535</v>
      </c>
      <c r="F154" s="382" t="s">
        <v>565</v>
      </c>
      <c r="G154" s="376" t="s">
        <v>356</v>
      </c>
      <c r="H154" s="378"/>
      <c r="I154" s="378"/>
      <c r="J154" s="376" t="s">
        <v>168</v>
      </c>
      <c r="K154" s="376" t="s">
        <v>373</v>
      </c>
      <c r="L154" s="376" t="s">
        <v>374</v>
      </c>
      <c r="M154" s="376" t="s">
        <v>170</v>
      </c>
      <c r="N154" s="376" t="s">
        <v>202</v>
      </c>
      <c r="O154" s="379">
        <v>1</v>
      </c>
      <c r="P154" s="460">
        <v>0</v>
      </c>
      <c r="Q154" s="460">
        <v>0</v>
      </c>
      <c r="R154" s="380">
        <v>80</v>
      </c>
      <c r="S154" s="460">
        <v>0</v>
      </c>
      <c r="T154" s="380">
        <v>8028.88</v>
      </c>
      <c r="U154" s="380">
        <v>0</v>
      </c>
      <c r="V154" s="380">
        <v>2809.75</v>
      </c>
      <c r="W154" s="380">
        <v>0</v>
      </c>
      <c r="X154" s="380">
        <v>0</v>
      </c>
      <c r="Y154" s="380">
        <v>0</v>
      </c>
      <c r="Z154" s="380">
        <v>0</v>
      </c>
      <c r="AA154" s="376" t="s">
        <v>543</v>
      </c>
      <c r="AB154" s="376" t="s">
        <v>544</v>
      </c>
      <c r="AC154" s="376" t="s">
        <v>231</v>
      </c>
      <c r="AD154" s="376" t="s">
        <v>545</v>
      </c>
      <c r="AE154" s="376" t="s">
        <v>373</v>
      </c>
      <c r="AF154" s="376" t="s">
        <v>378</v>
      </c>
      <c r="AG154" s="376" t="s">
        <v>177</v>
      </c>
      <c r="AH154" s="381">
        <v>41.69</v>
      </c>
      <c r="AI154" s="381">
        <v>50266.5</v>
      </c>
      <c r="AJ154" s="376" t="s">
        <v>178</v>
      </c>
      <c r="AK154" s="376" t="s">
        <v>179</v>
      </c>
      <c r="AL154" s="376" t="s">
        <v>180</v>
      </c>
      <c r="AM154" s="376" t="s">
        <v>181</v>
      </c>
      <c r="AN154" s="376" t="s">
        <v>68</v>
      </c>
      <c r="AO154" s="379">
        <v>80</v>
      </c>
      <c r="AP154" s="460">
        <v>1</v>
      </c>
      <c r="AQ154" s="460">
        <v>0</v>
      </c>
      <c r="AR154" s="458" t="s">
        <v>182</v>
      </c>
      <c r="AS154" s="462">
        <f t="shared" si="34"/>
        <v>0</v>
      </c>
      <c r="AT154">
        <f t="shared" si="35"/>
        <v>0</v>
      </c>
      <c r="AU154" s="462" t="str">
        <f>IF(AT154=0,"",IF(AND(AT154=1,M154="F",SUMIF(C2:C698,C154,AS2:AS698)&lt;=1),SUMIF(C2:C698,C154,AS2:AS698),IF(AND(AT154=1,M154="F",SUMIF(C2:C698,C154,AS2:AS698)&gt;1),1,"")))</f>
        <v/>
      </c>
      <c r="AV154" s="462" t="str">
        <f>IF(AT154=0,"",IF(AND(AT154=3,M154="F",SUMIF(C2:C698,C154,AS2:AS698)&lt;=1),SUMIF(C2:C698,C154,AS2:AS698),IF(AND(AT154=3,M154="F",SUMIF(C2:C698,C154,AS2:AS698)&gt;1),1,"")))</f>
        <v/>
      </c>
      <c r="AW154" s="462">
        <f>SUMIF(C2:C698,C154,O2:O698)</f>
        <v>6</v>
      </c>
      <c r="AX154" s="462">
        <f>IF(AND(M154="F",AS154&lt;&gt;0),SUMIF(C2:C698,C154,W2:W698),0)</f>
        <v>0</v>
      </c>
      <c r="AY154" s="462" t="str">
        <f t="shared" si="36"/>
        <v/>
      </c>
      <c r="AZ154" s="462" t="str">
        <f t="shared" si="37"/>
        <v/>
      </c>
      <c r="BA154" s="462">
        <f t="shared" si="38"/>
        <v>0</v>
      </c>
      <c r="BB154" s="462">
        <f>IF(AND(AT154=1,AK154="E",AU154&gt;=0.75,AW154=1),Health,IF(AND(AT154=1,AK154="E",AU154&gt;=0.75),Health*P154,IF(AND(AT154=1,AK154="E",AU154&gt;=0.5,AW154=1),PTHealth,IF(AND(AT154=1,AK154="E",AU154&gt;=0.5),PTHealth*P154,0))))</f>
        <v>0</v>
      </c>
      <c r="BC154" s="462">
        <f>IF(AND(AT154=3,AK154="E",AV154&gt;=0.75,AW154=1),Health,IF(AND(AT154=3,AK154="E",AV154&gt;=0.75),Health*P154,IF(AND(AT154=3,AK154="E",AV154&gt;=0.5,AW154=1),PTHealth,IF(AND(AT154=3,AK154="E",AV154&gt;=0.5),PTHealth*P154,0))))</f>
        <v>0</v>
      </c>
      <c r="BD154" s="462">
        <f>IF(AND(AT154&lt;&gt;0,AX154&gt;=MAXSSDI),SSDI*MAXSSDI*P154,IF(AT154&lt;&gt;0,SSDI*W154,0))</f>
        <v>0</v>
      </c>
      <c r="BE154" s="462">
        <f>IF(AT154&lt;&gt;0,SSHI*W154,0)</f>
        <v>0</v>
      </c>
      <c r="BF154" s="462">
        <f>IF(AND(AT154&lt;&gt;0,AN154&lt;&gt;"NE"),VLOOKUP(AN154,Retirement_Rates,3,FALSE)*W154,0)</f>
        <v>0</v>
      </c>
      <c r="BG154" s="462">
        <f>IF(AND(AT154&lt;&gt;0,AJ154&lt;&gt;"PF"),Life*W154,0)</f>
        <v>0</v>
      </c>
      <c r="BH154" s="462">
        <f>IF(AND(AT154&lt;&gt;0,AM154="Y"),UI*W154,0)</f>
        <v>0</v>
      </c>
      <c r="BI154" s="462">
        <f>IF(AND(AT154&lt;&gt;0,N154&lt;&gt;"NR"),DHR*W154,0)</f>
        <v>0</v>
      </c>
      <c r="BJ154" s="462">
        <f>IF(AT154&lt;&gt;0,WC*W154,0)</f>
        <v>0</v>
      </c>
      <c r="BK154" s="462">
        <f>IF(OR(AND(AT154&lt;&gt;0,AJ154&lt;&gt;"PF",AN154&lt;&gt;"NE",AG154&lt;&gt;"A"),AND(AL154="E",OR(AT154=1,AT154=3))),Sick*W154,0)</f>
        <v>0</v>
      </c>
      <c r="BL154" s="462">
        <f t="shared" si="39"/>
        <v>0</v>
      </c>
      <c r="BM154" s="462">
        <f t="shared" si="40"/>
        <v>0</v>
      </c>
      <c r="BN154" s="462">
        <f>IF(AND(AT154=1,AK154="E",AU154&gt;=0.75,AW154=1),HealthBY,IF(AND(AT154=1,AK154="E",AU154&gt;=0.75),HealthBY*P154,IF(AND(AT154=1,AK154="E",AU154&gt;=0.5,AW154=1),PTHealthBY,IF(AND(AT154=1,AK154="E",AU154&gt;=0.5),PTHealthBY*P154,0))))</f>
        <v>0</v>
      </c>
      <c r="BO154" s="462">
        <f>IF(AND(AT154=3,AK154="E",AV154&gt;=0.75,AW154=1),HealthBY,IF(AND(AT154=3,AK154="E",AV154&gt;=0.75),HealthBY*P154,IF(AND(AT154=3,AK154="E",AV154&gt;=0.5,AW154=1),PTHealthBY,IF(AND(AT154=3,AK154="E",AV154&gt;=0.5),PTHealthBY*P154,0))))</f>
        <v>0</v>
      </c>
      <c r="BP154" s="462">
        <f>IF(AND(AT154&lt;&gt;0,(AX154+BA154)&gt;=MAXSSDIBY),SSDIBY*MAXSSDIBY*P154,IF(AT154&lt;&gt;0,SSDIBY*W154,0))</f>
        <v>0</v>
      </c>
      <c r="BQ154" s="462">
        <f>IF(AT154&lt;&gt;0,SSHIBY*W154,0)</f>
        <v>0</v>
      </c>
      <c r="BR154" s="462">
        <f>IF(AND(AT154&lt;&gt;0,AN154&lt;&gt;"NE"),VLOOKUP(AN154,Retirement_Rates,4,FALSE)*W154,0)</f>
        <v>0</v>
      </c>
      <c r="BS154" s="462">
        <f>IF(AND(AT154&lt;&gt;0,AJ154&lt;&gt;"PF"),LifeBY*W154,0)</f>
        <v>0</v>
      </c>
      <c r="BT154" s="462">
        <f>IF(AND(AT154&lt;&gt;0,AM154="Y"),UIBY*W154,0)</f>
        <v>0</v>
      </c>
      <c r="BU154" s="462">
        <f>IF(AND(AT154&lt;&gt;0,N154&lt;&gt;"NR"),DHRBY*W154,0)</f>
        <v>0</v>
      </c>
      <c r="BV154" s="462">
        <f>IF(AT154&lt;&gt;0,WCBY*W154,0)</f>
        <v>0</v>
      </c>
      <c r="BW154" s="462">
        <f>IF(OR(AND(AT154&lt;&gt;0,AJ154&lt;&gt;"PF",AN154&lt;&gt;"NE",AG154&lt;&gt;"A"),AND(AL154="E",OR(AT154=1,AT154=3))),SickBY*W154,0)</f>
        <v>0</v>
      </c>
      <c r="BX154" s="462">
        <f t="shared" si="41"/>
        <v>0</v>
      </c>
      <c r="BY154" s="462">
        <f t="shared" si="42"/>
        <v>0</v>
      </c>
      <c r="BZ154" s="462">
        <f t="shared" si="43"/>
        <v>0</v>
      </c>
      <c r="CA154" s="462">
        <f t="shared" si="44"/>
        <v>0</v>
      </c>
      <c r="CB154" s="462">
        <f t="shared" si="45"/>
        <v>0</v>
      </c>
      <c r="CC154" s="462">
        <f>IF(AT154&lt;&gt;0,SSHICHG*Y154,0)</f>
        <v>0</v>
      </c>
      <c r="CD154" s="462">
        <f>IF(AND(AT154&lt;&gt;0,AN154&lt;&gt;"NE"),VLOOKUP(AN154,Retirement_Rates,5,FALSE)*Y154,0)</f>
        <v>0</v>
      </c>
      <c r="CE154" s="462">
        <f>IF(AND(AT154&lt;&gt;0,AJ154&lt;&gt;"PF"),LifeCHG*Y154,0)</f>
        <v>0</v>
      </c>
      <c r="CF154" s="462">
        <f>IF(AND(AT154&lt;&gt;0,AM154="Y"),UICHG*Y154,0)</f>
        <v>0</v>
      </c>
      <c r="CG154" s="462">
        <f>IF(AND(AT154&lt;&gt;0,N154&lt;&gt;"NR"),DHRCHG*Y154,0)</f>
        <v>0</v>
      </c>
      <c r="CH154" s="462">
        <f>IF(AT154&lt;&gt;0,WCCHG*Y154,0)</f>
        <v>0</v>
      </c>
      <c r="CI154" s="462">
        <f>IF(OR(AND(AT154&lt;&gt;0,AJ154&lt;&gt;"PF",AN154&lt;&gt;"NE",AG154&lt;&gt;"A"),AND(AL154="E",OR(AT154=1,AT154=3))),SickCHG*Y154,0)</f>
        <v>0</v>
      </c>
      <c r="CJ154" s="462">
        <f t="shared" si="46"/>
        <v>0</v>
      </c>
      <c r="CK154" s="462" t="str">
        <f t="shared" si="47"/>
        <v/>
      </c>
      <c r="CL154" s="462" t="str">
        <f t="shared" si="48"/>
        <v/>
      </c>
      <c r="CM154" s="462" t="str">
        <f t="shared" si="49"/>
        <v/>
      </c>
      <c r="CN154" s="462" t="str">
        <f t="shared" si="50"/>
        <v>0332-07</v>
      </c>
    </row>
    <row r="155" spans="1:92" ht="15" thickBot="1" x14ac:dyDescent="0.35">
      <c r="A155" s="376" t="s">
        <v>161</v>
      </c>
      <c r="B155" s="376" t="s">
        <v>162</v>
      </c>
      <c r="C155" s="376" t="s">
        <v>640</v>
      </c>
      <c r="D155" s="376" t="s">
        <v>287</v>
      </c>
      <c r="E155" s="376" t="s">
        <v>535</v>
      </c>
      <c r="F155" s="382" t="s">
        <v>565</v>
      </c>
      <c r="G155" s="376" t="s">
        <v>356</v>
      </c>
      <c r="H155" s="378"/>
      <c r="I155" s="378"/>
      <c r="J155" s="376" t="s">
        <v>168</v>
      </c>
      <c r="K155" s="376" t="s">
        <v>290</v>
      </c>
      <c r="L155" s="376" t="s">
        <v>166</v>
      </c>
      <c r="M155" s="376" t="s">
        <v>201</v>
      </c>
      <c r="N155" s="376" t="s">
        <v>291</v>
      </c>
      <c r="O155" s="379">
        <v>0</v>
      </c>
      <c r="P155" s="460">
        <v>1</v>
      </c>
      <c r="Q155" s="460">
        <v>0</v>
      </c>
      <c r="R155" s="380">
        <v>0</v>
      </c>
      <c r="S155" s="460">
        <v>0</v>
      </c>
      <c r="T155" s="380">
        <v>0</v>
      </c>
      <c r="U155" s="380">
        <v>0</v>
      </c>
      <c r="V155" s="380">
        <v>0</v>
      </c>
      <c r="W155" s="380">
        <v>0</v>
      </c>
      <c r="X155" s="380">
        <v>0</v>
      </c>
      <c r="Y155" s="380">
        <v>0</v>
      </c>
      <c r="Z155" s="380">
        <v>0</v>
      </c>
      <c r="AA155" s="378"/>
      <c r="AB155" s="376" t="s">
        <v>45</v>
      </c>
      <c r="AC155" s="376" t="s">
        <v>45</v>
      </c>
      <c r="AD155" s="378"/>
      <c r="AE155" s="378"/>
      <c r="AF155" s="378"/>
      <c r="AG155" s="378"/>
      <c r="AH155" s="379">
        <v>0</v>
      </c>
      <c r="AI155" s="379">
        <v>0</v>
      </c>
      <c r="AJ155" s="378"/>
      <c r="AK155" s="378"/>
      <c r="AL155" s="376" t="s">
        <v>180</v>
      </c>
      <c r="AM155" s="378"/>
      <c r="AN155" s="378"/>
      <c r="AO155" s="379">
        <v>0</v>
      </c>
      <c r="AP155" s="460">
        <v>0</v>
      </c>
      <c r="AQ155" s="460">
        <v>0</v>
      </c>
      <c r="AR155" s="459"/>
      <c r="AS155" s="462">
        <f t="shared" si="34"/>
        <v>0</v>
      </c>
      <c r="AT155">
        <f t="shared" si="35"/>
        <v>0</v>
      </c>
      <c r="AU155" s="462" t="str">
        <f>IF(AT155=0,"",IF(AND(AT155=1,M155="F",SUMIF(C2:C698,C155,AS2:AS698)&lt;=1),SUMIF(C2:C698,C155,AS2:AS698),IF(AND(AT155=1,M155="F",SUMIF(C2:C698,C155,AS2:AS698)&gt;1),1,"")))</f>
        <v/>
      </c>
      <c r="AV155" s="462" t="str">
        <f>IF(AT155=0,"",IF(AND(AT155=3,M155="F",SUMIF(C2:C698,C155,AS2:AS698)&lt;=1),SUMIF(C2:C698,C155,AS2:AS698),IF(AND(AT155=3,M155="F",SUMIF(C2:C698,C155,AS2:AS698)&gt;1),1,"")))</f>
        <v/>
      </c>
      <c r="AW155" s="462">
        <f>SUMIF(C2:C698,C155,O2:O698)</f>
        <v>0</v>
      </c>
      <c r="AX155" s="462">
        <f>IF(AND(M155="F",AS155&lt;&gt;0),SUMIF(C2:C698,C155,W2:W698),0)</f>
        <v>0</v>
      </c>
      <c r="AY155" s="462" t="str">
        <f t="shared" si="36"/>
        <v/>
      </c>
      <c r="AZ155" s="462" t="str">
        <f t="shared" si="37"/>
        <v/>
      </c>
      <c r="BA155" s="462">
        <f t="shared" si="38"/>
        <v>0</v>
      </c>
      <c r="BB155" s="462">
        <f>IF(AND(AT155=1,AK155="E",AU155&gt;=0.75,AW155=1),Health,IF(AND(AT155=1,AK155="E",AU155&gt;=0.75),Health*P155,IF(AND(AT155=1,AK155="E",AU155&gt;=0.5,AW155=1),PTHealth,IF(AND(AT155=1,AK155="E",AU155&gt;=0.5),PTHealth*P155,0))))</f>
        <v>0</v>
      </c>
      <c r="BC155" s="462">
        <f>IF(AND(AT155=3,AK155="E",AV155&gt;=0.75,AW155=1),Health,IF(AND(AT155=3,AK155="E",AV155&gt;=0.75),Health*P155,IF(AND(AT155=3,AK155="E",AV155&gt;=0.5,AW155=1),PTHealth,IF(AND(AT155=3,AK155="E",AV155&gt;=0.5),PTHealth*P155,0))))</f>
        <v>0</v>
      </c>
      <c r="BD155" s="462">
        <f>IF(AND(AT155&lt;&gt;0,AX155&gt;=MAXSSDI),SSDI*MAXSSDI*P155,IF(AT155&lt;&gt;0,SSDI*W155,0))</f>
        <v>0</v>
      </c>
      <c r="BE155" s="462">
        <f>IF(AT155&lt;&gt;0,SSHI*W155,0)</f>
        <v>0</v>
      </c>
      <c r="BF155" s="462">
        <f>IF(AND(AT155&lt;&gt;0,AN155&lt;&gt;"NE"),VLOOKUP(AN155,Retirement_Rates,3,FALSE)*W155,0)</f>
        <v>0</v>
      </c>
      <c r="BG155" s="462">
        <f>IF(AND(AT155&lt;&gt;0,AJ155&lt;&gt;"PF"),Life*W155,0)</f>
        <v>0</v>
      </c>
      <c r="BH155" s="462">
        <f>IF(AND(AT155&lt;&gt;0,AM155="Y"),UI*W155,0)</f>
        <v>0</v>
      </c>
      <c r="BI155" s="462">
        <f>IF(AND(AT155&lt;&gt;0,N155&lt;&gt;"NR"),DHR*W155,0)</f>
        <v>0</v>
      </c>
      <c r="BJ155" s="462">
        <f>IF(AT155&lt;&gt;0,WC*W155,0)</f>
        <v>0</v>
      </c>
      <c r="BK155" s="462">
        <f>IF(OR(AND(AT155&lt;&gt;0,AJ155&lt;&gt;"PF",AN155&lt;&gt;"NE",AG155&lt;&gt;"A"),AND(AL155="E",OR(AT155=1,AT155=3))),Sick*W155,0)</f>
        <v>0</v>
      </c>
      <c r="BL155" s="462">
        <f t="shared" si="39"/>
        <v>0</v>
      </c>
      <c r="BM155" s="462">
        <f t="shared" si="40"/>
        <v>0</v>
      </c>
      <c r="BN155" s="462">
        <f>IF(AND(AT155=1,AK155="E",AU155&gt;=0.75,AW155=1),HealthBY,IF(AND(AT155=1,AK155="E",AU155&gt;=0.75),HealthBY*P155,IF(AND(AT155=1,AK155="E",AU155&gt;=0.5,AW155=1),PTHealthBY,IF(AND(AT155=1,AK155="E",AU155&gt;=0.5),PTHealthBY*P155,0))))</f>
        <v>0</v>
      </c>
      <c r="BO155" s="462">
        <f>IF(AND(AT155=3,AK155="E",AV155&gt;=0.75,AW155=1),HealthBY,IF(AND(AT155=3,AK155="E",AV155&gt;=0.75),HealthBY*P155,IF(AND(AT155=3,AK155="E",AV155&gt;=0.5,AW155=1),PTHealthBY,IF(AND(AT155=3,AK155="E",AV155&gt;=0.5),PTHealthBY*P155,0))))</f>
        <v>0</v>
      </c>
      <c r="BP155" s="462">
        <f>IF(AND(AT155&lt;&gt;0,(AX155+BA155)&gt;=MAXSSDIBY),SSDIBY*MAXSSDIBY*P155,IF(AT155&lt;&gt;0,SSDIBY*W155,0))</f>
        <v>0</v>
      </c>
      <c r="BQ155" s="462">
        <f>IF(AT155&lt;&gt;0,SSHIBY*W155,0)</f>
        <v>0</v>
      </c>
      <c r="BR155" s="462">
        <f>IF(AND(AT155&lt;&gt;0,AN155&lt;&gt;"NE"),VLOOKUP(AN155,Retirement_Rates,4,FALSE)*W155,0)</f>
        <v>0</v>
      </c>
      <c r="BS155" s="462">
        <f>IF(AND(AT155&lt;&gt;0,AJ155&lt;&gt;"PF"),LifeBY*W155,0)</f>
        <v>0</v>
      </c>
      <c r="BT155" s="462">
        <f>IF(AND(AT155&lt;&gt;0,AM155="Y"),UIBY*W155,0)</f>
        <v>0</v>
      </c>
      <c r="BU155" s="462">
        <f>IF(AND(AT155&lt;&gt;0,N155&lt;&gt;"NR"),DHRBY*W155,0)</f>
        <v>0</v>
      </c>
      <c r="BV155" s="462">
        <f>IF(AT155&lt;&gt;0,WCBY*W155,0)</f>
        <v>0</v>
      </c>
      <c r="BW155" s="462">
        <f>IF(OR(AND(AT155&lt;&gt;0,AJ155&lt;&gt;"PF",AN155&lt;&gt;"NE",AG155&lt;&gt;"A"),AND(AL155="E",OR(AT155=1,AT155=3))),SickBY*W155,0)</f>
        <v>0</v>
      </c>
      <c r="BX155" s="462">
        <f t="shared" si="41"/>
        <v>0</v>
      </c>
      <c r="BY155" s="462">
        <f t="shared" si="42"/>
        <v>0</v>
      </c>
      <c r="BZ155" s="462">
        <f t="shared" si="43"/>
        <v>0</v>
      </c>
      <c r="CA155" s="462">
        <f t="shared" si="44"/>
        <v>0</v>
      </c>
      <c r="CB155" s="462">
        <f t="shared" si="45"/>
        <v>0</v>
      </c>
      <c r="CC155" s="462">
        <f>IF(AT155&lt;&gt;0,SSHICHG*Y155,0)</f>
        <v>0</v>
      </c>
      <c r="CD155" s="462">
        <f>IF(AND(AT155&lt;&gt;0,AN155&lt;&gt;"NE"),VLOOKUP(AN155,Retirement_Rates,5,FALSE)*Y155,0)</f>
        <v>0</v>
      </c>
      <c r="CE155" s="462">
        <f>IF(AND(AT155&lt;&gt;0,AJ155&lt;&gt;"PF"),LifeCHG*Y155,0)</f>
        <v>0</v>
      </c>
      <c r="CF155" s="462">
        <f>IF(AND(AT155&lt;&gt;0,AM155="Y"),UICHG*Y155,0)</f>
        <v>0</v>
      </c>
      <c r="CG155" s="462">
        <f>IF(AND(AT155&lt;&gt;0,N155&lt;&gt;"NR"),DHRCHG*Y155,0)</f>
        <v>0</v>
      </c>
      <c r="CH155" s="462">
        <f>IF(AT155&lt;&gt;0,WCCHG*Y155,0)</f>
        <v>0</v>
      </c>
      <c r="CI155" s="462">
        <f>IF(OR(AND(AT155&lt;&gt;0,AJ155&lt;&gt;"PF",AN155&lt;&gt;"NE",AG155&lt;&gt;"A"),AND(AL155="E",OR(AT155=1,AT155=3))),SickCHG*Y155,0)</f>
        <v>0</v>
      </c>
      <c r="CJ155" s="462">
        <f t="shared" si="46"/>
        <v>0</v>
      </c>
      <c r="CK155" s="462" t="str">
        <f t="shared" si="47"/>
        <v/>
      </c>
      <c r="CL155" s="462">
        <f t="shared" si="48"/>
        <v>0</v>
      </c>
      <c r="CM155" s="462">
        <f t="shared" si="49"/>
        <v>0</v>
      </c>
      <c r="CN155" s="462" t="str">
        <f t="shared" si="50"/>
        <v>0332-07</v>
      </c>
    </row>
    <row r="156" spans="1:92" ht="15" thickBot="1" x14ac:dyDescent="0.35">
      <c r="A156" s="376" t="s">
        <v>161</v>
      </c>
      <c r="B156" s="376" t="s">
        <v>162</v>
      </c>
      <c r="C156" s="376" t="s">
        <v>641</v>
      </c>
      <c r="D156" s="376" t="s">
        <v>467</v>
      </c>
      <c r="E156" s="376" t="s">
        <v>535</v>
      </c>
      <c r="F156" s="382" t="s">
        <v>565</v>
      </c>
      <c r="G156" s="376" t="s">
        <v>356</v>
      </c>
      <c r="H156" s="378"/>
      <c r="I156" s="378"/>
      <c r="J156" s="376" t="s">
        <v>168</v>
      </c>
      <c r="K156" s="376" t="s">
        <v>468</v>
      </c>
      <c r="L156" s="376" t="s">
        <v>224</v>
      </c>
      <c r="M156" s="376" t="s">
        <v>170</v>
      </c>
      <c r="N156" s="376" t="s">
        <v>202</v>
      </c>
      <c r="O156" s="379">
        <v>1</v>
      </c>
      <c r="P156" s="460">
        <v>1</v>
      </c>
      <c r="Q156" s="460">
        <v>1</v>
      </c>
      <c r="R156" s="380">
        <v>80</v>
      </c>
      <c r="S156" s="460">
        <v>1</v>
      </c>
      <c r="T156" s="380">
        <v>49664.42</v>
      </c>
      <c r="U156" s="380">
        <v>0</v>
      </c>
      <c r="V156" s="380">
        <v>22663.27</v>
      </c>
      <c r="W156" s="380">
        <v>52000</v>
      </c>
      <c r="X156" s="380">
        <v>23421.24</v>
      </c>
      <c r="Y156" s="380">
        <v>52000</v>
      </c>
      <c r="Z156" s="380">
        <v>23286.04</v>
      </c>
      <c r="AA156" s="376" t="s">
        <v>642</v>
      </c>
      <c r="AB156" s="376" t="s">
        <v>643</v>
      </c>
      <c r="AC156" s="376" t="s">
        <v>644</v>
      </c>
      <c r="AD156" s="376" t="s">
        <v>263</v>
      </c>
      <c r="AE156" s="376" t="s">
        <v>468</v>
      </c>
      <c r="AF156" s="376" t="s">
        <v>232</v>
      </c>
      <c r="AG156" s="376" t="s">
        <v>177</v>
      </c>
      <c r="AH156" s="379">
        <v>25</v>
      </c>
      <c r="AI156" s="379">
        <v>2240</v>
      </c>
      <c r="AJ156" s="376" t="s">
        <v>178</v>
      </c>
      <c r="AK156" s="376" t="s">
        <v>179</v>
      </c>
      <c r="AL156" s="376" t="s">
        <v>180</v>
      </c>
      <c r="AM156" s="376" t="s">
        <v>181</v>
      </c>
      <c r="AN156" s="376" t="s">
        <v>68</v>
      </c>
      <c r="AO156" s="379">
        <v>80</v>
      </c>
      <c r="AP156" s="460">
        <v>1</v>
      </c>
      <c r="AQ156" s="460">
        <v>1</v>
      </c>
      <c r="AR156" s="458" t="s">
        <v>182</v>
      </c>
      <c r="AS156" s="462">
        <f t="shared" si="34"/>
        <v>1</v>
      </c>
      <c r="AT156">
        <f t="shared" si="35"/>
        <v>1</v>
      </c>
      <c r="AU156" s="462">
        <f>IF(AT156=0,"",IF(AND(AT156=1,M156="F",SUMIF(C2:C698,C156,AS2:AS698)&lt;=1),SUMIF(C2:C698,C156,AS2:AS698),IF(AND(AT156=1,M156="F",SUMIF(C2:C698,C156,AS2:AS698)&gt;1),1,"")))</f>
        <v>1</v>
      </c>
      <c r="AV156" s="462" t="str">
        <f>IF(AT156=0,"",IF(AND(AT156=3,M156="F",SUMIF(C2:C698,C156,AS2:AS698)&lt;=1),SUMIF(C2:C698,C156,AS2:AS698),IF(AND(AT156=3,M156="F",SUMIF(C2:C698,C156,AS2:AS698)&gt;1),1,"")))</f>
        <v/>
      </c>
      <c r="AW156" s="462">
        <f>SUMIF(C2:C698,C156,O2:O698)</f>
        <v>2</v>
      </c>
      <c r="AX156" s="462">
        <f>IF(AND(M156="F",AS156&lt;&gt;0),SUMIF(C2:C698,C156,W2:W698),0)</f>
        <v>52000</v>
      </c>
      <c r="AY156" s="462">
        <f t="shared" si="36"/>
        <v>52000</v>
      </c>
      <c r="AZ156" s="462" t="str">
        <f t="shared" si="37"/>
        <v/>
      </c>
      <c r="BA156" s="462">
        <f t="shared" si="38"/>
        <v>0</v>
      </c>
      <c r="BB156" s="462">
        <f>IF(AND(AT156=1,AK156="E",AU156&gt;=0.75,AW156=1),Health,IF(AND(AT156=1,AK156="E",AU156&gt;=0.75),Health*P156,IF(AND(AT156=1,AK156="E",AU156&gt;=0.5,AW156=1),PTHealth,IF(AND(AT156=1,AK156="E",AU156&gt;=0.5),PTHealth*P156,0))))</f>
        <v>11650</v>
      </c>
      <c r="BC156" s="462">
        <f>IF(AND(AT156=3,AK156="E",AV156&gt;=0.75,AW156=1),Health,IF(AND(AT156=3,AK156="E",AV156&gt;=0.75),Health*P156,IF(AND(AT156=3,AK156="E",AV156&gt;=0.5,AW156=1),PTHealth,IF(AND(AT156=3,AK156="E",AV156&gt;=0.5),PTHealth*P156,0))))</f>
        <v>0</v>
      </c>
      <c r="BD156" s="462">
        <f>IF(AND(AT156&lt;&gt;0,AX156&gt;=MAXSSDI),SSDI*MAXSSDI*P156,IF(AT156&lt;&gt;0,SSDI*W156,0))</f>
        <v>3224</v>
      </c>
      <c r="BE156" s="462">
        <f>IF(AT156&lt;&gt;0,SSHI*W156,0)</f>
        <v>754</v>
      </c>
      <c r="BF156" s="462">
        <f>IF(AND(AT156&lt;&gt;0,AN156&lt;&gt;"NE"),VLOOKUP(AN156,Retirement_Rates,3,FALSE)*W156,0)</f>
        <v>6208.8</v>
      </c>
      <c r="BG156" s="462">
        <f>IF(AND(AT156&lt;&gt;0,AJ156&lt;&gt;"PF"),Life*W156,0)</f>
        <v>374.92</v>
      </c>
      <c r="BH156" s="462">
        <f>IF(AND(AT156&lt;&gt;0,AM156="Y"),UI*W156,0)</f>
        <v>254.79999999999998</v>
      </c>
      <c r="BI156" s="462">
        <f>IF(AND(AT156&lt;&gt;0,N156&lt;&gt;"NR"),DHR*W156,0)</f>
        <v>159.11999999999998</v>
      </c>
      <c r="BJ156" s="462">
        <f>IF(AT156&lt;&gt;0,WC*W156,0)</f>
        <v>795.6</v>
      </c>
      <c r="BK156" s="462">
        <f>IF(OR(AND(AT156&lt;&gt;0,AJ156&lt;&gt;"PF",AN156&lt;&gt;"NE",AG156&lt;&gt;"A"),AND(AL156="E",OR(AT156=1,AT156=3))),Sick*W156,0)</f>
        <v>0</v>
      </c>
      <c r="BL156" s="462">
        <f t="shared" si="39"/>
        <v>11771.24</v>
      </c>
      <c r="BM156" s="462">
        <f t="shared" si="40"/>
        <v>0</v>
      </c>
      <c r="BN156" s="462">
        <f>IF(AND(AT156=1,AK156="E",AU156&gt;=0.75,AW156=1),HealthBY,IF(AND(AT156=1,AK156="E",AU156&gt;=0.75),HealthBY*P156,IF(AND(AT156=1,AK156="E",AU156&gt;=0.5,AW156=1),PTHealthBY,IF(AND(AT156=1,AK156="E",AU156&gt;=0.5),PTHealthBY*P156,0))))</f>
        <v>11650</v>
      </c>
      <c r="BO156" s="462">
        <f>IF(AND(AT156=3,AK156="E",AV156&gt;=0.75,AW156=1),HealthBY,IF(AND(AT156=3,AK156="E",AV156&gt;=0.75),HealthBY*P156,IF(AND(AT156=3,AK156="E",AV156&gt;=0.5,AW156=1),PTHealthBY,IF(AND(AT156=3,AK156="E",AV156&gt;=0.5),PTHealthBY*P156,0))))</f>
        <v>0</v>
      </c>
      <c r="BP156" s="462">
        <f>IF(AND(AT156&lt;&gt;0,(AX156+BA156)&gt;=MAXSSDIBY),SSDIBY*MAXSSDIBY*P156,IF(AT156&lt;&gt;0,SSDIBY*W156,0))</f>
        <v>3224</v>
      </c>
      <c r="BQ156" s="462">
        <f>IF(AT156&lt;&gt;0,SSHIBY*W156,0)</f>
        <v>754</v>
      </c>
      <c r="BR156" s="462">
        <f>IF(AND(AT156&lt;&gt;0,AN156&lt;&gt;"NE"),VLOOKUP(AN156,Retirement_Rates,4,FALSE)*W156,0)</f>
        <v>6208.8</v>
      </c>
      <c r="BS156" s="462">
        <f>IF(AND(AT156&lt;&gt;0,AJ156&lt;&gt;"PF"),LifeBY*W156,0)</f>
        <v>374.92</v>
      </c>
      <c r="BT156" s="462">
        <f>IF(AND(AT156&lt;&gt;0,AM156="Y"),UIBY*W156,0)</f>
        <v>0</v>
      </c>
      <c r="BU156" s="462">
        <f>IF(AND(AT156&lt;&gt;0,N156&lt;&gt;"NR"),DHRBY*W156,0)</f>
        <v>159.11999999999998</v>
      </c>
      <c r="BV156" s="462">
        <f>IF(AT156&lt;&gt;0,WCBY*W156,0)</f>
        <v>915.2</v>
      </c>
      <c r="BW156" s="462">
        <f>IF(OR(AND(AT156&lt;&gt;0,AJ156&lt;&gt;"PF",AN156&lt;&gt;"NE",AG156&lt;&gt;"A"),AND(AL156="E",OR(AT156=1,AT156=3))),SickBY*W156,0)</f>
        <v>0</v>
      </c>
      <c r="BX156" s="462">
        <f t="shared" si="41"/>
        <v>11636.04</v>
      </c>
      <c r="BY156" s="462">
        <f t="shared" si="42"/>
        <v>0</v>
      </c>
      <c r="BZ156" s="462">
        <f t="shared" si="43"/>
        <v>0</v>
      </c>
      <c r="CA156" s="462">
        <f t="shared" si="44"/>
        <v>0</v>
      </c>
      <c r="CB156" s="462">
        <f t="shared" si="45"/>
        <v>0</v>
      </c>
      <c r="CC156" s="462">
        <f>IF(AT156&lt;&gt;0,SSHICHG*Y156,0)</f>
        <v>0</v>
      </c>
      <c r="CD156" s="462">
        <f>IF(AND(AT156&lt;&gt;0,AN156&lt;&gt;"NE"),VLOOKUP(AN156,Retirement_Rates,5,FALSE)*Y156,0)</f>
        <v>0</v>
      </c>
      <c r="CE156" s="462">
        <f>IF(AND(AT156&lt;&gt;0,AJ156&lt;&gt;"PF"),LifeCHG*Y156,0)</f>
        <v>0</v>
      </c>
      <c r="CF156" s="462">
        <f>IF(AND(AT156&lt;&gt;0,AM156="Y"),UICHG*Y156,0)</f>
        <v>-254.79999999999998</v>
      </c>
      <c r="CG156" s="462">
        <f>IF(AND(AT156&lt;&gt;0,N156&lt;&gt;"NR"),DHRCHG*Y156,0)</f>
        <v>0</v>
      </c>
      <c r="CH156" s="462">
        <f>IF(AT156&lt;&gt;0,WCCHG*Y156,0)</f>
        <v>119.60000000000009</v>
      </c>
      <c r="CI156" s="462">
        <f>IF(OR(AND(AT156&lt;&gt;0,AJ156&lt;&gt;"PF",AN156&lt;&gt;"NE",AG156&lt;&gt;"A"),AND(AL156="E",OR(AT156=1,AT156=3))),SickCHG*Y156,0)</f>
        <v>0</v>
      </c>
      <c r="CJ156" s="462">
        <f t="shared" si="46"/>
        <v>-135.19999999999987</v>
      </c>
      <c r="CK156" s="462" t="str">
        <f t="shared" si="47"/>
        <v/>
      </c>
      <c r="CL156" s="462" t="str">
        <f t="shared" si="48"/>
        <v/>
      </c>
      <c r="CM156" s="462" t="str">
        <f t="shared" si="49"/>
        <v/>
      </c>
      <c r="CN156" s="462" t="str">
        <f t="shared" si="50"/>
        <v>0332-07</v>
      </c>
    </row>
    <row r="157" spans="1:92" ht="15" thickBot="1" x14ac:dyDescent="0.35">
      <c r="A157" s="376" t="s">
        <v>161</v>
      </c>
      <c r="B157" s="376" t="s">
        <v>162</v>
      </c>
      <c r="C157" s="376" t="s">
        <v>413</v>
      </c>
      <c r="D157" s="376" t="s">
        <v>362</v>
      </c>
      <c r="E157" s="376" t="s">
        <v>535</v>
      </c>
      <c r="F157" s="382" t="s">
        <v>645</v>
      </c>
      <c r="G157" s="376" t="s">
        <v>356</v>
      </c>
      <c r="H157" s="378"/>
      <c r="I157" s="378"/>
      <c r="J157" s="376" t="s">
        <v>168</v>
      </c>
      <c r="K157" s="376" t="s">
        <v>363</v>
      </c>
      <c r="L157" s="376" t="s">
        <v>200</v>
      </c>
      <c r="M157" s="376" t="s">
        <v>170</v>
      </c>
      <c r="N157" s="376" t="s">
        <v>202</v>
      </c>
      <c r="O157" s="379">
        <v>1</v>
      </c>
      <c r="P157" s="460">
        <v>0</v>
      </c>
      <c r="Q157" s="460">
        <v>0</v>
      </c>
      <c r="R157" s="380">
        <v>80</v>
      </c>
      <c r="S157" s="460">
        <v>0</v>
      </c>
      <c r="T157" s="380">
        <v>95.88</v>
      </c>
      <c r="U157" s="380">
        <v>0</v>
      </c>
      <c r="V157" s="380">
        <v>21.51</v>
      </c>
      <c r="W157" s="380">
        <v>0</v>
      </c>
      <c r="X157" s="380">
        <v>0</v>
      </c>
      <c r="Y157" s="380">
        <v>0</v>
      </c>
      <c r="Z157" s="380">
        <v>0</v>
      </c>
      <c r="AA157" s="376" t="s">
        <v>414</v>
      </c>
      <c r="AB157" s="376" t="s">
        <v>415</v>
      </c>
      <c r="AC157" s="376" t="s">
        <v>189</v>
      </c>
      <c r="AD157" s="376" t="s">
        <v>416</v>
      </c>
      <c r="AE157" s="376" t="s">
        <v>363</v>
      </c>
      <c r="AF157" s="376" t="s">
        <v>210</v>
      </c>
      <c r="AG157" s="376" t="s">
        <v>177</v>
      </c>
      <c r="AH157" s="381">
        <v>24.98</v>
      </c>
      <c r="AI157" s="381">
        <v>61708.3</v>
      </c>
      <c r="AJ157" s="376" t="s">
        <v>178</v>
      </c>
      <c r="AK157" s="376" t="s">
        <v>179</v>
      </c>
      <c r="AL157" s="376" t="s">
        <v>180</v>
      </c>
      <c r="AM157" s="376" t="s">
        <v>181</v>
      </c>
      <c r="AN157" s="376" t="s">
        <v>68</v>
      </c>
      <c r="AO157" s="379">
        <v>80</v>
      </c>
      <c r="AP157" s="460">
        <v>1</v>
      </c>
      <c r="AQ157" s="460">
        <v>0</v>
      </c>
      <c r="AR157" s="458" t="s">
        <v>182</v>
      </c>
      <c r="AS157" s="462">
        <f t="shared" si="34"/>
        <v>0</v>
      </c>
      <c r="AT157">
        <f t="shared" si="35"/>
        <v>0</v>
      </c>
      <c r="AU157" s="462" t="str">
        <f>IF(AT157=0,"",IF(AND(AT157=1,M157="F",SUMIF(C2:C698,C157,AS2:AS698)&lt;=1),SUMIF(C2:C698,C157,AS2:AS698),IF(AND(AT157=1,M157="F",SUMIF(C2:C698,C157,AS2:AS698)&gt;1),1,"")))</f>
        <v/>
      </c>
      <c r="AV157" s="462" t="str">
        <f>IF(AT157=0,"",IF(AND(AT157=3,M157="F",SUMIF(C2:C698,C157,AS2:AS698)&lt;=1),SUMIF(C2:C698,C157,AS2:AS698),IF(AND(AT157=3,M157="F",SUMIF(C2:C698,C157,AS2:AS698)&gt;1),1,"")))</f>
        <v/>
      </c>
      <c r="AW157" s="462">
        <f>SUMIF(C2:C698,C157,O2:O698)</f>
        <v>4</v>
      </c>
      <c r="AX157" s="462">
        <f>IF(AND(M157="F",AS157&lt;&gt;0),SUMIF(C2:C698,C157,W2:W698),0)</f>
        <v>0</v>
      </c>
      <c r="AY157" s="462" t="str">
        <f t="shared" si="36"/>
        <v/>
      </c>
      <c r="AZ157" s="462" t="str">
        <f t="shared" si="37"/>
        <v/>
      </c>
      <c r="BA157" s="462">
        <f t="shared" si="38"/>
        <v>0</v>
      </c>
      <c r="BB157" s="462">
        <f>IF(AND(AT157=1,AK157="E",AU157&gt;=0.75,AW157=1),Health,IF(AND(AT157=1,AK157="E",AU157&gt;=0.75),Health*P157,IF(AND(AT157=1,AK157="E",AU157&gt;=0.5,AW157=1),PTHealth,IF(AND(AT157=1,AK157="E",AU157&gt;=0.5),PTHealth*P157,0))))</f>
        <v>0</v>
      </c>
      <c r="BC157" s="462">
        <f>IF(AND(AT157=3,AK157="E",AV157&gt;=0.75,AW157=1),Health,IF(AND(AT157=3,AK157="E",AV157&gt;=0.75),Health*P157,IF(AND(AT157=3,AK157="E",AV157&gt;=0.5,AW157=1),PTHealth,IF(AND(AT157=3,AK157="E",AV157&gt;=0.5),PTHealth*P157,0))))</f>
        <v>0</v>
      </c>
      <c r="BD157" s="462">
        <f>IF(AND(AT157&lt;&gt;0,AX157&gt;=MAXSSDI),SSDI*MAXSSDI*P157,IF(AT157&lt;&gt;0,SSDI*W157,0))</f>
        <v>0</v>
      </c>
      <c r="BE157" s="462">
        <f>IF(AT157&lt;&gt;0,SSHI*W157,0)</f>
        <v>0</v>
      </c>
      <c r="BF157" s="462">
        <f>IF(AND(AT157&lt;&gt;0,AN157&lt;&gt;"NE"),VLOOKUP(AN157,Retirement_Rates,3,FALSE)*W157,0)</f>
        <v>0</v>
      </c>
      <c r="BG157" s="462">
        <f>IF(AND(AT157&lt;&gt;0,AJ157&lt;&gt;"PF"),Life*W157,0)</f>
        <v>0</v>
      </c>
      <c r="BH157" s="462">
        <f>IF(AND(AT157&lt;&gt;0,AM157="Y"),UI*W157,0)</f>
        <v>0</v>
      </c>
      <c r="BI157" s="462">
        <f>IF(AND(AT157&lt;&gt;0,N157&lt;&gt;"NR"),DHR*W157,0)</f>
        <v>0</v>
      </c>
      <c r="BJ157" s="462">
        <f>IF(AT157&lt;&gt;0,WC*W157,0)</f>
        <v>0</v>
      </c>
      <c r="BK157" s="462">
        <f>IF(OR(AND(AT157&lt;&gt;0,AJ157&lt;&gt;"PF",AN157&lt;&gt;"NE",AG157&lt;&gt;"A"),AND(AL157="E",OR(AT157=1,AT157=3))),Sick*W157,0)</f>
        <v>0</v>
      </c>
      <c r="BL157" s="462">
        <f t="shared" si="39"/>
        <v>0</v>
      </c>
      <c r="BM157" s="462">
        <f t="shared" si="40"/>
        <v>0</v>
      </c>
      <c r="BN157" s="462">
        <f>IF(AND(AT157=1,AK157="E",AU157&gt;=0.75,AW157=1),HealthBY,IF(AND(AT157=1,AK157="E",AU157&gt;=0.75),HealthBY*P157,IF(AND(AT157=1,AK157="E",AU157&gt;=0.5,AW157=1),PTHealthBY,IF(AND(AT157=1,AK157="E",AU157&gt;=0.5),PTHealthBY*P157,0))))</f>
        <v>0</v>
      </c>
      <c r="BO157" s="462">
        <f>IF(AND(AT157=3,AK157="E",AV157&gt;=0.75,AW157=1),HealthBY,IF(AND(AT157=3,AK157="E",AV157&gt;=0.75),HealthBY*P157,IF(AND(AT157=3,AK157="E",AV157&gt;=0.5,AW157=1),PTHealthBY,IF(AND(AT157=3,AK157="E",AV157&gt;=0.5),PTHealthBY*P157,0))))</f>
        <v>0</v>
      </c>
      <c r="BP157" s="462">
        <f>IF(AND(AT157&lt;&gt;0,(AX157+BA157)&gt;=MAXSSDIBY),SSDIBY*MAXSSDIBY*P157,IF(AT157&lt;&gt;0,SSDIBY*W157,0))</f>
        <v>0</v>
      </c>
      <c r="BQ157" s="462">
        <f>IF(AT157&lt;&gt;0,SSHIBY*W157,0)</f>
        <v>0</v>
      </c>
      <c r="BR157" s="462">
        <f>IF(AND(AT157&lt;&gt;0,AN157&lt;&gt;"NE"),VLOOKUP(AN157,Retirement_Rates,4,FALSE)*W157,0)</f>
        <v>0</v>
      </c>
      <c r="BS157" s="462">
        <f>IF(AND(AT157&lt;&gt;0,AJ157&lt;&gt;"PF"),LifeBY*W157,0)</f>
        <v>0</v>
      </c>
      <c r="BT157" s="462">
        <f>IF(AND(AT157&lt;&gt;0,AM157="Y"),UIBY*W157,0)</f>
        <v>0</v>
      </c>
      <c r="BU157" s="462">
        <f>IF(AND(AT157&lt;&gt;0,N157&lt;&gt;"NR"),DHRBY*W157,0)</f>
        <v>0</v>
      </c>
      <c r="BV157" s="462">
        <f>IF(AT157&lt;&gt;0,WCBY*W157,0)</f>
        <v>0</v>
      </c>
      <c r="BW157" s="462">
        <f>IF(OR(AND(AT157&lt;&gt;0,AJ157&lt;&gt;"PF",AN157&lt;&gt;"NE",AG157&lt;&gt;"A"),AND(AL157="E",OR(AT157=1,AT157=3))),SickBY*W157,0)</f>
        <v>0</v>
      </c>
      <c r="BX157" s="462">
        <f t="shared" si="41"/>
        <v>0</v>
      </c>
      <c r="BY157" s="462">
        <f t="shared" si="42"/>
        <v>0</v>
      </c>
      <c r="BZ157" s="462">
        <f t="shared" si="43"/>
        <v>0</v>
      </c>
      <c r="CA157" s="462">
        <f t="shared" si="44"/>
        <v>0</v>
      </c>
      <c r="CB157" s="462">
        <f t="shared" si="45"/>
        <v>0</v>
      </c>
      <c r="CC157" s="462">
        <f>IF(AT157&lt;&gt;0,SSHICHG*Y157,0)</f>
        <v>0</v>
      </c>
      <c r="CD157" s="462">
        <f>IF(AND(AT157&lt;&gt;0,AN157&lt;&gt;"NE"),VLOOKUP(AN157,Retirement_Rates,5,FALSE)*Y157,0)</f>
        <v>0</v>
      </c>
      <c r="CE157" s="462">
        <f>IF(AND(AT157&lt;&gt;0,AJ157&lt;&gt;"PF"),LifeCHG*Y157,0)</f>
        <v>0</v>
      </c>
      <c r="CF157" s="462">
        <f>IF(AND(AT157&lt;&gt;0,AM157="Y"),UICHG*Y157,0)</f>
        <v>0</v>
      </c>
      <c r="CG157" s="462">
        <f>IF(AND(AT157&lt;&gt;0,N157&lt;&gt;"NR"),DHRCHG*Y157,0)</f>
        <v>0</v>
      </c>
      <c r="CH157" s="462">
        <f>IF(AT157&lt;&gt;0,WCCHG*Y157,0)</f>
        <v>0</v>
      </c>
      <c r="CI157" s="462">
        <f>IF(OR(AND(AT157&lt;&gt;0,AJ157&lt;&gt;"PF",AN157&lt;&gt;"NE",AG157&lt;&gt;"A"),AND(AL157="E",OR(AT157=1,AT157=3))),SickCHG*Y157,0)</f>
        <v>0</v>
      </c>
      <c r="CJ157" s="462">
        <f t="shared" si="46"/>
        <v>0</v>
      </c>
      <c r="CK157" s="462" t="str">
        <f t="shared" si="47"/>
        <v/>
      </c>
      <c r="CL157" s="462" t="str">
        <f t="shared" si="48"/>
        <v/>
      </c>
      <c r="CM157" s="462" t="str">
        <f t="shared" si="49"/>
        <v/>
      </c>
      <c r="CN157" s="462" t="str">
        <f t="shared" si="50"/>
        <v>0332-09</v>
      </c>
    </row>
    <row r="158" spans="1:92" ht="15" thickBot="1" x14ac:dyDescent="0.35">
      <c r="A158" s="376" t="s">
        <v>161</v>
      </c>
      <c r="B158" s="376" t="s">
        <v>162</v>
      </c>
      <c r="C158" s="376" t="s">
        <v>426</v>
      </c>
      <c r="D158" s="376" t="s">
        <v>427</v>
      </c>
      <c r="E158" s="376" t="s">
        <v>535</v>
      </c>
      <c r="F158" s="382" t="s">
        <v>645</v>
      </c>
      <c r="G158" s="376" t="s">
        <v>356</v>
      </c>
      <c r="H158" s="378"/>
      <c r="I158" s="378"/>
      <c r="J158" s="376" t="s">
        <v>185</v>
      </c>
      <c r="K158" s="376" t="s">
        <v>428</v>
      </c>
      <c r="L158" s="376" t="s">
        <v>166</v>
      </c>
      <c r="M158" s="376" t="s">
        <v>170</v>
      </c>
      <c r="N158" s="376" t="s">
        <v>171</v>
      </c>
      <c r="O158" s="379">
        <v>1</v>
      </c>
      <c r="P158" s="460">
        <v>0</v>
      </c>
      <c r="Q158" s="460">
        <v>0</v>
      </c>
      <c r="R158" s="380">
        <v>80</v>
      </c>
      <c r="S158" s="460">
        <v>0</v>
      </c>
      <c r="T158" s="380">
        <v>22000</v>
      </c>
      <c r="U158" s="380">
        <v>0</v>
      </c>
      <c r="V158" s="380">
        <v>3000</v>
      </c>
      <c r="W158" s="380">
        <v>0</v>
      </c>
      <c r="X158" s="380">
        <v>0</v>
      </c>
      <c r="Y158" s="380">
        <v>0</v>
      </c>
      <c r="Z158" s="380">
        <v>0</v>
      </c>
      <c r="AA158" s="376" t="s">
        <v>429</v>
      </c>
      <c r="AB158" s="376" t="s">
        <v>430</v>
      </c>
      <c r="AC158" s="376" t="s">
        <v>431</v>
      </c>
      <c r="AD158" s="376" t="s">
        <v>278</v>
      </c>
      <c r="AE158" s="376" t="s">
        <v>428</v>
      </c>
      <c r="AF158" s="376" t="s">
        <v>176</v>
      </c>
      <c r="AG158" s="376" t="s">
        <v>177</v>
      </c>
      <c r="AH158" s="381">
        <v>56.05</v>
      </c>
      <c r="AI158" s="379">
        <v>20344</v>
      </c>
      <c r="AJ158" s="376" t="s">
        <v>178</v>
      </c>
      <c r="AK158" s="376" t="s">
        <v>179</v>
      </c>
      <c r="AL158" s="376" t="s">
        <v>180</v>
      </c>
      <c r="AM158" s="376" t="s">
        <v>181</v>
      </c>
      <c r="AN158" s="376" t="s">
        <v>68</v>
      </c>
      <c r="AO158" s="379">
        <v>80</v>
      </c>
      <c r="AP158" s="460">
        <v>1</v>
      </c>
      <c r="AQ158" s="460">
        <v>0</v>
      </c>
      <c r="AR158" s="458" t="s">
        <v>182</v>
      </c>
      <c r="AS158" s="462">
        <f t="shared" si="34"/>
        <v>0</v>
      </c>
      <c r="AT158">
        <f t="shared" si="35"/>
        <v>0</v>
      </c>
      <c r="AU158" s="462" t="str">
        <f>IF(AT158=0,"",IF(AND(AT158=1,M158="F",SUMIF(C2:C698,C158,AS2:AS698)&lt;=1),SUMIF(C2:C698,C158,AS2:AS698),IF(AND(AT158=1,M158="F",SUMIF(C2:C698,C158,AS2:AS698)&gt;1),1,"")))</f>
        <v/>
      </c>
      <c r="AV158" s="462" t="str">
        <f>IF(AT158=0,"",IF(AND(AT158=3,M158="F",SUMIF(C2:C698,C158,AS2:AS698)&lt;=1),SUMIF(C2:C698,C158,AS2:AS698),IF(AND(AT158=3,M158="F",SUMIF(C2:C698,C158,AS2:AS698)&gt;1),1,"")))</f>
        <v/>
      </c>
      <c r="AW158" s="462">
        <f>SUMIF(C2:C698,C158,O2:O698)</f>
        <v>3</v>
      </c>
      <c r="AX158" s="462">
        <f>IF(AND(M158="F",AS158&lt;&gt;0),SUMIF(C2:C698,C158,W2:W698),0)</f>
        <v>0</v>
      </c>
      <c r="AY158" s="462" t="str">
        <f t="shared" si="36"/>
        <v/>
      </c>
      <c r="AZ158" s="462" t="str">
        <f t="shared" si="37"/>
        <v/>
      </c>
      <c r="BA158" s="462">
        <f t="shared" si="38"/>
        <v>0</v>
      </c>
      <c r="BB158" s="462">
        <f>IF(AND(AT158=1,AK158="E",AU158&gt;=0.75,AW158=1),Health,IF(AND(AT158=1,AK158="E",AU158&gt;=0.75),Health*P158,IF(AND(AT158=1,AK158="E",AU158&gt;=0.5,AW158=1),PTHealth,IF(AND(AT158=1,AK158="E",AU158&gt;=0.5),PTHealth*P158,0))))</f>
        <v>0</v>
      </c>
      <c r="BC158" s="462">
        <f>IF(AND(AT158=3,AK158="E",AV158&gt;=0.75,AW158=1),Health,IF(AND(AT158=3,AK158="E",AV158&gt;=0.75),Health*P158,IF(AND(AT158=3,AK158="E",AV158&gt;=0.5,AW158=1),PTHealth,IF(AND(AT158=3,AK158="E",AV158&gt;=0.5),PTHealth*P158,0))))</f>
        <v>0</v>
      </c>
      <c r="BD158" s="462">
        <f>IF(AND(AT158&lt;&gt;0,AX158&gt;=MAXSSDI),SSDI*MAXSSDI*P158,IF(AT158&lt;&gt;0,SSDI*W158,0))</f>
        <v>0</v>
      </c>
      <c r="BE158" s="462">
        <f>IF(AT158&lt;&gt;0,SSHI*W158,0)</f>
        <v>0</v>
      </c>
      <c r="BF158" s="462">
        <f>IF(AND(AT158&lt;&gt;0,AN158&lt;&gt;"NE"),VLOOKUP(AN158,Retirement_Rates,3,FALSE)*W158,0)</f>
        <v>0</v>
      </c>
      <c r="BG158" s="462">
        <f>IF(AND(AT158&lt;&gt;0,AJ158&lt;&gt;"PF"),Life*W158,0)</f>
        <v>0</v>
      </c>
      <c r="BH158" s="462">
        <f>IF(AND(AT158&lt;&gt;0,AM158="Y"),UI*W158,0)</f>
        <v>0</v>
      </c>
      <c r="BI158" s="462">
        <f>IF(AND(AT158&lt;&gt;0,N158&lt;&gt;"NR"),DHR*W158,0)</f>
        <v>0</v>
      </c>
      <c r="BJ158" s="462">
        <f>IF(AT158&lt;&gt;0,WC*W158,0)</f>
        <v>0</v>
      </c>
      <c r="BK158" s="462">
        <f>IF(OR(AND(AT158&lt;&gt;0,AJ158&lt;&gt;"PF",AN158&lt;&gt;"NE",AG158&lt;&gt;"A"),AND(AL158="E",OR(AT158=1,AT158=3))),Sick*W158,0)</f>
        <v>0</v>
      </c>
      <c r="BL158" s="462">
        <f t="shared" si="39"/>
        <v>0</v>
      </c>
      <c r="BM158" s="462">
        <f t="shared" si="40"/>
        <v>0</v>
      </c>
      <c r="BN158" s="462">
        <f>IF(AND(AT158=1,AK158="E",AU158&gt;=0.75,AW158=1),HealthBY,IF(AND(AT158=1,AK158="E",AU158&gt;=0.75),HealthBY*P158,IF(AND(AT158=1,AK158="E",AU158&gt;=0.5,AW158=1),PTHealthBY,IF(AND(AT158=1,AK158="E",AU158&gt;=0.5),PTHealthBY*P158,0))))</f>
        <v>0</v>
      </c>
      <c r="BO158" s="462">
        <f>IF(AND(AT158=3,AK158="E",AV158&gt;=0.75,AW158=1),HealthBY,IF(AND(AT158=3,AK158="E",AV158&gt;=0.75),HealthBY*P158,IF(AND(AT158=3,AK158="E",AV158&gt;=0.5,AW158=1),PTHealthBY,IF(AND(AT158=3,AK158="E",AV158&gt;=0.5),PTHealthBY*P158,0))))</f>
        <v>0</v>
      </c>
      <c r="BP158" s="462">
        <f>IF(AND(AT158&lt;&gt;0,(AX158+BA158)&gt;=MAXSSDIBY),SSDIBY*MAXSSDIBY*P158,IF(AT158&lt;&gt;0,SSDIBY*W158,0))</f>
        <v>0</v>
      </c>
      <c r="BQ158" s="462">
        <f>IF(AT158&lt;&gt;0,SSHIBY*W158,0)</f>
        <v>0</v>
      </c>
      <c r="BR158" s="462">
        <f>IF(AND(AT158&lt;&gt;0,AN158&lt;&gt;"NE"),VLOOKUP(AN158,Retirement_Rates,4,FALSE)*W158,0)</f>
        <v>0</v>
      </c>
      <c r="BS158" s="462">
        <f>IF(AND(AT158&lt;&gt;0,AJ158&lt;&gt;"PF"),LifeBY*W158,0)</f>
        <v>0</v>
      </c>
      <c r="BT158" s="462">
        <f>IF(AND(AT158&lt;&gt;0,AM158="Y"),UIBY*W158,0)</f>
        <v>0</v>
      </c>
      <c r="BU158" s="462">
        <f>IF(AND(AT158&lt;&gt;0,N158&lt;&gt;"NR"),DHRBY*W158,0)</f>
        <v>0</v>
      </c>
      <c r="BV158" s="462">
        <f>IF(AT158&lt;&gt;0,WCBY*W158,0)</f>
        <v>0</v>
      </c>
      <c r="BW158" s="462">
        <f>IF(OR(AND(AT158&lt;&gt;0,AJ158&lt;&gt;"PF",AN158&lt;&gt;"NE",AG158&lt;&gt;"A"),AND(AL158="E",OR(AT158=1,AT158=3))),SickBY*W158,0)</f>
        <v>0</v>
      </c>
      <c r="BX158" s="462">
        <f t="shared" si="41"/>
        <v>0</v>
      </c>
      <c r="BY158" s="462">
        <f t="shared" si="42"/>
        <v>0</v>
      </c>
      <c r="BZ158" s="462">
        <f t="shared" si="43"/>
        <v>0</v>
      </c>
      <c r="CA158" s="462">
        <f t="shared" si="44"/>
        <v>0</v>
      </c>
      <c r="CB158" s="462">
        <f t="shared" si="45"/>
        <v>0</v>
      </c>
      <c r="CC158" s="462">
        <f>IF(AT158&lt;&gt;0,SSHICHG*Y158,0)</f>
        <v>0</v>
      </c>
      <c r="CD158" s="462">
        <f>IF(AND(AT158&lt;&gt;0,AN158&lt;&gt;"NE"),VLOOKUP(AN158,Retirement_Rates,5,FALSE)*Y158,0)</f>
        <v>0</v>
      </c>
      <c r="CE158" s="462">
        <f>IF(AND(AT158&lt;&gt;0,AJ158&lt;&gt;"PF"),LifeCHG*Y158,0)</f>
        <v>0</v>
      </c>
      <c r="CF158" s="462">
        <f>IF(AND(AT158&lt;&gt;0,AM158="Y"),UICHG*Y158,0)</f>
        <v>0</v>
      </c>
      <c r="CG158" s="462">
        <f>IF(AND(AT158&lt;&gt;0,N158&lt;&gt;"NR"),DHRCHG*Y158,0)</f>
        <v>0</v>
      </c>
      <c r="CH158" s="462">
        <f>IF(AT158&lt;&gt;0,WCCHG*Y158,0)</f>
        <v>0</v>
      </c>
      <c r="CI158" s="462">
        <f>IF(OR(AND(AT158&lt;&gt;0,AJ158&lt;&gt;"PF",AN158&lt;&gt;"NE",AG158&lt;&gt;"A"),AND(AL158="E",OR(AT158=1,AT158=3))),SickCHG*Y158,0)</f>
        <v>0</v>
      </c>
      <c r="CJ158" s="462">
        <f t="shared" si="46"/>
        <v>0</v>
      </c>
      <c r="CK158" s="462" t="str">
        <f t="shared" si="47"/>
        <v/>
      </c>
      <c r="CL158" s="462" t="str">
        <f t="shared" si="48"/>
        <v/>
      </c>
      <c r="CM158" s="462" t="str">
        <f t="shared" si="49"/>
        <v/>
      </c>
      <c r="CN158" s="462" t="str">
        <f t="shared" si="50"/>
        <v>0332-09</v>
      </c>
    </row>
    <row r="159" spans="1:92" ht="15" thickBot="1" x14ac:dyDescent="0.35">
      <c r="A159" s="376" t="s">
        <v>161</v>
      </c>
      <c r="B159" s="376" t="s">
        <v>162</v>
      </c>
      <c r="C159" s="376" t="s">
        <v>450</v>
      </c>
      <c r="D159" s="376" t="s">
        <v>272</v>
      </c>
      <c r="E159" s="376" t="s">
        <v>535</v>
      </c>
      <c r="F159" s="382" t="s">
        <v>645</v>
      </c>
      <c r="G159" s="376" t="s">
        <v>356</v>
      </c>
      <c r="H159" s="378"/>
      <c r="I159" s="378"/>
      <c r="J159" s="376" t="s">
        <v>185</v>
      </c>
      <c r="K159" s="376" t="s">
        <v>273</v>
      </c>
      <c r="L159" s="376" t="s">
        <v>274</v>
      </c>
      <c r="M159" s="376" t="s">
        <v>170</v>
      </c>
      <c r="N159" s="376" t="s">
        <v>202</v>
      </c>
      <c r="O159" s="379">
        <v>1</v>
      </c>
      <c r="P159" s="460">
        <v>0</v>
      </c>
      <c r="Q159" s="460">
        <v>0</v>
      </c>
      <c r="R159" s="380">
        <v>80</v>
      </c>
      <c r="S159" s="460">
        <v>0</v>
      </c>
      <c r="T159" s="380">
        <v>146.18</v>
      </c>
      <c r="U159" s="380">
        <v>0</v>
      </c>
      <c r="V159" s="380">
        <v>57.42</v>
      </c>
      <c r="W159" s="380">
        <v>0</v>
      </c>
      <c r="X159" s="380">
        <v>0</v>
      </c>
      <c r="Y159" s="380">
        <v>0</v>
      </c>
      <c r="Z159" s="380">
        <v>0</v>
      </c>
      <c r="AA159" s="376" t="s">
        <v>451</v>
      </c>
      <c r="AB159" s="376" t="s">
        <v>452</v>
      </c>
      <c r="AC159" s="376" t="s">
        <v>453</v>
      </c>
      <c r="AD159" s="376" t="s">
        <v>370</v>
      </c>
      <c r="AE159" s="376" t="s">
        <v>273</v>
      </c>
      <c r="AF159" s="376" t="s">
        <v>279</v>
      </c>
      <c r="AG159" s="376" t="s">
        <v>177</v>
      </c>
      <c r="AH159" s="381">
        <v>27.38</v>
      </c>
      <c r="AI159" s="381">
        <v>100037.7</v>
      </c>
      <c r="AJ159" s="376" t="s">
        <v>178</v>
      </c>
      <c r="AK159" s="376" t="s">
        <v>179</v>
      </c>
      <c r="AL159" s="376" t="s">
        <v>180</v>
      </c>
      <c r="AM159" s="376" t="s">
        <v>181</v>
      </c>
      <c r="AN159" s="376" t="s">
        <v>68</v>
      </c>
      <c r="AO159" s="379">
        <v>80</v>
      </c>
      <c r="AP159" s="460">
        <v>1</v>
      </c>
      <c r="AQ159" s="460">
        <v>0</v>
      </c>
      <c r="AR159" s="458" t="s">
        <v>182</v>
      </c>
      <c r="AS159" s="462">
        <f t="shared" si="34"/>
        <v>0</v>
      </c>
      <c r="AT159">
        <f t="shared" si="35"/>
        <v>0</v>
      </c>
      <c r="AU159" s="462" t="str">
        <f>IF(AT159=0,"",IF(AND(AT159=1,M159="F",SUMIF(C2:C698,C159,AS2:AS698)&lt;=1),SUMIF(C2:C698,C159,AS2:AS698),IF(AND(AT159=1,M159="F",SUMIF(C2:C698,C159,AS2:AS698)&gt;1),1,"")))</f>
        <v/>
      </c>
      <c r="AV159" s="462" t="str">
        <f>IF(AT159=0,"",IF(AND(AT159=3,M159="F",SUMIF(C2:C698,C159,AS2:AS698)&lt;=1),SUMIF(C2:C698,C159,AS2:AS698),IF(AND(AT159=3,M159="F",SUMIF(C2:C698,C159,AS2:AS698)&gt;1),1,"")))</f>
        <v/>
      </c>
      <c r="AW159" s="462">
        <f>SUMIF(C2:C698,C159,O2:O698)</f>
        <v>6</v>
      </c>
      <c r="AX159" s="462">
        <f>IF(AND(M159="F",AS159&lt;&gt;0),SUMIF(C2:C698,C159,W2:W698),0)</f>
        <v>0</v>
      </c>
      <c r="AY159" s="462" t="str">
        <f t="shared" si="36"/>
        <v/>
      </c>
      <c r="AZ159" s="462" t="str">
        <f t="shared" si="37"/>
        <v/>
      </c>
      <c r="BA159" s="462">
        <f t="shared" si="38"/>
        <v>0</v>
      </c>
      <c r="BB159" s="462">
        <f>IF(AND(AT159=1,AK159="E",AU159&gt;=0.75,AW159=1),Health,IF(AND(AT159=1,AK159="E",AU159&gt;=0.75),Health*P159,IF(AND(AT159=1,AK159="E",AU159&gt;=0.5,AW159=1),PTHealth,IF(AND(AT159=1,AK159="E",AU159&gt;=0.5),PTHealth*P159,0))))</f>
        <v>0</v>
      </c>
      <c r="BC159" s="462">
        <f>IF(AND(AT159=3,AK159="E",AV159&gt;=0.75,AW159=1),Health,IF(AND(AT159=3,AK159="E",AV159&gt;=0.75),Health*P159,IF(AND(AT159=3,AK159="E",AV159&gt;=0.5,AW159=1),PTHealth,IF(AND(AT159=3,AK159="E",AV159&gt;=0.5),PTHealth*P159,0))))</f>
        <v>0</v>
      </c>
      <c r="BD159" s="462">
        <f>IF(AND(AT159&lt;&gt;0,AX159&gt;=MAXSSDI),SSDI*MAXSSDI*P159,IF(AT159&lt;&gt;0,SSDI*W159,0))</f>
        <v>0</v>
      </c>
      <c r="BE159" s="462">
        <f>IF(AT159&lt;&gt;0,SSHI*W159,0)</f>
        <v>0</v>
      </c>
      <c r="BF159" s="462">
        <f>IF(AND(AT159&lt;&gt;0,AN159&lt;&gt;"NE"),VLOOKUP(AN159,Retirement_Rates,3,FALSE)*W159,0)</f>
        <v>0</v>
      </c>
      <c r="BG159" s="462">
        <f>IF(AND(AT159&lt;&gt;0,AJ159&lt;&gt;"PF"),Life*W159,0)</f>
        <v>0</v>
      </c>
      <c r="BH159" s="462">
        <f>IF(AND(AT159&lt;&gt;0,AM159="Y"),UI*W159,0)</f>
        <v>0</v>
      </c>
      <c r="BI159" s="462">
        <f>IF(AND(AT159&lt;&gt;0,N159&lt;&gt;"NR"),DHR*W159,0)</f>
        <v>0</v>
      </c>
      <c r="BJ159" s="462">
        <f>IF(AT159&lt;&gt;0,WC*W159,0)</f>
        <v>0</v>
      </c>
      <c r="BK159" s="462">
        <f>IF(OR(AND(AT159&lt;&gt;0,AJ159&lt;&gt;"PF",AN159&lt;&gt;"NE",AG159&lt;&gt;"A"),AND(AL159="E",OR(AT159=1,AT159=3))),Sick*W159,0)</f>
        <v>0</v>
      </c>
      <c r="BL159" s="462">
        <f t="shared" si="39"/>
        <v>0</v>
      </c>
      <c r="BM159" s="462">
        <f t="shared" si="40"/>
        <v>0</v>
      </c>
      <c r="BN159" s="462">
        <f>IF(AND(AT159=1,AK159="E",AU159&gt;=0.75,AW159=1),HealthBY,IF(AND(AT159=1,AK159="E",AU159&gt;=0.75),HealthBY*P159,IF(AND(AT159=1,AK159="E",AU159&gt;=0.5,AW159=1),PTHealthBY,IF(AND(AT159=1,AK159="E",AU159&gt;=0.5),PTHealthBY*P159,0))))</f>
        <v>0</v>
      </c>
      <c r="BO159" s="462">
        <f>IF(AND(AT159=3,AK159="E",AV159&gt;=0.75,AW159=1),HealthBY,IF(AND(AT159=3,AK159="E",AV159&gt;=0.75),HealthBY*P159,IF(AND(AT159=3,AK159="E",AV159&gt;=0.5,AW159=1),PTHealthBY,IF(AND(AT159=3,AK159="E",AV159&gt;=0.5),PTHealthBY*P159,0))))</f>
        <v>0</v>
      </c>
      <c r="BP159" s="462">
        <f>IF(AND(AT159&lt;&gt;0,(AX159+BA159)&gt;=MAXSSDIBY),SSDIBY*MAXSSDIBY*P159,IF(AT159&lt;&gt;0,SSDIBY*W159,0))</f>
        <v>0</v>
      </c>
      <c r="BQ159" s="462">
        <f>IF(AT159&lt;&gt;0,SSHIBY*W159,0)</f>
        <v>0</v>
      </c>
      <c r="BR159" s="462">
        <f>IF(AND(AT159&lt;&gt;0,AN159&lt;&gt;"NE"),VLOOKUP(AN159,Retirement_Rates,4,FALSE)*W159,0)</f>
        <v>0</v>
      </c>
      <c r="BS159" s="462">
        <f>IF(AND(AT159&lt;&gt;0,AJ159&lt;&gt;"PF"),LifeBY*W159,0)</f>
        <v>0</v>
      </c>
      <c r="BT159" s="462">
        <f>IF(AND(AT159&lt;&gt;0,AM159="Y"),UIBY*W159,0)</f>
        <v>0</v>
      </c>
      <c r="BU159" s="462">
        <f>IF(AND(AT159&lt;&gt;0,N159&lt;&gt;"NR"),DHRBY*W159,0)</f>
        <v>0</v>
      </c>
      <c r="BV159" s="462">
        <f>IF(AT159&lt;&gt;0,WCBY*W159,0)</f>
        <v>0</v>
      </c>
      <c r="BW159" s="462">
        <f>IF(OR(AND(AT159&lt;&gt;0,AJ159&lt;&gt;"PF",AN159&lt;&gt;"NE",AG159&lt;&gt;"A"),AND(AL159="E",OR(AT159=1,AT159=3))),SickBY*W159,0)</f>
        <v>0</v>
      </c>
      <c r="BX159" s="462">
        <f t="shared" si="41"/>
        <v>0</v>
      </c>
      <c r="BY159" s="462">
        <f t="shared" si="42"/>
        <v>0</v>
      </c>
      <c r="BZ159" s="462">
        <f t="shared" si="43"/>
        <v>0</v>
      </c>
      <c r="CA159" s="462">
        <f t="shared" si="44"/>
        <v>0</v>
      </c>
      <c r="CB159" s="462">
        <f t="shared" si="45"/>
        <v>0</v>
      </c>
      <c r="CC159" s="462">
        <f>IF(AT159&lt;&gt;0,SSHICHG*Y159,0)</f>
        <v>0</v>
      </c>
      <c r="CD159" s="462">
        <f>IF(AND(AT159&lt;&gt;0,AN159&lt;&gt;"NE"),VLOOKUP(AN159,Retirement_Rates,5,FALSE)*Y159,0)</f>
        <v>0</v>
      </c>
      <c r="CE159" s="462">
        <f>IF(AND(AT159&lt;&gt;0,AJ159&lt;&gt;"PF"),LifeCHG*Y159,0)</f>
        <v>0</v>
      </c>
      <c r="CF159" s="462">
        <f>IF(AND(AT159&lt;&gt;0,AM159="Y"),UICHG*Y159,0)</f>
        <v>0</v>
      </c>
      <c r="CG159" s="462">
        <f>IF(AND(AT159&lt;&gt;0,N159&lt;&gt;"NR"),DHRCHG*Y159,0)</f>
        <v>0</v>
      </c>
      <c r="CH159" s="462">
        <f>IF(AT159&lt;&gt;0,WCCHG*Y159,0)</f>
        <v>0</v>
      </c>
      <c r="CI159" s="462">
        <f>IF(OR(AND(AT159&lt;&gt;0,AJ159&lt;&gt;"PF",AN159&lt;&gt;"NE",AG159&lt;&gt;"A"),AND(AL159="E",OR(AT159=1,AT159=3))),SickCHG*Y159,0)</f>
        <v>0</v>
      </c>
      <c r="CJ159" s="462">
        <f t="shared" si="46"/>
        <v>0</v>
      </c>
      <c r="CK159" s="462" t="str">
        <f t="shared" si="47"/>
        <v/>
      </c>
      <c r="CL159" s="462" t="str">
        <f t="shared" si="48"/>
        <v/>
      </c>
      <c r="CM159" s="462" t="str">
        <f t="shared" si="49"/>
        <v/>
      </c>
      <c r="CN159" s="462" t="str">
        <f t="shared" si="50"/>
        <v>0332-09</v>
      </c>
    </row>
    <row r="160" spans="1:92" ht="15" thickBot="1" x14ac:dyDescent="0.35">
      <c r="A160" s="376" t="s">
        <v>161</v>
      </c>
      <c r="B160" s="376" t="s">
        <v>162</v>
      </c>
      <c r="C160" s="376" t="s">
        <v>456</v>
      </c>
      <c r="D160" s="376" t="s">
        <v>457</v>
      </c>
      <c r="E160" s="376" t="s">
        <v>535</v>
      </c>
      <c r="F160" s="382" t="s">
        <v>645</v>
      </c>
      <c r="G160" s="376" t="s">
        <v>356</v>
      </c>
      <c r="H160" s="378"/>
      <c r="I160" s="378"/>
      <c r="J160" s="376" t="s">
        <v>168</v>
      </c>
      <c r="K160" s="376" t="s">
        <v>458</v>
      </c>
      <c r="L160" s="376" t="s">
        <v>177</v>
      </c>
      <c r="M160" s="376" t="s">
        <v>170</v>
      </c>
      <c r="N160" s="376" t="s">
        <v>202</v>
      </c>
      <c r="O160" s="379">
        <v>1</v>
      </c>
      <c r="P160" s="460">
        <v>0</v>
      </c>
      <c r="Q160" s="460">
        <v>0</v>
      </c>
      <c r="R160" s="380">
        <v>80</v>
      </c>
      <c r="S160" s="460">
        <v>0</v>
      </c>
      <c r="T160" s="380">
        <v>801.35</v>
      </c>
      <c r="U160" s="380">
        <v>0</v>
      </c>
      <c r="V160" s="380">
        <v>461.36</v>
      </c>
      <c r="W160" s="380">
        <v>0</v>
      </c>
      <c r="X160" s="380">
        <v>0</v>
      </c>
      <c r="Y160" s="380">
        <v>0</v>
      </c>
      <c r="Z160" s="380">
        <v>0</v>
      </c>
      <c r="AA160" s="376" t="s">
        <v>459</v>
      </c>
      <c r="AB160" s="376" t="s">
        <v>460</v>
      </c>
      <c r="AC160" s="376" t="s">
        <v>461</v>
      </c>
      <c r="AD160" s="376" t="s">
        <v>462</v>
      </c>
      <c r="AE160" s="376" t="s">
        <v>458</v>
      </c>
      <c r="AF160" s="376" t="s">
        <v>436</v>
      </c>
      <c r="AG160" s="376" t="s">
        <v>177</v>
      </c>
      <c r="AH160" s="381">
        <v>15.5</v>
      </c>
      <c r="AI160" s="379">
        <v>2588</v>
      </c>
      <c r="AJ160" s="376" t="s">
        <v>178</v>
      </c>
      <c r="AK160" s="376" t="s">
        <v>179</v>
      </c>
      <c r="AL160" s="376" t="s">
        <v>180</v>
      </c>
      <c r="AM160" s="376" t="s">
        <v>181</v>
      </c>
      <c r="AN160" s="376" t="s">
        <v>68</v>
      </c>
      <c r="AO160" s="379">
        <v>80</v>
      </c>
      <c r="AP160" s="460">
        <v>1</v>
      </c>
      <c r="AQ160" s="460">
        <v>0</v>
      </c>
      <c r="AR160" s="458" t="s">
        <v>182</v>
      </c>
      <c r="AS160" s="462">
        <f t="shared" si="34"/>
        <v>0</v>
      </c>
      <c r="AT160">
        <f t="shared" si="35"/>
        <v>0</v>
      </c>
      <c r="AU160" s="462" t="str">
        <f>IF(AT160=0,"",IF(AND(AT160=1,M160="F",SUMIF(C2:C698,C160,AS2:AS698)&lt;=1),SUMIF(C2:C698,C160,AS2:AS698),IF(AND(AT160=1,M160="F",SUMIF(C2:C698,C160,AS2:AS698)&gt;1),1,"")))</f>
        <v/>
      </c>
      <c r="AV160" s="462" t="str">
        <f>IF(AT160=0,"",IF(AND(AT160=3,M160="F",SUMIF(C2:C698,C160,AS2:AS698)&lt;=1),SUMIF(C2:C698,C160,AS2:AS698),IF(AND(AT160=3,M160="F",SUMIF(C2:C698,C160,AS2:AS698)&gt;1),1,"")))</f>
        <v/>
      </c>
      <c r="AW160" s="462">
        <f>SUMIF(C2:C698,C160,O2:O698)</f>
        <v>5</v>
      </c>
      <c r="AX160" s="462">
        <f>IF(AND(M160="F",AS160&lt;&gt;0),SUMIF(C2:C698,C160,W2:W698),0)</f>
        <v>0</v>
      </c>
      <c r="AY160" s="462" t="str">
        <f t="shared" si="36"/>
        <v/>
      </c>
      <c r="AZ160" s="462" t="str">
        <f t="shared" si="37"/>
        <v/>
      </c>
      <c r="BA160" s="462">
        <f t="shared" si="38"/>
        <v>0</v>
      </c>
      <c r="BB160" s="462">
        <f>IF(AND(AT160=1,AK160="E",AU160&gt;=0.75,AW160=1),Health,IF(AND(AT160=1,AK160="E",AU160&gt;=0.75),Health*P160,IF(AND(AT160=1,AK160="E",AU160&gt;=0.5,AW160=1),PTHealth,IF(AND(AT160=1,AK160="E",AU160&gt;=0.5),PTHealth*P160,0))))</f>
        <v>0</v>
      </c>
      <c r="BC160" s="462">
        <f>IF(AND(AT160=3,AK160="E",AV160&gt;=0.75,AW160=1),Health,IF(AND(AT160=3,AK160="E",AV160&gt;=0.75),Health*P160,IF(AND(AT160=3,AK160="E",AV160&gt;=0.5,AW160=1),PTHealth,IF(AND(AT160=3,AK160="E",AV160&gt;=0.5),PTHealth*P160,0))))</f>
        <v>0</v>
      </c>
      <c r="BD160" s="462">
        <f>IF(AND(AT160&lt;&gt;0,AX160&gt;=MAXSSDI),SSDI*MAXSSDI*P160,IF(AT160&lt;&gt;0,SSDI*W160,0))</f>
        <v>0</v>
      </c>
      <c r="BE160" s="462">
        <f>IF(AT160&lt;&gt;0,SSHI*W160,0)</f>
        <v>0</v>
      </c>
      <c r="BF160" s="462">
        <f>IF(AND(AT160&lt;&gt;0,AN160&lt;&gt;"NE"),VLOOKUP(AN160,Retirement_Rates,3,FALSE)*W160,0)</f>
        <v>0</v>
      </c>
      <c r="BG160" s="462">
        <f>IF(AND(AT160&lt;&gt;0,AJ160&lt;&gt;"PF"),Life*W160,0)</f>
        <v>0</v>
      </c>
      <c r="BH160" s="462">
        <f>IF(AND(AT160&lt;&gt;0,AM160="Y"),UI*W160,0)</f>
        <v>0</v>
      </c>
      <c r="BI160" s="462">
        <f>IF(AND(AT160&lt;&gt;0,N160&lt;&gt;"NR"),DHR*W160,0)</f>
        <v>0</v>
      </c>
      <c r="BJ160" s="462">
        <f>IF(AT160&lt;&gt;0,WC*W160,0)</f>
        <v>0</v>
      </c>
      <c r="BK160" s="462">
        <f>IF(OR(AND(AT160&lt;&gt;0,AJ160&lt;&gt;"PF",AN160&lt;&gt;"NE",AG160&lt;&gt;"A"),AND(AL160="E",OR(AT160=1,AT160=3))),Sick*W160,0)</f>
        <v>0</v>
      </c>
      <c r="BL160" s="462">
        <f t="shared" si="39"/>
        <v>0</v>
      </c>
      <c r="BM160" s="462">
        <f t="shared" si="40"/>
        <v>0</v>
      </c>
      <c r="BN160" s="462">
        <f>IF(AND(AT160=1,AK160="E",AU160&gt;=0.75,AW160=1),HealthBY,IF(AND(AT160=1,AK160="E",AU160&gt;=0.75),HealthBY*P160,IF(AND(AT160=1,AK160="E",AU160&gt;=0.5,AW160=1),PTHealthBY,IF(AND(AT160=1,AK160="E",AU160&gt;=0.5),PTHealthBY*P160,0))))</f>
        <v>0</v>
      </c>
      <c r="BO160" s="462">
        <f>IF(AND(AT160=3,AK160="E",AV160&gt;=0.75,AW160=1),HealthBY,IF(AND(AT160=3,AK160="E",AV160&gt;=0.75),HealthBY*P160,IF(AND(AT160=3,AK160="E",AV160&gt;=0.5,AW160=1),PTHealthBY,IF(AND(AT160=3,AK160="E",AV160&gt;=0.5),PTHealthBY*P160,0))))</f>
        <v>0</v>
      </c>
      <c r="BP160" s="462">
        <f>IF(AND(AT160&lt;&gt;0,(AX160+BA160)&gt;=MAXSSDIBY),SSDIBY*MAXSSDIBY*P160,IF(AT160&lt;&gt;0,SSDIBY*W160,0))</f>
        <v>0</v>
      </c>
      <c r="BQ160" s="462">
        <f>IF(AT160&lt;&gt;0,SSHIBY*W160,0)</f>
        <v>0</v>
      </c>
      <c r="BR160" s="462">
        <f>IF(AND(AT160&lt;&gt;0,AN160&lt;&gt;"NE"),VLOOKUP(AN160,Retirement_Rates,4,FALSE)*W160,0)</f>
        <v>0</v>
      </c>
      <c r="BS160" s="462">
        <f>IF(AND(AT160&lt;&gt;0,AJ160&lt;&gt;"PF"),LifeBY*W160,0)</f>
        <v>0</v>
      </c>
      <c r="BT160" s="462">
        <f>IF(AND(AT160&lt;&gt;0,AM160="Y"),UIBY*W160,0)</f>
        <v>0</v>
      </c>
      <c r="BU160" s="462">
        <f>IF(AND(AT160&lt;&gt;0,N160&lt;&gt;"NR"),DHRBY*W160,0)</f>
        <v>0</v>
      </c>
      <c r="BV160" s="462">
        <f>IF(AT160&lt;&gt;0,WCBY*W160,0)</f>
        <v>0</v>
      </c>
      <c r="BW160" s="462">
        <f>IF(OR(AND(AT160&lt;&gt;0,AJ160&lt;&gt;"PF",AN160&lt;&gt;"NE",AG160&lt;&gt;"A"),AND(AL160="E",OR(AT160=1,AT160=3))),SickBY*W160,0)</f>
        <v>0</v>
      </c>
      <c r="BX160" s="462">
        <f t="shared" si="41"/>
        <v>0</v>
      </c>
      <c r="BY160" s="462">
        <f t="shared" si="42"/>
        <v>0</v>
      </c>
      <c r="BZ160" s="462">
        <f t="shared" si="43"/>
        <v>0</v>
      </c>
      <c r="CA160" s="462">
        <f t="shared" si="44"/>
        <v>0</v>
      </c>
      <c r="CB160" s="462">
        <f t="shared" si="45"/>
        <v>0</v>
      </c>
      <c r="CC160" s="462">
        <f>IF(AT160&lt;&gt;0,SSHICHG*Y160,0)</f>
        <v>0</v>
      </c>
      <c r="CD160" s="462">
        <f>IF(AND(AT160&lt;&gt;0,AN160&lt;&gt;"NE"),VLOOKUP(AN160,Retirement_Rates,5,FALSE)*Y160,0)</f>
        <v>0</v>
      </c>
      <c r="CE160" s="462">
        <f>IF(AND(AT160&lt;&gt;0,AJ160&lt;&gt;"PF"),LifeCHG*Y160,0)</f>
        <v>0</v>
      </c>
      <c r="CF160" s="462">
        <f>IF(AND(AT160&lt;&gt;0,AM160="Y"),UICHG*Y160,0)</f>
        <v>0</v>
      </c>
      <c r="CG160" s="462">
        <f>IF(AND(AT160&lt;&gt;0,N160&lt;&gt;"NR"),DHRCHG*Y160,0)</f>
        <v>0</v>
      </c>
      <c r="CH160" s="462">
        <f>IF(AT160&lt;&gt;0,WCCHG*Y160,0)</f>
        <v>0</v>
      </c>
      <c r="CI160" s="462">
        <f>IF(OR(AND(AT160&lt;&gt;0,AJ160&lt;&gt;"PF",AN160&lt;&gt;"NE",AG160&lt;&gt;"A"),AND(AL160="E",OR(AT160=1,AT160=3))),SickCHG*Y160,0)</f>
        <v>0</v>
      </c>
      <c r="CJ160" s="462">
        <f t="shared" si="46"/>
        <v>0</v>
      </c>
      <c r="CK160" s="462" t="str">
        <f t="shared" si="47"/>
        <v/>
      </c>
      <c r="CL160" s="462" t="str">
        <f t="shared" si="48"/>
        <v/>
      </c>
      <c r="CM160" s="462" t="str">
        <f t="shared" si="49"/>
        <v/>
      </c>
      <c r="CN160" s="462" t="str">
        <f t="shared" si="50"/>
        <v>0332-09</v>
      </c>
    </row>
    <row r="161" spans="1:92" ht="15" thickBot="1" x14ac:dyDescent="0.35">
      <c r="A161" s="376" t="s">
        <v>161</v>
      </c>
      <c r="B161" s="376" t="s">
        <v>162</v>
      </c>
      <c r="C161" s="376" t="s">
        <v>364</v>
      </c>
      <c r="D161" s="376" t="s">
        <v>365</v>
      </c>
      <c r="E161" s="376" t="s">
        <v>535</v>
      </c>
      <c r="F161" s="382" t="s">
        <v>645</v>
      </c>
      <c r="G161" s="376" t="s">
        <v>356</v>
      </c>
      <c r="H161" s="378"/>
      <c r="I161" s="378"/>
      <c r="J161" s="376" t="s">
        <v>168</v>
      </c>
      <c r="K161" s="376" t="s">
        <v>366</v>
      </c>
      <c r="L161" s="376" t="s">
        <v>274</v>
      </c>
      <c r="M161" s="376" t="s">
        <v>170</v>
      </c>
      <c r="N161" s="376" t="s">
        <v>202</v>
      </c>
      <c r="O161" s="379">
        <v>1</v>
      </c>
      <c r="P161" s="460">
        <v>0</v>
      </c>
      <c r="Q161" s="460">
        <v>0</v>
      </c>
      <c r="R161" s="380">
        <v>80</v>
      </c>
      <c r="S161" s="460">
        <v>0</v>
      </c>
      <c r="T161" s="380">
        <v>241.7</v>
      </c>
      <c r="U161" s="380">
        <v>0</v>
      </c>
      <c r="V161" s="380">
        <v>130.31</v>
      </c>
      <c r="W161" s="380">
        <v>0</v>
      </c>
      <c r="X161" s="380">
        <v>0</v>
      </c>
      <c r="Y161" s="380">
        <v>0</v>
      </c>
      <c r="Z161" s="380">
        <v>0</v>
      </c>
      <c r="AA161" s="376" t="s">
        <v>367</v>
      </c>
      <c r="AB161" s="376" t="s">
        <v>368</v>
      </c>
      <c r="AC161" s="376" t="s">
        <v>369</v>
      </c>
      <c r="AD161" s="376" t="s">
        <v>370</v>
      </c>
      <c r="AE161" s="376" t="s">
        <v>366</v>
      </c>
      <c r="AF161" s="376" t="s">
        <v>279</v>
      </c>
      <c r="AG161" s="376" t="s">
        <v>177</v>
      </c>
      <c r="AH161" s="381">
        <v>18.46</v>
      </c>
      <c r="AI161" s="379">
        <v>16594</v>
      </c>
      <c r="AJ161" s="376" t="s">
        <v>178</v>
      </c>
      <c r="AK161" s="376" t="s">
        <v>179</v>
      </c>
      <c r="AL161" s="376" t="s">
        <v>180</v>
      </c>
      <c r="AM161" s="376" t="s">
        <v>181</v>
      </c>
      <c r="AN161" s="376" t="s">
        <v>68</v>
      </c>
      <c r="AO161" s="379">
        <v>80</v>
      </c>
      <c r="AP161" s="460">
        <v>1</v>
      </c>
      <c r="AQ161" s="460">
        <v>0</v>
      </c>
      <c r="AR161" s="458" t="s">
        <v>182</v>
      </c>
      <c r="AS161" s="462">
        <f t="shared" si="34"/>
        <v>0</v>
      </c>
      <c r="AT161">
        <f t="shared" si="35"/>
        <v>0</v>
      </c>
      <c r="AU161" s="462" t="str">
        <f>IF(AT161=0,"",IF(AND(AT161=1,M161="F",SUMIF(C2:C698,C161,AS2:AS698)&lt;=1),SUMIF(C2:C698,C161,AS2:AS698),IF(AND(AT161=1,M161="F",SUMIF(C2:C698,C161,AS2:AS698)&gt;1),1,"")))</f>
        <v/>
      </c>
      <c r="AV161" s="462" t="str">
        <f>IF(AT161=0,"",IF(AND(AT161=3,M161="F",SUMIF(C2:C698,C161,AS2:AS698)&lt;=1),SUMIF(C2:C698,C161,AS2:AS698),IF(AND(AT161=3,M161="F",SUMIF(C2:C698,C161,AS2:AS698)&gt;1),1,"")))</f>
        <v/>
      </c>
      <c r="AW161" s="462">
        <f>SUMIF(C2:C698,C161,O2:O698)</f>
        <v>7</v>
      </c>
      <c r="AX161" s="462">
        <f>IF(AND(M161="F",AS161&lt;&gt;0),SUMIF(C2:C698,C161,W2:W698),0)</f>
        <v>0</v>
      </c>
      <c r="AY161" s="462" t="str">
        <f t="shared" si="36"/>
        <v/>
      </c>
      <c r="AZ161" s="462" t="str">
        <f t="shared" si="37"/>
        <v/>
      </c>
      <c r="BA161" s="462">
        <f t="shared" si="38"/>
        <v>0</v>
      </c>
      <c r="BB161" s="462">
        <f>IF(AND(AT161=1,AK161="E",AU161&gt;=0.75,AW161=1),Health,IF(AND(AT161=1,AK161="E",AU161&gt;=0.75),Health*P161,IF(AND(AT161=1,AK161="E",AU161&gt;=0.5,AW161=1),PTHealth,IF(AND(AT161=1,AK161="E",AU161&gt;=0.5),PTHealth*P161,0))))</f>
        <v>0</v>
      </c>
      <c r="BC161" s="462">
        <f>IF(AND(AT161=3,AK161="E",AV161&gt;=0.75,AW161=1),Health,IF(AND(AT161=3,AK161="E",AV161&gt;=0.75),Health*P161,IF(AND(AT161=3,AK161="E",AV161&gt;=0.5,AW161=1),PTHealth,IF(AND(AT161=3,AK161="E",AV161&gt;=0.5),PTHealth*P161,0))))</f>
        <v>0</v>
      </c>
      <c r="BD161" s="462">
        <f>IF(AND(AT161&lt;&gt;0,AX161&gt;=MAXSSDI),SSDI*MAXSSDI*P161,IF(AT161&lt;&gt;0,SSDI*W161,0))</f>
        <v>0</v>
      </c>
      <c r="BE161" s="462">
        <f>IF(AT161&lt;&gt;0,SSHI*W161,0)</f>
        <v>0</v>
      </c>
      <c r="BF161" s="462">
        <f>IF(AND(AT161&lt;&gt;0,AN161&lt;&gt;"NE"),VLOOKUP(AN161,Retirement_Rates,3,FALSE)*W161,0)</f>
        <v>0</v>
      </c>
      <c r="BG161" s="462">
        <f>IF(AND(AT161&lt;&gt;0,AJ161&lt;&gt;"PF"),Life*W161,0)</f>
        <v>0</v>
      </c>
      <c r="BH161" s="462">
        <f>IF(AND(AT161&lt;&gt;0,AM161="Y"),UI*W161,0)</f>
        <v>0</v>
      </c>
      <c r="BI161" s="462">
        <f>IF(AND(AT161&lt;&gt;0,N161&lt;&gt;"NR"),DHR*W161,0)</f>
        <v>0</v>
      </c>
      <c r="BJ161" s="462">
        <f>IF(AT161&lt;&gt;0,WC*W161,0)</f>
        <v>0</v>
      </c>
      <c r="BK161" s="462">
        <f>IF(OR(AND(AT161&lt;&gt;0,AJ161&lt;&gt;"PF",AN161&lt;&gt;"NE",AG161&lt;&gt;"A"),AND(AL161="E",OR(AT161=1,AT161=3))),Sick*W161,0)</f>
        <v>0</v>
      </c>
      <c r="BL161" s="462">
        <f t="shared" si="39"/>
        <v>0</v>
      </c>
      <c r="BM161" s="462">
        <f t="shared" si="40"/>
        <v>0</v>
      </c>
      <c r="BN161" s="462">
        <f>IF(AND(AT161=1,AK161="E",AU161&gt;=0.75,AW161=1),HealthBY,IF(AND(AT161=1,AK161="E",AU161&gt;=0.75),HealthBY*P161,IF(AND(AT161=1,AK161="E",AU161&gt;=0.5,AW161=1),PTHealthBY,IF(AND(AT161=1,AK161="E",AU161&gt;=0.5),PTHealthBY*P161,0))))</f>
        <v>0</v>
      </c>
      <c r="BO161" s="462">
        <f>IF(AND(AT161=3,AK161="E",AV161&gt;=0.75,AW161=1),HealthBY,IF(AND(AT161=3,AK161="E",AV161&gt;=0.75),HealthBY*P161,IF(AND(AT161=3,AK161="E",AV161&gt;=0.5,AW161=1),PTHealthBY,IF(AND(AT161=3,AK161="E",AV161&gt;=0.5),PTHealthBY*P161,0))))</f>
        <v>0</v>
      </c>
      <c r="BP161" s="462">
        <f>IF(AND(AT161&lt;&gt;0,(AX161+BA161)&gt;=MAXSSDIBY),SSDIBY*MAXSSDIBY*P161,IF(AT161&lt;&gt;0,SSDIBY*W161,0))</f>
        <v>0</v>
      </c>
      <c r="BQ161" s="462">
        <f>IF(AT161&lt;&gt;0,SSHIBY*W161,0)</f>
        <v>0</v>
      </c>
      <c r="BR161" s="462">
        <f>IF(AND(AT161&lt;&gt;0,AN161&lt;&gt;"NE"),VLOOKUP(AN161,Retirement_Rates,4,FALSE)*W161,0)</f>
        <v>0</v>
      </c>
      <c r="BS161" s="462">
        <f>IF(AND(AT161&lt;&gt;0,AJ161&lt;&gt;"PF"),LifeBY*W161,0)</f>
        <v>0</v>
      </c>
      <c r="BT161" s="462">
        <f>IF(AND(AT161&lt;&gt;0,AM161="Y"),UIBY*W161,0)</f>
        <v>0</v>
      </c>
      <c r="BU161" s="462">
        <f>IF(AND(AT161&lt;&gt;0,N161&lt;&gt;"NR"),DHRBY*W161,0)</f>
        <v>0</v>
      </c>
      <c r="BV161" s="462">
        <f>IF(AT161&lt;&gt;0,WCBY*W161,0)</f>
        <v>0</v>
      </c>
      <c r="BW161" s="462">
        <f>IF(OR(AND(AT161&lt;&gt;0,AJ161&lt;&gt;"PF",AN161&lt;&gt;"NE",AG161&lt;&gt;"A"),AND(AL161="E",OR(AT161=1,AT161=3))),SickBY*W161,0)</f>
        <v>0</v>
      </c>
      <c r="BX161" s="462">
        <f t="shared" si="41"/>
        <v>0</v>
      </c>
      <c r="BY161" s="462">
        <f t="shared" si="42"/>
        <v>0</v>
      </c>
      <c r="BZ161" s="462">
        <f t="shared" si="43"/>
        <v>0</v>
      </c>
      <c r="CA161" s="462">
        <f t="shared" si="44"/>
        <v>0</v>
      </c>
      <c r="CB161" s="462">
        <f t="shared" si="45"/>
        <v>0</v>
      </c>
      <c r="CC161" s="462">
        <f>IF(AT161&lt;&gt;0,SSHICHG*Y161,0)</f>
        <v>0</v>
      </c>
      <c r="CD161" s="462">
        <f>IF(AND(AT161&lt;&gt;0,AN161&lt;&gt;"NE"),VLOOKUP(AN161,Retirement_Rates,5,FALSE)*Y161,0)</f>
        <v>0</v>
      </c>
      <c r="CE161" s="462">
        <f>IF(AND(AT161&lt;&gt;0,AJ161&lt;&gt;"PF"),LifeCHG*Y161,0)</f>
        <v>0</v>
      </c>
      <c r="CF161" s="462">
        <f>IF(AND(AT161&lt;&gt;0,AM161="Y"),UICHG*Y161,0)</f>
        <v>0</v>
      </c>
      <c r="CG161" s="462">
        <f>IF(AND(AT161&lt;&gt;0,N161&lt;&gt;"NR"),DHRCHG*Y161,0)</f>
        <v>0</v>
      </c>
      <c r="CH161" s="462">
        <f>IF(AT161&lt;&gt;0,WCCHG*Y161,0)</f>
        <v>0</v>
      </c>
      <c r="CI161" s="462">
        <f>IF(OR(AND(AT161&lt;&gt;0,AJ161&lt;&gt;"PF",AN161&lt;&gt;"NE",AG161&lt;&gt;"A"),AND(AL161="E",OR(AT161=1,AT161=3))),SickCHG*Y161,0)</f>
        <v>0</v>
      </c>
      <c r="CJ161" s="462">
        <f t="shared" si="46"/>
        <v>0</v>
      </c>
      <c r="CK161" s="462" t="str">
        <f t="shared" si="47"/>
        <v/>
      </c>
      <c r="CL161" s="462" t="str">
        <f t="shared" si="48"/>
        <v/>
      </c>
      <c r="CM161" s="462" t="str">
        <f t="shared" si="49"/>
        <v/>
      </c>
      <c r="CN161" s="462" t="str">
        <f t="shared" si="50"/>
        <v>0332-09</v>
      </c>
    </row>
    <row r="162" spans="1:92" ht="15" thickBot="1" x14ac:dyDescent="0.35">
      <c r="A162" s="376" t="s">
        <v>161</v>
      </c>
      <c r="B162" s="376" t="s">
        <v>162</v>
      </c>
      <c r="C162" s="376" t="s">
        <v>646</v>
      </c>
      <c r="D162" s="376" t="s">
        <v>647</v>
      </c>
      <c r="E162" s="376" t="s">
        <v>535</v>
      </c>
      <c r="F162" s="382" t="s">
        <v>645</v>
      </c>
      <c r="G162" s="376" t="s">
        <v>356</v>
      </c>
      <c r="H162" s="378"/>
      <c r="I162" s="378"/>
      <c r="J162" s="376" t="s">
        <v>168</v>
      </c>
      <c r="K162" s="376" t="s">
        <v>648</v>
      </c>
      <c r="L162" s="376" t="s">
        <v>166</v>
      </c>
      <c r="M162" s="376" t="s">
        <v>170</v>
      </c>
      <c r="N162" s="376" t="s">
        <v>291</v>
      </c>
      <c r="O162" s="379">
        <v>0</v>
      </c>
      <c r="P162" s="460">
        <v>0</v>
      </c>
      <c r="Q162" s="460">
        <v>0</v>
      </c>
      <c r="R162" s="380">
        <v>0</v>
      </c>
      <c r="S162" s="460">
        <v>0</v>
      </c>
      <c r="T162" s="380">
        <v>699.37</v>
      </c>
      <c r="U162" s="380">
        <v>0</v>
      </c>
      <c r="V162" s="380">
        <v>459.88</v>
      </c>
      <c r="W162" s="380">
        <v>0</v>
      </c>
      <c r="X162" s="380">
        <v>0</v>
      </c>
      <c r="Y162" s="380">
        <v>0</v>
      </c>
      <c r="Z162" s="380">
        <v>0</v>
      </c>
      <c r="AA162" s="378"/>
      <c r="AB162" s="376" t="s">
        <v>45</v>
      </c>
      <c r="AC162" s="376" t="s">
        <v>45</v>
      </c>
      <c r="AD162" s="378"/>
      <c r="AE162" s="378"/>
      <c r="AF162" s="378"/>
      <c r="AG162" s="378"/>
      <c r="AH162" s="379">
        <v>0</v>
      </c>
      <c r="AI162" s="379">
        <v>0</v>
      </c>
      <c r="AJ162" s="378"/>
      <c r="AK162" s="378"/>
      <c r="AL162" s="376" t="s">
        <v>180</v>
      </c>
      <c r="AM162" s="378"/>
      <c r="AN162" s="378"/>
      <c r="AO162" s="379">
        <v>0</v>
      </c>
      <c r="AP162" s="460">
        <v>0</v>
      </c>
      <c r="AQ162" s="460">
        <v>0</v>
      </c>
      <c r="AR162" s="459"/>
      <c r="AS162" s="462">
        <f t="shared" si="34"/>
        <v>0</v>
      </c>
      <c r="AT162">
        <f t="shared" si="35"/>
        <v>0</v>
      </c>
      <c r="AU162" s="462" t="str">
        <f>IF(AT162=0,"",IF(AND(AT162=1,M162="F",SUMIF(C2:C698,C162,AS2:AS698)&lt;=1),SUMIF(C2:C698,C162,AS2:AS698),IF(AND(AT162=1,M162="F",SUMIF(C2:C698,C162,AS2:AS698)&gt;1),1,"")))</f>
        <v/>
      </c>
      <c r="AV162" s="462" t="str">
        <f>IF(AT162=0,"",IF(AND(AT162=3,M162="F",SUMIF(C2:C698,C162,AS2:AS698)&lt;=1),SUMIF(C2:C698,C162,AS2:AS698),IF(AND(AT162=3,M162="F",SUMIF(C2:C698,C162,AS2:AS698)&gt;1),1,"")))</f>
        <v/>
      </c>
      <c r="AW162" s="462">
        <f>SUMIF(C2:C698,C162,O2:O698)</f>
        <v>0</v>
      </c>
      <c r="AX162" s="462">
        <f>IF(AND(M162="F",AS162&lt;&gt;0),SUMIF(C2:C698,C162,W2:W698),0)</f>
        <v>0</v>
      </c>
      <c r="AY162" s="462" t="str">
        <f t="shared" si="36"/>
        <v/>
      </c>
      <c r="AZ162" s="462" t="str">
        <f t="shared" si="37"/>
        <v/>
      </c>
      <c r="BA162" s="462">
        <f t="shared" si="38"/>
        <v>0</v>
      </c>
      <c r="BB162" s="462">
        <f>IF(AND(AT162=1,AK162="E",AU162&gt;=0.75,AW162=1),Health,IF(AND(AT162=1,AK162="E",AU162&gt;=0.75),Health*P162,IF(AND(AT162=1,AK162="E",AU162&gt;=0.5,AW162=1),PTHealth,IF(AND(AT162=1,AK162="E",AU162&gt;=0.5),PTHealth*P162,0))))</f>
        <v>0</v>
      </c>
      <c r="BC162" s="462">
        <f>IF(AND(AT162=3,AK162="E",AV162&gt;=0.75,AW162=1),Health,IF(AND(AT162=3,AK162="E",AV162&gt;=0.75),Health*P162,IF(AND(AT162=3,AK162="E",AV162&gt;=0.5,AW162=1),PTHealth,IF(AND(AT162=3,AK162="E",AV162&gt;=0.5),PTHealth*P162,0))))</f>
        <v>0</v>
      </c>
      <c r="BD162" s="462">
        <f>IF(AND(AT162&lt;&gt;0,AX162&gt;=MAXSSDI),SSDI*MAXSSDI*P162,IF(AT162&lt;&gt;0,SSDI*W162,0))</f>
        <v>0</v>
      </c>
      <c r="BE162" s="462">
        <f>IF(AT162&lt;&gt;0,SSHI*W162,0)</f>
        <v>0</v>
      </c>
      <c r="BF162" s="462">
        <f>IF(AND(AT162&lt;&gt;0,AN162&lt;&gt;"NE"),VLOOKUP(AN162,Retirement_Rates,3,FALSE)*W162,0)</f>
        <v>0</v>
      </c>
      <c r="BG162" s="462">
        <f>IF(AND(AT162&lt;&gt;0,AJ162&lt;&gt;"PF"),Life*W162,0)</f>
        <v>0</v>
      </c>
      <c r="BH162" s="462">
        <f>IF(AND(AT162&lt;&gt;0,AM162="Y"),UI*W162,0)</f>
        <v>0</v>
      </c>
      <c r="BI162" s="462">
        <f>IF(AND(AT162&lt;&gt;0,N162&lt;&gt;"NR"),DHR*W162,0)</f>
        <v>0</v>
      </c>
      <c r="BJ162" s="462">
        <f>IF(AT162&lt;&gt;0,WC*W162,0)</f>
        <v>0</v>
      </c>
      <c r="BK162" s="462">
        <f>IF(OR(AND(AT162&lt;&gt;0,AJ162&lt;&gt;"PF",AN162&lt;&gt;"NE",AG162&lt;&gt;"A"),AND(AL162="E",OR(AT162=1,AT162=3))),Sick*W162,0)</f>
        <v>0</v>
      </c>
      <c r="BL162" s="462">
        <f t="shared" si="39"/>
        <v>0</v>
      </c>
      <c r="BM162" s="462">
        <f t="shared" si="40"/>
        <v>0</v>
      </c>
      <c r="BN162" s="462">
        <f>IF(AND(AT162=1,AK162="E",AU162&gt;=0.75,AW162=1),HealthBY,IF(AND(AT162=1,AK162="E",AU162&gt;=0.75),HealthBY*P162,IF(AND(AT162=1,AK162="E",AU162&gt;=0.5,AW162=1),PTHealthBY,IF(AND(AT162=1,AK162="E",AU162&gt;=0.5),PTHealthBY*P162,0))))</f>
        <v>0</v>
      </c>
      <c r="BO162" s="462">
        <f>IF(AND(AT162=3,AK162="E",AV162&gt;=0.75,AW162=1),HealthBY,IF(AND(AT162=3,AK162="E",AV162&gt;=0.75),HealthBY*P162,IF(AND(AT162=3,AK162="E",AV162&gt;=0.5,AW162=1),PTHealthBY,IF(AND(AT162=3,AK162="E",AV162&gt;=0.5),PTHealthBY*P162,0))))</f>
        <v>0</v>
      </c>
      <c r="BP162" s="462">
        <f>IF(AND(AT162&lt;&gt;0,(AX162+BA162)&gt;=MAXSSDIBY),SSDIBY*MAXSSDIBY*P162,IF(AT162&lt;&gt;0,SSDIBY*W162,0))</f>
        <v>0</v>
      </c>
      <c r="BQ162" s="462">
        <f>IF(AT162&lt;&gt;0,SSHIBY*W162,0)</f>
        <v>0</v>
      </c>
      <c r="BR162" s="462">
        <f>IF(AND(AT162&lt;&gt;0,AN162&lt;&gt;"NE"),VLOOKUP(AN162,Retirement_Rates,4,FALSE)*W162,0)</f>
        <v>0</v>
      </c>
      <c r="BS162" s="462">
        <f>IF(AND(AT162&lt;&gt;0,AJ162&lt;&gt;"PF"),LifeBY*W162,0)</f>
        <v>0</v>
      </c>
      <c r="BT162" s="462">
        <f>IF(AND(AT162&lt;&gt;0,AM162="Y"),UIBY*W162,0)</f>
        <v>0</v>
      </c>
      <c r="BU162" s="462">
        <f>IF(AND(AT162&lt;&gt;0,N162&lt;&gt;"NR"),DHRBY*W162,0)</f>
        <v>0</v>
      </c>
      <c r="BV162" s="462">
        <f>IF(AT162&lt;&gt;0,WCBY*W162,0)</f>
        <v>0</v>
      </c>
      <c r="BW162" s="462">
        <f>IF(OR(AND(AT162&lt;&gt;0,AJ162&lt;&gt;"PF",AN162&lt;&gt;"NE",AG162&lt;&gt;"A"),AND(AL162="E",OR(AT162=1,AT162=3))),SickBY*W162,0)</f>
        <v>0</v>
      </c>
      <c r="BX162" s="462">
        <f t="shared" si="41"/>
        <v>0</v>
      </c>
      <c r="BY162" s="462">
        <f t="shared" si="42"/>
        <v>0</v>
      </c>
      <c r="BZ162" s="462">
        <f t="shared" si="43"/>
        <v>0</v>
      </c>
      <c r="CA162" s="462">
        <f t="shared" si="44"/>
        <v>0</v>
      </c>
      <c r="CB162" s="462">
        <f t="shared" si="45"/>
        <v>0</v>
      </c>
      <c r="CC162" s="462">
        <f>IF(AT162&lt;&gt;0,SSHICHG*Y162,0)</f>
        <v>0</v>
      </c>
      <c r="CD162" s="462">
        <f>IF(AND(AT162&lt;&gt;0,AN162&lt;&gt;"NE"),VLOOKUP(AN162,Retirement_Rates,5,FALSE)*Y162,0)</f>
        <v>0</v>
      </c>
      <c r="CE162" s="462">
        <f>IF(AND(AT162&lt;&gt;0,AJ162&lt;&gt;"PF"),LifeCHG*Y162,0)</f>
        <v>0</v>
      </c>
      <c r="CF162" s="462">
        <f>IF(AND(AT162&lt;&gt;0,AM162="Y"),UICHG*Y162,0)</f>
        <v>0</v>
      </c>
      <c r="CG162" s="462">
        <f>IF(AND(AT162&lt;&gt;0,N162&lt;&gt;"NR"),DHRCHG*Y162,0)</f>
        <v>0</v>
      </c>
      <c r="CH162" s="462">
        <f>IF(AT162&lt;&gt;0,WCCHG*Y162,0)</f>
        <v>0</v>
      </c>
      <c r="CI162" s="462">
        <f>IF(OR(AND(AT162&lt;&gt;0,AJ162&lt;&gt;"PF",AN162&lt;&gt;"NE",AG162&lt;&gt;"A"),AND(AL162="E",OR(AT162=1,AT162=3))),SickCHG*Y162,0)</f>
        <v>0</v>
      </c>
      <c r="CJ162" s="462">
        <f t="shared" si="46"/>
        <v>0</v>
      </c>
      <c r="CK162" s="462" t="str">
        <f t="shared" si="47"/>
        <v/>
      </c>
      <c r="CL162" s="462">
        <f t="shared" si="48"/>
        <v>699.37</v>
      </c>
      <c r="CM162" s="462">
        <f t="shared" si="49"/>
        <v>459.88</v>
      </c>
      <c r="CN162" s="462" t="str">
        <f t="shared" si="50"/>
        <v>0332-09</v>
      </c>
    </row>
    <row r="163" spans="1:92" ht="15" thickBot="1" x14ac:dyDescent="0.35">
      <c r="A163" s="376" t="s">
        <v>161</v>
      </c>
      <c r="B163" s="376" t="s">
        <v>162</v>
      </c>
      <c r="C163" s="376" t="s">
        <v>581</v>
      </c>
      <c r="D163" s="376" t="s">
        <v>204</v>
      </c>
      <c r="E163" s="376" t="s">
        <v>535</v>
      </c>
      <c r="F163" s="382" t="s">
        <v>645</v>
      </c>
      <c r="G163" s="376" t="s">
        <v>356</v>
      </c>
      <c r="H163" s="378"/>
      <c r="I163" s="378"/>
      <c r="J163" s="376" t="s">
        <v>185</v>
      </c>
      <c r="K163" s="376" t="s">
        <v>205</v>
      </c>
      <c r="L163" s="376" t="s">
        <v>200</v>
      </c>
      <c r="M163" s="376" t="s">
        <v>170</v>
      </c>
      <c r="N163" s="376" t="s">
        <v>202</v>
      </c>
      <c r="O163" s="379">
        <v>1</v>
      </c>
      <c r="P163" s="460">
        <v>0.2</v>
      </c>
      <c r="Q163" s="460">
        <v>0.2</v>
      </c>
      <c r="R163" s="380">
        <v>80</v>
      </c>
      <c r="S163" s="460">
        <v>0.2</v>
      </c>
      <c r="T163" s="380">
        <v>9953.27</v>
      </c>
      <c r="U163" s="380">
        <v>0</v>
      </c>
      <c r="V163" s="380">
        <v>4358.78</v>
      </c>
      <c r="W163" s="380">
        <v>10333.44</v>
      </c>
      <c r="X163" s="380">
        <v>4669.17</v>
      </c>
      <c r="Y163" s="380">
        <v>10333.44</v>
      </c>
      <c r="Z163" s="380">
        <v>4642.3100000000004</v>
      </c>
      <c r="AA163" s="376" t="s">
        <v>582</v>
      </c>
      <c r="AB163" s="376" t="s">
        <v>583</v>
      </c>
      <c r="AC163" s="376" t="s">
        <v>584</v>
      </c>
      <c r="AD163" s="376" t="s">
        <v>215</v>
      </c>
      <c r="AE163" s="376" t="s">
        <v>205</v>
      </c>
      <c r="AF163" s="376" t="s">
        <v>210</v>
      </c>
      <c r="AG163" s="376" t="s">
        <v>177</v>
      </c>
      <c r="AH163" s="381">
        <v>24.84</v>
      </c>
      <c r="AI163" s="381">
        <v>44546.9</v>
      </c>
      <c r="AJ163" s="376" t="s">
        <v>178</v>
      </c>
      <c r="AK163" s="376" t="s">
        <v>179</v>
      </c>
      <c r="AL163" s="376" t="s">
        <v>180</v>
      </c>
      <c r="AM163" s="376" t="s">
        <v>181</v>
      </c>
      <c r="AN163" s="376" t="s">
        <v>68</v>
      </c>
      <c r="AO163" s="379">
        <v>80</v>
      </c>
      <c r="AP163" s="460">
        <v>1</v>
      </c>
      <c r="AQ163" s="460">
        <v>0.2</v>
      </c>
      <c r="AR163" s="458" t="s">
        <v>182</v>
      </c>
      <c r="AS163" s="462">
        <f t="shared" si="34"/>
        <v>0.2</v>
      </c>
      <c r="AT163">
        <f t="shared" si="35"/>
        <v>1</v>
      </c>
      <c r="AU163" s="462">
        <f>IF(AT163=0,"",IF(AND(AT163=1,M163="F",SUMIF(C2:C698,C163,AS2:AS698)&lt;=1),SUMIF(C2:C698,C163,AS2:AS698),IF(AND(AT163=1,M163="F",SUMIF(C2:C698,C163,AS2:AS698)&gt;1),1,"")))</f>
        <v>1</v>
      </c>
      <c r="AV163" s="462" t="str">
        <f>IF(AT163=0,"",IF(AND(AT163=3,M163="F",SUMIF(C2:C698,C163,AS2:AS698)&lt;=1),SUMIF(C2:C698,C163,AS2:AS698),IF(AND(AT163=3,M163="F",SUMIF(C2:C698,C163,AS2:AS698)&gt;1),1,"")))</f>
        <v/>
      </c>
      <c r="AW163" s="462">
        <f>SUMIF(C2:C698,C163,O2:O698)</f>
        <v>3</v>
      </c>
      <c r="AX163" s="462">
        <f>IF(AND(M163="F",AS163&lt;&gt;0),SUMIF(C2:C698,C163,W2:W698),0)</f>
        <v>51667.200000000004</v>
      </c>
      <c r="AY163" s="462">
        <f t="shared" si="36"/>
        <v>10333.44</v>
      </c>
      <c r="AZ163" s="462" t="str">
        <f t="shared" si="37"/>
        <v/>
      </c>
      <c r="BA163" s="462">
        <f t="shared" si="38"/>
        <v>0</v>
      </c>
      <c r="BB163" s="462">
        <f>IF(AND(AT163=1,AK163="E",AU163&gt;=0.75,AW163=1),Health,IF(AND(AT163=1,AK163="E",AU163&gt;=0.75),Health*P163,IF(AND(AT163=1,AK163="E",AU163&gt;=0.5,AW163=1),PTHealth,IF(AND(AT163=1,AK163="E",AU163&gt;=0.5),PTHealth*P163,0))))</f>
        <v>2330</v>
      </c>
      <c r="BC163" s="462">
        <f>IF(AND(AT163=3,AK163="E",AV163&gt;=0.75,AW163=1),Health,IF(AND(AT163=3,AK163="E",AV163&gt;=0.75),Health*P163,IF(AND(AT163=3,AK163="E",AV163&gt;=0.5,AW163=1),PTHealth,IF(AND(AT163=3,AK163="E",AV163&gt;=0.5),PTHealth*P163,0))))</f>
        <v>0</v>
      </c>
      <c r="BD163" s="462">
        <f>IF(AND(AT163&lt;&gt;0,AX163&gt;=MAXSSDI),SSDI*MAXSSDI*P163,IF(AT163&lt;&gt;0,SSDI*W163,0))</f>
        <v>640.67327999999998</v>
      </c>
      <c r="BE163" s="462">
        <f>IF(AT163&lt;&gt;0,SSHI*W163,0)</f>
        <v>149.83488000000003</v>
      </c>
      <c r="BF163" s="462">
        <f>IF(AND(AT163&lt;&gt;0,AN163&lt;&gt;"NE"),VLOOKUP(AN163,Retirement_Rates,3,FALSE)*W163,0)</f>
        <v>1233.8127360000001</v>
      </c>
      <c r="BG163" s="462">
        <f>IF(AND(AT163&lt;&gt;0,AJ163&lt;&gt;"PF"),Life*W163,0)</f>
        <v>74.504102400000008</v>
      </c>
      <c r="BH163" s="462">
        <f>IF(AND(AT163&lt;&gt;0,AM163="Y"),UI*W163,0)</f>
        <v>50.633856000000002</v>
      </c>
      <c r="BI163" s="462">
        <f>IF(AND(AT163&lt;&gt;0,N163&lt;&gt;"NR"),DHR*W163,0)</f>
        <v>31.6203264</v>
      </c>
      <c r="BJ163" s="462">
        <f>IF(AT163&lt;&gt;0,WC*W163,0)</f>
        <v>158.101632</v>
      </c>
      <c r="BK163" s="462">
        <f>IF(OR(AND(AT163&lt;&gt;0,AJ163&lt;&gt;"PF",AN163&lt;&gt;"NE",AG163&lt;&gt;"A"),AND(AL163="E",OR(AT163=1,AT163=3))),Sick*W163,0)</f>
        <v>0</v>
      </c>
      <c r="BL163" s="462">
        <f t="shared" si="39"/>
        <v>2339.1808128000002</v>
      </c>
      <c r="BM163" s="462">
        <f t="shared" si="40"/>
        <v>0</v>
      </c>
      <c r="BN163" s="462">
        <f>IF(AND(AT163=1,AK163="E",AU163&gt;=0.75,AW163=1),HealthBY,IF(AND(AT163=1,AK163="E",AU163&gt;=0.75),HealthBY*P163,IF(AND(AT163=1,AK163="E",AU163&gt;=0.5,AW163=1),PTHealthBY,IF(AND(AT163=1,AK163="E",AU163&gt;=0.5),PTHealthBY*P163,0))))</f>
        <v>2330</v>
      </c>
      <c r="BO163" s="462">
        <f>IF(AND(AT163=3,AK163="E",AV163&gt;=0.75,AW163=1),HealthBY,IF(AND(AT163=3,AK163="E",AV163&gt;=0.75),HealthBY*P163,IF(AND(AT163=3,AK163="E",AV163&gt;=0.5,AW163=1),PTHealthBY,IF(AND(AT163=3,AK163="E",AV163&gt;=0.5),PTHealthBY*P163,0))))</f>
        <v>0</v>
      </c>
      <c r="BP163" s="462">
        <f>IF(AND(AT163&lt;&gt;0,(AX163+BA163)&gt;=MAXSSDIBY),SSDIBY*MAXSSDIBY*P163,IF(AT163&lt;&gt;0,SSDIBY*W163,0))</f>
        <v>640.67327999999998</v>
      </c>
      <c r="BQ163" s="462">
        <f>IF(AT163&lt;&gt;0,SSHIBY*W163,0)</f>
        <v>149.83488000000003</v>
      </c>
      <c r="BR163" s="462">
        <f>IF(AND(AT163&lt;&gt;0,AN163&lt;&gt;"NE"),VLOOKUP(AN163,Retirement_Rates,4,FALSE)*W163,0)</f>
        <v>1233.8127360000001</v>
      </c>
      <c r="BS163" s="462">
        <f>IF(AND(AT163&lt;&gt;0,AJ163&lt;&gt;"PF"),LifeBY*W163,0)</f>
        <v>74.504102400000008</v>
      </c>
      <c r="BT163" s="462">
        <f>IF(AND(AT163&lt;&gt;0,AM163="Y"),UIBY*W163,0)</f>
        <v>0</v>
      </c>
      <c r="BU163" s="462">
        <f>IF(AND(AT163&lt;&gt;0,N163&lt;&gt;"NR"),DHRBY*W163,0)</f>
        <v>31.6203264</v>
      </c>
      <c r="BV163" s="462">
        <f>IF(AT163&lt;&gt;0,WCBY*W163,0)</f>
        <v>181.86854400000001</v>
      </c>
      <c r="BW163" s="462">
        <f>IF(OR(AND(AT163&lt;&gt;0,AJ163&lt;&gt;"PF",AN163&lt;&gt;"NE",AG163&lt;&gt;"A"),AND(AL163="E",OR(AT163=1,AT163=3))),SickBY*W163,0)</f>
        <v>0</v>
      </c>
      <c r="BX163" s="462">
        <f t="shared" si="41"/>
        <v>2312.3138688000004</v>
      </c>
      <c r="BY163" s="462">
        <f t="shared" si="42"/>
        <v>0</v>
      </c>
      <c r="BZ163" s="462">
        <f t="shared" si="43"/>
        <v>0</v>
      </c>
      <c r="CA163" s="462">
        <f t="shared" si="44"/>
        <v>0</v>
      </c>
      <c r="CB163" s="462">
        <f t="shared" si="45"/>
        <v>0</v>
      </c>
      <c r="CC163" s="462">
        <f>IF(AT163&lt;&gt;0,SSHICHG*Y163,0)</f>
        <v>0</v>
      </c>
      <c r="CD163" s="462">
        <f>IF(AND(AT163&lt;&gt;0,AN163&lt;&gt;"NE"),VLOOKUP(AN163,Retirement_Rates,5,FALSE)*Y163,0)</f>
        <v>0</v>
      </c>
      <c r="CE163" s="462">
        <f>IF(AND(AT163&lt;&gt;0,AJ163&lt;&gt;"PF"),LifeCHG*Y163,0)</f>
        <v>0</v>
      </c>
      <c r="CF163" s="462">
        <f>IF(AND(AT163&lt;&gt;0,AM163="Y"),UICHG*Y163,0)</f>
        <v>-50.633856000000002</v>
      </c>
      <c r="CG163" s="462">
        <f>IF(AND(AT163&lt;&gt;0,N163&lt;&gt;"NR"),DHRCHG*Y163,0)</f>
        <v>0</v>
      </c>
      <c r="CH163" s="462">
        <f>IF(AT163&lt;&gt;0,WCCHG*Y163,0)</f>
        <v>23.766912000000019</v>
      </c>
      <c r="CI163" s="462">
        <f>IF(OR(AND(AT163&lt;&gt;0,AJ163&lt;&gt;"PF",AN163&lt;&gt;"NE",AG163&lt;&gt;"A"),AND(AL163="E",OR(AT163=1,AT163=3))),SickCHG*Y163,0)</f>
        <v>0</v>
      </c>
      <c r="CJ163" s="462">
        <f t="shared" si="46"/>
        <v>-26.866943999999982</v>
      </c>
      <c r="CK163" s="462" t="str">
        <f t="shared" si="47"/>
        <v/>
      </c>
      <c r="CL163" s="462" t="str">
        <f t="shared" si="48"/>
        <v/>
      </c>
      <c r="CM163" s="462" t="str">
        <f t="shared" si="49"/>
        <v/>
      </c>
      <c r="CN163" s="462" t="str">
        <f t="shared" si="50"/>
        <v>0332-09</v>
      </c>
    </row>
    <row r="164" spans="1:92" ht="15" thickBot="1" x14ac:dyDescent="0.35">
      <c r="A164" s="376" t="s">
        <v>161</v>
      </c>
      <c r="B164" s="376" t="s">
        <v>162</v>
      </c>
      <c r="C164" s="376" t="s">
        <v>649</v>
      </c>
      <c r="D164" s="376" t="s">
        <v>650</v>
      </c>
      <c r="E164" s="376" t="s">
        <v>165</v>
      </c>
      <c r="F164" s="377" t="s">
        <v>166</v>
      </c>
      <c r="G164" s="376" t="s">
        <v>651</v>
      </c>
      <c r="H164" s="378"/>
      <c r="I164" s="378"/>
      <c r="J164" s="376" t="s">
        <v>168</v>
      </c>
      <c r="K164" s="376" t="s">
        <v>652</v>
      </c>
      <c r="L164" s="376" t="s">
        <v>166</v>
      </c>
      <c r="M164" s="376" t="s">
        <v>170</v>
      </c>
      <c r="N164" s="376" t="s">
        <v>291</v>
      </c>
      <c r="O164" s="379">
        <v>0</v>
      </c>
      <c r="P164" s="460">
        <v>0</v>
      </c>
      <c r="Q164" s="460">
        <v>0</v>
      </c>
      <c r="R164" s="380">
        <v>0</v>
      </c>
      <c r="S164" s="460">
        <v>0</v>
      </c>
      <c r="T164" s="380">
        <v>19.600000000000001</v>
      </c>
      <c r="U164" s="380">
        <v>0</v>
      </c>
      <c r="V164" s="380">
        <v>12.83</v>
      </c>
      <c r="W164" s="380">
        <v>0</v>
      </c>
      <c r="X164" s="380">
        <v>0</v>
      </c>
      <c r="Y164" s="380">
        <v>0</v>
      </c>
      <c r="Z164" s="380">
        <v>0</v>
      </c>
      <c r="AA164" s="378"/>
      <c r="AB164" s="376" t="s">
        <v>45</v>
      </c>
      <c r="AC164" s="376" t="s">
        <v>45</v>
      </c>
      <c r="AD164" s="378"/>
      <c r="AE164" s="378"/>
      <c r="AF164" s="378"/>
      <c r="AG164" s="378"/>
      <c r="AH164" s="379">
        <v>0</v>
      </c>
      <c r="AI164" s="379">
        <v>0</v>
      </c>
      <c r="AJ164" s="378"/>
      <c r="AK164" s="378"/>
      <c r="AL164" s="376" t="s">
        <v>180</v>
      </c>
      <c r="AM164" s="378"/>
      <c r="AN164" s="378"/>
      <c r="AO164" s="379">
        <v>0</v>
      </c>
      <c r="AP164" s="460">
        <v>0</v>
      </c>
      <c r="AQ164" s="460">
        <v>0</v>
      </c>
      <c r="AR164" s="459"/>
      <c r="AS164" s="462">
        <f t="shared" si="34"/>
        <v>0</v>
      </c>
      <c r="AT164">
        <f t="shared" si="35"/>
        <v>0</v>
      </c>
      <c r="AU164" s="462" t="str">
        <f>IF(AT164=0,"",IF(AND(AT164=1,M164="F",SUMIF(C2:C698,C164,AS2:AS698)&lt;=1),SUMIF(C2:C698,C164,AS2:AS698),IF(AND(AT164=1,M164="F",SUMIF(C2:C698,C164,AS2:AS698)&gt;1),1,"")))</f>
        <v/>
      </c>
      <c r="AV164" s="462" t="str">
        <f>IF(AT164=0,"",IF(AND(AT164=3,M164="F",SUMIF(C2:C698,C164,AS2:AS698)&lt;=1),SUMIF(C2:C698,C164,AS2:AS698),IF(AND(AT164=3,M164="F",SUMIF(C2:C698,C164,AS2:AS698)&gt;1),1,"")))</f>
        <v/>
      </c>
      <c r="AW164" s="462">
        <f>SUMIF(C2:C698,C164,O2:O698)</f>
        <v>0</v>
      </c>
      <c r="AX164" s="462">
        <f>IF(AND(M164="F",AS164&lt;&gt;0),SUMIF(C2:C698,C164,W2:W698),0)</f>
        <v>0</v>
      </c>
      <c r="AY164" s="462" t="str">
        <f t="shared" si="36"/>
        <v/>
      </c>
      <c r="AZ164" s="462" t="str">
        <f t="shared" si="37"/>
        <v/>
      </c>
      <c r="BA164" s="462">
        <f t="shared" si="38"/>
        <v>0</v>
      </c>
      <c r="BB164" s="462">
        <f>IF(AND(AT164=1,AK164="E",AU164&gt;=0.75,AW164=1),Health,IF(AND(AT164=1,AK164="E",AU164&gt;=0.75),Health*P164,IF(AND(AT164=1,AK164="E",AU164&gt;=0.5,AW164=1),PTHealth,IF(AND(AT164=1,AK164="E",AU164&gt;=0.5),PTHealth*P164,0))))</f>
        <v>0</v>
      </c>
      <c r="BC164" s="462">
        <f>IF(AND(AT164=3,AK164="E",AV164&gt;=0.75,AW164=1),Health,IF(AND(AT164=3,AK164="E",AV164&gt;=0.75),Health*P164,IF(AND(AT164=3,AK164="E",AV164&gt;=0.5,AW164=1),PTHealth,IF(AND(AT164=3,AK164="E",AV164&gt;=0.5),PTHealth*P164,0))))</f>
        <v>0</v>
      </c>
      <c r="BD164" s="462">
        <f>IF(AND(AT164&lt;&gt;0,AX164&gt;=MAXSSDI),SSDI*MAXSSDI*P164,IF(AT164&lt;&gt;0,SSDI*W164,0))</f>
        <v>0</v>
      </c>
      <c r="BE164" s="462">
        <f>IF(AT164&lt;&gt;0,SSHI*W164,0)</f>
        <v>0</v>
      </c>
      <c r="BF164" s="462">
        <f>IF(AND(AT164&lt;&gt;0,AN164&lt;&gt;"NE"),VLOOKUP(AN164,Retirement_Rates,3,FALSE)*W164,0)</f>
        <v>0</v>
      </c>
      <c r="BG164" s="462">
        <f>IF(AND(AT164&lt;&gt;0,AJ164&lt;&gt;"PF"),Life*W164,0)</f>
        <v>0</v>
      </c>
      <c r="BH164" s="462">
        <f>IF(AND(AT164&lt;&gt;0,AM164="Y"),UI*W164,0)</f>
        <v>0</v>
      </c>
      <c r="BI164" s="462">
        <f>IF(AND(AT164&lt;&gt;0,N164&lt;&gt;"NR"),DHR*W164,0)</f>
        <v>0</v>
      </c>
      <c r="BJ164" s="462">
        <f>IF(AT164&lt;&gt;0,WC*W164,0)</f>
        <v>0</v>
      </c>
      <c r="BK164" s="462">
        <f>IF(OR(AND(AT164&lt;&gt;0,AJ164&lt;&gt;"PF",AN164&lt;&gt;"NE",AG164&lt;&gt;"A"),AND(AL164="E",OR(AT164=1,AT164=3))),Sick*W164,0)</f>
        <v>0</v>
      </c>
      <c r="BL164" s="462">
        <f t="shared" si="39"/>
        <v>0</v>
      </c>
      <c r="BM164" s="462">
        <f t="shared" si="40"/>
        <v>0</v>
      </c>
      <c r="BN164" s="462">
        <f>IF(AND(AT164=1,AK164="E",AU164&gt;=0.75,AW164=1),HealthBY,IF(AND(AT164=1,AK164="E",AU164&gt;=0.75),HealthBY*P164,IF(AND(AT164=1,AK164="E",AU164&gt;=0.5,AW164=1),PTHealthBY,IF(AND(AT164=1,AK164="E",AU164&gt;=0.5),PTHealthBY*P164,0))))</f>
        <v>0</v>
      </c>
      <c r="BO164" s="462">
        <f>IF(AND(AT164=3,AK164="E",AV164&gt;=0.75,AW164=1),HealthBY,IF(AND(AT164=3,AK164="E",AV164&gt;=0.75),HealthBY*P164,IF(AND(AT164=3,AK164="E",AV164&gt;=0.5,AW164=1),PTHealthBY,IF(AND(AT164=3,AK164="E",AV164&gt;=0.5),PTHealthBY*P164,0))))</f>
        <v>0</v>
      </c>
      <c r="BP164" s="462">
        <f>IF(AND(AT164&lt;&gt;0,(AX164+BA164)&gt;=MAXSSDIBY),SSDIBY*MAXSSDIBY*P164,IF(AT164&lt;&gt;0,SSDIBY*W164,0))</f>
        <v>0</v>
      </c>
      <c r="BQ164" s="462">
        <f>IF(AT164&lt;&gt;0,SSHIBY*W164,0)</f>
        <v>0</v>
      </c>
      <c r="BR164" s="462">
        <f>IF(AND(AT164&lt;&gt;0,AN164&lt;&gt;"NE"),VLOOKUP(AN164,Retirement_Rates,4,FALSE)*W164,0)</f>
        <v>0</v>
      </c>
      <c r="BS164" s="462">
        <f>IF(AND(AT164&lt;&gt;0,AJ164&lt;&gt;"PF"),LifeBY*W164,0)</f>
        <v>0</v>
      </c>
      <c r="BT164" s="462">
        <f>IF(AND(AT164&lt;&gt;0,AM164="Y"),UIBY*W164,0)</f>
        <v>0</v>
      </c>
      <c r="BU164" s="462">
        <f>IF(AND(AT164&lt;&gt;0,N164&lt;&gt;"NR"),DHRBY*W164,0)</f>
        <v>0</v>
      </c>
      <c r="BV164" s="462">
        <f>IF(AT164&lt;&gt;0,WCBY*W164,0)</f>
        <v>0</v>
      </c>
      <c r="BW164" s="462">
        <f>IF(OR(AND(AT164&lt;&gt;0,AJ164&lt;&gt;"PF",AN164&lt;&gt;"NE",AG164&lt;&gt;"A"),AND(AL164="E",OR(AT164=1,AT164=3))),SickBY*W164,0)</f>
        <v>0</v>
      </c>
      <c r="BX164" s="462">
        <f t="shared" si="41"/>
        <v>0</v>
      </c>
      <c r="BY164" s="462">
        <f t="shared" si="42"/>
        <v>0</v>
      </c>
      <c r="BZ164" s="462">
        <f t="shared" si="43"/>
        <v>0</v>
      </c>
      <c r="CA164" s="462">
        <f t="shared" si="44"/>
        <v>0</v>
      </c>
      <c r="CB164" s="462">
        <f t="shared" si="45"/>
        <v>0</v>
      </c>
      <c r="CC164" s="462">
        <f>IF(AT164&lt;&gt;0,SSHICHG*Y164,0)</f>
        <v>0</v>
      </c>
      <c r="CD164" s="462">
        <f>IF(AND(AT164&lt;&gt;0,AN164&lt;&gt;"NE"),VLOOKUP(AN164,Retirement_Rates,5,FALSE)*Y164,0)</f>
        <v>0</v>
      </c>
      <c r="CE164" s="462">
        <f>IF(AND(AT164&lt;&gt;0,AJ164&lt;&gt;"PF"),LifeCHG*Y164,0)</f>
        <v>0</v>
      </c>
      <c r="CF164" s="462">
        <f>IF(AND(AT164&lt;&gt;0,AM164="Y"),UICHG*Y164,0)</f>
        <v>0</v>
      </c>
      <c r="CG164" s="462">
        <f>IF(AND(AT164&lt;&gt;0,N164&lt;&gt;"NR"),DHRCHG*Y164,0)</f>
        <v>0</v>
      </c>
      <c r="CH164" s="462">
        <f>IF(AT164&lt;&gt;0,WCCHG*Y164,0)</f>
        <v>0</v>
      </c>
      <c r="CI164" s="462">
        <f>IF(OR(AND(AT164&lt;&gt;0,AJ164&lt;&gt;"PF",AN164&lt;&gt;"NE",AG164&lt;&gt;"A"),AND(AL164="E",OR(AT164=1,AT164=3))),SickCHG*Y164,0)</f>
        <v>0</v>
      </c>
      <c r="CJ164" s="462">
        <f t="shared" si="46"/>
        <v>0</v>
      </c>
      <c r="CK164" s="462" t="str">
        <f t="shared" si="47"/>
        <v/>
      </c>
      <c r="CL164" s="462">
        <f t="shared" si="48"/>
        <v>19.600000000000001</v>
      </c>
      <c r="CM164" s="462">
        <f t="shared" si="49"/>
        <v>12.83</v>
      </c>
      <c r="CN164" s="462" t="str">
        <f t="shared" si="50"/>
        <v>0001-00</v>
      </c>
    </row>
    <row r="165" spans="1:92" ht="15" thickBot="1" x14ac:dyDescent="0.35">
      <c r="A165" s="376" t="s">
        <v>161</v>
      </c>
      <c r="B165" s="376" t="s">
        <v>162</v>
      </c>
      <c r="C165" s="376" t="s">
        <v>653</v>
      </c>
      <c r="D165" s="376" t="s">
        <v>654</v>
      </c>
      <c r="E165" s="376" t="s">
        <v>165</v>
      </c>
      <c r="F165" s="377" t="s">
        <v>166</v>
      </c>
      <c r="G165" s="376" t="s">
        <v>651</v>
      </c>
      <c r="H165" s="378"/>
      <c r="I165" s="378"/>
      <c r="J165" s="376" t="s">
        <v>168</v>
      </c>
      <c r="K165" s="376" t="s">
        <v>655</v>
      </c>
      <c r="L165" s="376" t="s">
        <v>166</v>
      </c>
      <c r="M165" s="376" t="s">
        <v>170</v>
      </c>
      <c r="N165" s="376" t="s">
        <v>171</v>
      </c>
      <c r="O165" s="379">
        <v>1</v>
      </c>
      <c r="P165" s="460">
        <v>1</v>
      </c>
      <c r="Q165" s="460">
        <v>1</v>
      </c>
      <c r="R165" s="380">
        <v>80</v>
      </c>
      <c r="S165" s="460">
        <v>1</v>
      </c>
      <c r="T165" s="380">
        <v>96269.72</v>
      </c>
      <c r="U165" s="380">
        <v>0</v>
      </c>
      <c r="V165" s="380">
        <v>30997.85</v>
      </c>
      <c r="W165" s="380">
        <v>100609.60000000001</v>
      </c>
      <c r="X165" s="380">
        <v>34117.089999999997</v>
      </c>
      <c r="Y165" s="380">
        <v>100609.60000000001</v>
      </c>
      <c r="Z165" s="380">
        <v>33855.51</v>
      </c>
      <c r="AA165" s="376" t="s">
        <v>656</v>
      </c>
      <c r="AB165" s="376" t="s">
        <v>657</v>
      </c>
      <c r="AC165" s="376" t="s">
        <v>658</v>
      </c>
      <c r="AD165" s="376" t="s">
        <v>220</v>
      </c>
      <c r="AE165" s="376" t="s">
        <v>655</v>
      </c>
      <c r="AF165" s="376" t="s">
        <v>176</v>
      </c>
      <c r="AG165" s="376" t="s">
        <v>177</v>
      </c>
      <c r="AH165" s="381">
        <v>48.37</v>
      </c>
      <c r="AI165" s="381">
        <v>56547.6</v>
      </c>
      <c r="AJ165" s="376" t="s">
        <v>178</v>
      </c>
      <c r="AK165" s="376" t="s">
        <v>179</v>
      </c>
      <c r="AL165" s="376" t="s">
        <v>180</v>
      </c>
      <c r="AM165" s="376" t="s">
        <v>181</v>
      </c>
      <c r="AN165" s="376" t="s">
        <v>68</v>
      </c>
      <c r="AO165" s="379">
        <v>80</v>
      </c>
      <c r="AP165" s="460">
        <v>1</v>
      </c>
      <c r="AQ165" s="460">
        <v>1</v>
      </c>
      <c r="AR165" s="458" t="s">
        <v>182</v>
      </c>
      <c r="AS165" s="462">
        <f t="shared" si="34"/>
        <v>1</v>
      </c>
      <c r="AT165">
        <f t="shared" si="35"/>
        <v>1</v>
      </c>
      <c r="AU165" s="462">
        <f>IF(AT165=0,"",IF(AND(AT165=1,M165="F",SUMIF(C2:C698,C165,AS2:AS698)&lt;=1),SUMIF(C2:C698,C165,AS2:AS698),IF(AND(AT165=1,M165="F",SUMIF(C2:C698,C165,AS2:AS698)&gt;1),1,"")))</f>
        <v>1</v>
      </c>
      <c r="AV165" s="462" t="str">
        <f>IF(AT165=0,"",IF(AND(AT165=3,M165="F",SUMIF(C2:C698,C165,AS2:AS698)&lt;=1),SUMIF(C2:C698,C165,AS2:AS698),IF(AND(AT165=3,M165="F",SUMIF(C2:C698,C165,AS2:AS698)&gt;1),1,"")))</f>
        <v/>
      </c>
      <c r="AW165" s="462">
        <f>SUMIF(C2:C698,C165,O2:O698)</f>
        <v>2</v>
      </c>
      <c r="AX165" s="462">
        <f>IF(AND(M165="F",AS165&lt;&gt;0),SUMIF(C2:C698,C165,W2:W698),0)</f>
        <v>100609.60000000001</v>
      </c>
      <c r="AY165" s="462">
        <f t="shared" si="36"/>
        <v>100609.60000000001</v>
      </c>
      <c r="AZ165" s="462" t="str">
        <f t="shared" si="37"/>
        <v/>
      </c>
      <c r="BA165" s="462">
        <f t="shared" si="38"/>
        <v>0</v>
      </c>
      <c r="BB165" s="462">
        <f>IF(AND(AT165=1,AK165="E",AU165&gt;=0.75,AW165=1),Health,IF(AND(AT165=1,AK165="E",AU165&gt;=0.75),Health*P165,IF(AND(AT165=1,AK165="E",AU165&gt;=0.5,AW165=1),PTHealth,IF(AND(AT165=1,AK165="E",AU165&gt;=0.5),PTHealth*P165,0))))</f>
        <v>11650</v>
      </c>
      <c r="BC165" s="462">
        <f>IF(AND(AT165=3,AK165="E",AV165&gt;=0.75,AW165=1),Health,IF(AND(AT165=3,AK165="E",AV165&gt;=0.75),Health*P165,IF(AND(AT165=3,AK165="E",AV165&gt;=0.5,AW165=1),PTHealth,IF(AND(AT165=3,AK165="E",AV165&gt;=0.5),PTHealth*P165,0))))</f>
        <v>0</v>
      </c>
      <c r="BD165" s="462">
        <f>IF(AND(AT165&lt;&gt;0,AX165&gt;=MAXSSDI),SSDI*MAXSSDI*P165,IF(AT165&lt;&gt;0,SSDI*W165,0))</f>
        <v>6237.7952000000005</v>
      </c>
      <c r="BE165" s="462">
        <f>IF(AT165&lt;&gt;0,SSHI*W165,0)</f>
        <v>1458.8392000000001</v>
      </c>
      <c r="BF165" s="462">
        <f>IF(AND(AT165&lt;&gt;0,AN165&lt;&gt;"NE"),VLOOKUP(AN165,Retirement_Rates,3,FALSE)*W165,0)</f>
        <v>12012.786240000001</v>
      </c>
      <c r="BG165" s="462">
        <f>IF(AND(AT165&lt;&gt;0,AJ165&lt;&gt;"PF"),Life*W165,0)</f>
        <v>725.39521600000012</v>
      </c>
      <c r="BH165" s="462">
        <f>IF(AND(AT165&lt;&gt;0,AM165="Y"),UI*W165,0)</f>
        <v>492.98704000000004</v>
      </c>
      <c r="BI165" s="462">
        <f>IF(AND(AT165&lt;&gt;0,N165&lt;&gt;"NR"),DHR*W165,0)</f>
        <v>0</v>
      </c>
      <c r="BJ165" s="462">
        <f>IF(AT165&lt;&gt;0,WC*W165,0)</f>
        <v>1539.3268800000001</v>
      </c>
      <c r="BK165" s="462">
        <f>IF(OR(AND(AT165&lt;&gt;0,AJ165&lt;&gt;"PF",AN165&lt;&gt;"NE",AG165&lt;&gt;"A"),AND(AL165="E",OR(AT165=1,AT165=3))),Sick*W165,0)</f>
        <v>0</v>
      </c>
      <c r="BL165" s="462">
        <f t="shared" si="39"/>
        <v>22467.129776000005</v>
      </c>
      <c r="BM165" s="462">
        <f t="shared" si="40"/>
        <v>0</v>
      </c>
      <c r="BN165" s="462">
        <f>IF(AND(AT165=1,AK165="E",AU165&gt;=0.75,AW165=1),HealthBY,IF(AND(AT165=1,AK165="E",AU165&gt;=0.75),HealthBY*P165,IF(AND(AT165=1,AK165="E",AU165&gt;=0.5,AW165=1),PTHealthBY,IF(AND(AT165=1,AK165="E",AU165&gt;=0.5),PTHealthBY*P165,0))))</f>
        <v>11650</v>
      </c>
      <c r="BO165" s="462">
        <f>IF(AND(AT165=3,AK165="E",AV165&gt;=0.75,AW165=1),HealthBY,IF(AND(AT165=3,AK165="E",AV165&gt;=0.75),HealthBY*P165,IF(AND(AT165=3,AK165="E",AV165&gt;=0.5,AW165=1),PTHealthBY,IF(AND(AT165=3,AK165="E",AV165&gt;=0.5),PTHealthBY*P165,0))))</f>
        <v>0</v>
      </c>
      <c r="BP165" s="462">
        <f>IF(AND(AT165&lt;&gt;0,(AX165+BA165)&gt;=MAXSSDIBY),SSDIBY*MAXSSDIBY*P165,IF(AT165&lt;&gt;0,SSDIBY*W165,0))</f>
        <v>6237.7952000000005</v>
      </c>
      <c r="BQ165" s="462">
        <f>IF(AT165&lt;&gt;0,SSHIBY*W165,0)</f>
        <v>1458.8392000000001</v>
      </c>
      <c r="BR165" s="462">
        <f>IF(AND(AT165&lt;&gt;0,AN165&lt;&gt;"NE"),VLOOKUP(AN165,Retirement_Rates,4,FALSE)*W165,0)</f>
        <v>12012.786240000001</v>
      </c>
      <c r="BS165" s="462">
        <f>IF(AND(AT165&lt;&gt;0,AJ165&lt;&gt;"PF"),LifeBY*W165,0)</f>
        <v>725.39521600000012</v>
      </c>
      <c r="BT165" s="462">
        <f>IF(AND(AT165&lt;&gt;0,AM165="Y"),UIBY*W165,0)</f>
        <v>0</v>
      </c>
      <c r="BU165" s="462">
        <f>IF(AND(AT165&lt;&gt;0,N165&lt;&gt;"NR"),DHRBY*W165,0)</f>
        <v>0</v>
      </c>
      <c r="BV165" s="462">
        <f>IF(AT165&lt;&gt;0,WCBY*W165,0)</f>
        <v>1770.7289600000001</v>
      </c>
      <c r="BW165" s="462">
        <f>IF(OR(AND(AT165&lt;&gt;0,AJ165&lt;&gt;"PF",AN165&lt;&gt;"NE",AG165&lt;&gt;"A"),AND(AL165="E",OR(AT165=1,AT165=3))),SickBY*W165,0)</f>
        <v>0</v>
      </c>
      <c r="BX165" s="462">
        <f t="shared" si="41"/>
        <v>22205.544816000005</v>
      </c>
      <c r="BY165" s="462">
        <f t="shared" si="42"/>
        <v>0</v>
      </c>
      <c r="BZ165" s="462">
        <f t="shared" si="43"/>
        <v>0</v>
      </c>
      <c r="CA165" s="462">
        <f t="shared" si="44"/>
        <v>0</v>
      </c>
      <c r="CB165" s="462">
        <f t="shared" si="45"/>
        <v>0</v>
      </c>
      <c r="CC165" s="462">
        <f>IF(AT165&lt;&gt;0,SSHICHG*Y165,0)</f>
        <v>0</v>
      </c>
      <c r="CD165" s="462">
        <f>IF(AND(AT165&lt;&gt;0,AN165&lt;&gt;"NE"),VLOOKUP(AN165,Retirement_Rates,5,FALSE)*Y165,0)</f>
        <v>0</v>
      </c>
      <c r="CE165" s="462">
        <f>IF(AND(AT165&lt;&gt;0,AJ165&lt;&gt;"PF"),LifeCHG*Y165,0)</f>
        <v>0</v>
      </c>
      <c r="CF165" s="462">
        <f>IF(AND(AT165&lt;&gt;0,AM165="Y"),UICHG*Y165,0)</f>
        <v>-492.98704000000004</v>
      </c>
      <c r="CG165" s="462">
        <f>IF(AND(AT165&lt;&gt;0,N165&lt;&gt;"NR"),DHRCHG*Y165,0)</f>
        <v>0</v>
      </c>
      <c r="CH165" s="462">
        <f>IF(AT165&lt;&gt;0,WCCHG*Y165,0)</f>
        <v>231.40208000000018</v>
      </c>
      <c r="CI165" s="462">
        <f>IF(OR(AND(AT165&lt;&gt;0,AJ165&lt;&gt;"PF",AN165&lt;&gt;"NE",AG165&lt;&gt;"A"),AND(AL165="E",OR(AT165=1,AT165=3))),SickCHG*Y165,0)</f>
        <v>0</v>
      </c>
      <c r="CJ165" s="462">
        <f t="shared" si="46"/>
        <v>-261.58495999999985</v>
      </c>
      <c r="CK165" s="462" t="str">
        <f t="shared" si="47"/>
        <v/>
      </c>
      <c r="CL165" s="462" t="str">
        <f t="shared" si="48"/>
        <v/>
      </c>
      <c r="CM165" s="462" t="str">
        <f t="shared" si="49"/>
        <v/>
      </c>
      <c r="CN165" s="462" t="str">
        <f t="shared" si="50"/>
        <v>0001-00</v>
      </c>
    </row>
    <row r="166" spans="1:92" ht="15" thickBot="1" x14ac:dyDescent="0.35">
      <c r="A166" s="376" t="s">
        <v>161</v>
      </c>
      <c r="B166" s="376" t="s">
        <v>162</v>
      </c>
      <c r="C166" s="376" t="s">
        <v>361</v>
      </c>
      <c r="D166" s="376" t="s">
        <v>362</v>
      </c>
      <c r="E166" s="376" t="s">
        <v>535</v>
      </c>
      <c r="F166" s="382" t="s">
        <v>659</v>
      </c>
      <c r="G166" s="376" t="s">
        <v>651</v>
      </c>
      <c r="H166" s="378"/>
      <c r="I166" s="378"/>
      <c r="J166" s="376" t="s">
        <v>168</v>
      </c>
      <c r="K166" s="376" t="s">
        <v>363</v>
      </c>
      <c r="L166" s="376" t="s">
        <v>200</v>
      </c>
      <c r="M166" s="376" t="s">
        <v>201</v>
      </c>
      <c r="N166" s="376" t="s">
        <v>202</v>
      </c>
      <c r="O166" s="379">
        <v>0</v>
      </c>
      <c r="P166" s="460">
        <v>1</v>
      </c>
      <c r="Q166" s="460">
        <v>1</v>
      </c>
      <c r="R166" s="380">
        <v>80</v>
      </c>
      <c r="S166" s="460">
        <v>1</v>
      </c>
      <c r="T166" s="380">
        <v>32458.14</v>
      </c>
      <c r="U166" s="380">
        <v>0</v>
      </c>
      <c r="V166" s="380">
        <v>15341.86</v>
      </c>
      <c r="W166" s="380">
        <v>47403.199999999997</v>
      </c>
      <c r="X166" s="380">
        <v>20762.599999999999</v>
      </c>
      <c r="Y166" s="380">
        <v>47403.199999999997</v>
      </c>
      <c r="Z166" s="380">
        <v>20525.580000000002</v>
      </c>
      <c r="AA166" s="378"/>
      <c r="AB166" s="376" t="s">
        <v>45</v>
      </c>
      <c r="AC166" s="376" t="s">
        <v>45</v>
      </c>
      <c r="AD166" s="378"/>
      <c r="AE166" s="378"/>
      <c r="AF166" s="378"/>
      <c r="AG166" s="378"/>
      <c r="AH166" s="379">
        <v>0</v>
      </c>
      <c r="AI166" s="379">
        <v>0</v>
      </c>
      <c r="AJ166" s="378"/>
      <c r="AK166" s="378"/>
      <c r="AL166" s="376" t="s">
        <v>180</v>
      </c>
      <c r="AM166" s="378"/>
      <c r="AN166" s="378"/>
      <c r="AO166" s="379">
        <v>0</v>
      </c>
      <c r="AP166" s="460">
        <v>0</v>
      </c>
      <c r="AQ166" s="460">
        <v>0</v>
      </c>
      <c r="AR166" s="459"/>
      <c r="AS166" s="462">
        <f t="shared" si="34"/>
        <v>0</v>
      </c>
      <c r="AT166">
        <f t="shared" si="35"/>
        <v>0</v>
      </c>
      <c r="AU166" s="462" t="str">
        <f>IF(AT166=0,"",IF(AND(AT166=1,M166="F",SUMIF(C2:C698,C166,AS2:AS698)&lt;=1),SUMIF(C2:C698,C166,AS2:AS698),IF(AND(AT166=1,M166="F",SUMIF(C2:C698,C166,AS2:AS698)&gt;1),1,"")))</f>
        <v/>
      </c>
      <c r="AV166" s="462" t="str">
        <f>IF(AT166=0,"",IF(AND(AT166=3,M166="F",SUMIF(C2:C698,C166,AS2:AS698)&lt;=1),SUMIF(C2:C698,C166,AS2:AS698),IF(AND(AT166=3,M166="F",SUMIF(C2:C698,C166,AS2:AS698)&gt;1),1,"")))</f>
        <v/>
      </c>
      <c r="AW166" s="462">
        <f>SUMIF(C2:C698,C166,O2:O698)</f>
        <v>0</v>
      </c>
      <c r="AX166" s="462">
        <f>IF(AND(M166="F",AS166&lt;&gt;0),SUMIF(C2:C698,C166,W2:W698),0)</f>
        <v>0</v>
      </c>
      <c r="AY166" s="462" t="str">
        <f t="shared" si="36"/>
        <v/>
      </c>
      <c r="AZ166" s="462" t="str">
        <f t="shared" si="37"/>
        <v/>
      </c>
      <c r="BA166" s="462">
        <f t="shared" si="38"/>
        <v>0</v>
      </c>
      <c r="BB166" s="462">
        <f>IF(AND(AT166=1,AK166="E",AU166&gt;=0.75,AW166=1),Health,IF(AND(AT166=1,AK166="E",AU166&gt;=0.75),Health*P166,IF(AND(AT166=1,AK166="E",AU166&gt;=0.5,AW166=1),PTHealth,IF(AND(AT166=1,AK166="E",AU166&gt;=0.5),PTHealth*P166,0))))</f>
        <v>0</v>
      </c>
      <c r="BC166" s="462">
        <f>IF(AND(AT166=3,AK166="E",AV166&gt;=0.75,AW166=1),Health,IF(AND(AT166=3,AK166="E",AV166&gt;=0.75),Health*P166,IF(AND(AT166=3,AK166="E",AV166&gt;=0.5,AW166=1),PTHealth,IF(AND(AT166=3,AK166="E",AV166&gt;=0.5),PTHealth*P166,0))))</f>
        <v>0</v>
      </c>
      <c r="BD166" s="462">
        <f>IF(AND(AT166&lt;&gt;0,AX166&gt;=MAXSSDI),SSDI*MAXSSDI*P166,IF(AT166&lt;&gt;0,SSDI*W166,0))</f>
        <v>0</v>
      </c>
      <c r="BE166" s="462">
        <f>IF(AT166&lt;&gt;0,SSHI*W166,0)</f>
        <v>0</v>
      </c>
      <c r="BF166" s="462">
        <f>IF(AND(AT166&lt;&gt;0,AN166&lt;&gt;"NE"),VLOOKUP(AN166,Retirement_Rates,3,FALSE)*W166,0)</f>
        <v>0</v>
      </c>
      <c r="BG166" s="462">
        <f>IF(AND(AT166&lt;&gt;0,AJ166&lt;&gt;"PF"),Life*W166,0)</f>
        <v>0</v>
      </c>
      <c r="BH166" s="462">
        <f>IF(AND(AT166&lt;&gt;0,AM166="Y"),UI*W166,0)</f>
        <v>0</v>
      </c>
      <c r="BI166" s="462">
        <f>IF(AND(AT166&lt;&gt;0,N166&lt;&gt;"NR"),DHR*W166,0)</f>
        <v>0</v>
      </c>
      <c r="BJ166" s="462">
        <f>IF(AT166&lt;&gt;0,WC*W166,0)</f>
        <v>0</v>
      </c>
      <c r="BK166" s="462">
        <f>IF(OR(AND(AT166&lt;&gt;0,AJ166&lt;&gt;"PF",AN166&lt;&gt;"NE",AG166&lt;&gt;"A"),AND(AL166="E",OR(AT166=1,AT166=3))),Sick*W166,0)</f>
        <v>0</v>
      </c>
      <c r="BL166" s="462">
        <f t="shared" si="39"/>
        <v>0</v>
      </c>
      <c r="BM166" s="462">
        <f t="shared" si="40"/>
        <v>0</v>
      </c>
      <c r="BN166" s="462">
        <f>IF(AND(AT166=1,AK166="E",AU166&gt;=0.75,AW166=1),HealthBY,IF(AND(AT166=1,AK166="E",AU166&gt;=0.75),HealthBY*P166,IF(AND(AT166=1,AK166="E",AU166&gt;=0.5,AW166=1),PTHealthBY,IF(AND(AT166=1,AK166="E",AU166&gt;=0.5),PTHealthBY*P166,0))))</f>
        <v>0</v>
      </c>
      <c r="BO166" s="462">
        <f>IF(AND(AT166=3,AK166="E",AV166&gt;=0.75,AW166=1),HealthBY,IF(AND(AT166=3,AK166="E",AV166&gt;=0.75),HealthBY*P166,IF(AND(AT166=3,AK166="E",AV166&gt;=0.5,AW166=1),PTHealthBY,IF(AND(AT166=3,AK166="E",AV166&gt;=0.5),PTHealthBY*P166,0))))</f>
        <v>0</v>
      </c>
      <c r="BP166" s="462">
        <f>IF(AND(AT166&lt;&gt;0,(AX166+BA166)&gt;=MAXSSDIBY),SSDIBY*MAXSSDIBY*P166,IF(AT166&lt;&gt;0,SSDIBY*W166,0))</f>
        <v>0</v>
      </c>
      <c r="BQ166" s="462">
        <f>IF(AT166&lt;&gt;0,SSHIBY*W166,0)</f>
        <v>0</v>
      </c>
      <c r="BR166" s="462">
        <f>IF(AND(AT166&lt;&gt;0,AN166&lt;&gt;"NE"),VLOOKUP(AN166,Retirement_Rates,4,FALSE)*W166,0)</f>
        <v>0</v>
      </c>
      <c r="BS166" s="462">
        <f>IF(AND(AT166&lt;&gt;0,AJ166&lt;&gt;"PF"),LifeBY*W166,0)</f>
        <v>0</v>
      </c>
      <c r="BT166" s="462">
        <f>IF(AND(AT166&lt;&gt;0,AM166="Y"),UIBY*W166,0)</f>
        <v>0</v>
      </c>
      <c r="BU166" s="462">
        <f>IF(AND(AT166&lt;&gt;0,N166&lt;&gt;"NR"),DHRBY*W166,0)</f>
        <v>0</v>
      </c>
      <c r="BV166" s="462">
        <f>IF(AT166&lt;&gt;0,WCBY*W166,0)</f>
        <v>0</v>
      </c>
      <c r="BW166" s="462">
        <f>IF(OR(AND(AT166&lt;&gt;0,AJ166&lt;&gt;"PF",AN166&lt;&gt;"NE",AG166&lt;&gt;"A"),AND(AL166="E",OR(AT166=1,AT166=3))),SickBY*W166,0)</f>
        <v>0</v>
      </c>
      <c r="BX166" s="462">
        <f t="shared" si="41"/>
        <v>0</v>
      </c>
      <c r="BY166" s="462">
        <f t="shared" si="42"/>
        <v>0</v>
      </c>
      <c r="BZ166" s="462">
        <f t="shared" si="43"/>
        <v>0</v>
      </c>
      <c r="CA166" s="462">
        <f t="shared" si="44"/>
        <v>0</v>
      </c>
      <c r="CB166" s="462">
        <f t="shared" si="45"/>
        <v>0</v>
      </c>
      <c r="CC166" s="462">
        <f>IF(AT166&lt;&gt;0,SSHICHG*Y166,0)</f>
        <v>0</v>
      </c>
      <c r="CD166" s="462">
        <f>IF(AND(AT166&lt;&gt;0,AN166&lt;&gt;"NE"),VLOOKUP(AN166,Retirement_Rates,5,FALSE)*Y166,0)</f>
        <v>0</v>
      </c>
      <c r="CE166" s="462">
        <f>IF(AND(AT166&lt;&gt;0,AJ166&lt;&gt;"PF"),LifeCHG*Y166,0)</f>
        <v>0</v>
      </c>
      <c r="CF166" s="462">
        <f>IF(AND(AT166&lt;&gt;0,AM166="Y"),UICHG*Y166,0)</f>
        <v>0</v>
      </c>
      <c r="CG166" s="462">
        <f>IF(AND(AT166&lt;&gt;0,N166&lt;&gt;"NR"),DHRCHG*Y166,0)</f>
        <v>0</v>
      </c>
      <c r="CH166" s="462">
        <f>IF(AT166&lt;&gt;0,WCCHG*Y166,0)</f>
        <v>0</v>
      </c>
      <c r="CI166" s="462">
        <f>IF(OR(AND(AT166&lt;&gt;0,AJ166&lt;&gt;"PF",AN166&lt;&gt;"NE",AG166&lt;&gt;"A"),AND(AL166="E",OR(AT166=1,AT166=3))),SickCHG*Y166,0)</f>
        <v>0</v>
      </c>
      <c r="CJ166" s="462">
        <f t="shared" si="46"/>
        <v>0</v>
      </c>
      <c r="CK166" s="462" t="str">
        <f t="shared" si="47"/>
        <v/>
      </c>
      <c r="CL166" s="462" t="str">
        <f t="shared" si="48"/>
        <v/>
      </c>
      <c r="CM166" s="462" t="str">
        <f t="shared" si="49"/>
        <v/>
      </c>
      <c r="CN166" s="462" t="str">
        <f t="shared" si="50"/>
        <v>0332-05</v>
      </c>
    </row>
    <row r="167" spans="1:92" ht="15" thickBot="1" x14ac:dyDescent="0.35">
      <c r="A167" s="376" t="s">
        <v>161</v>
      </c>
      <c r="B167" s="376" t="s">
        <v>162</v>
      </c>
      <c r="C167" s="376" t="s">
        <v>660</v>
      </c>
      <c r="D167" s="376" t="s">
        <v>287</v>
      </c>
      <c r="E167" s="376" t="s">
        <v>535</v>
      </c>
      <c r="F167" s="382" t="s">
        <v>659</v>
      </c>
      <c r="G167" s="376" t="s">
        <v>651</v>
      </c>
      <c r="H167" s="378"/>
      <c r="I167" s="378"/>
      <c r="J167" s="376" t="s">
        <v>168</v>
      </c>
      <c r="K167" s="376" t="s">
        <v>290</v>
      </c>
      <c r="L167" s="376" t="s">
        <v>166</v>
      </c>
      <c r="M167" s="376" t="s">
        <v>201</v>
      </c>
      <c r="N167" s="376" t="s">
        <v>291</v>
      </c>
      <c r="O167" s="379">
        <v>0</v>
      </c>
      <c r="P167" s="460">
        <v>1</v>
      </c>
      <c r="Q167" s="460">
        <v>0</v>
      </c>
      <c r="R167" s="380">
        <v>0</v>
      </c>
      <c r="S167" s="460">
        <v>0</v>
      </c>
      <c r="T167" s="380">
        <v>0</v>
      </c>
      <c r="U167" s="380">
        <v>0</v>
      </c>
      <c r="V167" s="380">
        <v>0</v>
      </c>
      <c r="W167" s="380">
        <v>0</v>
      </c>
      <c r="X167" s="380">
        <v>0</v>
      </c>
      <c r="Y167" s="380">
        <v>0</v>
      </c>
      <c r="Z167" s="380">
        <v>0</v>
      </c>
      <c r="AA167" s="378"/>
      <c r="AB167" s="376" t="s">
        <v>45</v>
      </c>
      <c r="AC167" s="376" t="s">
        <v>45</v>
      </c>
      <c r="AD167" s="378"/>
      <c r="AE167" s="378"/>
      <c r="AF167" s="378"/>
      <c r="AG167" s="378"/>
      <c r="AH167" s="379">
        <v>0</v>
      </c>
      <c r="AI167" s="379">
        <v>0</v>
      </c>
      <c r="AJ167" s="378"/>
      <c r="AK167" s="378"/>
      <c r="AL167" s="376" t="s">
        <v>180</v>
      </c>
      <c r="AM167" s="378"/>
      <c r="AN167" s="378"/>
      <c r="AO167" s="379">
        <v>0</v>
      </c>
      <c r="AP167" s="460">
        <v>0</v>
      </c>
      <c r="AQ167" s="460">
        <v>0</v>
      </c>
      <c r="AR167" s="459"/>
      <c r="AS167" s="462">
        <f t="shared" si="34"/>
        <v>0</v>
      </c>
      <c r="AT167">
        <f t="shared" si="35"/>
        <v>0</v>
      </c>
      <c r="AU167" s="462" t="str">
        <f>IF(AT167=0,"",IF(AND(AT167=1,M167="F",SUMIF(C2:C698,C167,AS2:AS698)&lt;=1),SUMIF(C2:C698,C167,AS2:AS698),IF(AND(AT167=1,M167="F",SUMIF(C2:C698,C167,AS2:AS698)&gt;1),1,"")))</f>
        <v/>
      </c>
      <c r="AV167" s="462" t="str">
        <f>IF(AT167=0,"",IF(AND(AT167=3,M167="F",SUMIF(C2:C698,C167,AS2:AS698)&lt;=1),SUMIF(C2:C698,C167,AS2:AS698),IF(AND(AT167=3,M167="F",SUMIF(C2:C698,C167,AS2:AS698)&gt;1),1,"")))</f>
        <v/>
      </c>
      <c r="AW167" s="462">
        <f>SUMIF(C2:C698,C167,O2:O698)</f>
        <v>0</v>
      </c>
      <c r="AX167" s="462">
        <f>IF(AND(M167="F",AS167&lt;&gt;0),SUMIF(C2:C698,C167,W2:W698),0)</f>
        <v>0</v>
      </c>
      <c r="AY167" s="462" t="str">
        <f t="shared" si="36"/>
        <v/>
      </c>
      <c r="AZ167" s="462" t="str">
        <f t="shared" si="37"/>
        <v/>
      </c>
      <c r="BA167" s="462">
        <f t="shared" si="38"/>
        <v>0</v>
      </c>
      <c r="BB167" s="462">
        <f>IF(AND(AT167=1,AK167="E",AU167&gt;=0.75,AW167=1),Health,IF(AND(AT167=1,AK167="E",AU167&gt;=0.75),Health*P167,IF(AND(AT167=1,AK167="E",AU167&gt;=0.5,AW167=1),PTHealth,IF(AND(AT167=1,AK167="E",AU167&gt;=0.5),PTHealth*P167,0))))</f>
        <v>0</v>
      </c>
      <c r="BC167" s="462">
        <f>IF(AND(AT167=3,AK167="E",AV167&gt;=0.75,AW167=1),Health,IF(AND(AT167=3,AK167="E",AV167&gt;=0.75),Health*P167,IF(AND(AT167=3,AK167="E",AV167&gt;=0.5,AW167=1),PTHealth,IF(AND(AT167=3,AK167="E",AV167&gt;=0.5),PTHealth*P167,0))))</f>
        <v>0</v>
      </c>
      <c r="BD167" s="462">
        <f>IF(AND(AT167&lt;&gt;0,AX167&gt;=MAXSSDI),SSDI*MAXSSDI*P167,IF(AT167&lt;&gt;0,SSDI*W167,0))</f>
        <v>0</v>
      </c>
      <c r="BE167" s="462">
        <f>IF(AT167&lt;&gt;0,SSHI*W167,0)</f>
        <v>0</v>
      </c>
      <c r="BF167" s="462">
        <f>IF(AND(AT167&lt;&gt;0,AN167&lt;&gt;"NE"),VLOOKUP(AN167,Retirement_Rates,3,FALSE)*W167,0)</f>
        <v>0</v>
      </c>
      <c r="BG167" s="462">
        <f>IF(AND(AT167&lt;&gt;0,AJ167&lt;&gt;"PF"),Life*W167,0)</f>
        <v>0</v>
      </c>
      <c r="BH167" s="462">
        <f>IF(AND(AT167&lt;&gt;0,AM167="Y"),UI*W167,0)</f>
        <v>0</v>
      </c>
      <c r="BI167" s="462">
        <f>IF(AND(AT167&lt;&gt;0,N167&lt;&gt;"NR"),DHR*W167,0)</f>
        <v>0</v>
      </c>
      <c r="BJ167" s="462">
        <f>IF(AT167&lt;&gt;0,WC*W167,0)</f>
        <v>0</v>
      </c>
      <c r="BK167" s="462">
        <f>IF(OR(AND(AT167&lt;&gt;0,AJ167&lt;&gt;"PF",AN167&lt;&gt;"NE",AG167&lt;&gt;"A"),AND(AL167="E",OR(AT167=1,AT167=3))),Sick*W167,0)</f>
        <v>0</v>
      </c>
      <c r="BL167" s="462">
        <f t="shared" si="39"/>
        <v>0</v>
      </c>
      <c r="BM167" s="462">
        <f t="shared" si="40"/>
        <v>0</v>
      </c>
      <c r="BN167" s="462">
        <f>IF(AND(AT167=1,AK167="E",AU167&gt;=0.75,AW167=1),HealthBY,IF(AND(AT167=1,AK167="E",AU167&gt;=0.75),HealthBY*P167,IF(AND(AT167=1,AK167="E",AU167&gt;=0.5,AW167=1),PTHealthBY,IF(AND(AT167=1,AK167="E",AU167&gt;=0.5),PTHealthBY*P167,0))))</f>
        <v>0</v>
      </c>
      <c r="BO167" s="462">
        <f>IF(AND(AT167=3,AK167="E",AV167&gt;=0.75,AW167=1),HealthBY,IF(AND(AT167=3,AK167="E",AV167&gt;=0.75),HealthBY*P167,IF(AND(AT167=3,AK167="E",AV167&gt;=0.5,AW167=1),PTHealthBY,IF(AND(AT167=3,AK167="E",AV167&gt;=0.5),PTHealthBY*P167,0))))</f>
        <v>0</v>
      </c>
      <c r="BP167" s="462">
        <f>IF(AND(AT167&lt;&gt;0,(AX167+BA167)&gt;=MAXSSDIBY),SSDIBY*MAXSSDIBY*P167,IF(AT167&lt;&gt;0,SSDIBY*W167,0))</f>
        <v>0</v>
      </c>
      <c r="BQ167" s="462">
        <f>IF(AT167&lt;&gt;0,SSHIBY*W167,0)</f>
        <v>0</v>
      </c>
      <c r="BR167" s="462">
        <f>IF(AND(AT167&lt;&gt;0,AN167&lt;&gt;"NE"),VLOOKUP(AN167,Retirement_Rates,4,FALSE)*W167,0)</f>
        <v>0</v>
      </c>
      <c r="BS167" s="462">
        <f>IF(AND(AT167&lt;&gt;0,AJ167&lt;&gt;"PF"),LifeBY*W167,0)</f>
        <v>0</v>
      </c>
      <c r="BT167" s="462">
        <f>IF(AND(AT167&lt;&gt;0,AM167="Y"),UIBY*W167,0)</f>
        <v>0</v>
      </c>
      <c r="BU167" s="462">
        <f>IF(AND(AT167&lt;&gt;0,N167&lt;&gt;"NR"),DHRBY*W167,0)</f>
        <v>0</v>
      </c>
      <c r="BV167" s="462">
        <f>IF(AT167&lt;&gt;0,WCBY*W167,0)</f>
        <v>0</v>
      </c>
      <c r="BW167" s="462">
        <f>IF(OR(AND(AT167&lt;&gt;0,AJ167&lt;&gt;"PF",AN167&lt;&gt;"NE",AG167&lt;&gt;"A"),AND(AL167="E",OR(AT167=1,AT167=3))),SickBY*W167,0)</f>
        <v>0</v>
      </c>
      <c r="BX167" s="462">
        <f t="shared" si="41"/>
        <v>0</v>
      </c>
      <c r="BY167" s="462">
        <f t="shared" si="42"/>
        <v>0</v>
      </c>
      <c r="BZ167" s="462">
        <f t="shared" si="43"/>
        <v>0</v>
      </c>
      <c r="CA167" s="462">
        <f t="shared" si="44"/>
        <v>0</v>
      </c>
      <c r="CB167" s="462">
        <f t="shared" si="45"/>
        <v>0</v>
      </c>
      <c r="CC167" s="462">
        <f>IF(AT167&lt;&gt;0,SSHICHG*Y167,0)</f>
        <v>0</v>
      </c>
      <c r="CD167" s="462">
        <f>IF(AND(AT167&lt;&gt;0,AN167&lt;&gt;"NE"),VLOOKUP(AN167,Retirement_Rates,5,FALSE)*Y167,0)</f>
        <v>0</v>
      </c>
      <c r="CE167" s="462">
        <f>IF(AND(AT167&lt;&gt;0,AJ167&lt;&gt;"PF"),LifeCHG*Y167,0)</f>
        <v>0</v>
      </c>
      <c r="CF167" s="462">
        <f>IF(AND(AT167&lt;&gt;0,AM167="Y"),UICHG*Y167,0)</f>
        <v>0</v>
      </c>
      <c r="CG167" s="462">
        <f>IF(AND(AT167&lt;&gt;0,N167&lt;&gt;"NR"),DHRCHG*Y167,0)</f>
        <v>0</v>
      </c>
      <c r="CH167" s="462">
        <f>IF(AT167&lt;&gt;0,WCCHG*Y167,0)</f>
        <v>0</v>
      </c>
      <c r="CI167" s="462">
        <f>IF(OR(AND(AT167&lt;&gt;0,AJ167&lt;&gt;"PF",AN167&lt;&gt;"NE",AG167&lt;&gt;"A"),AND(AL167="E",OR(AT167=1,AT167=3))),SickCHG*Y167,0)</f>
        <v>0</v>
      </c>
      <c r="CJ167" s="462">
        <f t="shared" si="46"/>
        <v>0</v>
      </c>
      <c r="CK167" s="462" t="str">
        <f t="shared" si="47"/>
        <v/>
      </c>
      <c r="CL167" s="462">
        <f t="shared" si="48"/>
        <v>0</v>
      </c>
      <c r="CM167" s="462">
        <f t="shared" si="49"/>
        <v>0</v>
      </c>
      <c r="CN167" s="462" t="str">
        <f t="shared" si="50"/>
        <v>0332-05</v>
      </c>
    </row>
    <row r="168" spans="1:92" ht="15" thickBot="1" x14ac:dyDescent="0.35">
      <c r="A168" s="376" t="s">
        <v>161</v>
      </c>
      <c r="B168" s="376" t="s">
        <v>162</v>
      </c>
      <c r="C168" s="376" t="s">
        <v>661</v>
      </c>
      <c r="D168" s="376" t="s">
        <v>250</v>
      </c>
      <c r="E168" s="376" t="s">
        <v>535</v>
      </c>
      <c r="F168" s="382" t="s">
        <v>659</v>
      </c>
      <c r="G168" s="376" t="s">
        <v>651</v>
      </c>
      <c r="H168" s="378"/>
      <c r="I168" s="378"/>
      <c r="J168" s="376" t="s">
        <v>168</v>
      </c>
      <c r="K168" s="376" t="s">
        <v>251</v>
      </c>
      <c r="L168" s="376" t="s">
        <v>180</v>
      </c>
      <c r="M168" s="376" t="s">
        <v>170</v>
      </c>
      <c r="N168" s="376" t="s">
        <v>202</v>
      </c>
      <c r="O168" s="379">
        <v>1</v>
      </c>
      <c r="P168" s="460">
        <v>1</v>
      </c>
      <c r="Q168" s="460">
        <v>1</v>
      </c>
      <c r="R168" s="380">
        <v>80</v>
      </c>
      <c r="S168" s="460">
        <v>1</v>
      </c>
      <c r="T168" s="380">
        <v>72094.12</v>
      </c>
      <c r="U168" s="380">
        <v>0</v>
      </c>
      <c r="V168" s="380">
        <v>25788.560000000001</v>
      </c>
      <c r="W168" s="380">
        <v>82056</v>
      </c>
      <c r="X168" s="380">
        <v>30224.99</v>
      </c>
      <c r="Y168" s="380">
        <v>82056</v>
      </c>
      <c r="Z168" s="380">
        <v>30011.65</v>
      </c>
      <c r="AA168" s="376" t="s">
        <v>662</v>
      </c>
      <c r="AB168" s="376" t="s">
        <v>663</v>
      </c>
      <c r="AC168" s="376" t="s">
        <v>664</v>
      </c>
      <c r="AD168" s="376" t="s">
        <v>665</v>
      </c>
      <c r="AE168" s="376" t="s">
        <v>251</v>
      </c>
      <c r="AF168" s="376" t="s">
        <v>256</v>
      </c>
      <c r="AG168" s="376" t="s">
        <v>177</v>
      </c>
      <c r="AH168" s="381">
        <v>39.450000000000003</v>
      </c>
      <c r="AI168" s="379">
        <v>49642</v>
      </c>
      <c r="AJ168" s="376" t="s">
        <v>178</v>
      </c>
      <c r="AK168" s="376" t="s">
        <v>179</v>
      </c>
      <c r="AL168" s="376" t="s">
        <v>180</v>
      </c>
      <c r="AM168" s="376" t="s">
        <v>181</v>
      </c>
      <c r="AN168" s="376" t="s">
        <v>68</v>
      </c>
      <c r="AO168" s="379">
        <v>80</v>
      </c>
      <c r="AP168" s="460">
        <v>1</v>
      </c>
      <c r="AQ168" s="460">
        <v>1</v>
      </c>
      <c r="AR168" s="458" t="s">
        <v>182</v>
      </c>
      <c r="AS168" s="462">
        <f t="shared" si="34"/>
        <v>1</v>
      </c>
      <c r="AT168">
        <f t="shared" si="35"/>
        <v>1</v>
      </c>
      <c r="AU168" s="462">
        <f>IF(AT168=0,"",IF(AND(AT168=1,M168="F",SUMIF(C2:C698,C168,AS2:AS698)&lt;=1),SUMIF(C2:C698,C168,AS2:AS698),IF(AND(AT168=1,M168="F",SUMIF(C2:C698,C168,AS2:AS698)&gt;1),1,"")))</f>
        <v>1</v>
      </c>
      <c r="AV168" s="462" t="str">
        <f>IF(AT168=0,"",IF(AND(AT168=3,M168="F",SUMIF(C2:C698,C168,AS2:AS698)&lt;=1),SUMIF(C2:C698,C168,AS2:AS698),IF(AND(AT168=3,M168="F",SUMIF(C2:C698,C168,AS2:AS698)&gt;1),1,"")))</f>
        <v/>
      </c>
      <c r="AW168" s="462">
        <f>SUMIF(C2:C698,C168,O2:O698)</f>
        <v>2</v>
      </c>
      <c r="AX168" s="462">
        <f>IF(AND(M168="F",AS168&lt;&gt;0),SUMIF(C2:C698,C168,W2:W698),0)</f>
        <v>82056</v>
      </c>
      <c r="AY168" s="462">
        <f t="shared" si="36"/>
        <v>82056</v>
      </c>
      <c r="AZ168" s="462" t="str">
        <f t="shared" si="37"/>
        <v/>
      </c>
      <c r="BA168" s="462">
        <f t="shared" si="38"/>
        <v>0</v>
      </c>
      <c r="BB168" s="462">
        <f>IF(AND(AT168=1,AK168="E",AU168&gt;=0.75,AW168=1),Health,IF(AND(AT168=1,AK168="E",AU168&gt;=0.75),Health*P168,IF(AND(AT168=1,AK168="E",AU168&gt;=0.5,AW168=1),PTHealth,IF(AND(AT168=1,AK168="E",AU168&gt;=0.5),PTHealth*P168,0))))</f>
        <v>11650</v>
      </c>
      <c r="BC168" s="462">
        <f>IF(AND(AT168=3,AK168="E",AV168&gt;=0.75,AW168=1),Health,IF(AND(AT168=3,AK168="E",AV168&gt;=0.75),Health*P168,IF(AND(AT168=3,AK168="E",AV168&gt;=0.5,AW168=1),PTHealth,IF(AND(AT168=3,AK168="E",AV168&gt;=0.5),PTHealth*P168,0))))</f>
        <v>0</v>
      </c>
      <c r="BD168" s="462">
        <f>IF(AND(AT168&lt;&gt;0,AX168&gt;=MAXSSDI),SSDI*MAXSSDI*P168,IF(AT168&lt;&gt;0,SSDI*W168,0))</f>
        <v>5087.4719999999998</v>
      </c>
      <c r="BE168" s="462">
        <f>IF(AT168&lt;&gt;0,SSHI*W168,0)</f>
        <v>1189.8120000000001</v>
      </c>
      <c r="BF168" s="462">
        <f>IF(AND(AT168&lt;&gt;0,AN168&lt;&gt;"NE"),VLOOKUP(AN168,Retirement_Rates,3,FALSE)*W168,0)</f>
        <v>9797.4863999999998</v>
      </c>
      <c r="BG168" s="462">
        <f>IF(AND(AT168&lt;&gt;0,AJ168&lt;&gt;"PF"),Life*W168,0)</f>
        <v>591.62376000000006</v>
      </c>
      <c r="BH168" s="462">
        <f>IF(AND(AT168&lt;&gt;0,AM168="Y"),UI*W168,0)</f>
        <v>402.07439999999997</v>
      </c>
      <c r="BI168" s="462">
        <f>IF(AND(AT168&lt;&gt;0,N168&lt;&gt;"NR"),DHR*W168,0)</f>
        <v>251.09135999999998</v>
      </c>
      <c r="BJ168" s="462">
        <f>IF(AT168&lt;&gt;0,WC*W168,0)</f>
        <v>1255.4567999999999</v>
      </c>
      <c r="BK168" s="462">
        <f>IF(OR(AND(AT168&lt;&gt;0,AJ168&lt;&gt;"PF",AN168&lt;&gt;"NE",AG168&lt;&gt;"A"),AND(AL168="E",OR(AT168=1,AT168=3))),Sick*W168,0)</f>
        <v>0</v>
      </c>
      <c r="BL168" s="462">
        <f t="shared" si="39"/>
        <v>18575.01672</v>
      </c>
      <c r="BM168" s="462">
        <f t="shared" si="40"/>
        <v>0</v>
      </c>
      <c r="BN168" s="462">
        <f>IF(AND(AT168=1,AK168="E",AU168&gt;=0.75,AW168=1),HealthBY,IF(AND(AT168=1,AK168="E",AU168&gt;=0.75),HealthBY*P168,IF(AND(AT168=1,AK168="E",AU168&gt;=0.5,AW168=1),PTHealthBY,IF(AND(AT168=1,AK168="E",AU168&gt;=0.5),PTHealthBY*P168,0))))</f>
        <v>11650</v>
      </c>
      <c r="BO168" s="462">
        <f>IF(AND(AT168=3,AK168="E",AV168&gt;=0.75,AW168=1),HealthBY,IF(AND(AT168=3,AK168="E",AV168&gt;=0.75),HealthBY*P168,IF(AND(AT168=3,AK168="E",AV168&gt;=0.5,AW168=1),PTHealthBY,IF(AND(AT168=3,AK168="E",AV168&gt;=0.5),PTHealthBY*P168,0))))</f>
        <v>0</v>
      </c>
      <c r="BP168" s="462">
        <f>IF(AND(AT168&lt;&gt;0,(AX168+BA168)&gt;=MAXSSDIBY),SSDIBY*MAXSSDIBY*P168,IF(AT168&lt;&gt;0,SSDIBY*W168,0))</f>
        <v>5087.4719999999998</v>
      </c>
      <c r="BQ168" s="462">
        <f>IF(AT168&lt;&gt;0,SSHIBY*W168,0)</f>
        <v>1189.8120000000001</v>
      </c>
      <c r="BR168" s="462">
        <f>IF(AND(AT168&lt;&gt;0,AN168&lt;&gt;"NE"),VLOOKUP(AN168,Retirement_Rates,4,FALSE)*W168,0)</f>
        <v>9797.4863999999998</v>
      </c>
      <c r="BS168" s="462">
        <f>IF(AND(AT168&lt;&gt;0,AJ168&lt;&gt;"PF"),LifeBY*W168,0)</f>
        <v>591.62376000000006</v>
      </c>
      <c r="BT168" s="462">
        <f>IF(AND(AT168&lt;&gt;0,AM168="Y"),UIBY*W168,0)</f>
        <v>0</v>
      </c>
      <c r="BU168" s="462">
        <f>IF(AND(AT168&lt;&gt;0,N168&lt;&gt;"NR"),DHRBY*W168,0)</f>
        <v>251.09135999999998</v>
      </c>
      <c r="BV168" s="462">
        <f>IF(AT168&lt;&gt;0,WCBY*W168,0)</f>
        <v>1444.1856</v>
      </c>
      <c r="BW168" s="462">
        <f>IF(OR(AND(AT168&lt;&gt;0,AJ168&lt;&gt;"PF",AN168&lt;&gt;"NE",AG168&lt;&gt;"A"),AND(AL168="E",OR(AT168=1,AT168=3))),SickBY*W168,0)</f>
        <v>0</v>
      </c>
      <c r="BX168" s="462">
        <f t="shared" si="41"/>
        <v>18361.671119999999</v>
      </c>
      <c r="BY168" s="462">
        <f t="shared" si="42"/>
        <v>0</v>
      </c>
      <c r="BZ168" s="462">
        <f t="shared" si="43"/>
        <v>0</v>
      </c>
      <c r="CA168" s="462">
        <f t="shared" si="44"/>
        <v>0</v>
      </c>
      <c r="CB168" s="462">
        <f t="shared" si="45"/>
        <v>0</v>
      </c>
      <c r="CC168" s="462">
        <f>IF(AT168&lt;&gt;0,SSHICHG*Y168,0)</f>
        <v>0</v>
      </c>
      <c r="CD168" s="462">
        <f>IF(AND(AT168&lt;&gt;0,AN168&lt;&gt;"NE"),VLOOKUP(AN168,Retirement_Rates,5,FALSE)*Y168,0)</f>
        <v>0</v>
      </c>
      <c r="CE168" s="462">
        <f>IF(AND(AT168&lt;&gt;0,AJ168&lt;&gt;"PF"),LifeCHG*Y168,0)</f>
        <v>0</v>
      </c>
      <c r="CF168" s="462">
        <f>IF(AND(AT168&lt;&gt;0,AM168="Y"),UICHG*Y168,0)</f>
        <v>-402.07439999999997</v>
      </c>
      <c r="CG168" s="462">
        <f>IF(AND(AT168&lt;&gt;0,N168&lt;&gt;"NR"),DHRCHG*Y168,0)</f>
        <v>0</v>
      </c>
      <c r="CH168" s="462">
        <f>IF(AT168&lt;&gt;0,WCCHG*Y168,0)</f>
        <v>188.72880000000015</v>
      </c>
      <c r="CI168" s="462">
        <f>IF(OR(AND(AT168&lt;&gt;0,AJ168&lt;&gt;"PF",AN168&lt;&gt;"NE",AG168&lt;&gt;"A"),AND(AL168="E",OR(AT168=1,AT168=3))),SickCHG*Y168,0)</f>
        <v>0</v>
      </c>
      <c r="CJ168" s="462">
        <f t="shared" si="46"/>
        <v>-213.34559999999982</v>
      </c>
      <c r="CK168" s="462" t="str">
        <f t="shared" si="47"/>
        <v/>
      </c>
      <c r="CL168" s="462" t="str">
        <f t="shared" si="48"/>
        <v/>
      </c>
      <c r="CM168" s="462" t="str">
        <f t="shared" si="49"/>
        <v/>
      </c>
      <c r="CN168" s="462" t="str">
        <f t="shared" si="50"/>
        <v>0332-05</v>
      </c>
    </row>
    <row r="169" spans="1:92" ht="15" thickBot="1" x14ac:dyDescent="0.35">
      <c r="A169" s="376" t="s">
        <v>161</v>
      </c>
      <c r="B169" s="376" t="s">
        <v>162</v>
      </c>
      <c r="C169" s="376" t="s">
        <v>666</v>
      </c>
      <c r="D169" s="376" t="s">
        <v>667</v>
      </c>
      <c r="E169" s="376" t="s">
        <v>535</v>
      </c>
      <c r="F169" s="382" t="s">
        <v>659</v>
      </c>
      <c r="G169" s="376" t="s">
        <v>651</v>
      </c>
      <c r="H169" s="378"/>
      <c r="I169" s="378"/>
      <c r="J169" s="376" t="s">
        <v>168</v>
      </c>
      <c r="K169" s="376" t="s">
        <v>668</v>
      </c>
      <c r="L169" s="376" t="s">
        <v>180</v>
      </c>
      <c r="M169" s="376" t="s">
        <v>170</v>
      </c>
      <c r="N169" s="376" t="s">
        <v>202</v>
      </c>
      <c r="O169" s="379">
        <v>1</v>
      </c>
      <c r="P169" s="460">
        <v>1</v>
      </c>
      <c r="Q169" s="460">
        <v>1</v>
      </c>
      <c r="R169" s="380">
        <v>80</v>
      </c>
      <c r="S169" s="460">
        <v>1</v>
      </c>
      <c r="T169" s="380">
        <v>32831.53</v>
      </c>
      <c r="U169" s="380">
        <v>0</v>
      </c>
      <c r="V169" s="380">
        <v>11609.19</v>
      </c>
      <c r="W169" s="380">
        <v>69347.199999999997</v>
      </c>
      <c r="X169" s="380">
        <v>27348.1</v>
      </c>
      <c r="Y169" s="380">
        <v>69347.199999999997</v>
      </c>
      <c r="Z169" s="380">
        <v>27167.8</v>
      </c>
      <c r="AA169" s="376" t="s">
        <v>669</v>
      </c>
      <c r="AB169" s="376" t="s">
        <v>524</v>
      </c>
      <c r="AC169" s="376" t="s">
        <v>670</v>
      </c>
      <c r="AD169" s="376" t="s">
        <v>671</v>
      </c>
      <c r="AE169" s="376" t="s">
        <v>668</v>
      </c>
      <c r="AF169" s="376" t="s">
        <v>256</v>
      </c>
      <c r="AG169" s="376" t="s">
        <v>177</v>
      </c>
      <c r="AH169" s="381">
        <v>33.340000000000003</v>
      </c>
      <c r="AI169" s="381">
        <v>16574.900000000001</v>
      </c>
      <c r="AJ169" s="376" t="s">
        <v>178</v>
      </c>
      <c r="AK169" s="376" t="s">
        <v>179</v>
      </c>
      <c r="AL169" s="376" t="s">
        <v>180</v>
      </c>
      <c r="AM169" s="376" t="s">
        <v>181</v>
      </c>
      <c r="AN169" s="376" t="s">
        <v>68</v>
      </c>
      <c r="AO169" s="379">
        <v>80</v>
      </c>
      <c r="AP169" s="460">
        <v>1</v>
      </c>
      <c r="AQ169" s="460">
        <v>1</v>
      </c>
      <c r="AR169" s="458" t="s">
        <v>182</v>
      </c>
      <c r="AS169" s="462">
        <f t="shared" si="34"/>
        <v>1</v>
      </c>
      <c r="AT169">
        <f t="shared" si="35"/>
        <v>1</v>
      </c>
      <c r="AU169" s="462">
        <f>IF(AT169=0,"",IF(AND(AT169=1,M169="F",SUMIF(C2:C698,C169,AS2:AS698)&lt;=1),SUMIF(C2:C698,C169,AS2:AS698),IF(AND(AT169=1,M169="F",SUMIF(C2:C698,C169,AS2:AS698)&gt;1),1,"")))</f>
        <v>1</v>
      </c>
      <c r="AV169" s="462" t="str">
        <f>IF(AT169=0,"",IF(AND(AT169=3,M169="F",SUMIF(C2:C698,C169,AS2:AS698)&lt;=1),SUMIF(C2:C698,C169,AS2:AS698),IF(AND(AT169=3,M169="F",SUMIF(C2:C698,C169,AS2:AS698)&gt;1),1,"")))</f>
        <v/>
      </c>
      <c r="AW169" s="462">
        <f>SUMIF(C2:C698,C169,O2:O698)</f>
        <v>2</v>
      </c>
      <c r="AX169" s="462">
        <f>IF(AND(M169="F",AS169&lt;&gt;0),SUMIF(C2:C698,C169,W2:W698),0)</f>
        <v>69347.199999999997</v>
      </c>
      <c r="AY169" s="462">
        <f t="shared" si="36"/>
        <v>69347.199999999997</v>
      </c>
      <c r="AZ169" s="462" t="str">
        <f t="shared" si="37"/>
        <v/>
      </c>
      <c r="BA169" s="462">
        <f t="shared" si="38"/>
        <v>0</v>
      </c>
      <c r="BB169" s="462">
        <f>IF(AND(AT169=1,AK169="E",AU169&gt;=0.75,AW169=1),Health,IF(AND(AT169=1,AK169="E",AU169&gt;=0.75),Health*P169,IF(AND(AT169=1,AK169="E",AU169&gt;=0.5,AW169=1),PTHealth,IF(AND(AT169=1,AK169="E",AU169&gt;=0.5),PTHealth*P169,0))))</f>
        <v>11650</v>
      </c>
      <c r="BC169" s="462">
        <f>IF(AND(AT169=3,AK169="E",AV169&gt;=0.75,AW169=1),Health,IF(AND(AT169=3,AK169="E",AV169&gt;=0.75),Health*P169,IF(AND(AT169=3,AK169="E",AV169&gt;=0.5,AW169=1),PTHealth,IF(AND(AT169=3,AK169="E",AV169&gt;=0.5),PTHealth*P169,0))))</f>
        <v>0</v>
      </c>
      <c r="BD169" s="462">
        <f>IF(AND(AT169&lt;&gt;0,AX169&gt;=MAXSSDI),SSDI*MAXSSDI*P169,IF(AT169&lt;&gt;0,SSDI*W169,0))</f>
        <v>4299.5263999999997</v>
      </c>
      <c r="BE169" s="462">
        <f>IF(AT169&lt;&gt;0,SSHI*W169,0)</f>
        <v>1005.5344</v>
      </c>
      <c r="BF169" s="462">
        <f>IF(AND(AT169&lt;&gt;0,AN169&lt;&gt;"NE"),VLOOKUP(AN169,Retirement_Rates,3,FALSE)*W169,0)</f>
        <v>8280.0556799999995</v>
      </c>
      <c r="BG169" s="462">
        <f>IF(AND(AT169&lt;&gt;0,AJ169&lt;&gt;"PF"),Life*W169,0)</f>
        <v>499.993312</v>
      </c>
      <c r="BH169" s="462">
        <f>IF(AND(AT169&lt;&gt;0,AM169="Y"),UI*W169,0)</f>
        <v>339.80127999999996</v>
      </c>
      <c r="BI169" s="462">
        <f>IF(AND(AT169&lt;&gt;0,N169&lt;&gt;"NR"),DHR*W169,0)</f>
        <v>212.20243199999999</v>
      </c>
      <c r="BJ169" s="462">
        <f>IF(AT169&lt;&gt;0,WC*W169,0)</f>
        <v>1061.01216</v>
      </c>
      <c r="BK169" s="462">
        <f>IF(OR(AND(AT169&lt;&gt;0,AJ169&lt;&gt;"PF",AN169&lt;&gt;"NE",AG169&lt;&gt;"A"),AND(AL169="E",OR(AT169=1,AT169=3))),Sick*W169,0)</f>
        <v>0</v>
      </c>
      <c r="BL169" s="462">
        <f t="shared" si="39"/>
        <v>15698.125663999999</v>
      </c>
      <c r="BM169" s="462">
        <f t="shared" si="40"/>
        <v>0</v>
      </c>
      <c r="BN169" s="462">
        <f>IF(AND(AT169=1,AK169="E",AU169&gt;=0.75,AW169=1),HealthBY,IF(AND(AT169=1,AK169="E",AU169&gt;=0.75),HealthBY*P169,IF(AND(AT169=1,AK169="E",AU169&gt;=0.5,AW169=1),PTHealthBY,IF(AND(AT169=1,AK169="E",AU169&gt;=0.5),PTHealthBY*P169,0))))</f>
        <v>11650</v>
      </c>
      <c r="BO169" s="462">
        <f>IF(AND(AT169=3,AK169="E",AV169&gt;=0.75,AW169=1),HealthBY,IF(AND(AT169=3,AK169="E",AV169&gt;=0.75),HealthBY*P169,IF(AND(AT169=3,AK169="E",AV169&gt;=0.5,AW169=1),PTHealthBY,IF(AND(AT169=3,AK169="E",AV169&gt;=0.5),PTHealthBY*P169,0))))</f>
        <v>0</v>
      </c>
      <c r="BP169" s="462">
        <f>IF(AND(AT169&lt;&gt;0,(AX169+BA169)&gt;=MAXSSDIBY),SSDIBY*MAXSSDIBY*P169,IF(AT169&lt;&gt;0,SSDIBY*W169,0))</f>
        <v>4299.5263999999997</v>
      </c>
      <c r="BQ169" s="462">
        <f>IF(AT169&lt;&gt;0,SSHIBY*W169,0)</f>
        <v>1005.5344</v>
      </c>
      <c r="BR169" s="462">
        <f>IF(AND(AT169&lt;&gt;0,AN169&lt;&gt;"NE"),VLOOKUP(AN169,Retirement_Rates,4,FALSE)*W169,0)</f>
        <v>8280.0556799999995</v>
      </c>
      <c r="BS169" s="462">
        <f>IF(AND(AT169&lt;&gt;0,AJ169&lt;&gt;"PF"),LifeBY*W169,0)</f>
        <v>499.993312</v>
      </c>
      <c r="BT169" s="462">
        <f>IF(AND(AT169&lt;&gt;0,AM169="Y"),UIBY*W169,0)</f>
        <v>0</v>
      </c>
      <c r="BU169" s="462">
        <f>IF(AND(AT169&lt;&gt;0,N169&lt;&gt;"NR"),DHRBY*W169,0)</f>
        <v>212.20243199999999</v>
      </c>
      <c r="BV169" s="462">
        <f>IF(AT169&lt;&gt;0,WCBY*W169,0)</f>
        <v>1220.51072</v>
      </c>
      <c r="BW169" s="462">
        <f>IF(OR(AND(AT169&lt;&gt;0,AJ169&lt;&gt;"PF",AN169&lt;&gt;"NE",AG169&lt;&gt;"A"),AND(AL169="E",OR(AT169=1,AT169=3))),SickBY*W169,0)</f>
        <v>0</v>
      </c>
      <c r="BX169" s="462">
        <f t="shared" si="41"/>
        <v>15517.822944</v>
      </c>
      <c r="BY169" s="462">
        <f t="shared" si="42"/>
        <v>0</v>
      </c>
      <c r="BZ169" s="462">
        <f t="shared" si="43"/>
        <v>0</v>
      </c>
      <c r="CA169" s="462">
        <f t="shared" si="44"/>
        <v>0</v>
      </c>
      <c r="CB169" s="462">
        <f t="shared" si="45"/>
        <v>0</v>
      </c>
      <c r="CC169" s="462">
        <f>IF(AT169&lt;&gt;0,SSHICHG*Y169,0)</f>
        <v>0</v>
      </c>
      <c r="CD169" s="462">
        <f>IF(AND(AT169&lt;&gt;0,AN169&lt;&gt;"NE"),VLOOKUP(AN169,Retirement_Rates,5,FALSE)*Y169,0)</f>
        <v>0</v>
      </c>
      <c r="CE169" s="462">
        <f>IF(AND(AT169&lt;&gt;0,AJ169&lt;&gt;"PF"),LifeCHG*Y169,0)</f>
        <v>0</v>
      </c>
      <c r="CF169" s="462">
        <f>IF(AND(AT169&lt;&gt;0,AM169="Y"),UICHG*Y169,0)</f>
        <v>-339.80127999999996</v>
      </c>
      <c r="CG169" s="462">
        <f>IF(AND(AT169&lt;&gt;0,N169&lt;&gt;"NR"),DHRCHG*Y169,0)</f>
        <v>0</v>
      </c>
      <c r="CH169" s="462">
        <f>IF(AT169&lt;&gt;0,WCCHG*Y169,0)</f>
        <v>159.49856000000011</v>
      </c>
      <c r="CI169" s="462">
        <f>IF(OR(AND(AT169&lt;&gt;0,AJ169&lt;&gt;"PF",AN169&lt;&gt;"NE",AG169&lt;&gt;"A"),AND(AL169="E",OR(AT169=1,AT169=3))),SickCHG*Y169,0)</f>
        <v>0</v>
      </c>
      <c r="CJ169" s="462">
        <f t="shared" si="46"/>
        <v>-180.30271999999985</v>
      </c>
      <c r="CK169" s="462" t="str">
        <f t="shared" si="47"/>
        <v/>
      </c>
      <c r="CL169" s="462" t="str">
        <f t="shared" si="48"/>
        <v/>
      </c>
      <c r="CM169" s="462" t="str">
        <f t="shared" si="49"/>
        <v/>
      </c>
      <c r="CN169" s="462" t="str">
        <f t="shared" si="50"/>
        <v>0332-05</v>
      </c>
    </row>
    <row r="170" spans="1:92" ht="15" thickBot="1" x14ac:dyDescent="0.35">
      <c r="A170" s="376" t="s">
        <v>161</v>
      </c>
      <c r="B170" s="376" t="s">
        <v>162</v>
      </c>
      <c r="C170" s="376" t="s">
        <v>672</v>
      </c>
      <c r="D170" s="376" t="s">
        <v>362</v>
      </c>
      <c r="E170" s="376" t="s">
        <v>535</v>
      </c>
      <c r="F170" s="382" t="s">
        <v>659</v>
      </c>
      <c r="G170" s="376" t="s">
        <v>651</v>
      </c>
      <c r="H170" s="378"/>
      <c r="I170" s="378"/>
      <c r="J170" s="376" t="s">
        <v>168</v>
      </c>
      <c r="K170" s="376" t="s">
        <v>363</v>
      </c>
      <c r="L170" s="376" t="s">
        <v>200</v>
      </c>
      <c r="M170" s="376" t="s">
        <v>170</v>
      </c>
      <c r="N170" s="376" t="s">
        <v>202</v>
      </c>
      <c r="O170" s="379">
        <v>1</v>
      </c>
      <c r="P170" s="460">
        <v>1</v>
      </c>
      <c r="Q170" s="460">
        <v>1</v>
      </c>
      <c r="R170" s="380">
        <v>80</v>
      </c>
      <c r="S170" s="460">
        <v>1</v>
      </c>
      <c r="T170" s="380">
        <v>35144.39</v>
      </c>
      <c r="U170" s="380">
        <v>0</v>
      </c>
      <c r="V170" s="380">
        <v>16506.07</v>
      </c>
      <c r="W170" s="380">
        <v>46800</v>
      </c>
      <c r="X170" s="380">
        <v>22244.1</v>
      </c>
      <c r="Y170" s="380">
        <v>46800</v>
      </c>
      <c r="Z170" s="380">
        <v>22122.42</v>
      </c>
      <c r="AA170" s="376" t="s">
        <v>673</v>
      </c>
      <c r="AB170" s="376" t="s">
        <v>674</v>
      </c>
      <c r="AC170" s="376" t="s">
        <v>675</v>
      </c>
      <c r="AD170" s="376" t="s">
        <v>676</v>
      </c>
      <c r="AE170" s="376" t="s">
        <v>363</v>
      </c>
      <c r="AF170" s="376" t="s">
        <v>210</v>
      </c>
      <c r="AG170" s="376" t="s">
        <v>177</v>
      </c>
      <c r="AH170" s="381">
        <v>22.5</v>
      </c>
      <c r="AI170" s="381">
        <v>2422.5</v>
      </c>
      <c r="AJ170" s="376" t="s">
        <v>178</v>
      </c>
      <c r="AK170" s="376" t="s">
        <v>179</v>
      </c>
      <c r="AL170" s="376" t="s">
        <v>180</v>
      </c>
      <c r="AM170" s="376" t="s">
        <v>181</v>
      </c>
      <c r="AN170" s="376" t="s">
        <v>68</v>
      </c>
      <c r="AO170" s="379">
        <v>80</v>
      </c>
      <c r="AP170" s="460">
        <v>1</v>
      </c>
      <c r="AQ170" s="460">
        <v>1</v>
      </c>
      <c r="AR170" s="458" t="s">
        <v>182</v>
      </c>
      <c r="AS170" s="462">
        <f t="shared" si="34"/>
        <v>1</v>
      </c>
      <c r="AT170">
        <f t="shared" si="35"/>
        <v>1</v>
      </c>
      <c r="AU170" s="462">
        <f>IF(AT170=0,"",IF(AND(AT170=1,M170="F",SUMIF(C2:C698,C170,AS2:AS698)&lt;=1),SUMIF(C2:C698,C170,AS2:AS698),IF(AND(AT170=1,M170="F",SUMIF(C2:C698,C170,AS2:AS698)&gt;1),1,"")))</f>
        <v>1</v>
      </c>
      <c r="AV170" s="462" t="str">
        <f>IF(AT170=0,"",IF(AND(AT170=3,M170="F",SUMIF(C2:C698,C170,AS2:AS698)&lt;=1),SUMIF(C2:C698,C170,AS2:AS698),IF(AND(AT170=3,M170="F",SUMIF(C2:C698,C170,AS2:AS698)&gt;1),1,"")))</f>
        <v/>
      </c>
      <c r="AW170" s="462">
        <f>SUMIF(C2:C698,C170,O2:O698)</f>
        <v>2</v>
      </c>
      <c r="AX170" s="462">
        <f>IF(AND(M170="F",AS170&lt;&gt;0),SUMIF(C2:C698,C170,W2:W698),0)</f>
        <v>46800</v>
      </c>
      <c r="AY170" s="462">
        <f t="shared" si="36"/>
        <v>46800</v>
      </c>
      <c r="AZ170" s="462" t="str">
        <f t="shared" si="37"/>
        <v/>
      </c>
      <c r="BA170" s="462">
        <f t="shared" si="38"/>
        <v>0</v>
      </c>
      <c r="BB170" s="462">
        <f>IF(AND(AT170=1,AK170="E",AU170&gt;=0.75,AW170=1),Health,IF(AND(AT170=1,AK170="E",AU170&gt;=0.75),Health*P170,IF(AND(AT170=1,AK170="E",AU170&gt;=0.5,AW170=1),PTHealth,IF(AND(AT170=1,AK170="E",AU170&gt;=0.5),PTHealth*P170,0))))</f>
        <v>11650</v>
      </c>
      <c r="BC170" s="462">
        <f>IF(AND(AT170=3,AK170="E",AV170&gt;=0.75,AW170=1),Health,IF(AND(AT170=3,AK170="E",AV170&gt;=0.75),Health*P170,IF(AND(AT170=3,AK170="E",AV170&gt;=0.5,AW170=1),PTHealth,IF(AND(AT170=3,AK170="E",AV170&gt;=0.5),PTHealth*P170,0))))</f>
        <v>0</v>
      </c>
      <c r="BD170" s="462">
        <f>IF(AND(AT170&lt;&gt;0,AX170&gt;=MAXSSDI),SSDI*MAXSSDI*P170,IF(AT170&lt;&gt;0,SSDI*W170,0))</f>
        <v>2901.6</v>
      </c>
      <c r="BE170" s="462">
        <f>IF(AT170&lt;&gt;0,SSHI*W170,0)</f>
        <v>678.6</v>
      </c>
      <c r="BF170" s="462">
        <f>IF(AND(AT170&lt;&gt;0,AN170&lt;&gt;"NE"),VLOOKUP(AN170,Retirement_Rates,3,FALSE)*W170,0)</f>
        <v>5587.92</v>
      </c>
      <c r="BG170" s="462">
        <f>IF(AND(AT170&lt;&gt;0,AJ170&lt;&gt;"PF"),Life*W170,0)</f>
        <v>337.428</v>
      </c>
      <c r="BH170" s="462">
        <f>IF(AND(AT170&lt;&gt;0,AM170="Y"),UI*W170,0)</f>
        <v>229.32</v>
      </c>
      <c r="BI170" s="462">
        <f>IF(AND(AT170&lt;&gt;0,N170&lt;&gt;"NR"),DHR*W170,0)</f>
        <v>143.208</v>
      </c>
      <c r="BJ170" s="462">
        <f>IF(AT170&lt;&gt;0,WC*W170,0)</f>
        <v>716.04</v>
      </c>
      <c r="BK170" s="462">
        <f>IF(OR(AND(AT170&lt;&gt;0,AJ170&lt;&gt;"PF",AN170&lt;&gt;"NE",AG170&lt;&gt;"A"),AND(AL170="E",OR(AT170=1,AT170=3))),Sick*W170,0)</f>
        <v>0</v>
      </c>
      <c r="BL170" s="462">
        <f t="shared" si="39"/>
        <v>10594.115999999998</v>
      </c>
      <c r="BM170" s="462">
        <f t="shared" si="40"/>
        <v>0</v>
      </c>
      <c r="BN170" s="462">
        <f>IF(AND(AT170=1,AK170="E",AU170&gt;=0.75,AW170=1),HealthBY,IF(AND(AT170=1,AK170="E",AU170&gt;=0.75),HealthBY*P170,IF(AND(AT170=1,AK170="E",AU170&gt;=0.5,AW170=1),PTHealthBY,IF(AND(AT170=1,AK170="E",AU170&gt;=0.5),PTHealthBY*P170,0))))</f>
        <v>11650</v>
      </c>
      <c r="BO170" s="462">
        <f>IF(AND(AT170=3,AK170="E",AV170&gt;=0.75,AW170=1),HealthBY,IF(AND(AT170=3,AK170="E",AV170&gt;=0.75),HealthBY*P170,IF(AND(AT170=3,AK170="E",AV170&gt;=0.5,AW170=1),PTHealthBY,IF(AND(AT170=3,AK170="E",AV170&gt;=0.5),PTHealthBY*P170,0))))</f>
        <v>0</v>
      </c>
      <c r="BP170" s="462">
        <f>IF(AND(AT170&lt;&gt;0,(AX170+BA170)&gt;=MAXSSDIBY),SSDIBY*MAXSSDIBY*P170,IF(AT170&lt;&gt;0,SSDIBY*W170,0))</f>
        <v>2901.6</v>
      </c>
      <c r="BQ170" s="462">
        <f>IF(AT170&lt;&gt;0,SSHIBY*W170,0)</f>
        <v>678.6</v>
      </c>
      <c r="BR170" s="462">
        <f>IF(AND(AT170&lt;&gt;0,AN170&lt;&gt;"NE"),VLOOKUP(AN170,Retirement_Rates,4,FALSE)*W170,0)</f>
        <v>5587.92</v>
      </c>
      <c r="BS170" s="462">
        <f>IF(AND(AT170&lt;&gt;0,AJ170&lt;&gt;"PF"),LifeBY*W170,0)</f>
        <v>337.428</v>
      </c>
      <c r="BT170" s="462">
        <f>IF(AND(AT170&lt;&gt;0,AM170="Y"),UIBY*W170,0)</f>
        <v>0</v>
      </c>
      <c r="BU170" s="462">
        <f>IF(AND(AT170&lt;&gt;0,N170&lt;&gt;"NR"),DHRBY*W170,0)</f>
        <v>143.208</v>
      </c>
      <c r="BV170" s="462">
        <f>IF(AT170&lt;&gt;0,WCBY*W170,0)</f>
        <v>823.68000000000006</v>
      </c>
      <c r="BW170" s="462">
        <f>IF(OR(AND(AT170&lt;&gt;0,AJ170&lt;&gt;"PF",AN170&lt;&gt;"NE",AG170&lt;&gt;"A"),AND(AL170="E",OR(AT170=1,AT170=3))),SickBY*W170,0)</f>
        <v>0</v>
      </c>
      <c r="BX170" s="462">
        <f t="shared" si="41"/>
        <v>10472.436</v>
      </c>
      <c r="BY170" s="462">
        <f t="shared" si="42"/>
        <v>0</v>
      </c>
      <c r="BZ170" s="462">
        <f t="shared" si="43"/>
        <v>0</v>
      </c>
      <c r="CA170" s="462">
        <f t="shared" si="44"/>
        <v>0</v>
      </c>
      <c r="CB170" s="462">
        <f t="shared" si="45"/>
        <v>0</v>
      </c>
      <c r="CC170" s="462">
        <f>IF(AT170&lt;&gt;0,SSHICHG*Y170,0)</f>
        <v>0</v>
      </c>
      <c r="CD170" s="462">
        <f>IF(AND(AT170&lt;&gt;0,AN170&lt;&gt;"NE"),VLOOKUP(AN170,Retirement_Rates,5,FALSE)*Y170,0)</f>
        <v>0</v>
      </c>
      <c r="CE170" s="462">
        <f>IF(AND(AT170&lt;&gt;0,AJ170&lt;&gt;"PF"),LifeCHG*Y170,0)</f>
        <v>0</v>
      </c>
      <c r="CF170" s="462">
        <f>IF(AND(AT170&lt;&gt;0,AM170="Y"),UICHG*Y170,0)</f>
        <v>-229.32</v>
      </c>
      <c r="CG170" s="462">
        <f>IF(AND(AT170&lt;&gt;0,N170&lt;&gt;"NR"),DHRCHG*Y170,0)</f>
        <v>0</v>
      </c>
      <c r="CH170" s="462">
        <f>IF(AT170&lt;&gt;0,WCCHG*Y170,0)</f>
        <v>107.64000000000009</v>
      </c>
      <c r="CI170" s="462">
        <f>IF(OR(AND(AT170&lt;&gt;0,AJ170&lt;&gt;"PF",AN170&lt;&gt;"NE",AG170&lt;&gt;"A"),AND(AL170="E",OR(AT170=1,AT170=3))),SickCHG*Y170,0)</f>
        <v>0</v>
      </c>
      <c r="CJ170" s="462">
        <f t="shared" si="46"/>
        <v>-121.67999999999991</v>
      </c>
      <c r="CK170" s="462" t="str">
        <f t="shared" si="47"/>
        <v/>
      </c>
      <c r="CL170" s="462" t="str">
        <f t="shared" si="48"/>
        <v/>
      </c>
      <c r="CM170" s="462" t="str">
        <f t="shared" si="49"/>
        <v/>
      </c>
      <c r="CN170" s="462" t="str">
        <f t="shared" si="50"/>
        <v>0332-05</v>
      </c>
    </row>
    <row r="171" spans="1:92" ht="15" thickBot="1" x14ac:dyDescent="0.35">
      <c r="A171" s="376" t="s">
        <v>161</v>
      </c>
      <c r="B171" s="376" t="s">
        <v>162</v>
      </c>
      <c r="C171" s="376" t="s">
        <v>677</v>
      </c>
      <c r="D171" s="376" t="s">
        <v>339</v>
      </c>
      <c r="E171" s="376" t="s">
        <v>535</v>
      </c>
      <c r="F171" s="382" t="s">
        <v>659</v>
      </c>
      <c r="G171" s="376" t="s">
        <v>651</v>
      </c>
      <c r="H171" s="378"/>
      <c r="I171" s="378"/>
      <c r="J171" s="376" t="s">
        <v>168</v>
      </c>
      <c r="K171" s="376" t="s">
        <v>340</v>
      </c>
      <c r="L171" s="376" t="s">
        <v>247</v>
      </c>
      <c r="M171" s="376" t="s">
        <v>201</v>
      </c>
      <c r="N171" s="376" t="s">
        <v>202</v>
      </c>
      <c r="O171" s="379">
        <v>0</v>
      </c>
      <c r="P171" s="460">
        <v>1</v>
      </c>
      <c r="Q171" s="460">
        <v>1</v>
      </c>
      <c r="R171" s="380">
        <v>80</v>
      </c>
      <c r="S171" s="460">
        <v>1</v>
      </c>
      <c r="T171" s="380">
        <v>81368</v>
      </c>
      <c r="U171" s="380">
        <v>0</v>
      </c>
      <c r="V171" s="380">
        <v>28329.83</v>
      </c>
      <c r="W171" s="380">
        <v>60465.599999999999</v>
      </c>
      <c r="X171" s="380">
        <v>26483.93</v>
      </c>
      <c r="Y171" s="380">
        <v>60465.599999999999</v>
      </c>
      <c r="Z171" s="380">
        <v>26181.599999999999</v>
      </c>
      <c r="AA171" s="378"/>
      <c r="AB171" s="376" t="s">
        <v>45</v>
      </c>
      <c r="AC171" s="376" t="s">
        <v>45</v>
      </c>
      <c r="AD171" s="378"/>
      <c r="AE171" s="378"/>
      <c r="AF171" s="378"/>
      <c r="AG171" s="378"/>
      <c r="AH171" s="379">
        <v>0</v>
      </c>
      <c r="AI171" s="379">
        <v>0</v>
      </c>
      <c r="AJ171" s="378"/>
      <c r="AK171" s="378"/>
      <c r="AL171" s="376" t="s">
        <v>180</v>
      </c>
      <c r="AM171" s="378"/>
      <c r="AN171" s="378"/>
      <c r="AO171" s="379">
        <v>0</v>
      </c>
      <c r="AP171" s="460">
        <v>0</v>
      </c>
      <c r="AQ171" s="460">
        <v>0</v>
      </c>
      <c r="AR171" s="459"/>
      <c r="AS171" s="462">
        <f t="shared" si="34"/>
        <v>0</v>
      </c>
      <c r="AT171">
        <f t="shared" si="35"/>
        <v>0</v>
      </c>
      <c r="AU171" s="462" t="str">
        <f>IF(AT171=0,"",IF(AND(AT171=1,M171="F",SUMIF(C2:C698,C171,AS2:AS698)&lt;=1),SUMIF(C2:C698,C171,AS2:AS698),IF(AND(AT171=1,M171="F",SUMIF(C2:C698,C171,AS2:AS698)&gt;1),1,"")))</f>
        <v/>
      </c>
      <c r="AV171" s="462" t="str">
        <f>IF(AT171=0,"",IF(AND(AT171=3,M171="F",SUMIF(C2:C698,C171,AS2:AS698)&lt;=1),SUMIF(C2:C698,C171,AS2:AS698),IF(AND(AT171=3,M171="F",SUMIF(C2:C698,C171,AS2:AS698)&gt;1),1,"")))</f>
        <v/>
      </c>
      <c r="AW171" s="462">
        <f>SUMIF(C2:C698,C171,O2:O698)</f>
        <v>0</v>
      </c>
      <c r="AX171" s="462">
        <f>IF(AND(M171="F",AS171&lt;&gt;0),SUMIF(C2:C698,C171,W2:W698),0)</f>
        <v>0</v>
      </c>
      <c r="AY171" s="462" t="str">
        <f t="shared" si="36"/>
        <v/>
      </c>
      <c r="AZ171" s="462" t="str">
        <f t="shared" si="37"/>
        <v/>
      </c>
      <c r="BA171" s="462">
        <f t="shared" si="38"/>
        <v>0</v>
      </c>
      <c r="BB171" s="462">
        <f>IF(AND(AT171=1,AK171="E",AU171&gt;=0.75,AW171=1),Health,IF(AND(AT171=1,AK171="E",AU171&gt;=0.75),Health*P171,IF(AND(AT171=1,AK171="E",AU171&gt;=0.5,AW171=1),PTHealth,IF(AND(AT171=1,AK171="E",AU171&gt;=0.5),PTHealth*P171,0))))</f>
        <v>0</v>
      </c>
      <c r="BC171" s="462">
        <f>IF(AND(AT171=3,AK171="E",AV171&gt;=0.75,AW171=1),Health,IF(AND(AT171=3,AK171="E",AV171&gt;=0.75),Health*P171,IF(AND(AT171=3,AK171="E",AV171&gt;=0.5,AW171=1),PTHealth,IF(AND(AT171=3,AK171="E",AV171&gt;=0.5),PTHealth*P171,0))))</f>
        <v>0</v>
      </c>
      <c r="BD171" s="462">
        <f>IF(AND(AT171&lt;&gt;0,AX171&gt;=MAXSSDI),SSDI*MAXSSDI*P171,IF(AT171&lt;&gt;0,SSDI*W171,0))</f>
        <v>0</v>
      </c>
      <c r="BE171" s="462">
        <f>IF(AT171&lt;&gt;0,SSHI*W171,0)</f>
        <v>0</v>
      </c>
      <c r="BF171" s="462">
        <f>IF(AND(AT171&lt;&gt;0,AN171&lt;&gt;"NE"),VLOOKUP(AN171,Retirement_Rates,3,FALSE)*W171,0)</f>
        <v>0</v>
      </c>
      <c r="BG171" s="462">
        <f>IF(AND(AT171&lt;&gt;0,AJ171&lt;&gt;"PF"),Life*W171,0)</f>
        <v>0</v>
      </c>
      <c r="BH171" s="462">
        <f>IF(AND(AT171&lt;&gt;0,AM171="Y"),UI*W171,0)</f>
        <v>0</v>
      </c>
      <c r="BI171" s="462">
        <f>IF(AND(AT171&lt;&gt;0,N171&lt;&gt;"NR"),DHR*W171,0)</f>
        <v>0</v>
      </c>
      <c r="BJ171" s="462">
        <f>IF(AT171&lt;&gt;0,WC*W171,0)</f>
        <v>0</v>
      </c>
      <c r="BK171" s="462">
        <f>IF(OR(AND(AT171&lt;&gt;0,AJ171&lt;&gt;"PF",AN171&lt;&gt;"NE",AG171&lt;&gt;"A"),AND(AL171="E",OR(AT171=1,AT171=3))),Sick*W171,0)</f>
        <v>0</v>
      </c>
      <c r="BL171" s="462">
        <f t="shared" si="39"/>
        <v>0</v>
      </c>
      <c r="BM171" s="462">
        <f t="shared" si="40"/>
        <v>0</v>
      </c>
      <c r="BN171" s="462">
        <f>IF(AND(AT171=1,AK171="E",AU171&gt;=0.75,AW171=1),HealthBY,IF(AND(AT171=1,AK171="E",AU171&gt;=0.75),HealthBY*P171,IF(AND(AT171=1,AK171="E",AU171&gt;=0.5,AW171=1),PTHealthBY,IF(AND(AT171=1,AK171="E",AU171&gt;=0.5),PTHealthBY*P171,0))))</f>
        <v>0</v>
      </c>
      <c r="BO171" s="462">
        <f>IF(AND(AT171=3,AK171="E",AV171&gt;=0.75,AW171=1),HealthBY,IF(AND(AT171=3,AK171="E",AV171&gt;=0.75),HealthBY*P171,IF(AND(AT171=3,AK171="E",AV171&gt;=0.5,AW171=1),PTHealthBY,IF(AND(AT171=3,AK171="E",AV171&gt;=0.5),PTHealthBY*P171,0))))</f>
        <v>0</v>
      </c>
      <c r="BP171" s="462">
        <f>IF(AND(AT171&lt;&gt;0,(AX171+BA171)&gt;=MAXSSDIBY),SSDIBY*MAXSSDIBY*P171,IF(AT171&lt;&gt;0,SSDIBY*W171,0))</f>
        <v>0</v>
      </c>
      <c r="BQ171" s="462">
        <f>IF(AT171&lt;&gt;0,SSHIBY*W171,0)</f>
        <v>0</v>
      </c>
      <c r="BR171" s="462">
        <f>IF(AND(AT171&lt;&gt;0,AN171&lt;&gt;"NE"),VLOOKUP(AN171,Retirement_Rates,4,FALSE)*W171,0)</f>
        <v>0</v>
      </c>
      <c r="BS171" s="462">
        <f>IF(AND(AT171&lt;&gt;0,AJ171&lt;&gt;"PF"),LifeBY*W171,0)</f>
        <v>0</v>
      </c>
      <c r="BT171" s="462">
        <f>IF(AND(AT171&lt;&gt;0,AM171="Y"),UIBY*W171,0)</f>
        <v>0</v>
      </c>
      <c r="BU171" s="462">
        <f>IF(AND(AT171&lt;&gt;0,N171&lt;&gt;"NR"),DHRBY*W171,0)</f>
        <v>0</v>
      </c>
      <c r="BV171" s="462">
        <f>IF(AT171&lt;&gt;0,WCBY*W171,0)</f>
        <v>0</v>
      </c>
      <c r="BW171" s="462">
        <f>IF(OR(AND(AT171&lt;&gt;0,AJ171&lt;&gt;"PF",AN171&lt;&gt;"NE",AG171&lt;&gt;"A"),AND(AL171="E",OR(AT171=1,AT171=3))),SickBY*W171,0)</f>
        <v>0</v>
      </c>
      <c r="BX171" s="462">
        <f t="shared" si="41"/>
        <v>0</v>
      </c>
      <c r="BY171" s="462">
        <f t="shared" si="42"/>
        <v>0</v>
      </c>
      <c r="BZ171" s="462">
        <f t="shared" si="43"/>
        <v>0</v>
      </c>
      <c r="CA171" s="462">
        <f t="shared" si="44"/>
        <v>0</v>
      </c>
      <c r="CB171" s="462">
        <f t="shared" si="45"/>
        <v>0</v>
      </c>
      <c r="CC171" s="462">
        <f>IF(AT171&lt;&gt;0,SSHICHG*Y171,0)</f>
        <v>0</v>
      </c>
      <c r="CD171" s="462">
        <f>IF(AND(AT171&lt;&gt;0,AN171&lt;&gt;"NE"),VLOOKUP(AN171,Retirement_Rates,5,FALSE)*Y171,0)</f>
        <v>0</v>
      </c>
      <c r="CE171" s="462">
        <f>IF(AND(AT171&lt;&gt;0,AJ171&lt;&gt;"PF"),LifeCHG*Y171,0)</f>
        <v>0</v>
      </c>
      <c r="CF171" s="462">
        <f>IF(AND(AT171&lt;&gt;0,AM171="Y"),UICHG*Y171,0)</f>
        <v>0</v>
      </c>
      <c r="CG171" s="462">
        <f>IF(AND(AT171&lt;&gt;0,N171&lt;&gt;"NR"),DHRCHG*Y171,0)</f>
        <v>0</v>
      </c>
      <c r="CH171" s="462">
        <f>IF(AT171&lt;&gt;0,WCCHG*Y171,0)</f>
        <v>0</v>
      </c>
      <c r="CI171" s="462">
        <f>IF(OR(AND(AT171&lt;&gt;0,AJ171&lt;&gt;"PF",AN171&lt;&gt;"NE",AG171&lt;&gt;"A"),AND(AL171="E",OR(AT171=1,AT171=3))),SickCHG*Y171,0)</f>
        <v>0</v>
      </c>
      <c r="CJ171" s="462">
        <f t="shared" si="46"/>
        <v>0</v>
      </c>
      <c r="CK171" s="462" t="str">
        <f t="shared" si="47"/>
        <v/>
      </c>
      <c r="CL171" s="462" t="str">
        <f t="shared" si="48"/>
        <v/>
      </c>
      <c r="CM171" s="462" t="str">
        <f t="shared" si="49"/>
        <v/>
      </c>
      <c r="CN171" s="462" t="str">
        <f t="shared" si="50"/>
        <v>0332-05</v>
      </c>
    </row>
    <row r="172" spans="1:92" ht="15" thickBot="1" x14ac:dyDescent="0.35">
      <c r="A172" s="376" t="s">
        <v>161</v>
      </c>
      <c r="B172" s="376" t="s">
        <v>162</v>
      </c>
      <c r="C172" s="376" t="s">
        <v>406</v>
      </c>
      <c r="D172" s="376" t="s">
        <v>250</v>
      </c>
      <c r="E172" s="376" t="s">
        <v>535</v>
      </c>
      <c r="F172" s="382" t="s">
        <v>659</v>
      </c>
      <c r="G172" s="376" t="s">
        <v>651</v>
      </c>
      <c r="H172" s="378"/>
      <c r="I172" s="378"/>
      <c r="J172" s="376" t="s">
        <v>168</v>
      </c>
      <c r="K172" s="376" t="s">
        <v>407</v>
      </c>
      <c r="L172" s="376" t="s">
        <v>247</v>
      </c>
      <c r="M172" s="376" t="s">
        <v>170</v>
      </c>
      <c r="N172" s="376" t="s">
        <v>202</v>
      </c>
      <c r="O172" s="379">
        <v>1</v>
      </c>
      <c r="P172" s="460">
        <v>1</v>
      </c>
      <c r="Q172" s="460">
        <v>1</v>
      </c>
      <c r="R172" s="380">
        <v>80</v>
      </c>
      <c r="S172" s="460">
        <v>1</v>
      </c>
      <c r="T172" s="380">
        <v>31006.23</v>
      </c>
      <c r="U172" s="380">
        <v>0</v>
      </c>
      <c r="V172" s="380">
        <v>9159.14</v>
      </c>
      <c r="W172" s="380">
        <v>58240</v>
      </c>
      <c r="X172" s="380">
        <v>24833.77</v>
      </c>
      <c r="Y172" s="380">
        <v>58240</v>
      </c>
      <c r="Z172" s="380">
        <v>24682.35</v>
      </c>
      <c r="AA172" s="376" t="s">
        <v>408</v>
      </c>
      <c r="AB172" s="376" t="s">
        <v>409</v>
      </c>
      <c r="AC172" s="376" t="s">
        <v>410</v>
      </c>
      <c r="AD172" s="376" t="s">
        <v>411</v>
      </c>
      <c r="AE172" s="376" t="s">
        <v>407</v>
      </c>
      <c r="AF172" s="376" t="s">
        <v>299</v>
      </c>
      <c r="AG172" s="376" t="s">
        <v>177</v>
      </c>
      <c r="AH172" s="379">
        <v>28</v>
      </c>
      <c r="AI172" s="381">
        <v>6915.2</v>
      </c>
      <c r="AJ172" s="376" t="s">
        <v>178</v>
      </c>
      <c r="AK172" s="376" t="s">
        <v>179</v>
      </c>
      <c r="AL172" s="376" t="s">
        <v>180</v>
      </c>
      <c r="AM172" s="376" t="s">
        <v>181</v>
      </c>
      <c r="AN172" s="376" t="s">
        <v>68</v>
      </c>
      <c r="AO172" s="379">
        <v>80</v>
      </c>
      <c r="AP172" s="460">
        <v>1</v>
      </c>
      <c r="AQ172" s="460">
        <v>1</v>
      </c>
      <c r="AR172" s="458" t="s">
        <v>182</v>
      </c>
      <c r="AS172" s="462">
        <f t="shared" si="34"/>
        <v>1</v>
      </c>
      <c r="AT172">
        <f t="shared" si="35"/>
        <v>1</v>
      </c>
      <c r="AU172" s="462">
        <f>IF(AT172=0,"",IF(AND(AT172=1,M172="F",SUMIF(C2:C698,C172,AS2:AS698)&lt;=1),SUMIF(C2:C698,C172,AS2:AS698),IF(AND(AT172=1,M172="F",SUMIF(C2:C698,C172,AS2:AS698)&gt;1),1,"")))</f>
        <v>1</v>
      </c>
      <c r="AV172" s="462" t="str">
        <f>IF(AT172=0,"",IF(AND(AT172=3,M172="F",SUMIF(C2:C698,C172,AS2:AS698)&lt;=1),SUMIF(C2:C698,C172,AS2:AS698),IF(AND(AT172=3,M172="F",SUMIF(C2:C698,C172,AS2:AS698)&gt;1),1,"")))</f>
        <v/>
      </c>
      <c r="AW172" s="462">
        <f>SUMIF(C2:C698,C172,O2:O698)</f>
        <v>5</v>
      </c>
      <c r="AX172" s="462">
        <f>IF(AND(M172="F",AS172&lt;&gt;0),SUMIF(C2:C698,C172,W2:W698),0)</f>
        <v>58240</v>
      </c>
      <c r="AY172" s="462">
        <f t="shared" si="36"/>
        <v>58240</v>
      </c>
      <c r="AZ172" s="462" t="str">
        <f t="shared" si="37"/>
        <v/>
      </c>
      <c r="BA172" s="462">
        <f t="shared" si="38"/>
        <v>0</v>
      </c>
      <c r="BB172" s="462">
        <f>IF(AND(AT172=1,AK172="E",AU172&gt;=0.75,AW172=1),Health,IF(AND(AT172=1,AK172="E",AU172&gt;=0.75),Health*P172,IF(AND(AT172=1,AK172="E",AU172&gt;=0.5,AW172=1),PTHealth,IF(AND(AT172=1,AK172="E",AU172&gt;=0.5),PTHealth*P172,0))))</f>
        <v>11650</v>
      </c>
      <c r="BC172" s="462">
        <f>IF(AND(AT172=3,AK172="E",AV172&gt;=0.75,AW172=1),Health,IF(AND(AT172=3,AK172="E",AV172&gt;=0.75),Health*P172,IF(AND(AT172=3,AK172="E",AV172&gt;=0.5,AW172=1),PTHealth,IF(AND(AT172=3,AK172="E",AV172&gt;=0.5),PTHealth*P172,0))))</f>
        <v>0</v>
      </c>
      <c r="BD172" s="462">
        <f>IF(AND(AT172&lt;&gt;0,AX172&gt;=MAXSSDI),SSDI*MAXSSDI*P172,IF(AT172&lt;&gt;0,SSDI*W172,0))</f>
        <v>3610.88</v>
      </c>
      <c r="BE172" s="462">
        <f>IF(AT172&lt;&gt;0,SSHI*W172,0)</f>
        <v>844.48</v>
      </c>
      <c r="BF172" s="462">
        <f>IF(AND(AT172&lt;&gt;0,AN172&lt;&gt;"NE"),VLOOKUP(AN172,Retirement_Rates,3,FALSE)*W172,0)</f>
        <v>6953.8560000000007</v>
      </c>
      <c r="BG172" s="462">
        <f>IF(AND(AT172&lt;&gt;0,AJ172&lt;&gt;"PF"),Life*W172,0)</f>
        <v>419.91040000000004</v>
      </c>
      <c r="BH172" s="462">
        <f>IF(AND(AT172&lt;&gt;0,AM172="Y"),UI*W172,0)</f>
        <v>285.37599999999998</v>
      </c>
      <c r="BI172" s="462">
        <f>IF(AND(AT172&lt;&gt;0,N172&lt;&gt;"NR"),DHR*W172,0)</f>
        <v>178.21439999999998</v>
      </c>
      <c r="BJ172" s="462">
        <f>IF(AT172&lt;&gt;0,WC*W172,0)</f>
        <v>891.072</v>
      </c>
      <c r="BK172" s="462">
        <f>IF(OR(AND(AT172&lt;&gt;0,AJ172&lt;&gt;"PF",AN172&lt;&gt;"NE",AG172&lt;&gt;"A"),AND(AL172="E",OR(AT172=1,AT172=3))),Sick*W172,0)</f>
        <v>0</v>
      </c>
      <c r="BL172" s="462">
        <f t="shared" si="39"/>
        <v>13183.788800000002</v>
      </c>
      <c r="BM172" s="462">
        <f t="shared" si="40"/>
        <v>0</v>
      </c>
      <c r="BN172" s="462">
        <f>IF(AND(AT172=1,AK172="E",AU172&gt;=0.75,AW172=1),HealthBY,IF(AND(AT172=1,AK172="E",AU172&gt;=0.75),HealthBY*P172,IF(AND(AT172=1,AK172="E",AU172&gt;=0.5,AW172=1),PTHealthBY,IF(AND(AT172=1,AK172="E",AU172&gt;=0.5),PTHealthBY*P172,0))))</f>
        <v>11650</v>
      </c>
      <c r="BO172" s="462">
        <f>IF(AND(AT172=3,AK172="E",AV172&gt;=0.75,AW172=1),HealthBY,IF(AND(AT172=3,AK172="E",AV172&gt;=0.75),HealthBY*P172,IF(AND(AT172=3,AK172="E",AV172&gt;=0.5,AW172=1),PTHealthBY,IF(AND(AT172=3,AK172="E",AV172&gt;=0.5),PTHealthBY*P172,0))))</f>
        <v>0</v>
      </c>
      <c r="BP172" s="462">
        <f>IF(AND(AT172&lt;&gt;0,(AX172+BA172)&gt;=MAXSSDIBY),SSDIBY*MAXSSDIBY*P172,IF(AT172&lt;&gt;0,SSDIBY*W172,0))</f>
        <v>3610.88</v>
      </c>
      <c r="BQ172" s="462">
        <f>IF(AT172&lt;&gt;0,SSHIBY*W172,0)</f>
        <v>844.48</v>
      </c>
      <c r="BR172" s="462">
        <f>IF(AND(AT172&lt;&gt;0,AN172&lt;&gt;"NE"),VLOOKUP(AN172,Retirement_Rates,4,FALSE)*W172,0)</f>
        <v>6953.8560000000007</v>
      </c>
      <c r="BS172" s="462">
        <f>IF(AND(AT172&lt;&gt;0,AJ172&lt;&gt;"PF"),LifeBY*W172,0)</f>
        <v>419.91040000000004</v>
      </c>
      <c r="BT172" s="462">
        <f>IF(AND(AT172&lt;&gt;0,AM172="Y"),UIBY*W172,0)</f>
        <v>0</v>
      </c>
      <c r="BU172" s="462">
        <f>IF(AND(AT172&lt;&gt;0,N172&lt;&gt;"NR"),DHRBY*W172,0)</f>
        <v>178.21439999999998</v>
      </c>
      <c r="BV172" s="462">
        <f>IF(AT172&lt;&gt;0,WCBY*W172,0)</f>
        <v>1025.0240000000001</v>
      </c>
      <c r="BW172" s="462">
        <f>IF(OR(AND(AT172&lt;&gt;0,AJ172&lt;&gt;"PF",AN172&lt;&gt;"NE",AG172&lt;&gt;"A"),AND(AL172="E",OR(AT172=1,AT172=3))),SickBY*W172,0)</f>
        <v>0</v>
      </c>
      <c r="BX172" s="462">
        <f t="shared" si="41"/>
        <v>13032.364800000001</v>
      </c>
      <c r="BY172" s="462">
        <f t="shared" si="42"/>
        <v>0</v>
      </c>
      <c r="BZ172" s="462">
        <f t="shared" si="43"/>
        <v>0</v>
      </c>
      <c r="CA172" s="462">
        <f t="shared" si="44"/>
        <v>0</v>
      </c>
      <c r="CB172" s="462">
        <f t="shared" si="45"/>
        <v>0</v>
      </c>
      <c r="CC172" s="462">
        <f>IF(AT172&lt;&gt;0,SSHICHG*Y172,0)</f>
        <v>0</v>
      </c>
      <c r="CD172" s="462">
        <f>IF(AND(AT172&lt;&gt;0,AN172&lt;&gt;"NE"),VLOOKUP(AN172,Retirement_Rates,5,FALSE)*Y172,0)</f>
        <v>0</v>
      </c>
      <c r="CE172" s="462">
        <f>IF(AND(AT172&lt;&gt;0,AJ172&lt;&gt;"PF"),LifeCHG*Y172,0)</f>
        <v>0</v>
      </c>
      <c r="CF172" s="462">
        <f>IF(AND(AT172&lt;&gt;0,AM172="Y"),UICHG*Y172,0)</f>
        <v>-285.37599999999998</v>
      </c>
      <c r="CG172" s="462">
        <f>IF(AND(AT172&lt;&gt;0,N172&lt;&gt;"NR"),DHRCHG*Y172,0)</f>
        <v>0</v>
      </c>
      <c r="CH172" s="462">
        <f>IF(AT172&lt;&gt;0,WCCHG*Y172,0)</f>
        <v>133.95200000000011</v>
      </c>
      <c r="CI172" s="462">
        <f>IF(OR(AND(AT172&lt;&gt;0,AJ172&lt;&gt;"PF",AN172&lt;&gt;"NE",AG172&lt;&gt;"A"),AND(AL172="E",OR(AT172=1,AT172=3))),SickCHG*Y172,0)</f>
        <v>0</v>
      </c>
      <c r="CJ172" s="462">
        <f t="shared" si="46"/>
        <v>-151.42399999999986</v>
      </c>
      <c r="CK172" s="462" t="str">
        <f t="shared" si="47"/>
        <v/>
      </c>
      <c r="CL172" s="462" t="str">
        <f t="shared" si="48"/>
        <v/>
      </c>
      <c r="CM172" s="462" t="str">
        <f t="shared" si="49"/>
        <v/>
      </c>
      <c r="CN172" s="462" t="str">
        <f t="shared" si="50"/>
        <v>0332-05</v>
      </c>
    </row>
    <row r="173" spans="1:92" ht="15" thickBot="1" x14ac:dyDescent="0.35">
      <c r="A173" s="376" t="s">
        <v>161</v>
      </c>
      <c r="B173" s="376" t="s">
        <v>162</v>
      </c>
      <c r="C173" s="376" t="s">
        <v>678</v>
      </c>
      <c r="D173" s="376" t="s">
        <v>250</v>
      </c>
      <c r="E173" s="376" t="s">
        <v>535</v>
      </c>
      <c r="F173" s="382" t="s">
        <v>659</v>
      </c>
      <c r="G173" s="376" t="s">
        <v>651</v>
      </c>
      <c r="H173" s="378"/>
      <c r="I173" s="378"/>
      <c r="J173" s="376" t="s">
        <v>168</v>
      </c>
      <c r="K173" s="376" t="s">
        <v>407</v>
      </c>
      <c r="L173" s="376" t="s">
        <v>247</v>
      </c>
      <c r="M173" s="376" t="s">
        <v>170</v>
      </c>
      <c r="N173" s="376" t="s">
        <v>202</v>
      </c>
      <c r="O173" s="379">
        <v>1</v>
      </c>
      <c r="P173" s="460">
        <v>1</v>
      </c>
      <c r="Q173" s="460">
        <v>1</v>
      </c>
      <c r="R173" s="380">
        <v>80</v>
      </c>
      <c r="S173" s="460">
        <v>1</v>
      </c>
      <c r="T173" s="380">
        <v>52324</v>
      </c>
      <c r="U173" s="380">
        <v>0</v>
      </c>
      <c r="V173" s="380">
        <v>21331.22</v>
      </c>
      <c r="W173" s="380">
        <v>60049.599999999999</v>
      </c>
      <c r="X173" s="380">
        <v>25243.39</v>
      </c>
      <c r="Y173" s="380">
        <v>60049.599999999999</v>
      </c>
      <c r="Z173" s="380">
        <v>25087.27</v>
      </c>
      <c r="AA173" s="376" t="s">
        <v>679</v>
      </c>
      <c r="AB173" s="376" t="s">
        <v>680</v>
      </c>
      <c r="AC173" s="376" t="s">
        <v>681</v>
      </c>
      <c r="AD173" s="376" t="s">
        <v>682</v>
      </c>
      <c r="AE173" s="376" t="s">
        <v>407</v>
      </c>
      <c r="AF173" s="376" t="s">
        <v>299</v>
      </c>
      <c r="AG173" s="376" t="s">
        <v>177</v>
      </c>
      <c r="AH173" s="381">
        <v>28.87</v>
      </c>
      <c r="AI173" s="381">
        <v>8603.4</v>
      </c>
      <c r="AJ173" s="376" t="s">
        <v>178</v>
      </c>
      <c r="AK173" s="376" t="s">
        <v>179</v>
      </c>
      <c r="AL173" s="376" t="s">
        <v>180</v>
      </c>
      <c r="AM173" s="376" t="s">
        <v>181</v>
      </c>
      <c r="AN173" s="376" t="s">
        <v>68</v>
      </c>
      <c r="AO173" s="379">
        <v>80</v>
      </c>
      <c r="AP173" s="460">
        <v>1</v>
      </c>
      <c r="AQ173" s="460">
        <v>1</v>
      </c>
      <c r="AR173" s="458" t="s">
        <v>182</v>
      </c>
      <c r="AS173" s="462">
        <f t="shared" si="34"/>
        <v>1</v>
      </c>
      <c r="AT173">
        <f t="shared" si="35"/>
        <v>1</v>
      </c>
      <c r="AU173" s="462">
        <f>IF(AT173=0,"",IF(AND(AT173=1,M173="F",SUMIF(C2:C698,C173,AS2:AS698)&lt;=1),SUMIF(C2:C698,C173,AS2:AS698),IF(AND(AT173=1,M173="F",SUMIF(C2:C698,C173,AS2:AS698)&gt;1),1,"")))</f>
        <v>1</v>
      </c>
      <c r="AV173" s="462" t="str">
        <f>IF(AT173=0,"",IF(AND(AT173=3,M173="F",SUMIF(C2:C698,C173,AS2:AS698)&lt;=1),SUMIF(C2:C698,C173,AS2:AS698),IF(AND(AT173=3,M173="F",SUMIF(C2:C698,C173,AS2:AS698)&gt;1),1,"")))</f>
        <v/>
      </c>
      <c r="AW173" s="462">
        <f>SUMIF(C2:C698,C173,O2:O698)</f>
        <v>2</v>
      </c>
      <c r="AX173" s="462">
        <f>IF(AND(M173="F",AS173&lt;&gt;0),SUMIF(C2:C698,C173,W2:W698),0)</f>
        <v>60049.599999999999</v>
      </c>
      <c r="AY173" s="462">
        <f t="shared" si="36"/>
        <v>60049.599999999999</v>
      </c>
      <c r="AZ173" s="462" t="str">
        <f t="shared" si="37"/>
        <v/>
      </c>
      <c r="BA173" s="462">
        <f t="shared" si="38"/>
        <v>0</v>
      </c>
      <c r="BB173" s="462">
        <f>IF(AND(AT173=1,AK173="E",AU173&gt;=0.75,AW173=1),Health,IF(AND(AT173=1,AK173="E",AU173&gt;=0.75),Health*P173,IF(AND(AT173=1,AK173="E",AU173&gt;=0.5,AW173=1),PTHealth,IF(AND(AT173=1,AK173="E",AU173&gt;=0.5),PTHealth*P173,0))))</f>
        <v>11650</v>
      </c>
      <c r="BC173" s="462">
        <f>IF(AND(AT173=3,AK173="E",AV173&gt;=0.75,AW173=1),Health,IF(AND(AT173=3,AK173="E",AV173&gt;=0.75),Health*P173,IF(AND(AT173=3,AK173="E",AV173&gt;=0.5,AW173=1),PTHealth,IF(AND(AT173=3,AK173="E",AV173&gt;=0.5),PTHealth*P173,0))))</f>
        <v>0</v>
      </c>
      <c r="BD173" s="462">
        <f>IF(AND(AT173&lt;&gt;0,AX173&gt;=MAXSSDI),SSDI*MAXSSDI*P173,IF(AT173&lt;&gt;0,SSDI*W173,0))</f>
        <v>3723.0751999999998</v>
      </c>
      <c r="BE173" s="462">
        <f>IF(AT173&lt;&gt;0,SSHI*W173,0)</f>
        <v>870.7192</v>
      </c>
      <c r="BF173" s="462">
        <f>IF(AND(AT173&lt;&gt;0,AN173&lt;&gt;"NE"),VLOOKUP(AN173,Retirement_Rates,3,FALSE)*W173,0)</f>
        <v>7169.9222399999999</v>
      </c>
      <c r="BG173" s="462">
        <f>IF(AND(AT173&lt;&gt;0,AJ173&lt;&gt;"PF"),Life*W173,0)</f>
        <v>432.95761600000003</v>
      </c>
      <c r="BH173" s="462">
        <f>IF(AND(AT173&lt;&gt;0,AM173="Y"),UI*W173,0)</f>
        <v>294.24304000000001</v>
      </c>
      <c r="BI173" s="462">
        <f>IF(AND(AT173&lt;&gt;0,N173&lt;&gt;"NR"),DHR*W173,0)</f>
        <v>183.75177599999998</v>
      </c>
      <c r="BJ173" s="462">
        <f>IF(AT173&lt;&gt;0,WC*W173,0)</f>
        <v>918.75887999999998</v>
      </c>
      <c r="BK173" s="462">
        <f>IF(OR(AND(AT173&lt;&gt;0,AJ173&lt;&gt;"PF",AN173&lt;&gt;"NE",AG173&lt;&gt;"A"),AND(AL173="E",OR(AT173=1,AT173=3))),Sick*W173,0)</f>
        <v>0</v>
      </c>
      <c r="BL173" s="462">
        <f t="shared" si="39"/>
        <v>13593.427951999996</v>
      </c>
      <c r="BM173" s="462">
        <f t="shared" si="40"/>
        <v>0</v>
      </c>
      <c r="BN173" s="462">
        <f>IF(AND(AT173=1,AK173="E",AU173&gt;=0.75,AW173=1),HealthBY,IF(AND(AT173=1,AK173="E",AU173&gt;=0.75),HealthBY*P173,IF(AND(AT173=1,AK173="E",AU173&gt;=0.5,AW173=1),PTHealthBY,IF(AND(AT173=1,AK173="E",AU173&gt;=0.5),PTHealthBY*P173,0))))</f>
        <v>11650</v>
      </c>
      <c r="BO173" s="462">
        <f>IF(AND(AT173=3,AK173="E",AV173&gt;=0.75,AW173=1),HealthBY,IF(AND(AT173=3,AK173="E",AV173&gt;=0.75),HealthBY*P173,IF(AND(AT173=3,AK173="E",AV173&gt;=0.5,AW173=1),PTHealthBY,IF(AND(AT173=3,AK173="E",AV173&gt;=0.5),PTHealthBY*P173,0))))</f>
        <v>0</v>
      </c>
      <c r="BP173" s="462">
        <f>IF(AND(AT173&lt;&gt;0,(AX173+BA173)&gt;=MAXSSDIBY),SSDIBY*MAXSSDIBY*P173,IF(AT173&lt;&gt;0,SSDIBY*W173,0))</f>
        <v>3723.0751999999998</v>
      </c>
      <c r="BQ173" s="462">
        <f>IF(AT173&lt;&gt;0,SSHIBY*W173,0)</f>
        <v>870.7192</v>
      </c>
      <c r="BR173" s="462">
        <f>IF(AND(AT173&lt;&gt;0,AN173&lt;&gt;"NE"),VLOOKUP(AN173,Retirement_Rates,4,FALSE)*W173,0)</f>
        <v>7169.9222399999999</v>
      </c>
      <c r="BS173" s="462">
        <f>IF(AND(AT173&lt;&gt;0,AJ173&lt;&gt;"PF"),LifeBY*W173,0)</f>
        <v>432.95761600000003</v>
      </c>
      <c r="BT173" s="462">
        <f>IF(AND(AT173&lt;&gt;0,AM173="Y"),UIBY*W173,0)</f>
        <v>0</v>
      </c>
      <c r="BU173" s="462">
        <f>IF(AND(AT173&lt;&gt;0,N173&lt;&gt;"NR"),DHRBY*W173,0)</f>
        <v>183.75177599999998</v>
      </c>
      <c r="BV173" s="462">
        <f>IF(AT173&lt;&gt;0,WCBY*W173,0)</f>
        <v>1056.8729600000001</v>
      </c>
      <c r="BW173" s="462">
        <f>IF(OR(AND(AT173&lt;&gt;0,AJ173&lt;&gt;"PF",AN173&lt;&gt;"NE",AG173&lt;&gt;"A"),AND(AL173="E",OR(AT173=1,AT173=3))),SickBY*W173,0)</f>
        <v>0</v>
      </c>
      <c r="BX173" s="462">
        <f t="shared" si="41"/>
        <v>13437.298991999998</v>
      </c>
      <c r="BY173" s="462">
        <f t="shared" si="42"/>
        <v>0</v>
      </c>
      <c r="BZ173" s="462">
        <f t="shared" si="43"/>
        <v>0</v>
      </c>
      <c r="CA173" s="462">
        <f t="shared" si="44"/>
        <v>0</v>
      </c>
      <c r="CB173" s="462">
        <f t="shared" si="45"/>
        <v>0</v>
      </c>
      <c r="CC173" s="462">
        <f>IF(AT173&lt;&gt;0,SSHICHG*Y173,0)</f>
        <v>0</v>
      </c>
      <c r="CD173" s="462">
        <f>IF(AND(AT173&lt;&gt;0,AN173&lt;&gt;"NE"),VLOOKUP(AN173,Retirement_Rates,5,FALSE)*Y173,0)</f>
        <v>0</v>
      </c>
      <c r="CE173" s="462">
        <f>IF(AND(AT173&lt;&gt;0,AJ173&lt;&gt;"PF"),LifeCHG*Y173,0)</f>
        <v>0</v>
      </c>
      <c r="CF173" s="462">
        <f>IF(AND(AT173&lt;&gt;0,AM173="Y"),UICHG*Y173,0)</f>
        <v>-294.24304000000001</v>
      </c>
      <c r="CG173" s="462">
        <f>IF(AND(AT173&lt;&gt;0,N173&lt;&gt;"NR"),DHRCHG*Y173,0)</f>
        <v>0</v>
      </c>
      <c r="CH173" s="462">
        <f>IF(AT173&lt;&gt;0,WCCHG*Y173,0)</f>
        <v>138.11408000000009</v>
      </c>
      <c r="CI173" s="462">
        <f>IF(OR(AND(AT173&lt;&gt;0,AJ173&lt;&gt;"PF",AN173&lt;&gt;"NE",AG173&lt;&gt;"A"),AND(AL173="E",OR(AT173=1,AT173=3))),SickCHG*Y173,0)</f>
        <v>0</v>
      </c>
      <c r="CJ173" s="462">
        <f t="shared" si="46"/>
        <v>-156.12895999999992</v>
      </c>
      <c r="CK173" s="462" t="str">
        <f t="shared" si="47"/>
        <v/>
      </c>
      <c r="CL173" s="462" t="str">
        <f t="shared" si="48"/>
        <v/>
      </c>
      <c r="CM173" s="462" t="str">
        <f t="shared" si="49"/>
        <v/>
      </c>
      <c r="CN173" s="462" t="str">
        <f t="shared" si="50"/>
        <v>0332-05</v>
      </c>
    </row>
    <row r="174" spans="1:92" ht="15" thickBot="1" x14ac:dyDescent="0.35">
      <c r="A174" s="376" t="s">
        <v>161</v>
      </c>
      <c r="B174" s="376" t="s">
        <v>162</v>
      </c>
      <c r="C174" s="376" t="s">
        <v>683</v>
      </c>
      <c r="D174" s="376" t="s">
        <v>250</v>
      </c>
      <c r="E174" s="376" t="s">
        <v>535</v>
      </c>
      <c r="F174" s="382" t="s">
        <v>659</v>
      </c>
      <c r="G174" s="376" t="s">
        <v>651</v>
      </c>
      <c r="H174" s="378"/>
      <c r="I174" s="378"/>
      <c r="J174" s="376" t="s">
        <v>168</v>
      </c>
      <c r="K174" s="376" t="s">
        <v>407</v>
      </c>
      <c r="L174" s="376" t="s">
        <v>247</v>
      </c>
      <c r="M174" s="376" t="s">
        <v>170</v>
      </c>
      <c r="N174" s="376" t="s">
        <v>202</v>
      </c>
      <c r="O174" s="379">
        <v>1</v>
      </c>
      <c r="P174" s="460">
        <v>1</v>
      </c>
      <c r="Q174" s="460">
        <v>1</v>
      </c>
      <c r="R174" s="380">
        <v>80</v>
      </c>
      <c r="S174" s="460">
        <v>1</v>
      </c>
      <c r="T174" s="380">
        <v>58132.81</v>
      </c>
      <c r="U174" s="380">
        <v>0</v>
      </c>
      <c r="V174" s="380">
        <v>23701.18</v>
      </c>
      <c r="W174" s="380">
        <v>60340.800000000003</v>
      </c>
      <c r="X174" s="380">
        <v>25309.31</v>
      </c>
      <c r="Y174" s="380">
        <v>60340.800000000003</v>
      </c>
      <c r="Z174" s="380">
        <v>25152.43</v>
      </c>
      <c r="AA174" s="376" t="s">
        <v>684</v>
      </c>
      <c r="AB174" s="376" t="s">
        <v>685</v>
      </c>
      <c r="AC174" s="376" t="s">
        <v>686</v>
      </c>
      <c r="AD174" s="376" t="s">
        <v>224</v>
      </c>
      <c r="AE174" s="376" t="s">
        <v>407</v>
      </c>
      <c r="AF174" s="376" t="s">
        <v>299</v>
      </c>
      <c r="AG174" s="376" t="s">
        <v>177</v>
      </c>
      <c r="AH174" s="381">
        <v>29.01</v>
      </c>
      <c r="AI174" s="379">
        <v>8778</v>
      </c>
      <c r="AJ174" s="376" t="s">
        <v>178</v>
      </c>
      <c r="AK174" s="376" t="s">
        <v>179</v>
      </c>
      <c r="AL174" s="376" t="s">
        <v>180</v>
      </c>
      <c r="AM174" s="376" t="s">
        <v>181</v>
      </c>
      <c r="AN174" s="376" t="s">
        <v>68</v>
      </c>
      <c r="AO174" s="379">
        <v>80</v>
      </c>
      <c r="AP174" s="460">
        <v>1</v>
      </c>
      <c r="AQ174" s="460">
        <v>1</v>
      </c>
      <c r="AR174" s="458" t="s">
        <v>182</v>
      </c>
      <c r="AS174" s="462">
        <f t="shared" si="34"/>
        <v>1</v>
      </c>
      <c r="AT174">
        <f t="shared" si="35"/>
        <v>1</v>
      </c>
      <c r="AU174" s="462">
        <f>IF(AT174=0,"",IF(AND(AT174=1,M174="F",SUMIF(C2:C698,C174,AS2:AS698)&lt;=1),SUMIF(C2:C698,C174,AS2:AS698),IF(AND(AT174=1,M174="F",SUMIF(C2:C698,C174,AS2:AS698)&gt;1),1,"")))</f>
        <v>1</v>
      </c>
      <c r="AV174" s="462" t="str">
        <f>IF(AT174=0,"",IF(AND(AT174=3,M174="F",SUMIF(C2:C698,C174,AS2:AS698)&lt;=1),SUMIF(C2:C698,C174,AS2:AS698),IF(AND(AT174=3,M174="F",SUMIF(C2:C698,C174,AS2:AS698)&gt;1),1,"")))</f>
        <v/>
      </c>
      <c r="AW174" s="462">
        <f>SUMIF(C2:C698,C174,O2:O698)</f>
        <v>1</v>
      </c>
      <c r="AX174" s="462">
        <f>IF(AND(M174="F",AS174&lt;&gt;0),SUMIF(C2:C698,C174,W2:W698),0)</f>
        <v>60340.800000000003</v>
      </c>
      <c r="AY174" s="462">
        <f t="shared" si="36"/>
        <v>60340.800000000003</v>
      </c>
      <c r="AZ174" s="462" t="str">
        <f t="shared" si="37"/>
        <v/>
      </c>
      <c r="BA174" s="462">
        <f t="shared" si="38"/>
        <v>0</v>
      </c>
      <c r="BB174" s="462">
        <f>IF(AND(AT174=1,AK174="E",AU174&gt;=0.75,AW174=1),Health,IF(AND(AT174=1,AK174="E",AU174&gt;=0.75),Health*P174,IF(AND(AT174=1,AK174="E",AU174&gt;=0.5,AW174=1),PTHealth,IF(AND(AT174=1,AK174="E",AU174&gt;=0.5),PTHealth*P174,0))))</f>
        <v>11650</v>
      </c>
      <c r="BC174" s="462">
        <f>IF(AND(AT174=3,AK174="E",AV174&gt;=0.75,AW174=1),Health,IF(AND(AT174=3,AK174="E",AV174&gt;=0.75),Health*P174,IF(AND(AT174=3,AK174="E",AV174&gt;=0.5,AW174=1),PTHealth,IF(AND(AT174=3,AK174="E",AV174&gt;=0.5),PTHealth*P174,0))))</f>
        <v>0</v>
      </c>
      <c r="BD174" s="462">
        <f>IF(AND(AT174&lt;&gt;0,AX174&gt;=MAXSSDI),SSDI*MAXSSDI*P174,IF(AT174&lt;&gt;0,SSDI*W174,0))</f>
        <v>3741.1296000000002</v>
      </c>
      <c r="BE174" s="462">
        <f>IF(AT174&lt;&gt;0,SSHI*W174,0)</f>
        <v>874.94160000000011</v>
      </c>
      <c r="BF174" s="462">
        <f>IF(AND(AT174&lt;&gt;0,AN174&lt;&gt;"NE"),VLOOKUP(AN174,Retirement_Rates,3,FALSE)*W174,0)</f>
        <v>7204.6915200000003</v>
      </c>
      <c r="BG174" s="462">
        <f>IF(AND(AT174&lt;&gt;0,AJ174&lt;&gt;"PF"),Life*W174,0)</f>
        <v>435.05716800000005</v>
      </c>
      <c r="BH174" s="462">
        <f>IF(AND(AT174&lt;&gt;0,AM174="Y"),UI*W174,0)</f>
        <v>295.66991999999999</v>
      </c>
      <c r="BI174" s="462">
        <f>IF(AND(AT174&lt;&gt;0,N174&lt;&gt;"NR"),DHR*W174,0)</f>
        <v>184.64284799999999</v>
      </c>
      <c r="BJ174" s="462">
        <f>IF(AT174&lt;&gt;0,WC*W174,0)</f>
        <v>923.21424000000002</v>
      </c>
      <c r="BK174" s="462">
        <f>IF(OR(AND(AT174&lt;&gt;0,AJ174&lt;&gt;"PF",AN174&lt;&gt;"NE",AG174&lt;&gt;"A"),AND(AL174="E",OR(AT174=1,AT174=3))),Sick*W174,0)</f>
        <v>0</v>
      </c>
      <c r="BL174" s="462">
        <f t="shared" si="39"/>
        <v>13659.346895999999</v>
      </c>
      <c r="BM174" s="462">
        <f t="shared" si="40"/>
        <v>0</v>
      </c>
      <c r="BN174" s="462">
        <f>IF(AND(AT174=1,AK174="E",AU174&gt;=0.75,AW174=1),HealthBY,IF(AND(AT174=1,AK174="E",AU174&gt;=0.75),HealthBY*P174,IF(AND(AT174=1,AK174="E",AU174&gt;=0.5,AW174=1),PTHealthBY,IF(AND(AT174=1,AK174="E",AU174&gt;=0.5),PTHealthBY*P174,0))))</f>
        <v>11650</v>
      </c>
      <c r="BO174" s="462">
        <f>IF(AND(AT174=3,AK174="E",AV174&gt;=0.75,AW174=1),HealthBY,IF(AND(AT174=3,AK174="E",AV174&gt;=0.75),HealthBY*P174,IF(AND(AT174=3,AK174="E",AV174&gt;=0.5,AW174=1),PTHealthBY,IF(AND(AT174=3,AK174="E",AV174&gt;=0.5),PTHealthBY*P174,0))))</f>
        <v>0</v>
      </c>
      <c r="BP174" s="462">
        <f>IF(AND(AT174&lt;&gt;0,(AX174+BA174)&gt;=MAXSSDIBY),SSDIBY*MAXSSDIBY*P174,IF(AT174&lt;&gt;0,SSDIBY*W174,0))</f>
        <v>3741.1296000000002</v>
      </c>
      <c r="BQ174" s="462">
        <f>IF(AT174&lt;&gt;0,SSHIBY*W174,0)</f>
        <v>874.94160000000011</v>
      </c>
      <c r="BR174" s="462">
        <f>IF(AND(AT174&lt;&gt;0,AN174&lt;&gt;"NE"),VLOOKUP(AN174,Retirement_Rates,4,FALSE)*W174,0)</f>
        <v>7204.6915200000003</v>
      </c>
      <c r="BS174" s="462">
        <f>IF(AND(AT174&lt;&gt;0,AJ174&lt;&gt;"PF"),LifeBY*W174,0)</f>
        <v>435.05716800000005</v>
      </c>
      <c r="BT174" s="462">
        <f>IF(AND(AT174&lt;&gt;0,AM174="Y"),UIBY*W174,0)</f>
        <v>0</v>
      </c>
      <c r="BU174" s="462">
        <f>IF(AND(AT174&lt;&gt;0,N174&lt;&gt;"NR"),DHRBY*W174,0)</f>
        <v>184.64284799999999</v>
      </c>
      <c r="BV174" s="462">
        <f>IF(AT174&lt;&gt;0,WCBY*W174,0)</f>
        <v>1061.9980800000001</v>
      </c>
      <c r="BW174" s="462">
        <f>IF(OR(AND(AT174&lt;&gt;0,AJ174&lt;&gt;"PF",AN174&lt;&gt;"NE",AG174&lt;&gt;"A"),AND(AL174="E",OR(AT174=1,AT174=3))),SickBY*W174,0)</f>
        <v>0</v>
      </c>
      <c r="BX174" s="462">
        <f t="shared" si="41"/>
        <v>13502.460815999999</v>
      </c>
      <c r="BY174" s="462">
        <f t="shared" si="42"/>
        <v>0</v>
      </c>
      <c r="BZ174" s="462">
        <f t="shared" si="43"/>
        <v>0</v>
      </c>
      <c r="CA174" s="462">
        <f t="shared" si="44"/>
        <v>0</v>
      </c>
      <c r="CB174" s="462">
        <f t="shared" si="45"/>
        <v>0</v>
      </c>
      <c r="CC174" s="462">
        <f>IF(AT174&lt;&gt;0,SSHICHG*Y174,0)</f>
        <v>0</v>
      </c>
      <c r="CD174" s="462">
        <f>IF(AND(AT174&lt;&gt;0,AN174&lt;&gt;"NE"),VLOOKUP(AN174,Retirement_Rates,5,FALSE)*Y174,0)</f>
        <v>0</v>
      </c>
      <c r="CE174" s="462">
        <f>IF(AND(AT174&lt;&gt;0,AJ174&lt;&gt;"PF"),LifeCHG*Y174,0)</f>
        <v>0</v>
      </c>
      <c r="CF174" s="462">
        <f>IF(AND(AT174&lt;&gt;0,AM174="Y"),UICHG*Y174,0)</f>
        <v>-295.66991999999999</v>
      </c>
      <c r="CG174" s="462">
        <f>IF(AND(AT174&lt;&gt;0,N174&lt;&gt;"NR"),DHRCHG*Y174,0)</f>
        <v>0</v>
      </c>
      <c r="CH174" s="462">
        <f>IF(AT174&lt;&gt;0,WCCHG*Y174,0)</f>
        <v>138.78384000000011</v>
      </c>
      <c r="CI174" s="462">
        <f>IF(OR(AND(AT174&lt;&gt;0,AJ174&lt;&gt;"PF",AN174&lt;&gt;"NE",AG174&lt;&gt;"A"),AND(AL174="E",OR(AT174=1,AT174=3))),SickCHG*Y174,0)</f>
        <v>0</v>
      </c>
      <c r="CJ174" s="462">
        <f t="shared" si="46"/>
        <v>-156.88607999999988</v>
      </c>
      <c r="CK174" s="462" t="str">
        <f t="shared" si="47"/>
        <v/>
      </c>
      <c r="CL174" s="462" t="str">
        <f t="shared" si="48"/>
        <v/>
      </c>
      <c r="CM174" s="462" t="str">
        <f t="shared" si="49"/>
        <v/>
      </c>
      <c r="CN174" s="462" t="str">
        <f t="shared" si="50"/>
        <v>0332-05</v>
      </c>
    </row>
    <row r="175" spans="1:92" ht="15" thickBot="1" x14ac:dyDescent="0.35">
      <c r="A175" s="376" t="s">
        <v>161</v>
      </c>
      <c r="B175" s="376" t="s">
        <v>162</v>
      </c>
      <c r="C175" s="376" t="s">
        <v>687</v>
      </c>
      <c r="D175" s="376" t="s">
        <v>362</v>
      </c>
      <c r="E175" s="376" t="s">
        <v>535</v>
      </c>
      <c r="F175" s="382" t="s">
        <v>659</v>
      </c>
      <c r="G175" s="376" t="s">
        <v>651</v>
      </c>
      <c r="H175" s="378"/>
      <c r="I175" s="378"/>
      <c r="J175" s="376" t="s">
        <v>168</v>
      </c>
      <c r="K175" s="376" t="s">
        <v>363</v>
      </c>
      <c r="L175" s="376" t="s">
        <v>200</v>
      </c>
      <c r="M175" s="376" t="s">
        <v>170</v>
      </c>
      <c r="N175" s="376" t="s">
        <v>202</v>
      </c>
      <c r="O175" s="379">
        <v>1</v>
      </c>
      <c r="P175" s="460">
        <v>1</v>
      </c>
      <c r="Q175" s="460">
        <v>1</v>
      </c>
      <c r="R175" s="380">
        <v>80</v>
      </c>
      <c r="S175" s="460">
        <v>1</v>
      </c>
      <c r="T175" s="380">
        <v>19085.169999999998</v>
      </c>
      <c r="U175" s="380">
        <v>0</v>
      </c>
      <c r="V175" s="380">
        <v>8747.7800000000007</v>
      </c>
      <c r="W175" s="380">
        <v>46800</v>
      </c>
      <c r="X175" s="380">
        <v>22244.1</v>
      </c>
      <c r="Y175" s="380">
        <v>46800</v>
      </c>
      <c r="Z175" s="380">
        <v>22122.42</v>
      </c>
      <c r="AA175" s="376" t="s">
        <v>688</v>
      </c>
      <c r="AB175" s="376" t="s">
        <v>689</v>
      </c>
      <c r="AC175" s="376" t="s">
        <v>690</v>
      </c>
      <c r="AD175" s="376" t="s">
        <v>691</v>
      </c>
      <c r="AE175" s="376" t="s">
        <v>363</v>
      </c>
      <c r="AF175" s="376" t="s">
        <v>210</v>
      </c>
      <c r="AG175" s="376" t="s">
        <v>177</v>
      </c>
      <c r="AH175" s="381">
        <v>22.5</v>
      </c>
      <c r="AI175" s="379">
        <v>727</v>
      </c>
      <c r="AJ175" s="376" t="s">
        <v>178</v>
      </c>
      <c r="AK175" s="376" t="s">
        <v>179</v>
      </c>
      <c r="AL175" s="376" t="s">
        <v>180</v>
      </c>
      <c r="AM175" s="376" t="s">
        <v>181</v>
      </c>
      <c r="AN175" s="376" t="s">
        <v>68</v>
      </c>
      <c r="AO175" s="379">
        <v>80</v>
      </c>
      <c r="AP175" s="460">
        <v>1</v>
      </c>
      <c r="AQ175" s="460">
        <v>1</v>
      </c>
      <c r="AR175" s="458" t="s">
        <v>182</v>
      </c>
      <c r="AS175" s="462">
        <f t="shared" si="34"/>
        <v>1</v>
      </c>
      <c r="AT175">
        <f t="shared" si="35"/>
        <v>1</v>
      </c>
      <c r="AU175" s="462">
        <f>IF(AT175=0,"",IF(AND(AT175=1,M175="F",SUMIF(C2:C698,C175,AS2:AS698)&lt;=1),SUMIF(C2:C698,C175,AS2:AS698),IF(AND(AT175=1,M175="F",SUMIF(C2:C698,C175,AS2:AS698)&gt;1),1,"")))</f>
        <v>1</v>
      </c>
      <c r="AV175" s="462" t="str">
        <f>IF(AT175=0,"",IF(AND(AT175=3,M175="F",SUMIF(C2:C698,C175,AS2:AS698)&lt;=1),SUMIF(C2:C698,C175,AS2:AS698),IF(AND(AT175=3,M175="F",SUMIF(C2:C698,C175,AS2:AS698)&gt;1),1,"")))</f>
        <v/>
      </c>
      <c r="AW175" s="462">
        <f>SUMIF(C2:C698,C175,O2:O698)</f>
        <v>2</v>
      </c>
      <c r="AX175" s="462">
        <f>IF(AND(M175="F",AS175&lt;&gt;0),SUMIF(C2:C698,C175,W2:W698),0)</f>
        <v>46800</v>
      </c>
      <c r="AY175" s="462">
        <f t="shared" si="36"/>
        <v>46800</v>
      </c>
      <c r="AZ175" s="462" t="str">
        <f t="shared" si="37"/>
        <v/>
      </c>
      <c r="BA175" s="462">
        <f t="shared" si="38"/>
        <v>0</v>
      </c>
      <c r="BB175" s="462">
        <f>IF(AND(AT175=1,AK175="E",AU175&gt;=0.75,AW175=1),Health,IF(AND(AT175=1,AK175="E",AU175&gt;=0.75),Health*P175,IF(AND(AT175=1,AK175="E",AU175&gt;=0.5,AW175=1),PTHealth,IF(AND(AT175=1,AK175="E",AU175&gt;=0.5),PTHealth*P175,0))))</f>
        <v>11650</v>
      </c>
      <c r="BC175" s="462">
        <f>IF(AND(AT175=3,AK175="E",AV175&gt;=0.75,AW175=1),Health,IF(AND(AT175=3,AK175="E",AV175&gt;=0.75),Health*P175,IF(AND(AT175=3,AK175="E",AV175&gt;=0.5,AW175=1),PTHealth,IF(AND(AT175=3,AK175="E",AV175&gt;=0.5),PTHealth*P175,0))))</f>
        <v>0</v>
      </c>
      <c r="BD175" s="462">
        <f>IF(AND(AT175&lt;&gt;0,AX175&gt;=MAXSSDI),SSDI*MAXSSDI*P175,IF(AT175&lt;&gt;0,SSDI*W175,0))</f>
        <v>2901.6</v>
      </c>
      <c r="BE175" s="462">
        <f>IF(AT175&lt;&gt;0,SSHI*W175,0)</f>
        <v>678.6</v>
      </c>
      <c r="BF175" s="462">
        <f>IF(AND(AT175&lt;&gt;0,AN175&lt;&gt;"NE"),VLOOKUP(AN175,Retirement_Rates,3,FALSE)*W175,0)</f>
        <v>5587.92</v>
      </c>
      <c r="BG175" s="462">
        <f>IF(AND(AT175&lt;&gt;0,AJ175&lt;&gt;"PF"),Life*W175,0)</f>
        <v>337.428</v>
      </c>
      <c r="BH175" s="462">
        <f>IF(AND(AT175&lt;&gt;0,AM175="Y"),UI*W175,0)</f>
        <v>229.32</v>
      </c>
      <c r="BI175" s="462">
        <f>IF(AND(AT175&lt;&gt;0,N175&lt;&gt;"NR"),DHR*W175,0)</f>
        <v>143.208</v>
      </c>
      <c r="BJ175" s="462">
        <f>IF(AT175&lt;&gt;0,WC*W175,0)</f>
        <v>716.04</v>
      </c>
      <c r="BK175" s="462">
        <f>IF(OR(AND(AT175&lt;&gt;0,AJ175&lt;&gt;"PF",AN175&lt;&gt;"NE",AG175&lt;&gt;"A"),AND(AL175="E",OR(AT175=1,AT175=3))),Sick*W175,0)</f>
        <v>0</v>
      </c>
      <c r="BL175" s="462">
        <f t="shared" si="39"/>
        <v>10594.115999999998</v>
      </c>
      <c r="BM175" s="462">
        <f t="shared" si="40"/>
        <v>0</v>
      </c>
      <c r="BN175" s="462">
        <f>IF(AND(AT175=1,AK175="E",AU175&gt;=0.75,AW175=1),HealthBY,IF(AND(AT175=1,AK175="E",AU175&gt;=0.75),HealthBY*P175,IF(AND(AT175=1,AK175="E",AU175&gt;=0.5,AW175=1),PTHealthBY,IF(AND(AT175=1,AK175="E",AU175&gt;=0.5),PTHealthBY*P175,0))))</f>
        <v>11650</v>
      </c>
      <c r="BO175" s="462">
        <f>IF(AND(AT175=3,AK175="E",AV175&gt;=0.75,AW175=1),HealthBY,IF(AND(AT175=3,AK175="E",AV175&gt;=0.75),HealthBY*P175,IF(AND(AT175=3,AK175="E",AV175&gt;=0.5,AW175=1),PTHealthBY,IF(AND(AT175=3,AK175="E",AV175&gt;=0.5),PTHealthBY*P175,0))))</f>
        <v>0</v>
      </c>
      <c r="BP175" s="462">
        <f>IF(AND(AT175&lt;&gt;0,(AX175+BA175)&gt;=MAXSSDIBY),SSDIBY*MAXSSDIBY*P175,IF(AT175&lt;&gt;0,SSDIBY*W175,0))</f>
        <v>2901.6</v>
      </c>
      <c r="BQ175" s="462">
        <f>IF(AT175&lt;&gt;0,SSHIBY*W175,0)</f>
        <v>678.6</v>
      </c>
      <c r="BR175" s="462">
        <f>IF(AND(AT175&lt;&gt;0,AN175&lt;&gt;"NE"),VLOOKUP(AN175,Retirement_Rates,4,FALSE)*W175,0)</f>
        <v>5587.92</v>
      </c>
      <c r="BS175" s="462">
        <f>IF(AND(AT175&lt;&gt;0,AJ175&lt;&gt;"PF"),LifeBY*W175,0)</f>
        <v>337.428</v>
      </c>
      <c r="BT175" s="462">
        <f>IF(AND(AT175&lt;&gt;0,AM175="Y"),UIBY*W175,0)</f>
        <v>0</v>
      </c>
      <c r="BU175" s="462">
        <f>IF(AND(AT175&lt;&gt;0,N175&lt;&gt;"NR"),DHRBY*W175,0)</f>
        <v>143.208</v>
      </c>
      <c r="BV175" s="462">
        <f>IF(AT175&lt;&gt;0,WCBY*W175,0)</f>
        <v>823.68000000000006</v>
      </c>
      <c r="BW175" s="462">
        <f>IF(OR(AND(AT175&lt;&gt;0,AJ175&lt;&gt;"PF",AN175&lt;&gt;"NE",AG175&lt;&gt;"A"),AND(AL175="E",OR(AT175=1,AT175=3))),SickBY*W175,0)</f>
        <v>0</v>
      </c>
      <c r="BX175" s="462">
        <f t="shared" si="41"/>
        <v>10472.436</v>
      </c>
      <c r="BY175" s="462">
        <f t="shared" si="42"/>
        <v>0</v>
      </c>
      <c r="BZ175" s="462">
        <f t="shared" si="43"/>
        <v>0</v>
      </c>
      <c r="CA175" s="462">
        <f t="shared" si="44"/>
        <v>0</v>
      </c>
      <c r="CB175" s="462">
        <f t="shared" si="45"/>
        <v>0</v>
      </c>
      <c r="CC175" s="462">
        <f>IF(AT175&lt;&gt;0,SSHICHG*Y175,0)</f>
        <v>0</v>
      </c>
      <c r="CD175" s="462">
        <f>IF(AND(AT175&lt;&gt;0,AN175&lt;&gt;"NE"),VLOOKUP(AN175,Retirement_Rates,5,FALSE)*Y175,0)</f>
        <v>0</v>
      </c>
      <c r="CE175" s="462">
        <f>IF(AND(AT175&lt;&gt;0,AJ175&lt;&gt;"PF"),LifeCHG*Y175,0)</f>
        <v>0</v>
      </c>
      <c r="CF175" s="462">
        <f>IF(AND(AT175&lt;&gt;0,AM175="Y"),UICHG*Y175,0)</f>
        <v>-229.32</v>
      </c>
      <c r="CG175" s="462">
        <f>IF(AND(AT175&lt;&gt;0,N175&lt;&gt;"NR"),DHRCHG*Y175,0)</f>
        <v>0</v>
      </c>
      <c r="CH175" s="462">
        <f>IF(AT175&lt;&gt;0,WCCHG*Y175,0)</f>
        <v>107.64000000000009</v>
      </c>
      <c r="CI175" s="462">
        <f>IF(OR(AND(AT175&lt;&gt;0,AJ175&lt;&gt;"PF",AN175&lt;&gt;"NE",AG175&lt;&gt;"A"),AND(AL175="E",OR(AT175=1,AT175=3))),SickCHG*Y175,0)</f>
        <v>0</v>
      </c>
      <c r="CJ175" s="462">
        <f t="shared" si="46"/>
        <v>-121.67999999999991</v>
      </c>
      <c r="CK175" s="462" t="str">
        <f t="shared" si="47"/>
        <v/>
      </c>
      <c r="CL175" s="462" t="str">
        <f t="shared" si="48"/>
        <v/>
      </c>
      <c r="CM175" s="462" t="str">
        <f t="shared" si="49"/>
        <v/>
      </c>
      <c r="CN175" s="462" t="str">
        <f t="shared" si="50"/>
        <v>0332-05</v>
      </c>
    </row>
    <row r="176" spans="1:92" ht="15" thickBot="1" x14ac:dyDescent="0.35">
      <c r="A176" s="376" t="s">
        <v>161</v>
      </c>
      <c r="B176" s="376" t="s">
        <v>162</v>
      </c>
      <c r="C176" s="376" t="s">
        <v>653</v>
      </c>
      <c r="D176" s="376" t="s">
        <v>654</v>
      </c>
      <c r="E176" s="376" t="s">
        <v>535</v>
      </c>
      <c r="F176" s="382" t="s">
        <v>659</v>
      </c>
      <c r="G176" s="376" t="s">
        <v>651</v>
      </c>
      <c r="H176" s="378"/>
      <c r="I176" s="378"/>
      <c r="J176" s="376" t="s">
        <v>168</v>
      </c>
      <c r="K176" s="376" t="s">
        <v>655</v>
      </c>
      <c r="L176" s="376" t="s">
        <v>166</v>
      </c>
      <c r="M176" s="376" t="s">
        <v>170</v>
      </c>
      <c r="N176" s="376" t="s">
        <v>171</v>
      </c>
      <c r="O176" s="379">
        <v>1</v>
      </c>
      <c r="P176" s="460">
        <v>0</v>
      </c>
      <c r="Q176" s="460">
        <v>0</v>
      </c>
      <c r="R176" s="380">
        <v>80</v>
      </c>
      <c r="S176" s="460">
        <v>0</v>
      </c>
      <c r="T176" s="380">
        <v>678.28</v>
      </c>
      <c r="U176" s="380">
        <v>0</v>
      </c>
      <c r="V176" s="380">
        <v>183.72</v>
      </c>
      <c r="W176" s="380">
        <v>0</v>
      </c>
      <c r="X176" s="380">
        <v>0</v>
      </c>
      <c r="Y176" s="380">
        <v>0</v>
      </c>
      <c r="Z176" s="380">
        <v>0</v>
      </c>
      <c r="AA176" s="376" t="s">
        <v>656</v>
      </c>
      <c r="AB176" s="376" t="s">
        <v>657</v>
      </c>
      <c r="AC176" s="376" t="s">
        <v>658</v>
      </c>
      <c r="AD176" s="376" t="s">
        <v>220</v>
      </c>
      <c r="AE176" s="376" t="s">
        <v>655</v>
      </c>
      <c r="AF176" s="376" t="s">
        <v>176</v>
      </c>
      <c r="AG176" s="376" t="s">
        <v>177</v>
      </c>
      <c r="AH176" s="381">
        <v>48.37</v>
      </c>
      <c r="AI176" s="381">
        <v>56547.6</v>
      </c>
      <c r="AJ176" s="376" t="s">
        <v>178</v>
      </c>
      <c r="AK176" s="376" t="s">
        <v>179</v>
      </c>
      <c r="AL176" s="376" t="s">
        <v>180</v>
      </c>
      <c r="AM176" s="376" t="s">
        <v>181</v>
      </c>
      <c r="AN176" s="376" t="s">
        <v>68</v>
      </c>
      <c r="AO176" s="379">
        <v>80</v>
      </c>
      <c r="AP176" s="460">
        <v>1</v>
      </c>
      <c r="AQ176" s="460">
        <v>0</v>
      </c>
      <c r="AR176" s="458" t="s">
        <v>182</v>
      </c>
      <c r="AS176" s="462">
        <f t="shared" si="34"/>
        <v>0</v>
      </c>
      <c r="AT176">
        <f t="shared" si="35"/>
        <v>0</v>
      </c>
      <c r="AU176" s="462" t="str">
        <f>IF(AT176=0,"",IF(AND(AT176=1,M176="F",SUMIF(C2:C698,C176,AS2:AS698)&lt;=1),SUMIF(C2:C698,C176,AS2:AS698),IF(AND(AT176=1,M176="F",SUMIF(C2:C698,C176,AS2:AS698)&gt;1),1,"")))</f>
        <v/>
      </c>
      <c r="AV176" s="462" t="str">
        <f>IF(AT176=0,"",IF(AND(AT176=3,M176="F",SUMIF(C2:C698,C176,AS2:AS698)&lt;=1),SUMIF(C2:C698,C176,AS2:AS698),IF(AND(AT176=3,M176="F",SUMIF(C2:C698,C176,AS2:AS698)&gt;1),1,"")))</f>
        <v/>
      </c>
      <c r="AW176" s="462">
        <f>SUMIF(C2:C698,C176,O2:O698)</f>
        <v>2</v>
      </c>
      <c r="AX176" s="462">
        <f>IF(AND(M176="F",AS176&lt;&gt;0),SUMIF(C2:C698,C176,W2:W698),0)</f>
        <v>0</v>
      </c>
      <c r="AY176" s="462" t="str">
        <f t="shared" si="36"/>
        <v/>
      </c>
      <c r="AZ176" s="462" t="str">
        <f t="shared" si="37"/>
        <v/>
      </c>
      <c r="BA176" s="462">
        <f t="shared" si="38"/>
        <v>0</v>
      </c>
      <c r="BB176" s="462">
        <f>IF(AND(AT176=1,AK176="E",AU176&gt;=0.75,AW176=1),Health,IF(AND(AT176=1,AK176="E",AU176&gt;=0.75),Health*P176,IF(AND(AT176=1,AK176="E",AU176&gt;=0.5,AW176=1),PTHealth,IF(AND(AT176=1,AK176="E",AU176&gt;=0.5),PTHealth*P176,0))))</f>
        <v>0</v>
      </c>
      <c r="BC176" s="462">
        <f>IF(AND(AT176=3,AK176="E",AV176&gt;=0.75,AW176=1),Health,IF(AND(AT176=3,AK176="E",AV176&gt;=0.75),Health*P176,IF(AND(AT176=3,AK176="E",AV176&gt;=0.5,AW176=1),PTHealth,IF(AND(AT176=3,AK176="E",AV176&gt;=0.5),PTHealth*P176,0))))</f>
        <v>0</v>
      </c>
      <c r="BD176" s="462">
        <f>IF(AND(AT176&lt;&gt;0,AX176&gt;=MAXSSDI),SSDI*MAXSSDI*P176,IF(AT176&lt;&gt;0,SSDI*W176,0))</f>
        <v>0</v>
      </c>
      <c r="BE176" s="462">
        <f>IF(AT176&lt;&gt;0,SSHI*W176,0)</f>
        <v>0</v>
      </c>
      <c r="BF176" s="462">
        <f>IF(AND(AT176&lt;&gt;0,AN176&lt;&gt;"NE"),VLOOKUP(AN176,Retirement_Rates,3,FALSE)*W176,0)</f>
        <v>0</v>
      </c>
      <c r="BG176" s="462">
        <f>IF(AND(AT176&lt;&gt;0,AJ176&lt;&gt;"PF"),Life*W176,0)</f>
        <v>0</v>
      </c>
      <c r="BH176" s="462">
        <f>IF(AND(AT176&lt;&gt;0,AM176="Y"),UI*W176,0)</f>
        <v>0</v>
      </c>
      <c r="BI176" s="462">
        <f>IF(AND(AT176&lt;&gt;0,N176&lt;&gt;"NR"),DHR*W176,0)</f>
        <v>0</v>
      </c>
      <c r="BJ176" s="462">
        <f>IF(AT176&lt;&gt;0,WC*W176,0)</f>
        <v>0</v>
      </c>
      <c r="BK176" s="462">
        <f>IF(OR(AND(AT176&lt;&gt;0,AJ176&lt;&gt;"PF",AN176&lt;&gt;"NE",AG176&lt;&gt;"A"),AND(AL176="E",OR(AT176=1,AT176=3))),Sick*W176,0)</f>
        <v>0</v>
      </c>
      <c r="BL176" s="462">
        <f t="shared" si="39"/>
        <v>0</v>
      </c>
      <c r="BM176" s="462">
        <f t="shared" si="40"/>
        <v>0</v>
      </c>
      <c r="BN176" s="462">
        <f>IF(AND(AT176=1,AK176="E",AU176&gt;=0.75,AW176=1),HealthBY,IF(AND(AT176=1,AK176="E",AU176&gt;=0.75),HealthBY*P176,IF(AND(AT176=1,AK176="E",AU176&gt;=0.5,AW176=1),PTHealthBY,IF(AND(AT176=1,AK176="E",AU176&gt;=0.5),PTHealthBY*P176,0))))</f>
        <v>0</v>
      </c>
      <c r="BO176" s="462">
        <f>IF(AND(AT176=3,AK176="E",AV176&gt;=0.75,AW176=1),HealthBY,IF(AND(AT176=3,AK176="E",AV176&gt;=0.75),HealthBY*P176,IF(AND(AT176=3,AK176="E",AV176&gt;=0.5,AW176=1),PTHealthBY,IF(AND(AT176=3,AK176="E",AV176&gt;=0.5),PTHealthBY*P176,0))))</f>
        <v>0</v>
      </c>
      <c r="BP176" s="462">
        <f>IF(AND(AT176&lt;&gt;0,(AX176+BA176)&gt;=MAXSSDIBY),SSDIBY*MAXSSDIBY*P176,IF(AT176&lt;&gt;0,SSDIBY*W176,0))</f>
        <v>0</v>
      </c>
      <c r="BQ176" s="462">
        <f>IF(AT176&lt;&gt;0,SSHIBY*W176,0)</f>
        <v>0</v>
      </c>
      <c r="BR176" s="462">
        <f>IF(AND(AT176&lt;&gt;0,AN176&lt;&gt;"NE"),VLOOKUP(AN176,Retirement_Rates,4,FALSE)*W176,0)</f>
        <v>0</v>
      </c>
      <c r="BS176" s="462">
        <f>IF(AND(AT176&lt;&gt;0,AJ176&lt;&gt;"PF"),LifeBY*W176,0)</f>
        <v>0</v>
      </c>
      <c r="BT176" s="462">
        <f>IF(AND(AT176&lt;&gt;0,AM176="Y"),UIBY*W176,0)</f>
        <v>0</v>
      </c>
      <c r="BU176" s="462">
        <f>IF(AND(AT176&lt;&gt;0,N176&lt;&gt;"NR"),DHRBY*W176,0)</f>
        <v>0</v>
      </c>
      <c r="BV176" s="462">
        <f>IF(AT176&lt;&gt;0,WCBY*W176,0)</f>
        <v>0</v>
      </c>
      <c r="BW176" s="462">
        <f>IF(OR(AND(AT176&lt;&gt;0,AJ176&lt;&gt;"PF",AN176&lt;&gt;"NE",AG176&lt;&gt;"A"),AND(AL176="E",OR(AT176=1,AT176=3))),SickBY*W176,0)</f>
        <v>0</v>
      </c>
      <c r="BX176" s="462">
        <f t="shared" si="41"/>
        <v>0</v>
      </c>
      <c r="BY176" s="462">
        <f t="shared" si="42"/>
        <v>0</v>
      </c>
      <c r="BZ176" s="462">
        <f t="shared" si="43"/>
        <v>0</v>
      </c>
      <c r="CA176" s="462">
        <f t="shared" si="44"/>
        <v>0</v>
      </c>
      <c r="CB176" s="462">
        <f t="shared" si="45"/>
        <v>0</v>
      </c>
      <c r="CC176" s="462">
        <f>IF(AT176&lt;&gt;0,SSHICHG*Y176,0)</f>
        <v>0</v>
      </c>
      <c r="CD176" s="462">
        <f>IF(AND(AT176&lt;&gt;0,AN176&lt;&gt;"NE"),VLOOKUP(AN176,Retirement_Rates,5,FALSE)*Y176,0)</f>
        <v>0</v>
      </c>
      <c r="CE176" s="462">
        <f>IF(AND(AT176&lt;&gt;0,AJ176&lt;&gt;"PF"),LifeCHG*Y176,0)</f>
        <v>0</v>
      </c>
      <c r="CF176" s="462">
        <f>IF(AND(AT176&lt;&gt;0,AM176="Y"),UICHG*Y176,0)</f>
        <v>0</v>
      </c>
      <c r="CG176" s="462">
        <f>IF(AND(AT176&lt;&gt;0,N176&lt;&gt;"NR"),DHRCHG*Y176,0)</f>
        <v>0</v>
      </c>
      <c r="CH176" s="462">
        <f>IF(AT176&lt;&gt;0,WCCHG*Y176,0)</f>
        <v>0</v>
      </c>
      <c r="CI176" s="462">
        <f>IF(OR(AND(AT176&lt;&gt;0,AJ176&lt;&gt;"PF",AN176&lt;&gt;"NE",AG176&lt;&gt;"A"),AND(AL176="E",OR(AT176=1,AT176=3))),SickCHG*Y176,0)</f>
        <v>0</v>
      </c>
      <c r="CJ176" s="462">
        <f t="shared" si="46"/>
        <v>0</v>
      </c>
      <c r="CK176" s="462" t="str">
        <f t="shared" si="47"/>
        <v/>
      </c>
      <c r="CL176" s="462" t="str">
        <f t="shared" si="48"/>
        <v/>
      </c>
      <c r="CM176" s="462" t="str">
        <f t="shared" si="49"/>
        <v/>
      </c>
      <c r="CN176" s="462" t="str">
        <f t="shared" si="50"/>
        <v>0332-05</v>
      </c>
    </row>
    <row r="177" spans="1:92" ht="15" thickBot="1" x14ac:dyDescent="0.35">
      <c r="A177" s="376" t="s">
        <v>161</v>
      </c>
      <c r="B177" s="376" t="s">
        <v>162</v>
      </c>
      <c r="C177" s="376" t="s">
        <v>692</v>
      </c>
      <c r="D177" s="376" t="s">
        <v>272</v>
      </c>
      <c r="E177" s="376" t="s">
        <v>535</v>
      </c>
      <c r="F177" s="382" t="s">
        <v>659</v>
      </c>
      <c r="G177" s="376" t="s">
        <v>651</v>
      </c>
      <c r="H177" s="378"/>
      <c r="I177" s="378"/>
      <c r="J177" s="376" t="s">
        <v>168</v>
      </c>
      <c r="K177" s="376" t="s">
        <v>273</v>
      </c>
      <c r="L177" s="376" t="s">
        <v>274</v>
      </c>
      <c r="M177" s="376" t="s">
        <v>170</v>
      </c>
      <c r="N177" s="376" t="s">
        <v>202</v>
      </c>
      <c r="O177" s="379">
        <v>1</v>
      </c>
      <c r="P177" s="460">
        <v>1</v>
      </c>
      <c r="Q177" s="460">
        <v>1</v>
      </c>
      <c r="R177" s="380">
        <v>80</v>
      </c>
      <c r="S177" s="460">
        <v>1</v>
      </c>
      <c r="T177" s="380">
        <v>35697.29</v>
      </c>
      <c r="U177" s="380">
        <v>0</v>
      </c>
      <c r="V177" s="380">
        <v>18949.099999999999</v>
      </c>
      <c r="W177" s="380">
        <v>36899.199999999997</v>
      </c>
      <c r="X177" s="380">
        <v>20002.84</v>
      </c>
      <c r="Y177" s="380">
        <v>36899.199999999997</v>
      </c>
      <c r="Z177" s="380">
        <v>19906.91</v>
      </c>
      <c r="AA177" s="376" t="s">
        <v>693</v>
      </c>
      <c r="AB177" s="376" t="s">
        <v>694</v>
      </c>
      <c r="AC177" s="376" t="s">
        <v>695</v>
      </c>
      <c r="AD177" s="376" t="s">
        <v>215</v>
      </c>
      <c r="AE177" s="376" t="s">
        <v>273</v>
      </c>
      <c r="AF177" s="376" t="s">
        <v>279</v>
      </c>
      <c r="AG177" s="376" t="s">
        <v>177</v>
      </c>
      <c r="AH177" s="381">
        <v>17.739999999999998</v>
      </c>
      <c r="AI177" s="379">
        <v>3999</v>
      </c>
      <c r="AJ177" s="376" t="s">
        <v>178</v>
      </c>
      <c r="AK177" s="376" t="s">
        <v>179</v>
      </c>
      <c r="AL177" s="376" t="s">
        <v>180</v>
      </c>
      <c r="AM177" s="376" t="s">
        <v>181</v>
      </c>
      <c r="AN177" s="376" t="s">
        <v>68</v>
      </c>
      <c r="AO177" s="379">
        <v>80</v>
      </c>
      <c r="AP177" s="460">
        <v>1</v>
      </c>
      <c r="AQ177" s="460">
        <v>1</v>
      </c>
      <c r="AR177" s="458" t="s">
        <v>182</v>
      </c>
      <c r="AS177" s="462">
        <f t="shared" si="34"/>
        <v>1</v>
      </c>
      <c r="AT177">
        <f t="shared" si="35"/>
        <v>1</v>
      </c>
      <c r="AU177" s="462">
        <f>IF(AT177=0,"",IF(AND(AT177=1,M177="F",SUMIF(C2:C698,C177,AS2:AS698)&lt;=1),SUMIF(C2:C698,C177,AS2:AS698),IF(AND(AT177=1,M177="F",SUMIF(C2:C698,C177,AS2:AS698)&gt;1),1,"")))</f>
        <v>1</v>
      </c>
      <c r="AV177" s="462" t="str">
        <f>IF(AT177=0,"",IF(AND(AT177=3,M177="F",SUMIF(C2:C698,C177,AS2:AS698)&lt;=1),SUMIF(C2:C698,C177,AS2:AS698),IF(AND(AT177=3,M177="F",SUMIF(C2:C698,C177,AS2:AS698)&gt;1),1,"")))</f>
        <v/>
      </c>
      <c r="AW177" s="462">
        <f>SUMIF(C2:C698,C177,O2:O698)</f>
        <v>1</v>
      </c>
      <c r="AX177" s="462">
        <f>IF(AND(M177="F",AS177&lt;&gt;0),SUMIF(C2:C698,C177,W2:W698),0)</f>
        <v>36899.199999999997</v>
      </c>
      <c r="AY177" s="462">
        <f t="shared" si="36"/>
        <v>36899.199999999997</v>
      </c>
      <c r="AZ177" s="462" t="str">
        <f t="shared" si="37"/>
        <v/>
      </c>
      <c r="BA177" s="462">
        <f t="shared" si="38"/>
        <v>0</v>
      </c>
      <c r="BB177" s="462">
        <f>IF(AND(AT177=1,AK177="E",AU177&gt;=0.75,AW177=1),Health,IF(AND(AT177=1,AK177="E",AU177&gt;=0.75),Health*P177,IF(AND(AT177=1,AK177="E",AU177&gt;=0.5,AW177=1),PTHealth,IF(AND(AT177=1,AK177="E",AU177&gt;=0.5),PTHealth*P177,0))))</f>
        <v>11650</v>
      </c>
      <c r="BC177" s="462">
        <f>IF(AND(AT177=3,AK177="E",AV177&gt;=0.75,AW177=1),Health,IF(AND(AT177=3,AK177="E",AV177&gt;=0.75),Health*P177,IF(AND(AT177=3,AK177="E",AV177&gt;=0.5,AW177=1),PTHealth,IF(AND(AT177=3,AK177="E",AV177&gt;=0.5),PTHealth*P177,0))))</f>
        <v>0</v>
      </c>
      <c r="BD177" s="462">
        <f>IF(AND(AT177&lt;&gt;0,AX177&gt;=MAXSSDI),SSDI*MAXSSDI*P177,IF(AT177&lt;&gt;0,SSDI*W177,0))</f>
        <v>2287.7503999999999</v>
      </c>
      <c r="BE177" s="462">
        <f>IF(AT177&lt;&gt;0,SSHI*W177,0)</f>
        <v>535.03840000000002</v>
      </c>
      <c r="BF177" s="462">
        <f>IF(AND(AT177&lt;&gt;0,AN177&lt;&gt;"NE"),VLOOKUP(AN177,Retirement_Rates,3,FALSE)*W177,0)</f>
        <v>4405.7644799999998</v>
      </c>
      <c r="BG177" s="462">
        <f>IF(AND(AT177&lt;&gt;0,AJ177&lt;&gt;"PF"),Life*W177,0)</f>
        <v>266.04323199999999</v>
      </c>
      <c r="BH177" s="462">
        <f>IF(AND(AT177&lt;&gt;0,AM177="Y"),UI*W177,0)</f>
        <v>180.80607999999998</v>
      </c>
      <c r="BI177" s="462">
        <f>IF(AND(AT177&lt;&gt;0,N177&lt;&gt;"NR"),DHR*W177,0)</f>
        <v>112.91155199999999</v>
      </c>
      <c r="BJ177" s="462">
        <f>IF(AT177&lt;&gt;0,WC*W177,0)</f>
        <v>564.55775999999992</v>
      </c>
      <c r="BK177" s="462">
        <f>IF(OR(AND(AT177&lt;&gt;0,AJ177&lt;&gt;"PF",AN177&lt;&gt;"NE",AG177&lt;&gt;"A"),AND(AL177="E",OR(AT177=1,AT177=3))),Sick*W177,0)</f>
        <v>0</v>
      </c>
      <c r="BL177" s="462">
        <f t="shared" si="39"/>
        <v>8352.8719039999996</v>
      </c>
      <c r="BM177" s="462">
        <f t="shared" si="40"/>
        <v>0</v>
      </c>
      <c r="BN177" s="462">
        <f>IF(AND(AT177=1,AK177="E",AU177&gt;=0.75,AW177=1),HealthBY,IF(AND(AT177=1,AK177="E",AU177&gt;=0.75),HealthBY*P177,IF(AND(AT177=1,AK177="E",AU177&gt;=0.5,AW177=1),PTHealthBY,IF(AND(AT177=1,AK177="E",AU177&gt;=0.5),PTHealthBY*P177,0))))</f>
        <v>11650</v>
      </c>
      <c r="BO177" s="462">
        <f>IF(AND(AT177=3,AK177="E",AV177&gt;=0.75,AW177=1),HealthBY,IF(AND(AT177=3,AK177="E",AV177&gt;=0.75),HealthBY*P177,IF(AND(AT177=3,AK177="E",AV177&gt;=0.5,AW177=1),PTHealthBY,IF(AND(AT177=3,AK177="E",AV177&gt;=0.5),PTHealthBY*P177,0))))</f>
        <v>0</v>
      </c>
      <c r="BP177" s="462">
        <f>IF(AND(AT177&lt;&gt;0,(AX177+BA177)&gt;=MAXSSDIBY),SSDIBY*MAXSSDIBY*P177,IF(AT177&lt;&gt;0,SSDIBY*W177,0))</f>
        <v>2287.7503999999999</v>
      </c>
      <c r="BQ177" s="462">
        <f>IF(AT177&lt;&gt;0,SSHIBY*W177,0)</f>
        <v>535.03840000000002</v>
      </c>
      <c r="BR177" s="462">
        <f>IF(AND(AT177&lt;&gt;0,AN177&lt;&gt;"NE"),VLOOKUP(AN177,Retirement_Rates,4,FALSE)*W177,0)</f>
        <v>4405.7644799999998</v>
      </c>
      <c r="BS177" s="462">
        <f>IF(AND(AT177&lt;&gt;0,AJ177&lt;&gt;"PF"),LifeBY*W177,0)</f>
        <v>266.04323199999999</v>
      </c>
      <c r="BT177" s="462">
        <f>IF(AND(AT177&lt;&gt;0,AM177="Y"),UIBY*W177,0)</f>
        <v>0</v>
      </c>
      <c r="BU177" s="462">
        <f>IF(AND(AT177&lt;&gt;0,N177&lt;&gt;"NR"),DHRBY*W177,0)</f>
        <v>112.91155199999999</v>
      </c>
      <c r="BV177" s="462">
        <f>IF(AT177&lt;&gt;0,WCBY*W177,0)</f>
        <v>649.42592000000002</v>
      </c>
      <c r="BW177" s="462">
        <f>IF(OR(AND(AT177&lt;&gt;0,AJ177&lt;&gt;"PF",AN177&lt;&gt;"NE",AG177&lt;&gt;"A"),AND(AL177="E",OR(AT177=1,AT177=3))),SickBY*W177,0)</f>
        <v>0</v>
      </c>
      <c r="BX177" s="462">
        <f t="shared" si="41"/>
        <v>8256.9339839999993</v>
      </c>
      <c r="BY177" s="462">
        <f t="shared" si="42"/>
        <v>0</v>
      </c>
      <c r="BZ177" s="462">
        <f t="shared" si="43"/>
        <v>0</v>
      </c>
      <c r="CA177" s="462">
        <f t="shared" si="44"/>
        <v>0</v>
      </c>
      <c r="CB177" s="462">
        <f t="shared" si="45"/>
        <v>0</v>
      </c>
      <c r="CC177" s="462">
        <f>IF(AT177&lt;&gt;0,SSHICHG*Y177,0)</f>
        <v>0</v>
      </c>
      <c r="CD177" s="462">
        <f>IF(AND(AT177&lt;&gt;0,AN177&lt;&gt;"NE"),VLOOKUP(AN177,Retirement_Rates,5,FALSE)*Y177,0)</f>
        <v>0</v>
      </c>
      <c r="CE177" s="462">
        <f>IF(AND(AT177&lt;&gt;0,AJ177&lt;&gt;"PF"),LifeCHG*Y177,0)</f>
        <v>0</v>
      </c>
      <c r="CF177" s="462">
        <f>IF(AND(AT177&lt;&gt;0,AM177="Y"),UICHG*Y177,0)</f>
        <v>-180.80607999999998</v>
      </c>
      <c r="CG177" s="462">
        <f>IF(AND(AT177&lt;&gt;0,N177&lt;&gt;"NR"),DHRCHG*Y177,0)</f>
        <v>0</v>
      </c>
      <c r="CH177" s="462">
        <f>IF(AT177&lt;&gt;0,WCCHG*Y177,0)</f>
        <v>84.86816000000006</v>
      </c>
      <c r="CI177" s="462">
        <f>IF(OR(AND(AT177&lt;&gt;0,AJ177&lt;&gt;"PF",AN177&lt;&gt;"NE",AG177&lt;&gt;"A"),AND(AL177="E",OR(AT177=1,AT177=3))),SickCHG*Y177,0)</f>
        <v>0</v>
      </c>
      <c r="CJ177" s="462">
        <f t="shared" si="46"/>
        <v>-95.93791999999992</v>
      </c>
      <c r="CK177" s="462" t="str">
        <f t="shared" si="47"/>
        <v/>
      </c>
      <c r="CL177" s="462" t="str">
        <f t="shared" si="48"/>
        <v/>
      </c>
      <c r="CM177" s="462" t="str">
        <f t="shared" si="49"/>
        <v/>
      </c>
      <c r="CN177" s="462" t="str">
        <f t="shared" si="50"/>
        <v>0332-05</v>
      </c>
    </row>
    <row r="178" spans="1:92" ht="15" thickBot="1" x14ac:dyDescent="0.35">
      <c r="A178" s="376" t="s">
        <v>161</v>
      </c>
      <c r="B178" s="376" t="s">
        <v>162</v>
      </c>
      <c r="C178" s="376" t="s">
        <v>696</v>
      </c>
      <c r="D178" s="376" t="s">
        <v>250</v>
      </c>
      <c r="E178" s="376" t="s">
        <v>535</v>
      </c>
      <c r="F178" s="382" t="s">
        <v>659</v>
      </c>
      <c r="G178" s="376" t="s">
        <v>651</v>
      </c>
      <c r="H178" s="378"/>
      <c r="I178" s="378"/>
      <c r="J178" s="376" t="s">
        <v>168</v>
      </c>
      <c r="K178" s="376" t="s">
        <v>251</v>
      </c>
      <c r="L178" s="376" t="s">
        <v>180</v>
      </c>
      <c r="M178" s="376" t="s">
        <v>170</v>
      </c>
      <c r="N178" s="376" t="s">
        <v>202</v>
      </c>
      <c r="O178" s="379">
        <v>1</v>
      </c>
      <c r="P178" s="460">
        <v>1</v>
      </c>
      <c r="Q178" s="460">
        <v>1</v>
      </c>
      <c r="R178" s="380">
        <v>80</v>
      </c>
      <c r="S178" s="460">
        <v>1</v>
      </c>
      <c r="T178" s="380">
        <v>53675.03</v>
      </c>
      <c r="U178" s="380">
        <v>0</v>
      </c>
      <c r="V178" s="380">
        <v>20561.900000000001</v>
      </c>
      <c r="W178" s="380">
        <v>66955.199999999997</v>
      </c>
      <c r="X178" s="380">
        <v>26806.63</v>
      </c>
      <c r="Y178" s="380">
        <v>66955.199999999997</v>
      </c>
      <c r="Z178" s="380">
        <v>26632.55</v>
      </c>
      <c r="AA178" s="376" t="s">
        <v>697</v>
      </c>
      <c r="AB178" s="376" t="s">
        <v>698</v>
      </c>
      <c r="AC178" s="376" t="s">
        <v>699</v>
      </c>
      <c r="AD178" s="376" t="s">
        <v>370</v>
      </c>
      <c r="AE178" s="376" t="s">
        <v>251</v>
      </c>
      <c r="AF178" s="376" t="s">
        <v>256</v>
      </c>
      <c r="AG178" s="376" t="s">
        <v>177</v>
      </c>
      <c r="AH178" s="381">
        <v>32.19</v>
      </c>
      <c r="AI178" s="379">
        <v>11122</v>
      </c>
      <c r="AJ178" s="376" t="s">
        <v>178</v>
      </c>
      <c r="AK178" s="376" t="s">
        <v>179</v>
      </c>
      <c r="AL178" s="376" t="s">
        <v>180</v>
      </c>
      <c r="AM178" s="376" t="s">
        <v>181</v>
      </c>
      <c r="AN178" s="376" t="s">
        <v>68</v>
      </c>
      <c r="AO178" s="379">
        <v>80</v>
      </c>
      <c r="AP178" s="460">
        <v>1</v>
      </c>
      <c r="AQ178" s="460">
        <v>1</v>
      </c>
      <c r="AR178" s="458" t="s">
        <v>182</v>
      </c>
      <c r="AS178" s="462">
        <f t="shared" si="34"/>
        <v>1</v>
      </c>
      <c r="AT178">
        <f t="shared" si="35"/>
        <v>1</v>
      </c>
      <c r="AU178" s="462">
        <f>IF(AT178=0,"",IF(AND(AT178=1,M178="F",SUMIF(C2:C698,C178,AS2:AS698)&lt;=1),SUMIF(C2:C698,C178,AS2:AS698),IF(AND(AT178=1,M178="F",SUMIF(C2:C698,C178,AS2:AS698)&gt;1),1,"")))</f>
        <v>1</v>
      </c>
      <c r="AV178" s="462" t="str">
        <f>IF(AT178=0,"",IF(AND(AT178=3,M178="F",SUMIF(C2:C698,C178,AS2:AS698)&lt;=1),SUMIF(C2:C698,C178,AS2:AS698),IF(AND(AT178=3,M178="F",SUMIF(C2:C698,C178,AS2:AS698)&gt;1),1,"")))</f>
        <v/>
      </c>
      <c r="AW178" s="462">
        <f>SUMIF(C2:C698,C178,O2:O698)</f>
        <v>2</v>
      </c>
      <c r="AX178" s="462">
        <f>IF(AND(M178="F",AS178&lt;&gt;0),SUMIF(C2:C698,C178,W2:W698),0)</f>
        <v>66955.199999999997</v>
      </c>
      <c r="AY178" s="462">
        <f t="shared" si="36"/>
        <v>66955.199999999997</v>
      </c>
      <c r="AZ178" s="462" t="str">
        <f t="shared" si="37"/>
        <v/>
      </c>
      <c r="BA178" s="462">
        <f t="shared" si="38"/>
        <v>0</v>
      </c>
      <c r="BB178" s="462">
        <f>IF(AND(AT178=1,AK178="E",AU178&gt;=0.75,AW178=1),Health,IF(AND(AT178=1,AK178="E",AU178&gt;=0.75),Health*P178,IF(AND(AT178=1,AK178="E",AU178&gt;=0.5,AW178=1),PTHealth,IF(AND(AT178=1,AK178="E",AU178&gt;=0.5),PTHealth*P178,0))))</f>
        <v>11650</v>
      </c>
      <c r="BC178" s="462">
        <f>IF(AND(AT178=3,AK178="E",AV178&gt;=0.75,AW178=1),Health,IF(AND(AT178=3,AK178="E",AV178&gt;=0.75),Health*P178,IF(AND(AT178=3,AK178="E",AV178&gt;=0.5,AW178=1),PTHealth,IF(AND(AT178=3,AK178="E",AV178&gt;=0.5),PTHealth*P178,0))))</f>
        <v>0</v>
      </c>
      <c r="BD178" s="462">
        <f>IF(AND(AT178&lt;&gt;0,AX178&gt;=MAXSSDI),SSDI*MAXSSDI*P178,IF(AT178&lt;&gt;0,SSDI*W178,0))</f>
        <v>4151.2223999999997</v>
      </c>
      <c r="BE178" s="462">
        <f>IF(AT178&lt;&gt;0,SSHI*W178,0)</f>
        <v>970.85040000000004</v>
      </c>
      <c r="BF178" s="462">
        <f>IF(AND(AT178&lt;&gt;0,AN178&lt;&gt;"NE"),VLOOKUP(AN178,Retirement_Rates,3,FALSE)*W178,0)</f>
        <v>7994.4508800000003</v>
      </c>
      <c r="BG178" s="462">
        <f>IF(AND(AT178&lt;&gt;0,AJ178&lt;&gt;"PF"),Life*W178,0)</f>
        <v>482.74699199999998</v>
      </c>
      <c r="BH178" s="462">
        <f>IF(AND(AT178&lt;&gt;0,AM178="Y"),UI*W178,0)</f>
        <v>328.08047999999997</v>
      </c>
      <c r="BI178" s="462">
        <f>IF(AND(AT178&lt;&gt;0,N178&lt;&gt;"NR"),DHR*W178,0)</f>
        <v>204.88291199999998</v>
      </c>
      <c r="BJ178" s="462">
        <f>IF(AT178&lt;&gt;0,WC*W178,0)</f>
        <v>1024.4145599999999</v>
      </c>
      <c r="BK178" s="462">
        <f>IF(OR(AND(AT178&lt;&gt;0,AJ178&lt;&gt;"PF",AN178&lt;&gt;"NE",AG178&lt;&gt;"A"),AND(AL178="E",OR(AT178=1,AT178=3))),Sick*W178,0)</f>
        <v>0</v>
      </c>
      <c r="BL178" s="462">
        <f t="shared" si="39"/>
        <v>15156.648623999999</v>
      </c>
      <c r="BM178" s="462">
        <f t="shared" si="40"/>
        <v>0</v>
      </c>
      <c r="BN178" s="462">
        <f>IF(AND(AT178=1,AK178="E",AU178&gt;=0.75,AW178=1),HealthBY,IF(AND(AT178=1,AK178="E",AU178&gt;=0.75),HealthBY*P178,IF(AND(AT178=1,AK178="E",AU178&gt;=0.5,AW178=1),PTHealthBY,IF(AND(AT178=1,AK178="E",AU178&gt;=0.5),PTHealthBY*P178,0))))</f>
        <v>11650</v>
      </c>
      <c r="BO178" s="462">
        <f>IF(AND(AT178=3,AK178="E",AV178&gt;=0.75,AW178=1),HealthBY,IF(AND(AT178=3,AK178="E",AV178&gt;=0.75),HealthBY*P178,IF(AND(AT178=3,AK178="E",AV178&gt;=0.5,AW178=1),PTHealthBY,IF(AND(AT178=3,AK178="E",AV178&gt;=0.5),PTHealthBY*P178,0))))</f>
        <v>0</v>
      </c>
      <c r="BP178" s="462">
        <f>IF(AND(AT178&lt;&gt;0,(AX178+BA178)&gt;=MAXSSDIBY),SSDIBY*MAXSSDIBY*P178,IF(AT178&lt;&gt;0,SSDIBY*W178,0))</f>
        <v>4151.2223999999997</v>
      </c>
      <c r="BQ178" s="462">
        <f>IF(AT178&lt;&gt;0,SSHIBY*W178,0)</f>
        <v>970.85040000000004</v>
      </c>
      <c r="BR178" s="462">
        <f>IF(AND(AT178&lt;&gt;0,AN178&lt;&gt;"NE"),VLOOKUP(AN178,Retirement_Rates,4,FALSE)*W178,0)</f>
        <v>7994.4508800000003</v>
      </c>
      <c r="BS178" s="462">
        <f>IF(AND(AT178&lt;&gt;0,AJ178&lt;&gt;"PF"),LifeBY*W178,0)</f>
        <v>482.74699199999998</v>
      </c>
      <c r="BT178" s="462">
        <f>IF(AND(AT178&lt;&gt;0,AM178="Y"),UIBY*W178,0)</f>
        <v>0</v>
      </c>
      <c r="BU178" s="462">
        <f>IF(AND(AT178&lt;&gt;0,N178&lt;&gt;"NR"),DHRBY*W178,0)</f>
        <v>204.88291199999998</v>
      </c>
      <c r="BV178" s="462">
        <f>IF(AT178&lt;&gt;0,WCBY*W178,0)</f>
        <v>1178.4115200000001</v>
      </c>
      <c r="BW178" s="462">
        <f>IF(OR(AND(AT178&lt;&gt;0,AJ178&lt;&gt;"PF",AN178&lt;&gt;"NE",AG178&lt;&gt;"A"),AND(AL178="E",OR(AT178=1,AT178=3))),SickBY*W178,0)</f>
        <v>0</v>
      </c>
      <c r="BX178" s="462">
        <f t="shared" si="41"/>
        <v>14982.565103999999</v>
      </c>
      <c r="BY178" s="462">
        <f t="shared" si="42"/>
        <v>0</v>
      </c>
      <c r="BZ178" s="462">
        <f t="shared" si="43"/>
        <v>0</v>
      </c>
      <c r="CA178" s="462">
        <f t="shared" si="44"/>
        <v>0</v>
      </c>
      <c r="CB178" s="462">
        <f t="shared" si="45"/>
        <v>0</v>
      </c>
      <c r="CC178" s="462">
        <f>IF(AT178&lt;&gt;0,SSHICHG*Y178,0)</f>
        <v>0</v>
      </c>
      <c r="CD178" s="462">
        <f>IF(AND(AT178&lt;&gt;0,AN178&lt;&gt;"NE"),VLOOKUP(AN178,Retirement_Rates,5,FALSE)*Y178,0)</f>
        <v>0</v>
      </c>
      <c r="CE178" s="462">
        <f>IF(AND(AT178&lt;&gt;0,AJ178&lt;&gt;"PF"),LifeCHG*Y178,0)</f>
        <v>0</v>
      </c>
      <c r="CF178" s="462">
        <f>IF(AND(AT178&lt;&gt;0,AM178="Y"),UICHG*Y178,0)</f>
        <v>-328.08047999999997</v>
      </c>
      <c r="CG178" s="462">
        <f>IF(AND(AT178&lt;&gt;0,N178&lt;&gt;"NR"),DHRCHG*Y178,0)</f>
        <v>0</v>
      </c>
      <c r="CH178" s="462">
        <f>IF(AT178&lt;&gt;0,WCCHG*Y178,0)</f>
        <v>153.99696000000012</v>
      </c>
      <c r="CI178" s="462">
        <f>IF(OR(AND(AT178&lt;&gt;0,AJ178&lt;&gt;"PF",AN178&lt;&gt;"NE",AG178&lt;&gt;"A"),AND(AL178="E",OR(AT178=1,AT178=3))),SickCHG*Y178,0)</f>
        <v>0</v>
      </c>
      <c r="CJ178" s="462">
        <f t="shared" si="46"/>
        <v>-174.08351999999985</v>
      </c>
      <c r="CK178" s="462" t="str">
        <f t="shared" si="47"/>
        <v/>
      </c>
      <c r="CL178" s="462" t="str">
        <f t="shared" si="48"/>
        <v/>
      </c>
      <c r="CM178" s="462" t="str">
        <f t="shared" si="49"/>
        <v/>
      </c>
      <c r="CN178" s="462" t="str">
        <f t="shared" si="50"/>
        <v>0332-05</v>
      </c>
    </row>
    <row r="179" spans="1:92" ht="15" thickBot="1" x14ac:dyDescent="0.35">
      <c r="A179" s="376" t="s">
        <v>161</v>
      </c>
      <c r="B179" s="376" t="s">
        <v>162</v>
      </c>
      <c r="C179" s="376" t="s">
        <v>700</v>
      </c>
      <c r="D179" s="376" t="s">
        <v>362</v>
      </c>
      <c r="E179" s="376" t="s">
        <v>535</v>
      </c>
      <c r="F179" s="382" t="s">
        <v>659</v>
      </c>
      <c r="G179" s="376" t="s">
        <v>651</v>
      </c>
      <c r="H179" s="378"/>
      <c r="I179" s="378"/>
      <c r="J179" s="376" t="s">
        <v>168</v>
      </c>
      <c r="K179" s="376" t="s">
        <v>363</v>
      </c>
      <c r="L179" s="376" t="s">
        <v>200</v>
      </c>
      <c r="M179" s="376" t="s">
        <v>170</v>
      </c>
      <c r="N179" s="376" t="s">
        <v>202</v>
      </c>
      <c r="O179" s="379">
        <v>1</v>
      </c>
      <c r="P179" s="460">
        <v>1</v>
      </c>
      <c r="Q179" s="460">
        <v>1</v>
      </c>
      <c r="R179" s="380">
        <v>80</v>
      </c>
      <c r="S179" s="460">
        <v>1</v>
      </c>
      <c r="T179" s="380">
        <v>28817.46</v>
      </c>
      <c r="U179" s="380">
        <v>0</v>
      </c>
      <c r="V179" s="380">
        <v>13297.7</v>
      </c>
      <c r="W179" s="380">
        <v>48921.599999999999</v>
      </c>
      <c r="X179" s="380">
        <v>22724.35</v>
      </c>
      <c r="Y179" s="380">
        <v>48921.599999999999</v>
      </c>
      <c r="Z179" s="380">
        <v>22597.16</v>
      </c>
      <c r="AA179" s="376" t="s">
        <v>701</v>
      </c>
      <c r="AB179" s="376" t="s">
        <v>702</v>
      </c>
      <c r="AC179" s="376" t="s">
        <v>703</v>
      </c>
      <c r="AD179" s="376" t="s">
        <v>215</v>
      </c>
      <c r="AE179" s="376" t="s">
        <v>363</v>
      </c>
      <c r="AF179" s="376" t="s">
        <v>210</v>
      </c>
      <c r="AG179" s="376" t="s">
        <v>177</v>
      </c>
      <c r="AH179" s="381">
        <v>23.52</v>
      </c>
      <c r="AI179" s="379">
        <v>20348</v>
      </c>
      <c r="AJ179" s="376" t="s">
        <v>178</v>
      </c>
      <c r="AK179" s="376" t="s">
        <v>179</v>
      </c>
      <c r="AL179" s="376" t="s">
        <v>180</v>
      </c>
      <c r="AM179" s="376" t="s">
        <v>181</v>
      </c>
      <c r="AN179" s="376" t="s">
        <v>68</v>
      </c>
      <c r="AO179" s="379">
        <v>80</v>
      </c>
      <c r="AP179" s="460">
        <v>1</v>
      </c>
      <c r="AQ179" s="460">
        <v>1</v>
      </c>
      <c r="AR179" s="458" t="s">
        <v>182</v>
      </c>
      <c r="AS179" s="462">
        <f t="shared" si="34"/>
        <v>1</v>
      </c>
      <c r="AT179">
        <f t="shared" si="35"/>
        <v>1</v>
      </c>
      <c r="AU179" s="462">
        <f>IF(AT179=0,"",IF(AND(AT179=1,M179="F",SUMIF(C2:C698,C179,AS2:AS698)&lt;=1),SUMIF(C2:C698,C179,AS2:AS698),IF(AND(AT179=1,M179="F",SUMIF(C2:C698,C179,AS2:AS698)&gt;1),1,"")))</f>
        <v>1</v>
      </c>
      <c r="AV179" s="462" t="str">
        <f>IF(AT179=0,"",IF(AND(AT179=3,M179="F",SUMIF(C2:C698,C179,AS2:AS698)&lt;=1),SUMIF(C2:C698,C179,AS2:AS698),IF(AND(AT179=3,M179="F",SUMIF(C2:C698,C179,AS2:AS698)&gt;1),1,"")))</f>
        <v/>
      </c>
      <c r="AW179" s="462">
        <f>SUMIF(C2:C698,C179,O2:O698)</f>
        <v>2</v>
      </c>
      <c r="AX179" s="462">
        <f>IF(AND(M179="F",AS179&lt;&gt;0),SUMIF(C2:C698,C179,W2:W698),0)</f>
        <v>48921.599999999999</v>
      </c>
      <c r="AY179" s="462">
        <f t="shared" si="36"/>
        <v>48921.599999999999</v>
      </c>
      <c r="AZ179" s="462" t="str">
        <f t="shared" si="37"/>
        <v/>
      </c>
      <c r="BA179" s="462">
        <f t="shared" si="38"/>
        <v>0</v>
      </c>
      <c r="BB179" s="462">
        <f>IF(AND(AT179=1,AK179="E",AU179&gt;=0.75,AW179=1),Health,IF(AND(AT179=1,AK179="E",AU179&gt;=0.75),Health*P179,IF(AND(AT179=1,AK179="E",AU179&gt;=0.5,AW179=1),PTHealth,IF(AND(AT179=1,AK179="E",AU179&gt;=0.5),PTHealth*P179,0))))</f>
        <v>11650</v>
      </c>
      <c r="BC179" s="462">
        <f>IF(AND(AT179=3,AK179="E",AV179&gt;=0.75,AW179=1),Health,IF(AND(AT179=3,AK179="E",AV179&gt;=0.75),Health*P179,IF(AND(AT179=3,AK179="E",AV179&gt;=0.5,AW179=1),PTHealth,IF(AND(AT179=3,AK179="E",AV179&gt;=0.5),PTHealth*P179,0))))</f>
        <v>0</v>
      </c>
      <c r="BD179" s="462">
        <f>IF(AND(AT179&lt;&gt;0,AX179&gt;=MAXSSDI),SSDI*MAXSSDI*P179,IF(AT179&lt;&gt;0,SSDI*W179,0))</f>
        <v>3033.1392000000001</v>
      </c>
      <c r="BE179" s="462">
        <f>IF(AT179&lt;&gt;0,SSHI*W179,0)</f>
        <v>709.36320000000001</v>
      </c>
      <c r="BF179" s="462">
        <f>IF(AND(AT179&lt;&gt;0,AN179&lt;&gt;"NE"),VLOOKUP(AN179,Retirement_Rates,3,FALSE)*W179,0)</f>
        <v>5841.2390400000004</v>
      </c>
      <c r="BG179" s="462">
        <f>IF(AND(AT179&lt;&gt;0,AJ179&lt;&gt;"PF"),Life*W179,0)</f>
        <v>352.72473600000001</v>
      </c>
      <c r="BH179" s="462">
        <f>IF(AND(AT179&lt;&gt;0,AM179="Y"),UI*W179,0)</f>
        <v>239.71583999999999</v>
      </c>
      <c r="BI179" s="462">
        <f>IF(AND(AT179&lt;&gt;0,N179&lt;&gt;"NR"),DHR*W179,0)</f>
        <v>149.70009599999997</v>
      </c>
      <c r="BJ179" s="462">
        <f>IF(AT179&lt;&gt;0,WC*W179,0)</f>
        <v>748.50047999999992</v>
      </c>
      <c r="BK179" s="462">
        <f>IF(OR(AND(AT179&lt;&gt;0,AJ179&lt;&gt;"PF",AN179&lt;&gt;"NE",AG179&lt;&gt;"A"),AND(AL179="E",OR(AT179=1,AT179=3))),Sick*W179,0)</f>
        <v>0</v>
      </c>
      <c r="BL179" s="462">
        <f t="shared" si="39"/>
        <v>11074.382592000004</v>
      </c>
      <c r="BM179" s="462">
        <f t="shared" si="40"/>
        <v>0</v>
      </c>
      <c r="BN179" s="462">
        <f>IF(AND(AT179=1,AK179="E",AU179&gt;=0.75,AW179=1),HealthBY,IF(AND(AT179=1,AK179="E",AU179&gt;=0.75),HealthBY*P179,IF(AND(AT179=1,AK179="E",AU179&gt;=0.5,AW179=1),PTHealthBY,IF(AND(AT179=1,AK179="E",AU179&gt;=0.5),PTHealthBY*P179,0))))</f>
        <v>11650</v>
      </c>
      <c r="BO179" s="462">
        <f>IF(AND(AT179=3,AK179="E",AV179&gt;=0.75,AW179=1),HealthBY,IF(AND(AT179=3,AK179="E",AV179&gt;=0.75),HealthBY*P179,IF(AND(AT179=3,AK179="E",AV179&gt;=0.5,AW179=1),PTHealthBY,IF(AND(AT179=3,AK179="E",AV179&gt;=0.5),PTHealthBY*P179,0))))</f>
        <v>0</v>
      </c>
      <c r="BP179" s="462">
        <f>IF(AND(AT179&lt;&gt;0,(AX179+BA179)&gt;=MAXSSDIBY),SSDIBY*MAXSSDIBY*P179,IF(AT179&lt;&gt;0,SSDIBY*W179,0))</f>
        <v>3033.1392000000001</v>
      </c>
      <c r="BQ179" s="462">
        <f>IF(AT179&lt;&gt;0,SSHIBY*W179,0)</f>
        <v>709.36320000000001</v>
      </c>
      <c r="BR179" s="462">
        <f>IF(AND(AT179&lt;&gt;0,AN179&lt;&gt;"NE"),VLOOKUP(AN179,Retirement_Rates,4,FALSE)*W179,0)</f>
        <v>5841.2390400000004</v>
      </c>
      <c r="BS179" s="462">
        <f>IF(AND(AT179&lt;&gt;0,AJ179&lt;&gt;"PF"),LifeBY*W179,0)</f>
        <v>352.72473600000001</v>
      </c>
      <c r="BT179" s="462">
        <f>IF(AND(AT179&lt;&gt;0,AM179="Y"),UIBY*W179,0)</f>
        <v>0</v>
      </c>
      <c r="BU179" s="462">
        <f>IF(AND(AT179&lt;&gt;0,N179&lt;&gt;"NR"),DHRBY*W179,0)</f>
        <v>149.70009599999997</v>
      </c>
      <c r="BV179" s="462">
        <f>IF(AT179&lt;&gt;0,WCBY*W179,0)</f>
        <v>861.02016000000003</v>
      </c>
      <c r="BW179" s="462">
        <f>IF(OR(AND(AT179&lt;&gt;0,AJ179&lt;&gt;"PF",AN179&lt;&gt;"NE",AG179&lt;&gt;"A"),AND(AL179="E",OR(AT179=1,AT179=3))),SickBY*W179,0)</f>
        <v>0</v>
      </c>
      <c r="BX179" s="462">
        <f t="shared" si="41"/>
        <v>10947.186432000002</v>
      </c>
      <c r="BY179" s="462">
        <f t="shared" si="42"/>
        <v>0</v>
      </c>
      <c r="BZ179" s="462">
        <f t="shared" si="43"/>
        <v>0</v>
      </c>
      <c r="CA179" s="462">
        <f t="shared" si="44"/>
        <v>0</v>
      </c>
      <c r="CB179" s="462">
        <f t="shared" si="45"/>
        <v>0</v>
      </c>
      <c r="CC179" s="462">
        <f>IF(AT179&lt;&gt;0,SSHICHG*Y179,0)</f>
        <v>0</v>
      </c>
      <c r="CD179" s="462">
        <f>IF(AND(AT179&lt;&gt;0,AN179&lt;&gt;"NE"),VLOOKUP(AN179,Retirement_Rates,5,FALSE)*Y179,0)</f>
        <v>0</v>
      </c>
      <c r="CE179" s="462">
        <f>IF(AND(AT179&lt;&gt;0,AJ179&lt;&gt;"PF"),LifeCHG*Y179,0)</f>
        <v>0</v>
      </c>
      <c r="CF179" s="462">
        <f>IF(AND(AT179&lt;&gt;0,AM179="Y"),UICHG*Y179,0)</f>
        <v>-239.71583999999999</v>
      </c>
      <c r="CG179" s="462">
        <f>IF(AND(AT179&lt;&gt;0,N179&lt;&gt;"NR"),DHRCHG*Y179,0)</f>
        <v>0</v>
      </c>
      <c r="CH179" s="462">
        <f>IF(AT179&lt;&gt;0,WCCHG*Y179,0)</f>
        <v>112.51968000000008</v>
      </c>
      <c r="CI179" s="462">
        <f>IF(OR(AND(AT179&lt;&gt;0,AJ179&lt;&gt;"PF",AN179&lt;&gt;"NE",AG179&lt;&gt;"A"),AND(AL179="E",OR(AT179=1,AT179=3))),SickCHG*Y179,0)</f>
        <v>0</v>
      </c>
      <c r="CJ179" s="462">
        <f t="shared" si="46"/>
        <v>-127.19615999999991</v>
      </c>
      <c r="CK179" s="462" t="str">
        <f t="shared" si="47"/>
        <v/>
      </c>
      <c r="CL179" s="462" t="str">
        <f t="shared" si="48"/>
        <v/>
      </c>
      <c r="CM179" s="462" t="str">
        <f t="shared" si="49"/>
        <v/>
      </c>
      <c r="CN179" s="462" t="str">
        <f t="shared" si="50"/>
        <v>0332-05</v>
      </c>
    </row>
    <row r="180" spans="1:92" ht="15" thickBot="1" x14ac:dyDescent="0.35">
      <c r="A180" s="376" t="s">
        <v>161</v>
      </c>
      <c r="B180" s="376" t="s">
        <v>162</v>
      </c>
      <c r="C180" s="376" t="s">
        <v>454</v>
      </c>
      <c r="D180" s="376" t="s">
        <v>287</v>
      </c>
      <c r="E180" s="376" t="s">
        <v>535</v>
      </c>
      <c r="F180" s="382" t="s">
        <v>659</v>
      </c>
      <c r="G180" s="376" t="s">
        <v>651</v>
      </c>
      <c r="H180" s="378"/>
      <c r="I180" s="378"/>
      <c r="J180" s="376" t="s">
        <v>455</v>
      </c>
      <c r="K180" s="376" t="s">
        <v>290</v>
      </c>
      <c r="L180" s="376" t="s">
        <v>166</v>
      </c>
      <c r="M180" s="376" t="s">
        <v>201</v>
      </c>
      <c r="N180" s="376" t="s">
        <v>291</v>
      </c>
      <c r="O180" s="379">
        <v>0</v>
      </c>
      <c r="P180" s="460">
        <v>0.05</v>
      </c>
      <c r="Q180" s="460">
        <v>0</v>
      </c>
      <c r="R180" s="380">
        <v>0</v>
      </c>
      <c r="S180" s="460">
        <v>0</v>
      </c>
      <c r="T180" s="380">
        <v>0</v>
      </c>
      <c r="U180" s="380">
        <v>0</v>
      </c>
      <c r="V180" s="380">
        <v>0</v>
      </c>
      <c r="W180" s="380">
        <v>0</v>
      </c>
      <c r="X180" s="380">
        <v>0</v>
      </c>
      <c r="Y180" s="380">
        <v>0</v>
      </c>
      <c r="Z180" s="380">
        <v>0</v>
      </c>
      <c r="AA180" s="378"/>
      <c r="AB180" s="376" t="s">
        <v>45</v>
      </c>
      <c r="AC180" s="376" t="s">
        <v>45</v>
      </c>
      <c r="AD180" s="378"/>
      <c r="AE180" s="378"/>
      <c r="AF180" s="378"/>
      <c r="AG180" s="378"/>
      <c r="AH180" s="379">
        <v>0</v>
      </c>
      <c r="AI180" s="379">
        <v>0</v>
      </c>
      <c r="AJ180" s="378"/>
      <c r="AK180" s="378"/>
      <c r="AL180" s="376" t="s">
        <v>180</v>
      </c>
      <c r="AM180" s="378"/>
      <c r="AN180" s="378"/>
      <c r="AO180" s="379">
        <v>0</v>
      </c>
      <c r="AP180" s="460">
        <v>0</v>
      </c>
      <c r="AQ180" s="460">
        <v>0</v>
      </c>
      <c r="AR180" s="459"/>
      <c r="AS180" s="462">
        <f t="shared" si="34"/>
        <v>0</v>
      </c>
      <c r="AT180">
        <f t="shared" si="35"/>
        <v>0</v>
      </c>
      <c r="AU180" s="462" t="str">
        <f>IF(AT180=0,"",IF(AND(AT180=1,M180="F",SUMIF(C2:C698,C180,AS2:AS698)&lt;=1),SUMIF(C2:C698,C180,AS2:AS698),IF(AND(AT180=1,M180="F",SUMIF(C2:C698,C180,AS2:AS698)&gt;1),1,"")))</f>
        <v/>
      </c>
      <c r="AV180" s="462" t="str">
        <f>IF(AT180=0,"",IF(AND(AT180=3,M180="F",SUMIF(C2:C698,C180,AS2:AS698)&lt;=1),SUMIF(C2:C698,C180,AS2:AS698),IF(AND(AT180=3,M180="F",SUMIF(C2:C698,C180,AS2:AS698)&gt;1),1,"")))</f>
        <v/>
      </c>
      <c r="AW180" s="462">
        <f>SUMIF(C2:C698,C180,O2:O698)</f>
        <v>0</v>
      </c>
      <c r="AX180" s="462">
        <f>IF(AND(M180="F",AS180&lt;&gt;0),SUMIF(C2:C698,C180,W2:W698),0)</f>
        <v>0</v>
      </c>
      <c r="AY180" s="462" t="str">
        <f t="shared" si="36"/>
        <v/>
      </c>
      <c r="AZ180" s="462" t="str">
        <f t="shared" si="37"/>
        <v/>
      </c>
      <c r="BA180" s="462">
        <f t="shared" si="38"/>
        <v>0</v>
      </c>
      <c r="BB180" s="462">
        <f>IF(AND(AT180=1,AK180="E",AU180&gt;=0.75,AW180=1),Health,IF(AND(AT180=1,AK180="E",AU180&gt;=0.75),Health*P180,IF(AND(AT180=1,AK180="E",AU180&gt;=0.5,AW180=1),PTHealth,IF(AND(AT180=1,AK180="E",AU180&gt;=0.5),PTHealth*P180,0))))</f>
        <v>0</v>
      </c>
      <c r="BC180" s="462">
        <f>IF(AND(AT180=3,AK180="E",AV180&gt;=0.75,AW180=1),Health,IF(AND(AT180=3,AK180="E",AV180&gt;=0.75),Health*P180,IF(AND(AT180=3,AK180="E",AV180&gt;=0.5,AW180=1),PTHealth,IF(AND(AT180=3,AK180="E",AV180&gt;=0.5),PTHealth*P180,0))))</f>
        <v>0</v>
      </c>
      <c r="BD180" s="462">
        <f>IF(AND(AT180&lt;&gt;0,AX180&gt;=MAXSSDI),SSDI*MAXSSDI*P180,IF(AT180&lt;&gt;0,SSDI*W180,0))</f>
        <v>0</v>
      </c>
      <c r="BE180" s="462">
        <f>IF(AT180&lt;&gt;0,SSHI*W180,0)</f>
        <v>0</v>
      </c>
      <c r="BF180" s="462">
        <f>IF(AND(AT180&lt;&gt;0,AN180&lt;&gt;"NE"),VLOOKUP(AN180,Retirement_Rates,3,FALSE)*W180,0)</f>
        <v>0</v>
      </c>
      <c r="BG180" s="462">
        <f>IF(AND(AT180&lt;&gt;0,AJ180&lt;&gt;"PF"),Life*W180,0)</f>
        <v>0</v>
      </c>
      <c r="BH180" s="462">
        <f>IF(AND(AT180&lt;&gt;0,AM180="Y"),UI*W180,0)</f>
        <v>0</v>
      </c>
      <c r="BI180" s="462">
        <f>IF(AND(AT180&lt;&gt;0,N180&lt;&gt;"NR"),DHR*W180,0)</f>
        <v>0</v>
      </c>
      <c r="BJ180" s="462">
        <f>IF(AT180&lt;&gt;0,WC*W180,0)</f>
        <v>0</v>
      </c>
      <c r="BK180" s="462">
        <f>IF(OR(AND(AT180&lt;&gt;0,AJ180&lt;&gt;"PF",AN180&lt;&gt;"NE",AG180&lt;&gt;"A"),AND(AL180="E",OR(AT180=1,AT180=3))),Sick*W180,0)</f>
        <v>0</v>
      </c>
      <c r="BL180" s="462">
        <f t="shared" si="39"/>
        <v>0</v>
      </c>
      <c r="BM180" s="462">
        <f t="shared" si="40"/>
        <v>0</v>
      </c>
      <c r="BN180" s="462">
        <f>IF(AND(AT180=1,AK180="E",AU180&gt;=0.75,AW180=1),HealthBY,IF(AND(AT180=1,AK180="E",AU180&gt;=0.75),HealthBY*P180,IF(AND(AT180=1,AK180="E",AU180&gt;=0.5,AW180=1),PTHealthBY,IF(AND(AT180=1,AK180="E",AU180&gt;=0.5),PTHealthBY*P180,0))))</f>
        <v>0</v>
      </c>
      <c r="BO180" s="462">
        <f>IF(AND(AT180=3,AK180="E",AV180&gt;=0.75,AW180=1),HealthBY,IF(AND(AT180=3,AK180="E",AV180&gt;=0.75),HealthBY*P180,IF(AND(AT180=3,AK180="E",AV180&gt;=0.5,AW180=1),PTHealthBY,IF(AND(AT180=3,AK180="E",AV180&gt;=0.5),PTHealthBY*P180,0))))</f>
        <v>0</v>
      </c>
      <c r="BP180" s="462">
        <f>IF(AND(AT180&lt;&gt;0,(AX180+BA180)&gt;=MAXSSDIBY),SSDIBY*MAXSSDIBY*P180,IF(AT180&lt;&gt;0,SSDIBY*W180,0))</f>
        <v>0</v>
      </c>
      <c r="BQ180" s="462">
        <f>IF(AT180&lt;&gt;0,SSHIBY*W180,0)</f>
        <v>0</v>
      </c>
      <c r="BR180" s="462">
        <f>IF(AND(AT180&lt;&gt;0,AN180&lt;&gt;"NE"),VLOOKUP(AN180,Retirement_Rates,4,FALSE)*W180,0)</f>
        <v>0</v>
      </c>
      <c r="BS180" s="462">
        <f>IF(AND(AT180&lt;&gt;0,AJ180&lt;&gt;"PF"),LifeBY*W180,0)</f>
        <v>0</v>
      </c>
      <c r="BT180" s="462">
        <f>IF(AND(AT180&lt;&gt;0,AM180="Y"),UIBY*W180,0)</f>
        <v>0</v>
      </c>
      <c r="BU180" s="462">
        <f>IF(AND(AT180&lt;&gt;0,N180&lt;&gt;"NR"),DHRBY*W180,0)</f>
        <v>0</v>
      </c>
      <c r="BV180" s="462">
        <f>IF(AT180&lt;&gt;0,WCBY*W180,0)</f>
        <v>0</v>
      </c>
      <c r="BW180" s="462">
        <f>IF(OR(AND(AT180&lt;&gt;0,AJ180&lt;&gt;"PF",AN180&lt;&gt;"NE",AG180&lt;&gt;"A"),AND(AL180="E",OR(AT180=1,AT180=3))),SickBY*W180,0)</f>
        <v>0</v>
      </c>
      <c r="BX180" s="462">
        <f t="shared" si="41"/>
        <v>0</v>
      </c>
      <c r="BY180" s="462">
        <f t="shared" si="42"/>
        <v>0</v>
      </c>
      <c r="BZ180" s="462">
        <f t="shared" si="43"/>
        <v>0</v>
      </c>
      <c r="CA180" s="462">
        <f t="shared" si="44"/>
        <v>0</v>
      </c>
      <c r="CB180" s="462">
        <f t="shared" si="45"/>
        <v>0</v>
      </c>
      <c r="CC180" s="462">
        <f>IF(AT180&lt;&gt;0,SSHICHG*Y180,0)</f>
        <v>0</v>
      </c>
      <c r="CD180" s="462">
        <f>IF(AND(AT180&lt;&gt;0,AN180&lt;&gt;"NE"),VLOOKUP(AN180,Retirement_Rates,5,FALSE)*Y180,0)</f>
        <v>0</v>
      </c>
      <c r="CE180" s="462">
        <f>IF(AND(AT180&lt;&gt;0,AJ180&lt;&gt;"PF"),LifeCHG*Y180,0)</f>
        <v>0</v>
      </c>
      <c r="CF180" s="462">
        <f>IF(AND(AT180&lt;&gt;0,AM180="Y"),UICHG*Y180,0)</f>
        <v>0</v>
      </c>
      <c r="CG180" s="462">
        <f>IF(AND(AT180&lt;&gt;0,N180&lt;&gt;"NR"),DHRCHG*Y180,0)</f>
        <v>0</v>
      </c>
      <c r="CH180" s="462">
        <f>IF(AT180&lt;&gt;0,WCCHG*Y180,0)</f>
        <v>0</v>
      </c>
      <c r="CI180" s="462">
        <f>IF(OR(AND(AT180&lt;&gt;0,AJ180&lt;&gt;"PF",AN180&lt;&gt;"NE",AG180&lt;&gt;"A"),AND(AL180="E",OR(AT180=1,AT180=3))),SickCHG*Y180,0)</f>
        <v>0</v>
      </c>
      <c r="CJ180" s="462">
        <f t="shared" si="46"/>
        <v>0</v>
      </c>
      <c r="CK180" s="462" t="str">
        <f t="shared" si="47"/>
        <v/>
      </c>
      <c r="CL180" s="462">
        <f t="shared" si="48"/>
        <v>0</v>
      </c>
      <c r="CM180" s="462">
        <f t="shared" si="49"/>
        <v>0</v>
      </c>
      <c r="CN180" s="462" t="str">
        <f t="shared" si="50"/>
        <v>0332-05</v>
      </c>
    </row>
    <row r="181" spans="1:92" ht="15" thickBot="1" x14ac:dyDescent="0.35">
      <c r="A181" s="376" t="s">
        <v>161</v>
      </c>
      <c r="B181" s="376" t="s">
        <v>162</v>
      </c>
      <c r="C181" s="376" t="s">
        <v>704</v>
      </c>
      <c r="D181" s="376" t="s">
        <v>250</v>
      </c>
      <c r="E181" s="376" t="s">
        <v>535</v>
      </c>
      <c r="F181" s="382" t="s">
        <v>659</v>
      </c>
      <c r="G181" s="376" t="s">
        <v>651</v>
      </c>
      <c r="H181" s="378"/>
      <c r="I181" s="378"/>
      <c r="J181" s="376" t="s">
        <v>168</v>
      </c>
      <c r="K181" s="376" t="s">
        <v>407</v>
      </c>
      <c r="L181" s="376" t="s">
        <v>247</v>
      </c>
      <c r="M181" s="376" t="s">
        <v>170</v>
      </c>
      <c r="N181" s="376" t="s">
        <v>202</v>
      </c>
      <c r="O181" s="379">
        <v>1</v>
      </c>
      <c r="P181" s="460">
        <v>1</v>
      </c>
      <c r="Q181" s="460">
        <v>1</v>
      </c>
      <c r="R181" s="380">
        <v>80</v>
      </c>
      <c r="S181" s="460">
        <v>1</v>
      </c>
      <c r="T181" s="380">
        <v>50274.81</v>
      </c>
      <c r="U181" s="380">
        <v>0</v>
      </c>
      <c r="V181" s="380">
        <v>20658.939999999999</v>
      </c>
      <c r="W181" s="380">
        <v>60340.800000000003</v>
      </c>
      <c r="X181" s="380">
        <v>25309.31</v>
      </c>
      <c r="Y181" s="380">
        <v>60340.800000000003</v>
      </c>
      <c r="Z181" s="380">
        <v>25152.43</v>
      </c>
      <c r="AA181" s="376" t="s">
        <v>705</v>
      </c>
      <c r="AB181" s="376" t="s">
        <v>706</v>
      </c>
      <c r="AC181" s="376" t="s">
        <v>231</v>
      </c>
      <c r="AD181" s="376" t="s">
        <v>215</v>
      </c>
      <c r="AE181" s="376" t="s">
        <v>407</v>
      </c>
      <c r="AF181" s="376" t="s">
        <v>299</v>
      </c>
      <c r="AG181" s="376" t="s">
        <v>177</v>
      </c>
      <c r="AH181" s="381">
        <v>29.01</v>
      </c>
      <c r="AI181" s="379">
        <v>15000</v>
      </c>
      <c r="AJ181" s="376" t="s">
        <v>178</v>
      </c>
      <c r="AK181" s="376" t="s">
        <v>179</v>
      </c>
      <c r="AL181" s="376" t="s">
        <v>180</v>
      </c>
      <c r="AM181" s="376" t="s">
        <v>181</v>
      </c>
      <c r="AN181" s="376" t="s">
        <v>68</v>
      </c>
      <c r="AO181" s="379">
        <v>80</v>
      </c>
      <c r="AP181" s="460">
        <v>1</v>
      </c>
      <c r="AQ181" s="460">
        <v>1</v>
      </c>
      <c r="AR181" s="458" t="s">
        <v>182</v>
      </c>
      <c r="AS181" s="462">
        <f t="shared" si="34"/>
        <v>1</v>
      </c>
      <c r="AT181">
        <f t="shared" si="35"/>
        <v>1</v>
      </c>
      <c r="AU181" s="462">
        <f>IF(AT181=0,"",IF(AND(AT181=1,M181="F",SUMIF(C2:C698,C181,AS2:AS698)&lt;=1),SUMIF(C2:C698,C181,AS2:AS698),IF(AND(AT181=1,M181="F",SUMIF(C2:C698,C181,AS2:AS698)&gt;1),1,"")))</f>
        <v>1</v>
      </c>
      <c r="AV181" s="462" t="str">
        <f>IF(AT181=0,"",IF(AND(AT181=3,M181="F",SUMIF(C2:C698,C181,AS2:AS698)&lt;=1),SUMIF(C2:C698,C181,AS2:AS698),IF(AND(AT181=3,M181="F",SUMIF(C2:C698,C181,AS2:AS698)&gt;1),1,"")))</f>
        <v/>
      </c>
      <c r="AW181" s="462">
        <f>SUMIF(C2:C698,C181,O2:O698)</f>
        <v>2</v>
      </c>
      <c r="AX181" s="462">
        <f>IF(AND(M181="F",AS181&lt;&gt;0),SUMIF(C2:C698,C181,W2:W698),0)</f>
        <v>60340.800000000003</v>
      </c>
      <c r="AY181" s="462">
        <f t="shared" si="36"/>
        <v>60340.800000000003</v>
      </c>
      <c r="AZ181" s="462" t="str">
        <f t="shared" si="37"/>
        <v/>
      </c>
      <c r="BA181" s="462">
        <f t="shared" si="38"/>
        <v>0</v>
      </c>
      <c r="BB181" s="462">
        <f>IF(AND(AT181=1,AK181="E",AU181&gt;=0.75,AW181=1),Health,IF(AND(AT181=1,AK181="E",AU181&gt;=0.75),Health*P181,IF(AND(AT181=1,AK181="E",AU181&gt;=0.5,AW181=1),PTHealth,IF(AND(AT181=1,AK181="E",AU181&gt;=0.5),PTHealth*P181,0))))</f>
        <v>11650</v>
      </c>
      <c r="BC181" s="462">
        <f>IF(AND(AT181=3,AK181="E",AV181&gt;=0.75,AW181=1),Health,IF(AND(AT181=3,AK181="E",AV181&gt;=0.75),Health*P181,IF(AND(AT181=3,AK181="E",AV181&gt;=0.5,AW181=1),PTHealth,IF(AND(AT181=3,AK181="E",AV181&gt;=0.5),PTHealth*P181,0))))</f>
        <v>0</v>
      </c>
      <c r="BD181" s="462">
        <f>IF(AND(AT181&lt;&gt;0,AX181&gt;=MAXSSDI),SSDI*MAXSSDI*P181,IF(AT181&lt;&gt;0,SSDI*W181,0))</f>
        <v>3741.1296000000002</v>
      </c>
      <c r="BE181" s="462">
        <f>IF(AT181&lt;&gt;0,SSHI*W181,0)</f>
        <v>874.94160000000011</v>
      </c>
      <c r="BF181" s="462">
        <f>IF(AND(AT181&lt;&gt;0,AN181&lt;&gt;"NE"),VLOOKUP(AN181,Retirement_Rates,3,FALSE)*W181,0)</f>
        <v>7204.6915200000003</v>
      </c>
      <c r="BG181" s="462">
        <f>IF(AND(AT181&lt;&gt;0,AJ181&lt;&gt;"PF"),Life*W181,0)</f>
        <v>435.05716800000005</v>
      </c>
      <c r="BH181" s="462">
        <f>IF(AND(AT181&lt;&gt;0,AM181="Y"),UI*W181,0)</f>
        <v>295.66991999999999</v>
      </c>
      <c r="BI181" s="462">
        <f>IF(AND(AT181&lt;&gt;0,N181&lt;&gt;"NR"),DHR*W181,0)</f>
        <v>184.64284799999999</v>
      </c>
      <c r="BJ181" s="462">
        <f>IF(AT181&lt;&gt;0,WC*W181,0)</f>
        <v>923.21424000000002</v>
      </c>
      <c r="BK181" s="462">
        <f>IF(OR(AND(AT181&lt;&gt;0,AJ181&lt;&gt;"PF",AN181&lt;&gt;"NE",AG181&lt;&gt;"A"),AND(AL181="E",OR(AT181=1,AT181=3))),Sick*W181,0)</f>
        <v>0</v>
      </c>
      <c r="BL181" s="462">
        <f t="shared" si="39"/>
        <v>13659.346895999999</v>
      </c>
      <c r="BM181" s="462">
        <f t="shared" si="40"/>
        <v>0</v>
      </c>
      <c r="BN181" s="462">
        <f>IF(AND(AT181=1,AK181="E",AU181&gt;=0.75,AW181=1),HealthBY,IF(AND(AT181=1,AK181="E",AU181&gt;=0.75),HealthBY*P181,IF(AND(AT181=1,AK181="E",AU181&gt;=0.5,AW181=1),PTHealthBY,IF(AND(AT181=1,AK181="E",AU181&gt;=0.5),PTHealthBY*P181,0))))</f>
        <v>11650</v>
      </c>
      <c r="BO181" s="462">
        <f>IF(AND(AT181=3,AK181="E",AV181&gt;=0.75,AW181=1),HealthBY,IF(AND(AT181=3,AK181="E",AV181&gt;=0.75),HealthBY*P181,IF(AND(AT181=3,AK181="E",AV181&gt;=0.5,AW181=1),PTHealthBY,IF(AND(AT181=3,AK181="E",AV181&gt;=0.5),PTHealthBY*P181,0))))</f>
        <v>0</v>
      </c>
      <c r="BP181" s="462">
        <f>IF(AND(AT181&lt;&gt;0,(AX181+BA181)&gt;=MAXSSDIBY),SSDIBY*MAXSSDIBY*P181,IF(AT181&lt;&gt;0,SSDIBY*W181,0))</f>
        <v>3741.1296000000002</v>
      </c>
      <c r="BQ181" s="462">
        <f>IF(AT181&lt;&gt;0,SSHIBY*W181,0)</f>
        <v>874.94160000000011</v>
      </c>
      <c r="BR181" s="462">
        <f>IF(AND(AT181&lt;&gt;0,AN181&lt;&gt;"NE"),VLOOKUP(AN181,Retirement_Rates,4,FALSE)*W181,0)</f>
        <v>7204.6915200000003</v>
      </c>
      <c r="BS181" s="462">
        <f>IF(AND(AT181&lt;&gt;0,AJ181&lt;&gt;"PF"),LifeBY*W181,0)</f>
        <v>435.05716800000005</v>
      </c>
      <c r="BT181" s="462">
        <f>IF(AND(AT181&lt;&gt;0,AM181="Y"),UIBY*W181,0)</f>
        <v>0</v>
      </c>
      <c r="BU181" s="462">
        <f>IF(AND(AT181&lt;&gt;0,N181&lt;&gt;"NR"),DHRBY*W181,0)</f>
        <v>184.64284799999999</v>
      </c>
      <c r="BV181" s="462">
        <f>IF(AT181&lt;&gt;0,WCBY*W181,0)</f>
        <v>1061.9980800000001</v>
      </c>
      <c r="BW181" s="462">
        <f>IF(OR(AND(AT181&lt;&gt;0,AJ181&lt;&gt;"PF",AN181&lt;&gt;"NE",AG181&lt;&gt;"A"),AND(AL181="E",OR(AT181=1,AT181=3))),SickBY*W181,0)</f>
        <v>0</v>
      </c>
      <c r="BX181" s="462">
        <f t="shared" si="41"/>
        <v>13502.460815999999</v>
      </c>
      <c r="BY181" s="462">
        <f t="shared" si="42"/>
        <v>0</v>
      </c>
      <c r="BZ181" s="462">
        <f t="shared" si="43"/>
        <v>0</v>
      </c>
      <c r="CA181" s="462">
        <f t="shared" si="44"/>
        <v>0</v>
      </c>
      <c r="CB181" s="462">
        <f t="shared" si="45"/>
        <v>0</v>
      </c>
      <c r="CC181" s="462">
        <f>IF(AT181&lt;&gt;0,SSHICHG*Y181,0)</f>
        <v>0</v>
      </c>
      <c r="CD181" s="462">
        <f>IF(AND(AT181&lt;&gt;0,AN181&lt;&gt;"NE"),VLOOKUP(AN181,Retirement_Rates,5,FALSE)*Y181,0)</f>
        <v>0</v>
      </c>
      <c r="CE181" s="462">
        <f>IF(AND(AT181&lt;&gt;0,AJ181&lt;&gt;"PF"),LifeCHG*Y181,0)</f>
        <v>0</v>
      </c>
      <c r="CF181" s="462">
        <f>IF(AND(AT181&lt;&gt;0,AM181="Y"),UICHG*Y181,0)</f>
        <v>-295.66991999999999</v>
      </c>
      <c r="CG181" s="462">
        <f>IF(AND(AT181&lt;&gt;0,N181&lt;&gt;"NR"),DHRCHG*Y181,0)</f>
        <v>0</v>
      </c>
      <c r="CH181" s="462">
        <f>IF(AT181&lt;&gt;0,WCCHG*Y181,0)</f>
        <v>138.78384000000011</v>
      </c>
      <c r="CI181" s="462">
        <f>IF(OR(AND(AT181&lt;&gt;0,AJ181&lt;&gt;"PF",AN181&lt;&gt;"NE",AG181&lt;&gt;"A"),AND(AL181="E",OR(AT181=1,AT181=3))),SickCHG*Y181,0)</f>
        <v>0</v>
      </c>
      <c r="CJ181" s="462">
        <f t="shared" si="46"/>
        <v>-156.88607999999988</v>
      </c>
      <c r="CK181" s="462" t="str">
        <f t="shared" si="47"/>
        <v/>
      </c>
      <c r="CL181" s="462" t="str">
        <f t="shared" si="48"/>
        <v/>
      </c>
      <c r="CM181" s="462" t="str">
        <f t="shared" si="49"/>
        <v/>
      </c>
      <c r="CN181" s="462" t="str">
        <f t="shared" si="50"/>
        <v>0332-05</v>
      </c>
    </row>
    <row r="182" spans="1:92" ht="15" thickBot="1" x14ac:dyDescent="0.35">
      <c r="A182" s="376" t="s">
        <v>161</v>
      </c>
      <c r="B182" s="376" t="s">
        <v>162</v>
      </c>
      <c r="C182" s="376" t="s">
        <v>707</v>
      </c>
      <c r="D182" s="376" t="s">
        <v>250</v>
      </c>
      <c r="E182" s="376" t="s">
        <v>535</v>
      </c>
      <c r="F182" s="382" t="s">
        <v>659</v>
      </c>
      <c r="G182" s="376" t="s">
        <v>651</v>
      </c>
      <c r="H182" s="378"/>
      <c r="I182" s="378"/>
      <c r="J182" s="376" t="s">
        <v>168</v>
      </c>
      <c r="K182" s="376" t="s">
        <v>251</v>
      </c>
      <c r="L182" s="376" t="s">
        <v>180</v>
      </c>
      <c r="M182" s="376" t="s">
        <v>170</v>
      </c>
      <c r="N182" s="376" t="s">
        <v>202</v>
      </c>
      <c r="O182" s="379">
        <v>1</v>
      </c>
      <c r="P182" s="460">
        <v>1</v>
      </c>
      <c r="Q182" s="460">
        <v>1</v>
      </c>
      <c r="R182" s="380">
        <v>80</v>
      </c>
      <c r="S182" s="460">
        <v>1</v>
      </c>
      <c r="T182" s="380">
        <v>37472.86</v>
      </c>
      <c r="U182" s="380">
        <v>0</v>
      </c>
      <c r="V182" s="380">
        <v>14390.29</v>
      </c>
      <c r="W182" s="380">
        <v>65083.199999999997</v>
      </c>
      <c r="X182" s="380">
        <v>26382.84</v>
      </c>
      <c r="Y182" s="380">
        <v>65083.199999999997</v>
      </c>
      <c r="Z182" s="380">
        <v>26213.63</v>
      </c>
      <c r="AA182" s="376" t="s">
        <v>708</v>
      </c>
      <c r="AB182" s="376" t="s">
        <v>709</v>
      </c>
      <c r="AC182" s="376" t="s">
        <v>710</v>
      </c>
      <c r="AD182" s="376" t="s">
        <v>215</v>
      </c>
      <c r="AE182" s="376" t="s">
        <v>251</v>
      </c>
      <c r="AF182" s="376" t="s">
        <v>256</v>
      </c>
      <c r="AG182" s="376" t="s">
        <v>177</v>
      </c>
      <c r="AH182" s="381">
        <v>31.29</v>
      </c>
      <c r="AI182" s="381">
        <v>5560.5</v>
      </c>
      <c r="AJ182" s="376" t="s">
        <v>178</v>
      </c>
      <c r="AK182" s="376" t="s">
        <v>179</v>
      </c>
      <c r="AL182" s="376" t="s">
        <v>180</v>
      </c>
      <c r="AM182" s="376" t="s">
        <v>181</v>
      </c>
      <c r="AN182" s="376" t="s">
        <v>68</v>
      </c>
      <c r="AO182" s="379">
        <v>80</v>
      </c>
      <c r="AP182" s="460">
        <v>1</v>
      </c>
      <c r="AQ182" s="460">
        <v>1</v>
      </c>
      <c r="AR182" s="458" t="s">
        <v>182</v>
      </c>
      <c r="AS182" s="462">
        <f t="shared" si="34"/>
        <v>1</v>
      </c>
      <c r="AT182">
        <f t="shared" si="35"/>
        <v>1</v>
      </c>
      <c r="AU182" s="462">
        <f>IF(AT182=0,"",IF(AND(AT182=1,M182="F",SUMIF(C2:C698,C182,AS2:AS698)&lt;=1),SUMIF(C2:C698,C182,AS2:AS698),IF(AND(AT182=1,M182="F",SUMIF(C2:C698,C182,AS2:AS698)&gt;1),1,"")))</f>
        <v>1</v>
      </c>
      <c r="AV182" s="462" t="str">
        <f>IF(AT182=0,"",IF(AND(AT182=3,M182="F",SUMIF(C2:C698,C182,AS2:AS698)&lt;=1),SUMIF(C2:C698,C182,AS2:AS698),IF(AND(AT182=3,M182="F",SUMIF(C2:C698,C182,AS2:AS698)&gt;1),1,"")))</f>
        <v/>
      </c>
      <c r="AW182" s="462">
        <f>SUMIF(C2:C698,C182,O2:O698)</f>
        <v>2</v>
      </c>
      <c r="AX182" s="462">
        <f>IF(AND(M182="F",AS182&lt;&gt;0),SUMIF(C2:C698,C182,W2:W698),0)</f>
        <v>65083.199999999997</v>
      </c>
      <c r="AY182" s="462">
        <f t="shared" si="36"/>
        <v>65083.199999999997</v>
      </c>
      <c r="AZ182" s="462" t="str">
        <f t="shared" si="37"/>
        <v/>
      </c>
      <c r="BA182" s="462">
        <f t="shared" si="38"/>
        <v>0</v>
      </c>
      <c r="BB182" s="462">
        <f>IF(AND(AT182=1,AK182="E",AU182&gt;=0.75,AW182=1),Health,IF(AND(AT182=1,AK182="E",AU182&gt;=0.75),Health*P182,IF(AND(AT182=1,AK182="E",AU182&gt;=0.5,AW182=1),PTHealth,IF(AND(AT182=1,AK182="E",AU182&gt;=0.5),PTHealth*P182,0))))</f>
        <v>11650</v>
      </c>
      <c r="BC182" s="462">
        <f>IF(AND(AT182=3,AK182="E",AV182&gt;=0.75,AW182=1),Health,IF(AND(AT182=3,AK182="E",AV182&gt;=0.75),Health*P182,IF(AND(AT182=3,AK182="E",AV182&gt;=0.5,AW182=1),PTHealth,IF(AND(AT182=3,AK182="E",AV182&gt;=0.5),PTHealth*P182,0))))</f>
        <v>0</v>
      </c>
      <c r="BD182" s="462">
        <f>IF(AND(AT182&lt;&gt;0,AX182&gt;=MAXSSDI),SSDI*MAXSSDI*P182,IF(AT182&lt;&gt;0,SSDI*W182,0))</f>
        <v>4035.1583999999998</v>
      </c>
      <c r="BE182" s="462">
        <f>IF(AT182&lt;&gt;0,SSHI*W182,0)</f>
        <v>943.70640000000003</v>
      </c>
      <c r="BF182" s="462">
        <f>IF(AND(AT182&lt;&gt;0,AN182&lt;&gt;"NE"),VLOOKUP(AN182,Retirement_Rates,3,FALSE)*W182,0)</f>
        <v>7770.93408</v>
      </c>
      <c r="BG182" s="462">
        <f>IF(AND(AT182&lt;&gt;0,AJ182&lt;&gt;"PF"),Life*W182,0)</f>
        <v>469.24987199999998</v>
      </c>
      <c r="BH182" s="462">
        <f>IF(AND(AT182&lt;&gt;0,AM182="Y"),UI*W182,0)</f>
        <v>318.90767999999997</v>
      </c>
      <c r="BI182" s="462">
        <f>IF(AND(AT182&lt;&gt;0,N182&lt;&gt;"NR"),DHR*W182,0)</f>
        <v>199.15459199999998</v>
      </c>
      <c r="BJ182" s="462">
        <f>IF(AT182&lt;&gt;0,WC*W182,0)</f>
        <v>995.7729599999999</v>
      </c>
      <c r="BK182" s="462">
        <f>IF(OR(AND(AT182&lt;&gt;0,AJ182&lt;&gt;"PF",AN182&lt;&gt;"NE",AG182&lt;&gt;"A"),AND(AL182="E",OR(AT182=1,AT182=3))),Sick*W182,0)</f>
        <v>0</v>
      </c>
      <c r="BL182" s="462">
        <f t="shared" si="39"/>
        <v>14732.883984</v>
      </c>
      <c r="BM182" s="462">
        <f t="shared" si="40"/>
        <v>0</v>
      </c>
      <c r="BN182" s="462">
        <f>IF(AND(AT182=1,AK182="E",AU182&gt;=0.75,AW182=1),HealthBY,IF(AND(AT182=1,AK182="E",AU182&gt;=0.75),HealthBY*P182,IF(AND(AT182=1,AK182="E",AU182&gt;=0.5,AW182=1),PTHealthBY,IF(AND(AT182=1,AK182="E",AU182&gt;=0.5),PTHealthBY*P182,0))))</f>
        <v>11650</v>
      </c>
      <c r="BO182" s="462">
        <f>IF(AND(AT182=3,AK182="E",AV182&gt;=0.75,AW182=1),HealthBY,IF(AND(AT182=3,AK182="E",AV182&gt;=0.75),HealthBY*P182,IF(AND(AT182=3,AK182="E",AV182&gt;=0.5,AW182=1),PTHealthBY,IF(AND(AT182=3,AK182="E",AV182&gt;=0.5),PTHealthBY*P182,0))))</f>
        <v>0</v>
      </c>
      <c r="BP182" s="462">
        <f>IF(AND(AT182&lt;&gt;0,(AX182+BA182)&gt;=MAXSSDIBY),SSDIBY*MAXSSDIBY*P182,IF(AT182&lt;&gt;0,SSDIBY*W182,0))</f>
        <v>4035.1583999999998</v>
      </c>
      <c r="BQ182" s="462">
        <f>IF(AT182&lt;&gt;0,SSHIBY*W182,0)</f>
        <v>943.70640000000003</v>
      </c>
      <c r="BR182" s="462">
        <f>IF(AND(AT182&lt;&gt;0,AN182&lt;&gt;"NE"),VLOOKUP(AN182,Retirement_Rates,4,FALSE)*W182,0)</f>
        <v>7770.93408</v>
      </c>
      <c r="BS182" s="462">
        <f>IF(AND(AT182&lt;&gt;0,AJ182&lt;&gt;"PF"),LifeBY*W182,0)</f>
        <v>469.24987199999998</v>
      </c>
      <c r="BT182" s="462">
        <f>IF(AND(AT182&lt;&gt;0,AM182="Y"),UIBY*W182,0)</f>
        <v>0</v>
      </c>
      <c r="BU182" s="462">
        <f>IF(AND(AT182&lt;&gt;0,N182&lt;&gt;"NR"),DHRBY*W182,0)</f>
        <v>199.15459199999998</v>
      </c>
      <c r="BV182" s="462">
        <f>IF(AT182&lt;&gt;0,WCBY*W182,0)</f>
        <v>1145.46432</v>
      </c>
      <c r="BW182" s="462">
        <f>IF(OR(AND(AT182&lt;&gt;0,AJ182&lt;&gt;"PF",AN182&lt;&gt;"NE",AG182&lt;&gt;"A"),AND(AL182="E",OR(AT182=1,AT182=3))),SickBY*W182,0)</f>
        <v>0</v>
      </c>
      <c r="BX182" s="462">
        <f t="shared" si="41"/>
        <v>14563.667664000001</v>
      </c>
      <c r="BY182" s="462">
        <f t="shared" si="42"/>
        <v>0</v>
      </c>
      <c r="BZ182" s="462">
        <f t="shared" si="43"/>
        <v>0</v>
      </c>
      <c r="CA182" s="462">
        <f t="shared" si="44"/>
        <v>0</v>
      </c>
      <c r="CB182" s="462">
        <f t="shared" si="45"/>
        <v>0</v>
      </c>
      <c r="CC182" s="462">
        <f>IF(AT182&lt;&gt;0,SSHICHG*Y182,0)</f>
        <v>0</v>
      </c>
      <c r="CD182" s="462">
        <f>IF(AND(AT182&lt;&gt;0,AN182&lt;&gt;"NE"),VLOOKUP(AN182,Retirement_Rates,5,FALSE)*Y182,0)</f>
        <v>0</v>
      </c>
      <c r="CE182" s="462">
        <f>IF(AND(AT182&lt;&gt;0,AJ182&lt;&gt;"PF"),LifeCHG*Y182,0)</f>
        <v>0</v>
      </c>
      <c r="CF182" s="462">
        <f>IF(AND(AT182&lt;&gt;0,AM182="Y"),UICHG*Y182,0)</f>
        <v>-318.90767999999997</v>
      </c>
      <c r="CG182" s="462">
        <f>IF(AND(AT182&lt;&gt;0,N182&lt;&gt;"NR"),DHRCHG*Y182,0)</f>
        <v>0</v>
      </c>
      <c r="CH182" s="462">
        <f>IF(AT182&lt;&gt;0,WCCHG*Y182,0)</f>
        <v>149.69136000000012</v>
      </c>
      <c r="CI182" s="462">
        <f>IF(OR(AND(AT182&lt;&gt;0,AJ182&lt;&gt;"PF",AN182&lt;&gt;"NE",AG182&lt;&gt;"A"),AND(AL182="E",OR(AT182=1,AT182=3))),SickCHG*Y182,0)</f>
        <v>0</v>
      </c>
      <c r="CJ182" s="462">
        <f t="shared" si="46"/>
        <v>-169.21631999999985</v>
      </c>
      <c r="CK182" s="462" t="str">
        <f t="shared" si="47"/>
        <v/>
      </c>
      <c r="CL182" s="462" t="str">
        <f t="shared" si="48"/>
        <v/>
      </c>
      <c r="CM182" s="462" t="str">
        <f t="shared" si="49"/>
        <v/>
      </c>
      <c r="CN182" s="462" t="str">
        <f t="shared" si="50"/>
        <v>0332-05</v>
      </c>
    </row>
    <row r="183" spans="1:92" ht="15" thickBot="1" x14ac:dyDescent="0.35">
      <c r="A183" s="376" t="s">
        <v>161</v>
      </c>
      <c r="B183" s="376" t="s">
        <v>162</v>
      </c>
      <c r="C183" s="376" t="s">
        <v>711</v>
      </c>
      <c r="D183" s="376" t="s">
        <v>250</v>
      </c>
      <c r="E183" s="376" t="s">
        <v>535</v>
      </c>
      <c r="F183" s="382" t="s">
        <v>659</v>
      </c>
      <c r="G183" s="376" t="s">
        <v>651</v>
      </c>
      <c r="H183" s="378"/>
      <c r="I183" s="378"/>
      <c r="J183" s="376" t="s">
        <v>185</v>
      </c>
      <c r="K183" s="376" t="s">
        <v>407</v>
      </c>
      <c r="L183" s="376" t="s">
        <v>247</v>
      </c>
      <c r="M183" s="376" t="s">
        <v>170</v>
      </c>
      <c r="N183" s="376" t="s">
        <v>202</v>
      </c>
      <c r="O183" s="379">
        <v>1</v>
      </c>
      <c r="P183" s="460">
        <v>0.5</v>
      </c>
      <c r="Q183" s="460">
        <v>0.5</v>
      </c>
      <c r="R183" s="380">
        <v>80</v>
      </c>
      <c r="S183" s="460">
        <v>0.5</v>
      </c>
      <c r="T183" s="380">
        <v>271.89</v>
      </c>
      <c r="U183" s="380">
        <v>0</v>
      </c>
      <c r="V183" s="380">
        <v>-127.57</v>
      </c>
      <c r="W183" s="380">
        <v>29286.400000000001</v>
      </c>
      <c r="X183" s="380">
        <v>12454.54</v>
      </c>
      <c r="Y183" s="380">
        <v>29286.400000000001</v>
      </c>
      <c r="Z183" s="380">
        <v>12378.4</v>
      </c>
      <c r="AA183" s="376" t="s">
        <v>712</v>
      </c>
      <c r="AB183" s="376" t="s">
        <v>713</v>
      </c>
      <c r="AC183" s="376" t="s">
        <v>714</v>
      </c>
      <c r="AD183" s="376" t="s">
        <v>278</v>
      </c>
      <c r="AE183" s="376" t="s">
        <v>407</v>
      </c>
      <c r="AF183" s="376" t="s">
        <v>299</v>
      </c>
      <c r="AG183" s="376" t="s">
        <v>177</v>
      </c>
      <c r="AH183" s="381">
        <v>28.16</v>
      </c>
      <c r="AI183" s="381">
        <v>4619.7</v>
      </c>
      <c r="AJ183" s="376" t="s">
        <v>178</v>
      </c>
      <c r="AK183" s="376" t="s">
        <v>179</v>
      </c>
      <c r="AL183" s="376" t="s">
        <v>180</v>
      </c>
      <c r="AM183" s="376" t="s">
        <v>181</v>
      </c>
      <c r="AN183" s="376" t="s">
        <v>68</v>
      </c>
      <c r="AO183" s="379">
        <v>80</v>
      </c>
      <c r="AP183" s="460">
        <v>1</v>
      </c>
      <c r="AQ183" s="460">
        <v>0.5</v>
      </c>
      <c r="AR183" s="458" t="s">
        <v>182</v>
      </c>
      <c r="AS183" s="462">
        <f t="shared" si="34"/>
        <v>0.5</v>
      </c>
      <c r="AT183">
        <f t="shared" si="35"/>
        <v>1</v>
      </c>
      <c r="AU183" s="462">
        <f>IF(AT183=0,"",IF(AND(AT183=1,M183="F",SUMIF(C2:C698,C183,AS2:AS698)&lt;=1),SUMIF(C2:C698,C183,AS2:AS698),IF(AND(AT183=1,M183="F",SUMIF(C2:C698,C183,AS2:AS698)&gt;1),1,"")))</f>
        <v>1</v>
      </c>
      <c r="AV183" s="462" t="str">
        <f>IF(AT183=0,"",IF(AND(AT183=3,M183="F",SUMIF(C2:C698,C183,AS2:AS698)&lt;=1),SUMIF(C2:C698,C183,AS2:AS698),IF(AND(AT183=3,M183="F",SUMIF(C2:C698,C183,AS2:AS698)&gt;1),1,"")))</f>
        <v/>
      </c>
      <c r="AW183" s="462">
        <f>SUMIF(C2:C698,C183,O2:O698)</f>
        <v>4</v>
      </c>
      <c r="AX183" s="462">
        <f>IF(AND(M183="F",AS183&lt;&gt;0),SUMIF(C2:C698,C183,W2:W698),0)</f>
        <v>58572.800000000003</v>
      </c>
      <c r="AY183" s="462">
        <f t="shared" si="36"/>
        <v>29286.400000000001</v>
      </c>
      <c r="AZ183" s="462" t="str">
        <f t="shared" si="37"/>
        <v/>
      </c>
      <c r="BA183" s="462">
        <f t="shared" si="38"/>
        <v>0</v>
      </c>
      <c r="BB183" s="462">
        <f>IF(AND(AT183=1,AK183="E",AU183&gt;=0.75,AW183=1),Health,IF(AND(AT183=1,AK183="E",AU183&gt;=0.75),Health*P183,IF(AND(AT183=1,AK183="E",AU183&gt;=0.5,AW183=1),PTHealth,IF(AND(AT183=1,AK183="E",AU183&gt;=0.5),PTHealth*P183,0))))</f>
        <v>5825</v>
      </c>
      <c r="BC183" s="462">
        <f>IF(AND(AT183=3,AK183="E",AV183&gt;=0.75,AW183=1),Health,IF(AND(AT183=3,AK183="E",AV183&gt;=0.75),Health*P183,IF(AND(AT183=3,AK183="E",AV183&gt;=0.5,AW183=1),PTHealth,IF(AND(AT183=3,AK183="E",AV183&gt;=0.5),PTHealth*P183,0))))</f>
        <v>0</v>
      </c>
      <c r="BD183" s="462">
        <f>IF(AND(AT183&lt;&gt;0,AX183&gt;=MAXSSDI),SSDI*MAXSSDI*P183,IF(AT183&lt;&gt;0,SSDI*W183,0))</f>
        <v>1815.7568000000001</v>
      </c>
      <c r="BE183" s="462">
        <f>IF(AT183&lt;&gt;0,SSHI*W183,0)</f>
        <v>424.65280000000007</v>
      </c>
      <c r="BF183" s="462">
        <f>IF(AND(AT183&lt;&gt;0,AN183&lt;&gt;"NE"),VLOOKUP(AN183,Retirement_Rates,3,FALSE)*W183,0)</f>
        <v>3496.7961600000003</v>
      </c>
      <c r="BG183" s="462">
        <f>IF(AND(AT183&lt;&gt;0,AJ183&lt;&gt;"PF"),Life*W183,0)</f>
        <v>211.15494400000003</v>
      </c>
      <c r="BH183" s="462">
        <f>IF(AND(AT183&lt;&gt;0,AM183="Y"),UI*W183,0)</f>
        <v>143.50336000000001</v>
      </c>
      <c r="BI183" s="462">
        <f>IF(AND(AT183&lt;&gt;0,N183&lt;&gt;"NR"),DHR*W183,0)</f>
        <v>89.616383999999996</v>
      </c>
      <c r="BJ183" s="462">
        <f>IF(AT183&lt;&gt;0,WC*W183,0)</f>
        <v>448.08192000000003</v>
      </c>
      <c r="BK183" s="462">
        <f>IF(OR(AND(AT183&lt;&gt;0,AJ183&lt;&gt;"PF",AN183&lt;&gt;"NE",AG183&lt;&gt;"A"),AND(AL183="E",OR(AT183=1,AT183=3))),Sick*W183,0)</f>
        <v>0</v>
      </c>
      <c r="BL183" s="462">
        <f t="shared" si="39"/>
        <v>6629.5623679999999</v>
      </c>
      <c r="BM183" s="462">
        <f t="shared" si="40"/>
        <v>0</v>
      </c>
      <c r="BN183" s="462">
        <f>IF(AND(AT183=1,AK183="E",AU183&gt;=0.75,AW183=1),HealthBY,IF(AND(AT183=1,AK183="E",AU183&gt;=0.75),HealthBY*P183,IF(AND(AT183=1,AK183="E",AU183&gt;=0.5,AW183=1),PTHealthBY,IF(AND(AT183=1,AK183="E",AU183&gt;=0.5),PTHealthBY*P183,0))))</f>
        <v>5825</v>
      </c>
      <c r="BO183" s="462">
        <f>IF(AND(AT183=3,AK183="E",AV183&gt;=0.75,AW183=1),HealthBY,IF(AND(AT183=3,AK183="E",AV183&gt;=0.75),HealthBY*P183,IF(AND(AT183=3,AK183="E",AV183&gt;=0.5,AW183=1),PTHealthBY,IF(AND(AT183=3,AK183="E",AV183&gt;=0.5),PTHealthBY*P183,0))))</f>
        <v>0</v>
      </c>
      <c r="BP183" s="462">
        <f>IF(AND(AT183&lt;&gt;0,(AX183+BA183)&gt;=MAXSSDIBY),SSDIBY*MAXSSDIBY*P183,IF(AT183&lt;&gt;0,SSDIBY*W183,0))</f>
        <v>1815.7568000000001</v>
      </c>
      <c r="BQ183" s="462">
        <f>IF(AT183&lt;&gt;0,SSHIBY*W183,0)</f>
        <v>424.65280000000007</v>
      </c>
      <c r="BR183" s="462">
        <f>IF(AND(AT183&lt;&gt;0,AN183&lt;&gt;"NE"),VLOOKUP(AN183,Retirement_Rates,4,FALSE)*W183,0)</f>
        <v>3496.7961600000003</v>
      </c>
      <c r="BS183" s="462">
        <f>IF(AND(AT183&lt;&gt;0,AJ183&lt;&gt;"PF"),LifeBY*W183,0)</f>
        <v>211.15494400000003</v>
      </c>
      <c r="BT183" s="462">
        <f>IF(AND(AT183&lt;&gt;0,AM183="Y"),UIBY*W183,0)</f>
        <v>0</v>
      </c>
      <c r="BU183" s="462">
        <f>IF(AND(AT183&lt;&gt;0,N183&lt;&gt;"NR"),DHRBY*W183,0)</f>
        <v>89.616383999999996</v>
      </c>
      <c r="BV183" s="462">
        <f>IF(AT183&lt;&gt;0,WCBY*W183,0)</f>
        <v>515.44064000000003</v>
      </c>
      <c r="BW183" s="462">
        <f>IF(OR(AND(AT183&lt;&gt;0,AJ183&lt;&gt;"PF",AN183&lt;&gt;"NE",AG183&lt;&gt;"A"),AND(AL183="E",OR(AT183=1,AT183=3))),SickBY*W183,0)</f>
        <v>0</v>
      </c>
      <c r="BX183" s="462">
        <f t="shared" si="41"/>
        <v>6553.4177280000004</v>
      </c>
      <c r="BY183" s="462">
        <f t="shared" si="42"/>
        <v>0</v>
      </c>
      <c r="BZ183" s="462">
        <f t="shared" si="43"/>
        <v>0</v>
      </c>
      <c r="CA183" s="462">
        <f t="shared" si="44"/>
        <v>0</v>
      </c>
      <c r="CB183" s="462">
        <f t="shared" si="45"/>
        <v>0</v>
      </c>
      <c r="CC183" s="462">
        <f>IF(AT183&lt;&gt;0,SSHICHG*Y183,0)</f>
        <v>0</v>
      </c>
      <c r="CD183" s="462">
        <f>IF(AND(AT183&lt;&gt;0,AN183&lt;&gt;"NE"),VLOOKUP(AN183,Retirement_Rates,5,FALSE)*Y183,0)</f>
        <v>0</v>
      </c>
      <c r="CE183" s="462">
        <f>IF(AND(AT183&lt;&gt;0,AJ183&lt;&gt;"PF"),LifeCHG*Y183,0)</f>
        <v>0</v>
      </c>
      <c r="CF183" s="462">
        <f>IF(AND(AT183&lt;&gt;0,AM183="Y"),UICHG*Y183,0)</f>
        <v>-143.50336000000001</v>
      </c>
      <c r="CG183" s="462">
        <f>IF(AND(AT183&lt;&gt;0,N183&lt;&gt;"NR"),DHRCHG*Y183,0)</f>
        <v>0</v>
      </c>
      <c r="CH183" s="462">
        <f>IF(AT183&lt;&gt;0,WCCHG*Y183,0)</f>
        <v>67.358720000000048</v>
      </c>
      <c r="CI183" s="462">
        <f>IF(OR(AND(AT183&lt;&gt;0,AJ183&lt;&gt;"PF",AN183&lt;&gt;"NE",AG183&lt;&gt;"A"),AND(AL183="E",OR(AT183=1,AT183=3))),SickCHG*Y183,0)</f>
        <v>0</v>
      </c>
      <c r="CJ183" s="462">
        <f t="shared" si="46"/>
        <v>-76.144639999999967</v>
      </c>
      <c r="CK183" s="462" t="str">
        <f t="shared" si="47"/>
        <v/>
      </c>
      <c r="CL183" s="462" t="str">
        <f t="shared" si="48"/>
        <v/>
      </c>
      <c r="CM183" s="462" t="str">
        <f t="shared" si="49"/>
        <v/>
      </c>
      <c r="CN183" s="462" t="str">
        <f t="shared" si="50"/>
        <v>0332-05</v>
      </c>
    </row>
    <row r="184" spans="1:92" ht="15" thickBot="1" x14ac:dyDescent="0.35">
      <c r="A184" s="376" t="s">
        <v>161</v>
      </c>
      <c r="B184" s="376" t="s">
        <v>162</v>
      </c>
      <c r="C184" s="376" t="s">
        <v>293</v>
      </c>
      <c r="D184" s="376" t="s">
        <v>294</v>
      </c>
      <c r="E184" s="376" t="s">
        <v>535</v>
      </c>
      <c r="F184" s="382" t="s">
        <v>659</v>
      </c>
      <c r="G184" s="376" t="s">
        <v>651</v>
      </c>
      <c r="H184" s="378"/>
      <c r="I184" s="378"/>
      <c r="J184" s="376" t="s">
        <v>185</v>
      </c>
      <c r="K184" s="376" t="s">
        <v>295</v>
      </c>
      <c r="L184" s="376" t="s">
        <v>247</v>
      </c>
      <c r="M184" s="376" t="s">
        <v>170</v>
      </c>
      <c r="N184" s="376" t="s">
        <v>202</v>
      </c>
      <c r="O184" s="379">
        <v>1</v>
      </c>
      <c r="P184" s="460">
        <v>0.6</v>
      </c>
      <c r="Q184" s="460">
        <v>0.6</v>
      </c>
      <c r="R184" s="380">
        <v>80</v>
      </c>
      <c r="S184" s="460">
        <v>0.6</v>
      </c>
      <c r="T184" s="380">
        <v>10512</v>
      </c>
      <c r="U184" s="380">
        <v>0</v>
      </c>
      <c r="V184" s="380">
        <v>4216.4399999999996</v>
      </c>
      <c r="W184" s="380">
        <v>34944</v>
      </c>
      <c r="X184" s="380">
        <v>14900.26</v>
      </c>
      <c r="Y184" s="380">
        <v>34944</v>
      </c>
      <c r="Z184" s="380">
        <v>14809.41</v>
      </c>
      <c r="AA184" s="376" t="s">
        <v>296</v>
      </c>
      <c r="AB184" s="376" t="s">
        <v>297</v>
      </c>
      <c r="AC184" s="376" t="s">
        <v>298</v>
      </c>
      <c r="AD184" s="376" t="s">
        <v>224</v>
      </c>
      <c r="AE184" s="376" t="s">
        <v>295</v>
      </c>
      <c r="AF184" s="376" t="s">
        <v>299</v>
      </c>
      <c r="AG184" s="376" t="s">
        <v>177</v>
      </c>
      <c r="AH184" s="379">
        <v>28</v>
      </c>
      <c r="AI184" s="381">
        <v>1989.6</v>
      </c>
      <c r="AJ184" s="376" t="s">
        <v>178</v>
      </c>
      <c r="AK184" s="376" t="s">
        <v>179</v>
      </c>
      <c r="AL184" s="376" t="s">
        <v>180</v>
      </c>
      <c r="AM184" s="376" t="s">
        <v>181</v>
      </c>
      <c r="AN184" s="376" t="s">
        <v>68</v>
      </c>
      <c r="AO184" s="379">
        <v>80</v>
      </c>
      <c r="AP184" s="460">
        <v>1</v>
      </c>
      <c r="AQ184" s="460">
        <v>0.6</v>
      </c>
      <c r="AR184" s="458" t="s">
        <v>182</v>
      </c>
      <c r="AS184" s="462">
        <f t="shared" si="34"/>
        <v>0.6</v>
      </c>
      <c r="AT184">
        <f t="shared" si="35"/>
        <v>1</v>
      </c>
      <c r="AU184" s="462">
        <f>IF(AT184=0,"",IF(AND(AT184=1,M184="F",SUMIF(C2:C698,C184,AS2:AS698)&lt;=1),SUMIF(C2:C698,C184,AS2:AS698),IF(AND(AT184=1,M184="F",SUMIF(C2:C698,C184,AS2:AS698)&gt;1),1,"")))</f>
        <v>1</v>
      </c>
      <c r="AV184" s="462" t="str">
        <f>IF(AT184=0,"",IF(AND(AT184=3,M184="F",SUMIF(C2:C698,C184,AS2:AS698)&lt;=1),SUMIF(C2:C698,C184,AS2:AS698),IF(AND(AT184=3,M184="F",SUMIF(C2:C698,C184,AS2:AS698)&gt;1),1,"")))</f>
        <v/>
      </c>
      <c r="AW184" s="462">
        <f>SUMIF(C2:C698,C184,O2:O698)</f>
        <v>2</v>
      </c>
      <c r="AX184" s="462">
        <f>IF(AND(M184="F",AS184&lt;&gt;0),SUMIF(C2:C698,C184,W2:W698),0)</f>
        <v>58240</v>
      </c>
      <c r="AY184" s="462">
        <f t="shared" si="36"/>
        <v>34944</v>
      </c>
      <c r="AZ184" s="462" t="str">
        <f t="shared" si="37"/>
        <v/>
      </c>
      <c r="BA184" s="462">
        <f t="shared" si="38"/>
        <v>0</v>
      </c>
      <c r="BB184" s="462">
        <f>IF(AND(AT184=1,AK184="E",AU184&gt;=0.75,AW184=1),Health,IF(AND(AT184=1,AK184="E",AU184&gt;=0.75),Health*P184,IF(AND(AT184=1,AK184="E",AU184&gt;=0.5,AW184=1),PTHealth,IF(AND(AT184=1,AK184="E",AU184&gt;=0.5),PTHealth*P184,0))))</f>
        <v>6990</v>
      </c>
      <c r="BC184" s="462">
        <f>IF(AND(AT184=3,AK184="E",AV184&gt;=0.75,AW184=1),Health,IF(AND(AT184=3,AK184="E",AV184&gt;=0.75),Health*P184,IF(AND(AT184=3,AK184="E",AV184&gt;=0.5,AW184=1),PTHealth,IF(AND(AT184=3,AK184="E",AV184&gt;=0.5),PTHealth*P184,0))))</f>
        <v>0</v>
      </c>
      <c r="BD184" s="462">
        <f>IF(AND(AT184&lt;&gt;0,AX184&gt;=MAXSSDI),SSDI*MAXSSDI*P184,IF(AT184&lt;&gt;0,SSDI*W184,0))</f>
        <v>2166.5279999999998</v>
      </c>
      <c r="BE184" s="462">
        <f>IF(AT184&lt;&gt;0,SSHI*W184,0)</f>
        <v>506.68800000000005</v>
      </c>
      <c r="BF184" s="462">
        <f>IF(AND(AT184&lt;&gt;0,AN184&lt;&gt;"NE"),VLOOKUP(AN184,Retirement_Rates,3,FALSE)*W184,0)</f>
        <v>4172.3136000000004</v>
      </c>
      <c r="BG184" s="462">
        <f>IF(AND(AT184&lt;&gt;0,AJ184&lt;&gt;"PF"),Life*W184,0)</f>
        <v>251.94624000000002</v>
      </c>
      <c r="BH184" s="462">
        <f>IF(AND(AT184&lt;&gt;0,AM184="Y"),UI*W184,0)</f>
        <v>171.22559999999999</v>
      </c>
      <c r="BI184" s="462">
        <f>IF(AND(AT184&lt;&gt;0,N184&lt;&gt;"NR"),DHR*W184,0)</f>
        <v>106.92863999999999</v>
      </c>
      <c r="BJ184" s="462">
        <f>IF(AT184&lt;&gt;0,WC*W184,0)</f>
        <v>534.64319999999998</v>
      </c>
      <c r="BK184" s="462">
        <f>IF(OR(AND(AT184&lt;&gt;0,AJ184&lt;&gt;"PF",AN184&lt;&gt;"NE",AG184&lt;&gt;"A"),AND(AL184="E",OR(AT184=1,AT184=3))),Sick*W184,0)</f>
        <v>0</v>
      </c>
      <c r="BL184" s="462">
        <f t="shared" si="39"/>
        <v>7910.2732799999994</v>
      </c>
      <c r="BM184" s="462">
        <f t="shared" si="40"/>
        <v>0</v>
      </c>
      <c r="BN184" s="462">
        <f>IF(AND(AT184=1,AK184="E",AU184&gt;=0.75,AW184=1),HealthBY,IF(AND(AT184=1,AK184="E",AU184&gt;=0.75),HealthBY*P184,IF(AND(AT184=1,AK184="E",AU184&gt;=0.5,AW184=1),PTHealthBY,IF(AND(AT184=1,AK184="E",AU184&gt;=0.5),PTHealthBY*P184,0))))</f>
        <v>6990</v>
      </c>
      <c r="BO184" s="462">
        <f>IF(AND(AT184=3,AK184="E",AV184&gt;=0.75,AW184=1),HealthBY,IF(AND(AT184=3,AK184="E",AV184&gt;=0.75),HealthBY*P184,IF(AND(AT184=3,AK184="E",AV184&gt;=0.5,AW184=1),PTHealthBY,IF(AND(AT184=3,AK184="E",AV184&gt;=0.5),PTHealthBY*P184,0))))</f>
        <v>0</v>
      </c>
      <c r="BP184" s="462">
        <f>IF(AND(AT184&lt;&gt;0,(AX184+BA184)&gt;=MAXSSDIBY),SSDIBY*MAXSSDIBY*P184,IF(AT184&lt;&gt;0,SSDIBY*W184,0))</f>
        <v>2166.5279999999998</v>
      </c>
      <c r="BQ184" s="462">
        <f>IF(AT184&lt;&gt;0,SSHIBY*W184,0)</f>
        <v>506.68800000000005</v>
      </c>
      <c r="BR184" s="462">
        <f>IF(AND(AT184&lt;&gt;0,AN184&lt;&gt;"NE"),VLOOKUP(AN184,Retirement_Rates,4,FALSE)*W184,0)</f>
        <v>4172.3136000000004</v>
      </c>
      <c r="BS184" s="462">
        <f>IF(AND(AT184&lt;&gt;0,AJ184&lt;&gt;"PF"),LifeBY*W184,0)</f>
        <v>251.94624000000002</v>
      </c>
      <c r="BT184" s="462">
        <f>IF(AND(AT184&lt;&gt;0,AM184="Y"),UIBY*W184,0)</f>
        <v>0</v>
      </c>
      <c r="BU184" s="462">
        <f>IF(AND(AT184&lt;&gt;0,N184&lt;&gt;"NR"),DHRBY*W184,0)</f>
        <v>106.92863999999999</v>
      </c>
      <c r="BV184" s="462">
        <f>IF(AT184&lt;&gt;0,WCBY*W184,0)</f>
        <v>615.01440000000002</v>
      </c>
      <c r="BW184" s="462">
        <f>IF(OR(AND(AT184&lt;&gt;0,AJ184&lt;&gt;"PF",AN184&lt;&gt;"NE",AG184&lt;&gt;"A"),AND(AL184="E",OR(AT184=1,AT184=3))),SickBY*W184,0)</f>
        <v>0</v>
      </c>
      <c r="BX184" s="462">
        <f t="shared" si="41"/>
        <v>7819.4188800000002</v>
      </c>
      <c r="BY184" s="462">
        <f t="shared" si="42"/>
        <v>0</v>
      </c>
      <c r="BZ184" s="462">
        <f t="shared" si="43"/>
        <v>0</v>
      </c>
      <c r="CA184" s="462">
        <f t="shared" si="44"/>
        <v>0</v>
      </c>
      <c r="CB184" s="462">
        <f t="shared" si="45"/>
        <v>0</v>
      </c>
      <c r="CC184" s="462">
        <f>IF(AT184&lt;&gt;0,SSHICHG*Y184,0)</f>
        <v>0</v>
      </c>
      <c r="CD184" s="462">
        <f>IF(AND(AT184&lt;&gt;0,AN184&lt;&gt;"NE"),VLOOKUP(AN184,Retirement_Rates,5,FALSE)*Y184,0)</f>
        <v>0</v>
      </c>
      <c r="CE184" s="462">
        <f>IF(AND(AT184&lt;&gt;0,AJ184&lt;&gt;"PF"),LifeCHG*Y184,0)</f>
        <v>0</v>
      </c>
      <c r="CF184" s="462">
        <f>IF(AND(AT184&lt;&gt;0,AM184="Y"),UICHG*Y184,0)</f>
        <v>-171.22559999999999</v>
      </c>
      <c r="CG184" s="462">
        <f>IF(AND(AT184&lt;&gt;0,N184&lt;&gt;"NR"),DHRCHG*Y184,0)</f>
        <v>0</v>
      </c>
      <c r="CH184" s="462">
        <f>IF(AT184&lt;&gt;0,WCCHG*Y184,0)</f>
        <v>80.371200000000059</v>
      </c>
      <c r="CI184" s="462">
        <f>IF(OR(AND(AT184&lt;&gt;0,AJ184&lt;&gt;"PF",AN184&lt;&gt;"NE",AG184&lt;&gt;"A"),AND(AL184="E",OR(AT184=1,AT184=3))),SickCHG*Y184,0)</f>
        <v>0</v>
      </c>
      <c r="CJ184" s="462">
        <f t="shared" si="46"/>
        <v>-90.854399999999927</v>
      </c>
      <c r="CK184" s="462" t="str">
        <f t="shared" si="47"/>
        <v/>
      </c>
      <c r="CL184" s="462" t="str">
        <f t="shared" si="48"/>
        <v/>
      </c>
      <c r="CM184" s="462" t="str">
        <f t="shared" si="49"/>
        <v/>
      </c>
      <c r="CN184" s="462" t="str">
        <f t="shared" si="50"/>
        <v>0332-05</v>
      </c>
    </row>
    <row r="185" spans="1:92" ht="15" thickBot="1" x14ac:dyDescent="0.35">
      <c r="A185" s="376" t="s">
        <v>161</v>
      </c>
      <c r="B185" s="376" t="s">
        <v>162</v>
      </c>
      <c r="C185" s="376" t="s">
        <v>715</v>
      </c>
      <c r="D185" s="376" t="s">
        <v>716</v>
      </c>
      <c r="E185" s="376" t="s">
        <v>535</v>
      </c>
      <c r="F185" s="382" t="s">
        <v>659</v>
      </c>
      <c r="G185" s="376" t="s">
        <v>651</v>
      </c>
      <c r="H185" s="378"/>
      <c r="I185" s="378"/>
      <c r="J185" s="376" t="s">
        <v>168</v>
      </c>
      <c r="K185" s="376" t="s">
        <v>717</v>
      </c>
      <c r="L185" s="376" t="s">
        <v>349</v>
      </c>
      <c r="M185" s="376" t="s">
        <v>170</v>
      </c>
      <c r="N185" s="376" t="s">
        <v>202</v>
      </c>
      <c r="O185" s="379">
        <v>1</v>
      </c>
      <c r="P185" s="460">
        <v>1</v>
      </c>
      <c r="Q185" s="460">
        <v>1</v>
      </c>
      <c r="R185" s="380">
        <v>80</v>
      </c>
      <c r="S185" s="460">
        <v>1</v>
      </c>
      <c r="T185" s="380">
        <v>18438.09</v>
      </c>
      <c r="U185" s="380">
        <v>0</v>
      </c>
      <c r="V185" s="380">
        <v>11508.22</v>
      </c>
      <c r="W185" s="380">
        <v>30160</v>
      </c>
      <c r="X185" s="380">
        <v>18477.29</v>
      </c>
      <c r="Y185" s="380">
        <v>30160</v>
      </c>
      <c r="Z185" s="380">
        <v>18398.88</v>
      </c>
      <c r="AA185" s="376" t="s">
        <v>718</v>
      </c>
      <c r="AB185" s="376" t="s">
        <v>719</v>
      </c>
      <c r="AC185" s="376" t="s">
        <v>720</v>
      </c>
      <c r="AD185" s="376" t="s">
        <v>274</v>
      </c>
      <c r="AE185" s="376" t="s">
        <v>717</v>
      </c>
      <c r="AF185" s="376" t="s">
        <v>353</v>
      </c>
      <c r="AG185" s="376" t="s">
        <v>177</v>
      </c>
      <c r="AH185" s="381">
        <v>14.5</v>
      </c>
      <c r="AI185" s="379">
        <v>600</v>
      </c>
      <c r="AJ185" s="376" t="s">
        <v>178</v>
      </c>
      <c r="AK185" s="376" t="s">
        <v>179</v>
      </c>
      <c r="AL185" s="376" t="s">
        <v>180</v>
      </c>
      <c r="AM185" s="376" t="s">
        <v>181</v>
      </c>
      <c r="AN185" s="376" t="s">
        <v>68</v>
      </c>
      <c r="AO185" s="379">
        <v>80</v>
      </c>
      <c r="AP185" s="460">
        <v>1</v>
      </c>
      <c r="AQ185" s="460">
        <v>1</v>
      </c>
      <c r="AR185" s="458" t="s">
        <v>182</v>
      </c>
      <c r="AS185" s="462">
        <f t="shared" si="34"/>
        <v>1</v>
      </c>
      <c r="AT185">
        <f t="shared" si="35"/>
        <v>1</v>
      </c>
      <c r="AU185" s="462">
        <f>IF(AT185=0,"",IF(AND(AT185=1,M185="F",SUMIF(C2:C698,C185,AS2:AS698)&lt;=1),SUMIF(C2:C698,C185,AS2:AS698),IF(AND(AT185=1,M185="F",SUMIF(C2:C698,C185,AS2:AS698)&gt;1),1,"")))</f>
        <v>1</v>
      </c>
      <c r="AV185" s="462" t="str">
        <f>IF(AT185=0,"",IF(AND(AT185=3,M185="F",SUMIF(C2:C698,C185,AS2:AS698)&lt;=1),SUMIF(C2:C698,C185,AS2:AS698),IF(AND(AT185=3,M185="F",SUMIF(C2:C698,C185,AS2:AS698)&gt;1),1,"")))</f>
        <v/>
      </c>
      <c r="AW185" s="462">
        <f>SUMIF(C2:C698,C185,O2:O698)</f>
        <v>2</v>
      </c>
      <c r="AX185" s="462">
        <f>IF(AND(M185="F",AS185&lt;&gt;0),SUMIF(C2:C698,C185,W2:W698),0)</f>
        <v>30160</v>
      </c>
      <c r="AY185" s="462">
        <f t="shared" si="36"/>
        <v>30160</v>
      </c>
      <c r="AZ185" s="462" t="str">
        <f t="shared" si="37"/>
        <v/>
      </c>
      <c r="BA185" s="462">
        <f t="shared" si="38"/>
        <v>0</v>
      </c>
      <c r="BB185" s="462">
        <f>IF(AND(AT185=1,AK185="E",AU185&gt;=0.75,AW185=1),Health,IF(AND(AT185=1,AK185="E",AU185&gt;=0.75),Health*P185,IF(AND(AT185=1,AK185="E",AU185&gt;=0.5,AW185=1),PTHealth,IF(AND(AT185=1,AK185="E",AU185&gt;=0.5),PTHealth*P185,0))))</f>
        <v>11650</v>
      </c>
      <c r="BC185" s="462">
        <f>IF(AND(AT185=3,AK185="E",AV185&gt;=0.75,AW185=1),Health,IF(AND(AT185=3,AK185="E",AV185&gt;=0.75),Health*P185,IF(AND(AT185=3,AK185="E",AV185&gt;=0.5,AW185=1),PTHealth,IF(AND(AT185=3,AK185="E",AV185&gt;=0.5),PTHealth*P185,0))))</f>
        <v>0</v>
      </c>
      <c r="BD185" s="462">
        <f>IF(AND(AT185&lt;&gt;0,AX185&gt;=MAXSSDI),SSDI*MAXSSDI*P185,IF(AT185&lt;&gt;0,SSDI*W185,0))</f>
        <v>1869.92</v>
      </c>
      <c r="BE185" s="462">
        <f>IF(AT185&lt;&gt;0,SSHI*W185,0)</f>
        <v>437.32000000000005</v>
      </c>
      <c r="BF185" s="462">
        <f>IF(AND(AT185&lt;&gt;0,AN185&lt;&gt;"NE"),VLOOKUP(AN185,Retirement_Rates,3,FALSE)*W185,0)</f>
        <v>3601.1040000000003</v>
      </c>
      <c r="BG185" s="462">
        <f>IF(AND(AT185&lt;&gt;0,AJ185&lt;&gt;"PF"),Life*W185,0)</f>
        <v>217.45359999999999</v>
      </c>
      <c r="BH185" s="462">
        <f>IF(AND(AT185&lt;&gt;0,AM185="Y"),UI*W185,0)</f>
        <v>147.78399999999999</v>
      </c>
      <c r="BI185" s="462">
        <f>IF(AND(AT185&lt;&gt;0,N185&lt;&gt;"NR"),DHR*W185,0)</f>
        <v>92.289599999999993</v>
      </c>
      <c r="BJ185" s="462">
        <f>IF(AT185&lt;&gt;0,WC*W185,0)</f>
        <v>461.44799999999998</v>
      </c>
      <c r="BK185" s="462">
        <f>IF(OR(AND(AT185&lt;&gt;0,AJ185&lt;&gt;"PF",AN185&lt;&gt;"NE",AG185&lt;&gt;"A"),AND(AL185="E",OR(AT185=1,AT185=3))),Sick*W185,0)</f>
        <v>0</v>
      </c>
      <c r="BL185" s="462">
        <f t="shared" si="39"/>
        <v>6827.3192000000008</v>
      </c>
      <c r="BM185" s="462">
        <f t="shared" si="40"/>
        <v>0</v>
      </c>
      <c r="BN185" s="462">
        <f>IF(AND(AT185=1,AK185="E",AU185&gt;=0.75,AW185=1),HealthBY,IF(AND(AT185=1,AK185="E",AU185&gt;=0.75),HealthBY*P185,IF(AND(AT185=1,AK185="E",AU185&gt;=0.5,AW185=1),PTHealthBY,IF(AND(AT185=1,AK185="E",AU185&gt;=0.5),PTHealthBY*P185,0))))</f>
        <v>11650</v>
      </c>
      <c r="BO185" s="462">
        <f>IF(AND(AT185=3,AK185="E",AV185&gt;=0.75,AW185=1),HealthBY,IF(AND(AT185=3,AK185="E",AV185&gt;=0.75),HealthBY*P185,IF(AND(AT185=3,AK185="E",AV185&gt;=0.5,AW185=1),PTHealthBY,IF(AND(AT185=3,AK185="E",AV185&gt;=0.5),PTHealthBY*P185,0))))</f>
        <v>0</v>
      </c>
      <c r="BP185" s="462">
        <f>IF(AND(AT185&lt;&gt;0,(AX185+BA185)&gt;=MAXSSDIBY),SSDIBY*MAXSSDIBY*P185,IF(AT185&lt;&gt;0,SSDIBY*W185,0))</f>
        <v>1869.92</v>
      </c>
      <c r="BQ185" s="462">
        <f>IF(AT185&lt;&gt;0,SSHIBY*W185,0)</f>
        <v>437.32000000000005</v>
      </c>
      <c r="BR185" s="462">
        <f>IF(AND(AT185&lt;&gt;0,AN185&lt;&gt;"NE"),VLOOKUP(AN185,Retirement_Rates,4,FALSE)*W185,0)</f>
        <v>3601.1040000000003</v>
      </c>
      <c r="BS185" s="462">
        <f>IF(AND(AT185&lt;&gt;0,AJ185&lt;&gt;"PF"),LifeBY*W185,0)</f>
        <v>217.45359999999999</v>
      </c>
      <c r="BT185" s="462">
        <f>IF(AND(AT185&lt;&gt;0,AM185="Y"),UIBY*W185,0)</f>
        <v>0</v>
      </c>
      <c r="BU185" s="462">
        <f>IF(AND(AT185&lt;&gt;0,N185&lt;&gt;"NR"),DHRBY*W185,0)</f>
        <v>92.289599999999993</v>
      </c>
      <c r="BV185" s="462">
        <f>IF(AT185&lt;&gt;0,WCBY*W185,0)</f>
        <v>530.81600000000003</v>
      </c>
      <c r="BW185" s="462">
        <f>IF(OR(AND(AT185&lt;&gt;0,AJ185&lt;&gt;"PF",AN185&lt;&gt;"NE",AG185&lt;&gt;"A"),AND(AL185="E",OR(AT185=1,AT185=3))),SickBY*W185,0)</f>
        <v>0</v>
      </c>
      <c r="BX185" s="462">
        <f t="shared" si="41"/>
        <v>6748.9032000000007</v>
      </c>
      <c r="BY185" s="462">
        <f t="shared" si="42"/>
        <v>0</v>
      </c>
      <c r="BZ185" s="462">
        <f t="shared" si="43"/>
        <v>0</v>
      </c>
      <c r="CA185" s="462">
        <f t="shared" si="44"/>
        <v>0</v>
      </c>
      <c r="CB185" s="462">
        <f t="shared" si="45"/>
        <v>0</v>
      </c>
      <c r="CC185" s="462">
        <f>IF(AT185&lt;&gt;0,SSHICHG*Y185,0)</f>
        <v>0</v>
      </c>
      <c r="CD185" s="462">
        <f>IF(AND(AT185&lt;&gt;0,AN185&lt;&gt;"NE"),VLOOKUP(AN185,Retirement_Rates,5,FALSE)*Y185,0)</f>
        <v>0</v>
      </c>
      <c r="CE185" s="462">
        <f>IF(AND(AT185&lt;&gt;0,AJ185&lt;&gt;"PF"),LifeCHG*Y185,0)</f>
        <v>0</v>
      </c>
      <c r="CF185" s="462">
        <f>IF(AND(AT185&lt;&gt;0,AM185="Y"),UICHG*Y185,0)</f>
        <v>-147.78399999999999</v>
      </c>
      <c r="CG185" s="462">
        <f>IF(AND(AT185&lt;&gt;0,N185&lt;&gt;"NR"),DHRCHG*Y185,0)</f>
        <v>0</v>
      </c>
      <c r="CH185" s="462">
        <f>IF(AT185&lt;&gt;0,WCCHG*Y185,0)</f>
        <v>69.368000000000052</v>
      </c>
      <c r="CI185" s="462">
        <f>IF(OR(AND(AT185&lt;&gt;0,AJ185&lt;&gt;"PF",AN185&lt;&gt;"NE",AG185&lt;&gt;"A"),AND(AL185="E",OR(AT185=1,AT185=3))),SickCHG*Y185,0)</f>
        <v>0</v>
      </c>
      <c r="CJ185" s="462">
        <f t="shared" si="46"/>
        <v>-78.41599999999994</v>
      </c>
      <c r="CK185" s="462" t="str">
        <f t="shared" si="47"/>
        <v/>
      </c>
      <c r="CL185" s="462" t="str">
        <f t="shared" si="48"/>
        <v/>
      </c>
      <c r="CM185" s="462" t="str">
        <f t="shared" si="49"/>
        <v/>
      </c>
      <c r="CN185" s="462" t="str">
        <f t="shared" si="50"/>
        <v>0332-05</v>
      </c>
    </row>
    <row r="186" spans="1:92" ht="15" thickBot="1" x14ac:dyDescent="0.35">
      <c r="A186" s="376" t="s">
        <v>161</v>
      </c>
      <c r="B186" s="376" t="s">
        <v>162</v>
      </c>
      <c r="C186" s="376" t="s">
        <v>721</v>
      </c>
      <c r="D186" s="376" t="s">
        <v>457</v>
      </c>
      <c r="E186" s="376" t="s">
        <v>535</v>
      </c>
      <c r="F186" s="382" t="s">
        <v>659</v>
      </c>
      <c r="G186" s="376" t="s">
        <v>651</v>
      </c>
      <c r="H186" s="378"/>
      <c r="I186" s="378"/>
      <c r="J186" s="376" t="s">
        <v>168</v>
      </c>
      <c r="K186" s="376" t="s">
        <v>458</v>
      </c>
      <c r="L186" s="376" t="s">
        <v>177</v>
      </c>
      <c r="M186" s="376" t="s">
        <v>170</v>
      </c>
      <c r="N186" s="376" t="s">
        <v>202</v>
      </c>
      <c r="O186" s="379">
        <v>1</v>
      </c>
      <c r="P186" s="460">
        <v>1</v>
      </c>
      <c r="Q186" s="460">
        <v>1</v>
      </c>
      <c r="R186" s="380">
        <v>80</v>
      </c>
      <c r="S186" s="460">
        <v>1</v>
      </c>
      <c r="T186" s="380">
        <v>28356.02</v>
      </c>
      <c r="U186" s="380">
        <v>0</v>
      </c>
      <c r="V186" s="380">
        <v>16122.84</v>
      </c>
      <c r="W186" s="380">
        <v>32552</v>
      </c>
      <c r="X186" s="380">
        <v>19018.75</v>
      </c>
      <c r="Y186" s="380">
        <v>32552</v>
      </c>
      <c r="Z186" s="380">
        <v>18934.12</v>
      </c>
      <c r="AA186" s="376" t="s">
        <v>722</v>
      </c>
      <c r="AB186" s="376" t="s">
        <v>723</v>
      </c>
      <c r="AC186" s="376" t="s">
        <v>724</v>
      </c>
      <c r="AD186" s="376" t="s">
        <v>247</v>
      </c>
      <c r="AE186" s="376" t="s">
        <v>458</v>
      </c>
      <c r="AF186" s="376" t="s">
        <v>436</v>
      </c>
      <c r="AG186" s="376" t="s">
        <v>177</v>
      </c>
      <c r="AH186" s="381">
        <v>15.65</v>
      </c>
      <c r="AI186" s="381">
        <v>4693.2</v>
      </c>
      <c r="AJ186" s="376" t="s">
        <v>178</v>
      </c>
      <c r="AK186" s="376" t="s">
        <v>179</v>
      </c>
      <c r="AL186" s="376" t="s">
        <v>180</v>
      </c>
      <c r="AM186" s="376" t="s">
        <v>181</v>
      </c>
      <c r="AN186" s="376" t="s">
        <v>68</v>
      </c>
      <c r="AO186" s="379">
        <v>80</v>
      </c>
      <c r="AP186" s="460">
        <v>1</v>
      </c>
      <c r="AQ186" s="460">
        <v>1</v>
      </c>
      <c r="AR186" s="458" t="s">
        <v>182</v>
      </c>
      <c r="AS186" s="462">
        <f t="shared" si="34"/>
        <v>1</v>
      </c>
      <c r="AT186">
        <f t="shared" si="35"/>
        <v>1</v>
      </c>
      <c r="AU186" s="462">
        <f>IF(AT186=0,"",IF(AND(AT186=1,M186="F",SUMIF(C2:C698,C186,AS2:AS698)&lt;=1),SUMIF(C2:C698,C186,AS2:AS698),IF(AND(AT186=1,M186="F",SUMIF(C2:C698,C186,AS2:AS698)&gt;1),1,"")))</f>
        <v>1</v>
      </c>
      <c r="AV186" s="462" t="str">
        <f>IF(AT186=0,"",IF(AND(AT186=3,M186="F",SUMIF(C2:C698,C186,AS2:AS698)&lt;=1),SUMIF(C2:C698,C186,AS2:AS698),IF(AND(AT186=3,M186="F",SUMIF(C2:C698,C186,AS2:AS698)&gt;1),1,"")))</f>
        <v/>
      </c>
      <c r="AW186" s="462">
        <f>SUMIF(C2:C698,C186,O2:O698)</f>
        <v>2</v>
      </c>
      <c r="AX186" s="462">
        <f>IF(AND(M186="F",AS186&lt;&gt;0),SUMIF(C2:C698,C186,W2:W698),0)</f>
        <v>32552</v>
      </c>
      <c r="AY186" s="462">
        <f t="shared" si="36"/>
        <v>32552</v>
      </c>
      <c r="AZ186" s="462" t="str">
        <f t="shared" si="37"/>
        <v/>
      </c>
      <c r="BA186" s="462">
        <f t="shared" si="38"/>
        <v>0</v>
      </c>
      <c r="BB186" s="462">
        <f>IF(AND(AT186=1,AK186="E",AU186&gt;=0.75,AW186=1),Health,IF(AND(AT186=1,AK186="E",AU186&gt;=0.75),Health*P186,IF(AND(AT186=1,AK186="E",AU186&gt;=0.5,AW186=1),PTHealth,IF(AND(AT186=1,AK186="E",AU186&gt;=0.5),PTHealth*P186,0))))</f>
        <v>11650</v>
      </c>
      <c r="BC186" s="462">
        <f>IF(AND(AT186=3,AK186="E",AV186&gt;=0.75,AW186=1),Health,IF(AND(AT186=3,AK186="E",AV186&gt;=0.75),Health*P186,IF(AND(AT186=3,AK186="E",AV186&gt;=0.5,AW186=1),PTHealth,IF(AND(AT186=3,AK186="E",AV186&gt;=0.5),PTHealth*P186,0))))</f>
        <v>0</v>
      </c>
      <c r="BD186" s="462">
        <f>IF(AND(AT186&lt;&gt;0,AX186&gt;=MAXSSDI),SSDI*MAXSSDI*P186,IF(AT186&lt;&gt;0,SSDI*W186,0))</f>
        <v>2018.2239999999999</v>
      </c>
      <c r="BE186" s="462">
        <f>IF(AT186&lt;&gt;0,SSHI*W186,0)</f>
        <v>472.00400000000002</v>
      </c>
      <c r="BF186" s="462">
        <f>IF(AND(AT186&lt;&gt;0,AN186&lt;&gt;"NE"),VLOOKUP(AN186,Retirement_Rates,3,FALSE)*W186,0)</f>
        <v>3886.7088000000003</v>
      </c>
      <c r="BG186" s="462">
        <f>IF(AND(AT186&lt;&gt;0,AJ186&lt;&gt;"PF"),Life*W186,0)</f>
        <v>234.69992000000002</v>
      </c>
      <c r="BH186" s="462">
        <f>IF(AND(AT186&lt;&gt;0,AM186="Y"),UI*W186,0)</f>
        <v>159.50479999999999</v>
      </c>
      <c r="BI186" s="462">
        <f>IF(AND(AT186&lt;&gt;0,N186&lt;&gt;"NR"),DHR*W186,0)</f>
        <v>99.60911999999999</v>
      </c>
      <c r="BJ186" s="462">
        <f>IF(AT186&lt;&gt;0,WC*W186,0)</f>
        <v>498.04559999999998</v>
      </c>
      <c r="BK186" s="462">
        <f>IF(OR(AND(AT186&lt;&gt;0,AJ186&lt;&gt;"PF",AN186&lt;&gt;"NE",AG186&lt;&gt;"A"),AND(AL186="E",OR(AT186=1,AT186=3))),Sick*W186,0)</f>
        <v>0</v>
      </c>
      <c r="BL186" s="462">
        <f t="shared" si="39"/>
        <v>7368.7962400000006</v>
      </c>
      <c r="BM186" s="462">
        <f t="shared" si="40"/>
        <v>0</v>
      </c>
      <c r="BN186" s="462">
        <f>IF(AND(AT186=1,AK186="E",AU186&gt;=0.75,AW186=1),HealthBY,IF(AND(AT186=1,AK186="E",AU186&gt;=0.75),HealthBY*P186,IF(AND(AT186=1,AK186="E",AU186&gt;=0.5,AW186=1),PTHealthBY,IF(AND(AT186=1,AK186="E",AU186&gt;=0.5),PTHealthBY*P186,0))))</f>
        <v>11650</v>
      </c>
      <c r="BO186" s="462">
        <f>IF(AND(AT186=3,AK186="E",AV186&gt;=0.75,AW186=1),HealthBY,IF(AND(AT186=3,AK186="E",AV186&gt;=0.75),HealthBY*P186,IF(AND(AT186=3,AK186="E",AV186&gt;=0.5,AW186=1),PTHealthBY,IF(AND(AT186=3,AK186="E",AV186&gt;=0.5),PTHealthBY*P186,0))))</f>
        <v>0</v>
      </c>
      <c r="BP186" s="462">
        <f>IF(AND(AT186&lt;&gt;0,(AX186+BA186)&gt;=MAXSSDIBY),SSDIBY*MAXSSDIBY*P186,IF(AT186&lt;&gt;0,SSDIBY*W186,0))</f>
        <v>2018.2239999999999</v>
      </c>
      <c r="BQ186" s="462">
        <f>IF(AT186&lt;&gt;0,SSHIBY*W186,0)</f>
        <v>472.00400000000002</v>
      </c>
      <c r="BR186" s="462">
        <f>IF(AND(AT186&lt;&gt;0,AN186&lt;&gt;"NE"),VLOOKUP(AN186,Retirement_Rates,4,FALSE)*W186,0)</f>
        <v>3886.7088000000003</v>
      </c>
      <c r="BS186" s="462">
        <f>IF(AND(AT186&lt;&gt;0,AJ186&lt;&gt;"PF"),LifeBY*W186,0)</f>
        <v>234.69992000000002</v>
      </c>
      <c r="BT186" s="462">
        <f>IF(AND(AT186&lt;&gt;0,AM186="Y"),UIBY*W186,0)</f>
        <v>0</v>
      </c>
      <c r="BU186" s="462">
        <f>IF(AND(AT186&lt;&gt;0,N186&lt;&gt;"NR"),DHRBY*W186,0)</f>
        <v>99.60911999999999</v>
      </c>
      <c r="BV186" s="462">
        <f>IF(AT186&lt;&gt;0,WCBY*W186,0)</f>
        <v>572.91520000000003</v>
      </c>
      <c r="BW186" s="462">
        <f>IF(OR(AND(AT186&lt;&gt;0,AJ186&lt;&gt;"PF",AN186&lt;&gt;"NE",AG186&lt;&gt;"A"),AND(AL186="E",OR(AT186=1,AT186=3))),SickBY*W186,0)</f>
        <v>0</v>
      </c>
      <c r="BX186" s="462">
        <f t="shared" si="41"/>
        <v>7284.1610400000009</v>
      </c>
      <c r="BY186" s="462">
        <f t="shared" si="42"/>
        <v>0</v>
      </c>
      <c r="BZ186" s="462">
        <f t="shared" si="43"/>
        <v>0</v>
      </c>
      <c r="CA186" s="462">
        <f t="shared" si="44"/>
        <v>0</v>
      </c>
      <c r="CB186" s="462">
        <f t="shared" si="45"/>
        <v>0</v>
      </c>
      <c r="CC186" s="462">
        <f>IF(AT186&lt;&gt;0,SSHICHG*Y186,0)</f>
        <v>0</v>
      </c>
      <c r="CD186" s="462">
        <f>IF(AND(AT186&lt;&gt;0,AN186&lt;&gt;"NE"),VLOOKUP(AN186,Retirement_Rates,5,FALSE)*Y186,0)</f>
        <v>0</v>
      </c>
      <c r="CE186" s="462">
        <f>IF(AND(AT186&lt;&gt;0,AJ186&lt;&gt;"PF"),LifeCHG*Y186,0)</f>
        <v>0</v>
      </c>
      <c r="CF186" s="462">
        <f>IF(AND(AT186&lt;&gt;0,AM186="Y"),UICHG*Y186,0)</f>
        <v>-159.50479999999999</v>
      </c>
      <c r="CG186" s="462">
        <f>IF(AND(AT186&lt;&gt;0,N186&lt;&gt;"NR"),DHRCHG*Y186,0)</f>
        <v>0</v>
      </c>
      <c r="CH186" s="462">
        <f>IF(AT186&lt;&gt;0,WCCHG*Y186,0)</f>
        <v>74.869600000000048</v>
      </c>
      <c r="CI186" s="462">
        <f>IF(OR(AND(AT186&lt;&gt;0,AJ186&lt;&gt;"PF",AN186&lt;&gt;"NE",AG186&lt;&gt;"A"),AND(AL186="E",OR(AT186=1,AT186=3))),SickCHG*Y186,0)</f>
        <v>0</v>
      </c>
      <c r="CJ186" s="462">
        <f t="shared" si="46"/>
        <v>-84.635199999999941</v>
      </c>
      <c r="CK186" s="462" t="str">
        <f t="shared" si="47"/>
        <v/>
      </c>
      <c r="CL186" s="462" t="str">
        <f t="shared" si="48"/>
        <v/>
      </c>
      <c r="CM186" s="462" t="str">
        <f t="shared" si="49"/>
        <v/>
      </c>
      <c r="CN186" s="462" t="str">
        <f t="shared" si="50"/>
        <v>0332-05</v>
      </c>
    </row>
    <row r="187" spans="1:92" ht="15" thickBot="1" x14ac:dyDescent="0.35">
      <c r="A187" s="376" t="s">
        <v>161</v>
      </c>
      <c r="B187" s="376" t="s">
        <v>162</v>
      </c>
      <c r="C187" s="376" t="s">
        <v>725</v>
      </c>
      <c r="D187" s="376" t="s">
        <v>362</v>
      </c>
      <c r="E187" s="376" t="s">
        <v>535</v>
      </c>
      <c r="F187" s="382" t="s">
        <v>659</v>
      </c>
      <c r="G187" s="376" t="s">
        <v>651</v>
      </c>
      <c r="H187" s="378"/>
      <c r="I187" s="378"/>
      <c r="J187" s="376" t="s">
        <v>168</v>
      </c>
      <c r="K187" s="376" t="s">
        <v>363</v>
      </c>
      <c r="L187" s="376" t="s">
        <v>200</v>
      </c>
      <c r="M187" s="376" t="s">
        <v>170</v>
      </c>
      <c r="N187" s="376" t="s">
        <v>202</v>
      </c>
      <c r="O187" s="379">
        <v>1</v>
      </c>
      <c r="P187" s="460">
        <v>1</v>
      </c>
      <c r="Q187" s="460">
        <v>1</v>
      </c>
      <c r="R187" s="380">
        <v>80</v>
      </c>
      <c r="S187" s="460">
        <v>1</v>
      </c>
      <c r="T187" s="380">
        <v>21637.72</v>
      </c>
      <c r="U187" s="380">
        <v>0</v>
      </c>
      <c r="V187" s="380">
        <v>10435.07</v>
      </c>
      <c r="W187" s="380">
        <v>46800</v>
      </c>
      <c r="X187" s="380">
        <v>22244.1</v>
      </c>
      <c r="Y187" s="380">
        <v>46800</v>
      </c>
      <c r="Z187" s="380">
        <v>22122.42</v>
      </c>
      <c r="AA187" s="376" t="s">
        <v>726</v>
      </c>
      <c r="AB187" s="376" t="s">
        <v>719</v>
      </c>
      <c r="AC187" s="376" t="s">
        <v>727</v>
      </c>
      <c r="AD187" s="376" t="s">
        <v>247</v>
      </c>
      <c r="AE187" s="376" t="s">
        <v>363</v>
      </c>
      <c r="AF187" s="376" t="s">
        <v>210</v>
      </c>
      <c r="AG187" s="376" t="s">
        <v>177</v>
      </c>
      <c r="AH187" s="381">
        <v>22.5</v>
      </c>
      <c r="AI187" s="379">
        <v>2239</v>
      </c>
      <c r="AJ187" s="376" t="s">
        <v>178</v>
      </c>
      <c r="AK187" s="376" t="s">
        <v>179</v>
      </c>
      <c r="AL187" s="376" t="s">
        <v>180</v>
      </c>
      <c r="AM187" s="376" t="s">
        <v>181</v>
      </c>
      <c r="AN187" s="376" t="s">
        <v>68</v>
      </c>
      <c r="AO187" s="379">
        <v>80</v>
      </c>
      <c r="AP187" s="460">
        <v>1</v>
      </c>
      <c r="AQ187" s="460">
        <v>1</v>
      </c>
      <c r="AR187" s="458" t="s">
        <v>182</v>
      </c>
      <c r="AS187" s="462">
        <f t="shared" si="34"/>
        <v>1</v>
      </c>
      <c r="AT187">
        <f t="shared" si="35"/>
        <v>1</v>
      </c>
      <c r="AU187" s="462">
        <f>IF(AT187=0,"",IF(AND(AT187=1,M187="F",SUMIF(C2:C698,C187,AS2:AS698)&lt;=1),SUMIF(C2:C698,C187,AS2:AS698),IF(AND(AT187=1,M187="F",SUMIF(C2:C698,C187,AS2:AS698)&gt;1),1,"")))</f>
        <v>1</v>
      </c>
      <c r="AV187" s="462" t="str">
        <f>IF(AT187=0,"",IF(AND(AT187=3,M187="F",SUMIF(C2:C698,C187,AS2:AS698)&lt;=1),SUMIF(C2:C698,C187,AS2:AS698),IF(AND(AT187=3,M187="F",SUMIF(C2:C698,C187,AS2:AS698)&gt;1),1,"")))</f>
        <v/>
      </c>
      <c r="AW187" s="462">
        <f>SUMIF(C2:C698,C187,O2:O698)</f>
        <v>2</v>
      </c>
      <c r="AX187" s="462">
        <f>IF(AND(M187="F",AS187&lt;&gt;0),SUMIF(C2:C698,C187,W2:W698),0)</f>
        <v>46800</v>
      </c>
      <c r="AY187" s="462">
        <f t="shared" si="36"/>
        <v>46800</v>
      </c>
      <c r="AZ187" s="462" t="str">
        <f t="shared" si="37"/>
        <v/>
      </c>
      <c r="BA187" s="462">
        <f t="shared" si="38"/>
        <v>0</v>
      </c>
      <c r="BB187" s="462">
        <f>IF(AND(AT187=1,AK187="E",AU187&gt;=0.75,AW187=1),Health,IF(AND(AT187=1,AK187="E",AU187&gt;=0.75),Health*P187,IF(AND(AT187=1,AK187="E",AU187&gt;=0.5,AW187=1),PTHealth,IF(AND(AT187=1,AK187="E",AU187&gt;=0.5),PTHealth*P187,0))))</f>
        <v>11650</v>
      </c>
      <c r="BC187" s="462">
        <f>IF(AND(AT187=3,AK187="E",AV187&gt;=0.75,AW187=1),Health,IF(AND(AT187=3,AK187="E",AV187&gt;=0.75),Health*P187,IF(AND(AT187=3,AK187="E",AV187&gt;=0.5,AW187=1),PTHealth,IF(AND(AT187=3,AK187="E",AV187&gt;=0.5),PTHealth*P187,0))))</f>
        <v>0</v>
      </c>
      <c r="BD187" s="462">
        <f>IF(AND(AT187&lt;&gt;0,AX187&gt;=MAXSSDI),SSDI*MAXSSDI*P187,IF(AT187&lt;&gt;0,SSDI*W187,0))</f>
        <v>2901.6</v>
      </c>
      <c r="BE187" s="462">
        <f>IF(AT187&lt;&gt;0,SSHI*W187,0)</f>
        <v>678.6</v>
      </c>
      <c r="BF187" s="462">
        <f>IF(AND(AT187&lt;&gt;0,AN187&lt;&gt;"NE"),VLOOKUP(AN187,Retirement_Rates,3,FALSE)*W187,0)</f>
        <v>5587.92</v>
      </c>
      <c r="BG187" s="462">
        <f>IF(AND(AT187&lt;&gt;0,AJ187&lt;&gt;"PF"),Life*W187,0)</f>
        <v>337.428</v>
      </c>
      <c r="BH187" s="462">
        <f>IF(AND(AT187&lt;&gt;0,AM187="Y"),UI*W187,0)</f>
        <v>229.32</v>
      </c>
      <c r="BI187" s="462">
        <f>IF(AND(AT187&lt;&gt;0,N187&lt;&gt;"NR"),DHR*W187,0)</f>
        <v>143.208</v>
      </c>
      <c r="BJ187" s="462">
        <f>IF(AT187&lt;&gt;0,WC*W187,0)</f>
        <v>716.04</v>
      </c>
      <c r="BK187" s="462">
        <f>IF(OR(AND(AT187&lt;&gt;0,AJ187&lt;&gt;"PF",AN187&lt;&gt;"NE",AG187&lt;&gt;"A"),AND(AL187="E",OR(AT187=1,AT187=3))),Sick*W187,0)</f>
        <v>0</v>
      </c>
      <c r="BL187" s="462">
        <f t="shared" si="39"/>
        <v>10594.115999999998</v>
      </c>
      <c r="BM187" s="462">
        <f t="shared" si="40"/>
        <v>0</v>
      </c>
      <c r="BN187" s="462">
        <f>IF(AND(AT187=1,AK187="E",AU187&gt;=0.75,AW187=1),HealthBY,IF(AND(AT187=1,AK187="E",AU187&gt;=0.75),HealthBY*P187,IF(AND(AT187=1,AK187="E",AU187&gt;=0.5,AW187=1),PTHealthBY,IF(AND(AT187=1,AK187="E",AU187&gt;=0.5),PTHealthBY*P187,0))))</f>
        <v>11650</v>
      </c>
      <c r="BO187" s="462">
        <f>IF(AND(AT187=3,AK187="E",AV187&gt;=0.75,AW187=1),HealthBY,IF(AND(AT187=3,AK187="E",AV187&gt;=0.75),HealthBY*P187,IF(AND(AT187=3,AK187="E",AV187&gt;=0.5,AW187=1),PTHealthBY,IF(AND(AT187=3,AK187="E",AV187&gt;=0.5),PTHealthBY*P187,0))))</f>
        <v>0</v>
      </c>
      <c r="BP187" s="462">
        <f>IF(AND(AT187&lt;&gt;0,(AX187+BA187)&gt;=MAXSSDIBY),SSDIBY*MAXSSDIBY*P187,IF(AT187&lt;&gt;0,SSDIBY*W187,0))</f>
        <v>2901.6</v>
      </c>
      <c r="BQ187" s="462">
        <f>IF(AT187&lt;&gt;0,SSHIBY*W187,0)</f>
        <v>678.6</v>
      </c>
      <c r="BR187" s="462">
        <f>IF(AND(AT187&lt;&gt;0,AN187&lt;&gt;"NE"),VLOOKUP(AN187,Retirement_Rates,4,FALSE)*W187,0)</f>
        <v>5587.92</v>
      </c>
      <c r="BS187" s="462">
        <f>IF(AND(AT187&lt;&gt;0,AJ187&lt;&gt;"PF"),LifeBY*W187,0)</f>
        <v>337.428</v>
      </c>
      <c r="BT187" s="462">
        <f>IF(AND(AT187&lt;&gt;0,AM187="Y"),UIBY*W187,0)</f>
        <v>0</v>
      </c>
      <c r="BU187" s="462">
        <f>IF(AND(AT187&lt;&gt;0,N187&lt;&gt;"NR"),DHRBY*W187,0)</f>
        <v>143.208</v>
      </c>
      <c r="BV187" s="462">
        <f>IF(AT187&lt;&gt;0,WCBY*W187,0)</f>
        <v>823.68000000000006</v>
      </c>
      <c r="BW187" s="462">
        <f>IF(OR(AND(AT187&lt;&gt;0,AJ187&lt;&gt;"PF",AN187&lt;&gt;"NE",AG187&lt;&gt;"A"),AND(AL187="E",OR(AT187=1,AT187=3))),SickBY*W187,0)</f>
        <v>0</v>
      </c>
      <c r="BX187" s="462">
        <f t="shared" si="41"/>
        <v>10472.436</v>
      </c>
      <c r="BY187" s="462">
        <f t="shared" si="42"/>
        <v>0</v>
      </c>
      <c r="BZ187" s="462">
        <f t="shared" si="43"/>
        <v>0</v>
      </c>
      <c r="CA187" s="462">
        <f t="shared" si="44"/>
        <v>0</v>
      </c>
      <c r="CB187" s="462">
        <f t="shared" si="45"/>
        <v>0</v>
      </c>
      <c r="CC187" s="462">
        <f>IF(AT187&lt;&gt;0,SSHICHG*Y187,0)</f>
        <v>0</v>
      </c>
      <c r="CD187" s="462">
        <f>IF(AND(AT187&lt;&gt;0,AN187&lt;&gt;"NE"),VLOOKUP(AN187,Retirement_Rates,5,FALSE)*Y187,0)</f>
        <v>0</v>
      </c>
      <c r="CE187" s="462">
        <f>IF(AND(AT187&lt;&gt;0,AJ187&lt;&gt;"PF"),LifeCHG*Y187,0)</f>
        <v>0</v>
      </c>
      <c r="CF187" s="462">
        <f>IF(AND(AT187&lt;&gt;0,AM187="Y"),UICHG*Y187,0)</f>
        <v>-229.32</v>
      </c>
      <c r="CG187" s="462">
        <f>IF(AND(AT187&lt;&gt;0,N187&lt;&gt;"NR"),DHRCHG*Y187,0)</f>
        <v>0</v>
      </c>
      <c r="CH187" s="462">
        <f>IF(AT187&lt;&gt;0,WCCHG*Y187,0)</f>
        <v>107.64000000000009</v>
      </c>
      <c r="CI187" s="462">
        <f>IF(OR(AND(AT187&lt;&gt;0,AJ187&lt;&gt;"PF",AN187&lt;&gt;"NE",AG187&lt;&gt;"A"),AND(AL187="E",OR(AT187=1,AT187=3))),SickCHG*Y187,0)</f>
        <v>0</v>
      </c>
      <c r="CJ187" s="462">
        <f t="shared" si="46"/>
        <v>-121.67999999999991</v>
      </c>
      <c r="CK187" s="462" t="str">
        <f t="shared" si="47"/>
        <v/>
      </c>
      <c r="CL187" s="462" t="str">
        <f t="shared" si="48"/>
        <v/>
      </c>
      <c r="CM187" s="462" t="str">
        <f t="shared" si="49"/>
        <v/>
      </c>
      <c r="CN187" s="462" t="str">
        <f t="shared" si="50"/>
        <v>0332-05</v>
      </c>
    </row>
    <row r="188" spans="1:92" ht="15" thickBot="1" x14ac:dyDescent="0.35">
      <c r="A188" s="376" t="s">
        <v>161</v>
      </c>
      <c r="B188" s="376" t="s">
        <v>162</v>
      </c>
      <c r="C188" s="376" t="s">
        <v>728</v>
      </c>
      <c r="D188" s="376" t="s">
        <v>362</v>
      </c>
      <c r="E188" s="376" t="s">
        <v>535</v>
      </c>
      <c r="F188" s="382" t="s">
        <v>659</v>
      </c>
      <c r="G188" s="376" t="s">
        <v>651</v>
      </c>
      <c r="H188" s="378"/>
      <c r="I188" s="378"/>
      <c r="J188" s="376" t="s">
        <v>168</v>
      </c>
      <c r="K188" s="376" t="s">
        <v>363</v>
      </c>
      <c r="L188" s="376" t="s">
        <v>200</v>
      </c>
      <c r="M188" s="376" t="s">
        <v>170</v>
      </c>
      <c r="N188" s="376" t="s">
        <v>202</v>
      </c>
      <c r="O188" s="379">
        <v>1</v>
      </c>
      <c r="P188" s="460">
        <v>1</v>
      </c>
      <c r="Q188" s="460">
        <v>1</v>
      </c>
      <c r="R188" s="380">
        <v>80</v>
      </c>
      <c r="S188" s="460">
        <v>1</v>
      </c>
      <c r="T188" s="380">
        <v>36055.49</v>
      </c>
      <c r="U188" s="380">
        <v>0</v>
      </c>
      <c r="V188" s="380">
        <v>17060.080000000002</v>
      </c>
      <c r="W188" s="380">
        <v>46800</v>
      </c>
      <c r="X188" s="380">
        <v>22244.1</v>
      </c>
      <c r="Y188" s="380">
        <v>46800</v>
      </c>
      <c r="Z188" s="380">
        <v>22122.42</v>
      </c>
      <c r="AA188" s="376" t="s">
        <v>729</v>
      </c>
      <c r="AB188" s="376" t="s">
        <v>730</v>
      </c>
      <c r="AC188" s="376" t="s">
        <v>731</v>
      </c>
      <c r="AD188" s="376" t="s">
        <v>215</v>
      </c>
      <c r="AE188" s="376" t="s">
        <v>363</v>
      </c>
      <c r="AF188" s="376" t="s">
        <v>210</v>
      </c>
      <c r="AG188" s="376" t="s">
        <v>177</v>
      </c>
      <c r="AH188" s="381">
        <v>22.5</v>
      </c>
      <c r="AI188" s="379">
        <v>13122</v>
      </c>
      <c r="AJ188" s="376" t="s">
        <v>178</v>
      </c>
      <c r="AK188" s="376" t="s">
        <v>179</v>
      </c>
      <c r="AL188" s="376" t="s">
        <v>180</v>
      </c>
      <c r="AM188" s="376" t="s">
        <v>181</v>
      </c>
      <c r="AN188" s="376" t="s">
        <v>68</v>
      </c>
      <c r="AO188" s="379">
        <v>80</v>
      </c>
      <c r="AP188" s="460">
        <v>1</v>
      </c>
      <c r="AQ188" s="460">
        <v>1</v>
      </c>
      <c r="AR188" s="458" t="s">
        <v>182</v>
      </c>
      <c r="AS188" s="462">
        <f t="shared" si="34"/>
        <v>1</v>
      </c>
      <c r="AT188">
        <f t="shared" si="35"/>
        <v>1</v>
      </c>
      <c r="AU188" s="462">
        <f>IF(AT188=0,"",IF(AND(AT188=1,M188="F",SUMIF(C2:C698,C188,AS2:AS698)&lt;=1),SUMIF(C2:C698,C188,AS2:AS698),IF(AND(AT188=1,M188="F",SUMIF(C2:C698,C188,AS2:AS698)&gt;1),1,"")))</f>
        <v>1</v>
      </c>
      <c r="AV188" s="462" t="str">
        <f>IF(AT188=0,"",IF(AND(AT188=3,M188="F",SUMIF(C2:C698,C188,AS2:AS698)&lt;=1),SUMIF(C2:C698,C188,AS2:AS698),IF(AND(AT188=3,M188="F",SUMIF(C2:C698,C188,AS2:AS698)&gt;1),1,"")))</f>
        <v/>
      </c>
      <c r="AW188" s="462">
        <f>SUMIF(C2:C698,C188,O2:O698)</f>
        <v>2</v>
      </c>
      <c r="AX188" s="462">
        <f>IF(AND(M188="F",AS188&lt;&gt;0),SUMIF(C2:C698,C188,W2:W698),0)</f>
        <v>46800</v>
      </c>
      <c r="AY188" s="462">
        <f t="shared" si="36"/>
        <v>46800</v>
      </c>
      <c r="AZ188" s="462" t="str">
        <f t="shared" si="37"/>
        <v/>
      </c>
      <c r="BA188" s="462">
        <f t="shared" si="38"/>
        <v>0</v>
      </c>
      <c r="BB188" s="462">
        <f>IF(AND(AT188=1,AK188="E",AU188&gt;=0.75,AW188=1),Health,IF(AND(AT188=1,AK188="E",AU188&gt;=0.75),Health*P188,IF(AND(AT188=1,AK188="E",AU188&gt;=0.5,AW188=1),PTHealth,IF(AND(AT188=1,AK188="E",AU188&gt;=0.5),PTHealth*P188,0))))</f>
        <v>11650</v>
      </c>
      <c r="BC188" s="462">
        <f>IF(AND(AT188=3,AK188="E",AV188&gt;=0.75,AW188=1),Health,IF(AND(AT188=3,AK188="E",AV188&gt;=0.75),Health*P188,IF(AND(AT188=3,AK188="E",AV188&gt;=0.5,AW188=1),PTHealth,IF(AND(AT188=3,AK188="E",AV188&gt;=0.5),PTHealth*P188,0))))</f>
        <v>0</v>
      </c>
      <c r="BD188" s="462">
        <f>IF(AND(AT188&lt;&gt;0,AX188&gt;=MAXSSDI),SSDI*MAXSSDI*P188,IF(AT188&lt;&gt;0,SSDI*W188,0))</f>
        <v>2901.6</v>
      </c>
      <c r="BE188" s="462">
        <f>IF(AT188&lt;&gt;0,SSHI*W188,0)</f>
        <v>678.6</v>
      </c>
      <c r="BF188" s="462">
        <f>IF(AND(AT188&lt;&gt;0,AN188&lt;&gt;"NE"),VLOOKUP(AN188,Retirement_Rates,3,FALSE)*W188,0)</f>
        <v>5587.92</v>
      </c>
      <c r="BG188" s="462">
        <f>IF(AND(AT188&lt;&gt;0,AJ188&lt;&gt;"PF"),Life*W188,0)</f>
        <v>337.428</v>
      </c>
      <c r="BH188" s="462">
        <f>IF(AND(AT188&lt;&gt;0,AM188="Y"),UI*W188,0)</f>
        <v>229.32</v>
      </c>
      <c r="BI188" s="462">
        <f>IF(AND(AT188&lt;&gt;0,N188&lt;&gt;"NR"),DHR*W188,0)</f>
        <v>143.208</v>
      </c>
      <c r="BJ188" s="462">
        <f>IF(AT188&lt;&gt;0,WC*W188,0)</f>
        <v>716.04</v>
      </c>
      <c r="BK188" s="462">
        <f>IF(OR(AND(AT188&lt;&gt;0,AJ188&lt;&gt;"PF",AN188&lt;&gt;"NE",AG188&lt;&gt;"A"),AND(AL188="E",OR(AT188=1,AT188=3))),Sick*W188,0)</f>
        <v>0</v>
      </c>
      <c r="BL188" s="462">
        <f t="shared" si="39"/>
        <v>10594.115999999998</v>
      </c>
      <c r="BM188" s="462">
        <f t="shared" si="40"/>
        <v>0</v>
      </c>
      <c r="BN188" s="462">
        <f>IF(AND(AT188=1,AK188="E",AU188&gt;=0.75,AW188=1),HealthBY,IF(AND(AT188=1,AK188="E",AU188&gt;=0.75),HealthBY*P188,IF(AND(AT188=1,AK188="E",AU188&gt;=0.5,AW188=1),PTHealthBY,IF(AND(AT188=1,AK188="E",AU188&gt;=0.5),PTHealthBY*P188,0))))</f>
        <v>11650</v>
      </c>
      <c r="BO188" s="462">
        <f>IF(AND(AT188=3,AK188="E",AV188&gt;=0.75,AW188=1),HealthBY,IF(AND(AT188=3,AK188="E",AV188&gt;=0.75),HealthBY*P188,IF(AND(AT188=3,AK188="E",AV188&gt;=0.5,AW188=1),PTHealthBY,IF(AND(AT188=3,AK188="E",AV188&gt;=0.5),PTHealthBY*P188,0))))</f>
        <v>0</v>
      </c>
      <c r="BP188" s="462">
        <f>IF(AND(AT188&lt;&gt;0,(AX188+BA188)&gt;=MAXSSDIBY),SSDIBY*MAXSSDIBY*P188,IF(AT188&lt;&gt;0,SSDIBY*W188,0))</f>
        <v>2901.6</v>
      </c>
      <c r="BQ188" s="462">
        <f>IF(AT188&lt;&gt;0,SSHIBY*W188,0)</f>
        <v>678.6</v>
      </c>
      <c r="BR188" s="462">
        <f>IF(AND(AT188&lt;&gt;0,AN188&lt;&gt;"NE"),VLOOKUP(AN188,Retirement_Rates,4,FALSE)*W188,0)</f>
        <v>5587.92</v>
      </c>
      <c r="BS188" s="462">
        <f>IF(AND(AT188&lt;&gt;0,AJ188&lt;&gt;"PF"),LifeBY*W188,0)</f>
        <v>337.428</v>
      </c>
      <c r="BT188" s="462">
        <f>IF(AND(AT188&lt;&gt;0,AM188="Y"),UIBY*W188,0)</f>
        <v>0</v>
      </c>
      <c r="BU188" s="462">
        <f>IF(AND(AT188&lt;&gt;0,N188&lt;&gt;"NR"),DHRBY*W188,0)</f>
        <v>143.208</v>
      </c>
      <c r="BV188" s="462">
        <f>IF(AT188&lt;&gt;0,WCBY*W188,0)</f>
        <v>823.68000000000006</v>
      </c>
      <c r="BW188" s="462">
        <f>IF(OR(AND(AT188&lt;&gt;0,AJ188&lt;&gt;"PF",AN188&lt;&gt;"NE",AG188&lt;&gt;"A"),AND(AL188="E",OR(AT188=1,AT188=3))),SickBY*W188,0)</f>
        <v>0</v>
      </c>
      <c r="BX188" s="462">
        <f t="shared" si="41"/>
        <v>10472.436</v>
      </c>
      <c r="BY188" s="462">
        <f t="shared" si="42"/>
        <v>0</v>
      </c>
      <c r="BZ188" s="462">
        <f t="shared" si="43"/>
        <v>0</v>
      </c>
      <c r="CA188" s="462">
        <f t="shared" si="44"/>
        <v>0</v>
      </c>
      <c r="CB188" s="462">
        <f t="shared" si="45"/>
        <v>0</v>
      </c>
      <c r="CC188" s="462">
        <f>IF(AT188&lt;&gt;0,SSHICHG*Y188,0)</f>
        <v>0</v>
      </c>
      <c r="CD188" s="462">
        <f>IF(AND(AT188&lt;&gt;0,AN188&lt;&gt;"NE"),VLOOKUP(AN188,Retirement_Rates,5,FALSE)*Y188,0)</f>
        <v>0</v>
      </c>
      <c r="CE188" s="462">
        <f>IF(AND(AT188&lt;&gt;0,AJ188&lt;&gt;"PF"),LifeCHG*Y188,0)</f>
        <v>0</v>
      </c>
      <c r="CF188" s="462">
        <f>IF(AND(AT188&lt;&gt;0,AM188="Y"),UICHG*Y188,0)</f>
        <v>-229.32</v>
      </c>
      <c r="CG188" s="462">
        <f>IF(AND(AT188&lt;&gt;0,N188&lt;&gt;"NR"),DHRCHG*Y188,0)</f>
        <v>0</v>
      </c>
      <c r="CH188" s="462">
        <f>IF(AT188&lt;&gt;0,WCCHG*Y188,0)</f>
        <v>107.64000000000009</v>
      </c>
      <c r="CI188" s="462">
        <f>IF(OR(AND(AT188&lt;&gt;0,AJ188&lt;&gt;"PF",AN188&lt;&gt;"NE",AG188&lt;&gt;"A"),AND(AL188="E",OR(AT188=1,AT188=3))),SickCHG*Y188,0)</f>
        <v>0</v>
      </c>
      <c r="CJ188" s="462">
        <f t="shared" si="46"/>
        <v>-121.67999999999991</v>
      </c>
      <c r="CK188" s="462" t="str">
        <f t="shared" si="47"/>
        <v/>
      </c>
      <c r="CL188" s="462" t="str">
        <f t="shared" si="48"/>
        <v/>
      </c>
      <c r="CM188" s="462" t="str">
        <f t="shared" si="49"/>
        <v/>
      </c>
      <c r="CN188" s="462" t="str">
        <f t="shared" si="50"/>
        <v>0332-05</v>
      </c>
    </row>
    <row r="189" spans="1:92" ht="15" thickBot="1" x14ac:dyDescent="0.35">
      <c r="A189" s="376" t="s">
        <v>161</v>
      </c>
      <c r="B189" s="376" t="s">
        <v>162</v>
      </c>
      <c r="C189" s="376" t="s">
        <v>732</v>
      </c>
      <c r="D189" s="376" t="s">
        <v>250</v>
      </c>
      <c r="E189" s="376" t="s">
        <v>535</v>
      </c>
      <c r="F189" s="382" t="s">
        <v>659</v>
      </c>
      <c r="G189" s="376" t="s">
        <v>651</v>
      </c>
      <c r="H189" s="378"/>
      <c r="I189" s="378"/>
      <c r="J189" s="376" t="s">
        <v>168</v>
      </c>
      <c r="K189" s="376" t="s">
        <v>407</v>
      </c>
      <c r="L189" s="376" t="s">
        <v>247</v>
      </c>
      <c r="M189" s="376" t="s">
        <v>170</v>
      </c>
      <c r="N189" s="376" t="s">
        <v>202</v>
      </c>
      <c r="O189" s="379">
        <v>1</v>
      </c>
      <c r="P189" s="460">
        <v>1</v>
      </c>
      <c r="Q189" s="460">
        <v>1</v>
      </c>
      <c r="R189" s="380">
        <v>80</v>
      </c>
      <c r="S189" s="460">
        <v>1</v>
      </c>
      <c r="T189" s="380">
        <v>48771.99</v>
      </c>
      <c r="U189" s="380">
        <v>0</v>
      </c>
      <c r="V189" s="380">
        <v>19864.259999999998</v>
      </c>
      <c r="W189" s="380">
        <v>62483.199999999997</v>
      </c>
      <c r="X189" s="380">
        <v>25794.28</v>
      </c>
      <c r="Y189" s="380">
        <v>62483.199999999997</v>
      </c>
      <c r="Z189" s="380">
        <v>25631.83</v>
      </c>
      <c r="AA189" s="376" t="s">
        <v>733</v>
      </c>
      <c r="AB189" s="376" t="s">
        <v>734</v>
      </c>
      <c r="AC189" s="376" t="s">
        <v>735</v>
      </c>
      <c r="AD189" s="376" t="s">
        <v>736</v>
      </c>
      <c r="AE189" s="376" t="s">
        <v>407</v>
      </c>
      <c r="AF189" s="376" t="s">
        <v>299</v>
      </c>
      <c r="AG189" s="376" t="s">
        <v>177</v>
      </c>
      <c r="AH189" s="381">
        <v>30.04</v>
      </c>
      <c r="AI189" s="379">
        <v>22720</v>
      </c>
      <c r="AJ189" s="376" t="s">
        <v>178</v>
      </c>
      <c r="AK189" s="376" t="s">
        <v>179</v>
      </c>
      <c r="AL189" s="376" t="s">
        <v>180</v>
      </c>
      <c r="AM189" s="376" t="s">
        <v>181</v>
      </c>
      <c r="AN189" s="376" t="s">
        <v>68</v>
      </c>
      <c r="AO189" s="379">
        <v>80</v>
      </c>
      <c r="AP189" s="460">
        <v>1</v>
      </c>
      <c r="AQ189" s="460">
        <v>1</v>
      </c>
      <c r="AR189" s="458" t="s">
        <v>182</v>
      </c>
      <c r="AS189" s="462">
        <f t="shared" si="34"/>
        <v>1</v>
      </c>
      <c r="AT189">
        <f t="shared" si="35"/>
        <v>1</v>
      </c>
      <c r="AU189" s="462">
        <f>IF(AT189=0,"",IF(AND(AT189=1,M189="F",SUMIF(C2:C698,C189,AS2:AS698)&lt;=1),SUMIF(C2:C698,C189,AS2:AS698),IF(AND(AT189=1,M189="F",SUMIF(C2:C698,C189,AS2:AS698)&gt;1),1,"")))</f>
        <v>1</v>
      </c>
      <c r="AV189" s="462" t="str">
        <f>IF(AT189=0,"",IF(AND(AT189=3,M189="F",SUMIF(C2:C698,C189,AS2:AS698)&lt;=1),SUMIF(C2:C698,C189,AS2:AS698),IF(AND(AT189=3,M189="F",SUMIF(C2:C698,C189,AS2:AS698)&gt;1),1,"")))</f>
        <v/>
      </c>
      <c r="AW189" s="462">
        <f>SUMIF(C2:C698,C189,O2:O698)</f>
        <v>2</v>
      </c>
      <c r="AX189" s="462">
        <f>IF(AND(M189="F",AS189&lt;&gt;0),SUMIF(C2:C698,C189,W2:W698),0)</f>
        <v>62483.199999999997</v>
      </c>
      <c r="AY189" s="462">
        <f t="shared" si="36"/>
        <v>62483.199999999997</v>
      </c>
      <c r="AZ189" s="462" t="str">
        <f t="shared" si="37"/>
        <v/>
      </c>
      <c r="BA189" s="462">
        <f t="shared" si="38"/>
        <v>0</v>
      </c>
      <c r="BB189" s="462">
        <f>IF(AND(AT189=1,AK189="E",AU189&gt;=0.75,AW189=1),Health,IF(AND(AT189=1,AK189="E",AU189&gt;=0.75),Health*P189,IF(AND(AT189=1,AK189="E",AU189&gt;=0.5,AW189=1),PTHealth,IF(AND(AT189=1,AK189="E",AU189&gt;=0.5),PTHealth*P189,0))))</f>
        <v>11650</v>
      </c>
      <c r="BC189" s="462">
        <f>IF(AND(AT189=3,AK189="E",AV189&gt;=0.75,AW189=1),Health,IF(AND(AT189=3,AK189="E",AV189&gt;=0.75),Health*P189,IF(AND(AT189=3,AK189="E",AV189&gt;=0.5,AW189=1),PTHealth,IF(AND(AT189=3,AK189="E",AV189&gt;=0.5),PTHealth*P189,0))))</f>
        <v>0</v>
      </c>
      <c r="BD189" s="462">
        <f>IF(AND(AT189&lt;&gt;0,AX189&gt;=MAXSSDI),SSDI*MAXSSDI*P189,IF(AT189&lt;&gt;0,SSDI*W189,0))</f>
        <v>3873.9584</v>
      </c>
      <c r="BE189" s="462">
        <f>IF(AT189&lt;&gt;0,SSHI*W189,0)</f>
        <v>906.00639999999999</v>
      </c>
      <c r="BF189" s="462">
        <f>IF(AND(AT189&lt;&gt;0,AN189&lt;&gt;"NE"),VLOOKUP(AN189,Retirement_Rates,3,FALSE)*W189,0)</f>
        <v>7460.4940800000004</v>
      </c>
      <c r="BG189" s="462">
        <f>IF(AND(AT189&lt;&gt;0,AJ189&lt;&gt;"PF"),Life*W189,0)</f>
        <v>450.503872</v>
      </c>
      <c r="BH189" s="462">
        <f>IF(AND(AT189&lt;&gt;0,AM189="Y"),UI*W189,0)</f>
        <v>306.16767999999996</v>
      </c>
      <c r="BI189" s="462">
        <f>IF(AND(AT189&lt;&gt;0,N189&lt;&gt;"NR"),DHR*W189,0)</f>
        <v>191.19859199999999</v>
      </c>
      <c r="BJ189" s="462">
        <f>IF(AT189&lt;&gt;0,WC*W189,0)</f>
        <v>955.99295999999993</v>
      </c>
      <c r="BK189" s="462">
        <f>IF(OR(AND(AT189&lt;&gt;0,AJ189&lt;&gt;"PF",AN189&lt;&gt;"NE",AG189&lt;&gt;"A"),AND(AL189="E",OR(AT189=1,AT189=3))),Sick*W189,0)</f>
        <v>0</v>
      </c>
      <c r="BL189" s="462">
        <f t="shared" si="39"/>
        <v>14144.321984</v>
      </c>
      <c r="BM189" s="462">
        <f t="shared" si="40"/>
        <v>0</v>
      </c>
      <c r="BN189" s="462">
        <f>IF(AND(AT189=1,AK189="E",AU189&gt;=0.75,AW189=1),HealthBY,IF(AND(AT189=1,AK189="E",AU189&gt;=0.75),HealthBY*P189,IF(AND(AT189=1,AK189="E",AU189&gt;=0.5,AW189=1),PTHealthBY,IF(AND(AT189=1,AK189="E",AU189&gt;=0.5),PTHealthBY*P189,0))))</f>
        <v>11650</v>
      </c>
      <c r="BO189" s="462">
        <f>IF(AND(AT189=3,AK189="E",AV189&gt;=0.75,AW189=1),HealthBY,IF(AND(AT189=3,AK189="E",AV189&gt;=0.75),HealthBY*P189,IF(AND(AT189=3,AK189="E",AV189&gt;=0.5,AW189=1),PTHealthBY,IF(AND(AT189=3,AK189="E",AV189&gt;=0.5),PTHealthBY*P189,0))))</f>
        <v>0</v>
      </c>
      <c r="BP189" s="462">
        <f>IF(AND(AT189&lt;&gt;0,(AX189+BA189)&gt;=MAXSSDIBY),SSDIBY*MAXSSDIBY*P189,IF(AT189&lt;&gt;0,SSDIBY*W189,0))</f>
        <v>3873.9584</v>
      </c>
      <c r="BQ189" s="462">
        <f>IF(AT189&lt;&gt;0,SSHIBY*W189,0)</f>
        <v>906.00639999999999</v>
      </c>
      <c r="BR189" s="462">
        <f>IF(AND(AT189&lt;&gt;0,AN189&lt;&gt;"NE"),VLOOKUP(AN189,Retirement_Rates,4,FALSE)*W189,0)</f>
        <v>7460.4940800000004</v>
      </c>
      <c r="BS189" s="462">
        <f>IF(AND(AT189&lt;&gt;0,AJ189&lt;&gt;"PF"),LifeBY*W189,0)</f>
        <v>450.503872</v>
      </c>
      <c r="BT189" s="462">
        <f>IF(AND(AT189&lt;&gt;0,AM189="Y"),UIBY*W189,0)</f>
        <v>0</v>
      </c>
      <c r="BU189" s="462">
        <f>IF(AND(AT189&lt;&gt;0,N189&lt;&gt;"NR"),DHRBY*W189,0)</f>
        <v>191.19859199999999</v>
      </c>
      <c r="BV189" s="462">
        <f>IF(AT189&lt;&gt;0,WCBY*W189,0)</f>
        <v>1099.7043200000001</v>
      </c>
      <c r="BW189" s="462">
        <f>IF(OR(AND(AT189&lt;&gt;0,AJ189&lt;&gt;"PF",AN189&lt;&gt;"NE",AG189&lt;&gt;"A"),AND(AL189="E",OR(AT189=1,AT189=3))),SickBY*W189,0)</f>
        <v>0</v>
      </c>
      <c r="BX189" s="462">
        <f t="shared" si="41"/>
        <v>13981.865664000001</v>
      </c>
      <c r="BY189" s="462">
        <f t="shared" si="42"/>
        <v>0</v>
      </c>
      <c r="BZ189" s="462">
        <f t="shared" si="43"/>
        <v>0</v>
      </c>
      <c r="CA189" s="462">
        <f t="shared" si="44"/>
        <v>0</v>
      </c>
      <c r="CB189" s="462">
        <f t="shared" si="45"/>
        <v>0</v>
      </c>
      <c r="CC189" s="462">
        <f>IF(AT189&lt;&gt;0,SSHICHG*Y189,0)</f>
        <v>0</v>
      </c>
      <c r="CD189" s="462">
        <f>IF(AND(AT189&lt;&gt;0,AN189&lt;&gt;"NE"),VLOOKUP(AN189,Retirement_Rates,5,FALSE)*Y189,0)</f>
        <v>0</v>
      </c>
      <c r="CE189" s="462">
        <f>IF(AND(AT189&lt;&gt;0,AJ189&lt;&gt;"PF"),LifeCHG*Y189,0)</f>
        <v>0</v>
      </c>
      <c r="CF189" s="462">
        <f>IF(AND(AT189&lt;&gt;0,AM189="Y"),UICHG*Y189,0)</f>
        <v>-306.16767999999996</v>
      </c>
      <c r="CG189" s="462">
        <f>IF(AND(AT189&lt;&gt;0,N189&lt;&gt;"NR"),DHRCHG*Y189,0)</f>
        <v>0</v>
      </c>
      <c r="CH189" s="462">
        <f>IF(AT189&lt;&gt;0,WCCHG*Y189,0)</f>
        <v>143.7113600000001</v>
      </c>
      <c r="CI189" s="462">
        <f>IF(OR(AND(AT189&lt;&gt;0,AJ189&lt;&gt;"PF",AN189&lt;&gt;"NE",AG189&lt;&gt;"A"),AND(AL189="E",OR(AT189=1,AT189=3))),SickCHG*Y189,0)</f>
        <v>0</v>
      </c>
      <c r="CJ189" s="462">
        <f t="shared" si="46"/>
        <v>-162.45631999999986</v>
      </c>
      <c r="CK189" s="462" t="str">
        <f t="shared" si="47"/>
        <v/>
      </c>
      <c r="CL189" s="462" t="str">
        <f t="shared" si="48"/>
        <v/>
      </c>
      <c r="CM189" s="462" t="str">
        <f t="shared" si="49"/>
        <v/>
      </c>
      <c r="CN189" s="462" t="str">
        <f t="shared" si="50"/>
        <v>0332-05</v>
      </c>
    </row>
    <row r="190" spans="1:92" ht="15" thickBot="1" x14ac:dyDescent="0.35">
      <c r="A190" s="376" t="s">
        <v>161</v>
      </c>
      <c r="B190" s="376" t="s">
        <v>162</v>
      </c>
      <c r="C190" s="376" t="s">
        <v>737</v>
      </c>
      <c r="D190" s="376" t="s">
        <v>362</v>
      </c>
      <c r="E190" s="376" t="s">
        <v>535</v>
      </c>
      <c r="F190" s="382" t="s">
        <v>659</v>
      </c>
      <c r="G190" s="376" t="s">
        <v>651</v>
      </c>
      <c r="H190" s="378"/>
      <c r="I190" s="378"/>
      <c r="J190" s="376" t="s">
        <v>168</v>
      </c>
      <c r="K190" s="376" t="s">
        <v>363</v>
      </c>
      <c r="L190" s="376" t="s">
        <v>200</v>
      </c>
      <c r="M190" s="376" t="s">
        <v>170</v>
      </c>
      <c r="N190" s="376" t="s">
        <v>202</v>
      </c>
      <c r="O190" s="379">
        <v>1</v>
      </c>
      <c r="P190" s="460">
        <v>1</v>
      </c>
      <c r="Q190" s="460">
        <v>1</v>
      </c>
      <c r="R190" s="380">
        <v>80</v>
      </c>
      <c r="S190" s="460">
        <v>1</v>
      </c>
      <c r="T190" s="380">
        <v>39254.199999999997</v>
      </c>
      <c r="U190" s="380">
        <v>0</v>
      </c>
      <c r="V190" s="380">
        <v>16356.33</v>
      </c>
      <c r="W190" s="380">
        <v>58843.199999999997</v>
      </c>
      <c r="X190" s="380">
        <v>24970.3</v>
      </c>
      <c r="Y190" s="380">
        <v>58843.199999999997</v>
      </c>
      <c r="Z190" s="380">
        <v>24817.31</v>
      </c>
      <c r="AA190" s="376" t="s">
        <v>738</v>
      </c>
      <c r="AB190" s="376" t="s">
        <v>739</v>
      </c>
      <c r="AC190" s="376" t="s">
        <v>740</v>
      </c>
      <c r="AD190" s="376" t="s">
        <v>741</v>
      </c>
      <c r="AE190" s="376" t="s">
        <v>363</v>
      </c>
      <c r="AF190" s="376" t="s">
        <v>210</v>
      </c>
      <c r="AG190" s="376" t="s">
        <v>177</v>
      </c>
      <c r="AH190" s="381">
        <v>28.29</v>
      </c>
      <c r="AI190" s="381">
        <v>56106.2</v>
      </c>
      <c r="AJ190" s="376" t="s">
        <v>178</v>
      </c>
      <c r="AK190" s="376" t="s">
        <v>179</v>
      </c>
      <c r="AL190" s="376" t="s">
        <v>180</v>
      </c>
      <c r="AM190" s="376" t="s">
        <v>181</v>
      </c>
      <c r="AN190" s="376" t="s">
        <v>68</v>
      </c>
      <c r="AO190" s="379">
        <v>80</v>
      </c>
      <c r="AP190" s="460">
        <v>1</v>
      </c>
      <c r="AQ190" s="460">
        <v>1</v>
      </c>
      <c r="AR190" s="458" t="s">
        <v>182</v>
      </c>
      <c r="AS190" s="462">
        <f t="shared" si="34"/>
        <v>1</v>
      </c>
      <c r="AT190">
        <f t="shared" si="35"/>
        <v>1</v>
      </c>
      <c r="AU190" s="462">
        <f>IF(AT190=0,"",IF(AND(AT190=1,M190="F",SUMIF(C2:C698,C190,AS2:AS698)&lt;=1),SUMIF(C2:C698,C190,AS2:AS698),IF(AND(AT190=1,M190="F",SUMIF(C2:C698,C190,AS2:AS698)&gt;1),1,"")))</f>
        <v>1</v>
      </c>
      <c r="AV190" s="462" t="str">
        <f>IF(AT190=0,"",IF(AND(AT190=3,M190="F",SUMIF(C2:C698,C190,AS2:AS698)&lt;=1),SUMIF(C2:C698,C190,AS2:AS698),IF(AND(AT190=3,M190="F",SUMIF(C2:C698,C190,AS2:AS698)&gt;1),1,"")))</f>
        <v/>
      </c>
      <c r="AW190" s="462">
        <f>SUMIF(C2:C698,C190,O2:O698)</f>
        <v>2</v>
      </c>
      <c r="AX190" s="462">
        <f>IF(AND(M190="F",AS190&lt;&gt;0),SUMIF(C2:C698,C190,W2:W698),0)</f>
        <v>58843.199999999997</v>
      </c>
      <c r="AY190" s="462">
        <f t="shared" si="36"/>
        <v>58843.199999999997</v>
      </c>
      <c r="AZ190" s="462" t="str">
        <f t="shared" si="37"/>
        <v/>
      </c>
      <c r="BA190" s="462">
        <f t="shared" si="38"/>
        <v>0</v>
      </c>
      <c r="BB190" s="462">
        <f>IF(AND(AT190=1,AK190="E",AU190&gt;=0.75,AW190=1),Health,IF(AND(AT190=1,AK190="E",AU190&gt;=0.75),Health*P190,IF(AND(AT190=1,AK190="E",AU190&gt;=0.5,AW190=1),PTHealth,IF(AND(AT190=1,AK190="E",AU190&gt;=0.5),PTHealth*P190,0))))</f>
        <v>11650</v>
      </c>
      <c r="BC190" s="462">
        <f>IF(AND(AT190=3,AK190="E",AV190&gt;=0.75,AW190=1),Health,IF(AND(AT190=3,AK190="E",AV190&gt;=0.75),Health*P190,IF(AND(AT190=3,AK190="E",AV190&gt;=0.5,AW190=1),PTHealth,IF(AND(AT190=3,AK190="E",AV190&gt;=0.5),PTHealth*P190,0))))</f>
        <v>0</v>
      </c>
      <c r="BD190" s="462">
        <f>IF(AND(AT190&lt;&gt;0,AX190&gt;=MAXSSDI),SSDI*MAXSSDI*P190,IF(AT190&lt;&gt;0,SSDI*W190,0))</f>
        <v>3648.2783999999997</v>
      </c>
      <c r="BE190" s="462">
        <f>IF(AT190&lt;&gt;0,SSHI*W190,0)</f>
        <v>853.22640000000001</v>
      </c>
      <c r="BF190" s="462">
        <f>IF(AND(AT190&lt;&gt;0,AN190&lt;&gt;"NE"),VLOOKUP(AN190,Retirement_Rates,3,FALSE)*W190,0)</f>
        <v>7025.8780800000004</v>
      </c>
      <c r="BG190" s="462">
        <f>IF(AND(AT190&lt;&gt;0,AJ190&lt;&gt;"PF"),Life*W190,0)</f>
        <v>424.25947200000002</v>
      </c>
      <c r="BH190" s="462">
        <f>IF(AND(AT190&lt;&gt;0,AM190="Y"),UI*W190,0)</f>
        <v>288.33167999999995</v>
      </c>
      <c r="BI190" s="462">
        <f>IF(AND(AT190&lt;&gt;0,N190&lt;&gt;"NR"),DHR*W190,0)</f>
        <v>180.06019199999997</v>
      </c>
      <c r="BJ190" s="462">
        <f>IF(AT190&lt;&gt;0,WC*W190,0)</f>
        <v>900.30095999999992</v>
      </c>
      <c r="BK190" s="462">
        <f>IF(OR(AND(AT190&lt;&gt;0,AJ190&lt;&gt;"PF",AN190&lt;&gt;"NE",AG190&lt;&gt;"A"),AND(AL190="E",OR(AT190=1,AT190=3))),Sick*W190,0)</f>
        <v>0</v>
      </c>
      <c r="BL190" s="462">
        <f t="shared" si="39"/>
        <v>13320.335184000001</v>
      </c>
      <c r="BM190" s="462">
        <f t="shared" si="40"/>
        <v>0</v>
      </c>
      <c r="BN190" s="462">
        <f>IF(AND(AT190=1,AK190="E",AU190&gt;=0.75,AW190=1),HealthBY,IF(AND(AT190=1,AK190="E",AU190&gt;=0.75),HealthBY*P190,IF(AND(AT190=1,AK190="E",AU190&gt;=0.5,AW190=1),PTHealthBY,IF(AND(AT190=1,AK190="E",AU190&gt;=0.5),PTHealthBY*P190,0))))</f>
        <v>11650</v>
      </c>
      <c r="BO190" s="462">
        <f>IF(AND(AT190=3,AK190="E",AV190&gt;=0.75,AW190=1),HealthBY,IF(AND(AT190=3,AK190="E",AV190&gt;=0.75),HealthBY*P190,IF(AND(AT190=3,AK190="E",AV190&gt;=0.5,AW190=1),PTHealthBY,IF(AND(AT190=3,AK190="E",AV190&gt;=0.5),PTHealthBY*P190,0))))</f>
        <v>0</v>
      </c>
      <c r="BP190" s="462">
        <f>IF(AND(AT190&lt;&gt;0,(AX190+BA190)&gt;=MAXSSDIBY),SSDIBY*MAXSSDIBY*P190,IF(AT190&lt;&gt;0,SSDIBY*W190,0))</f>
        <v>3648.2783999999997</v>
      </c>
      <c r="BQ190" s="462">
        <f>IF(AT190&lt;&gt;0,SSHIBY*W190,0)</f>
        <v>853.22640000000001</v>
      </c>
      <c r="BR190" s="462">
        <f>IF(AND(AT190&lt;&gt;0,AN190&lt;&gt;"NE"),VLOOKUP(AN190,Retirement_Rates,4,FALSE)*W190,0)</f>
        <v>7025.8780800000004</v>
      </c>
      <c r="BS190" s="462">
        <f>IF(AND(AT190&lt;&gt;0,AJ190&lt;&gt;"PF"),LifeBY*W190,0)</f>
        <v>424.25947200000002</v>
      </c>
      <c r="BT190" s="462">
        <f>IF(AND(AT190&lt;&gt;0,AM190="Y"),UIBY*W190,0)</f>
        <v>0</v>
      </c>
      <c r="BU190" s="462">
        <f>IF(AND(AT190&lt;&gt;0,N190&lt;&gt;"NR"),DHRBY*W190,0)</f>
        <v>180.06019199999997</v>
      </c>
      <c r="BV190" s="462">
        <f>IF(AT190&lt;&gt;0,WCBY*W190,0)</f>
        <v>1035.64032</v>
      </c>
      <c r="BW190" s="462">
        <f>IF(OR(AND(AT190&lt;&gt;0,AJ190&lt;&gt;"PF",AN190&lt;&gt;"NE",AG190&lt;&gt;"A"),AND(AL190="E",OR(AT190=1,AT190=3))),SickBY*W190,0)</f>
        <v>0</v>
      </c>
      <c r="BX190" s="462">
        <f t="shared" si="41"/>
        <v>13167.342864000002</v>
      </c>
      <c r="BY190" s="462">
        <f t="shared" si="42"/>
        <v>0</v>
      </c>
      <c r="BZ190" s="462">
        <f t="shared" si="43"/>
        <v>0</v>
      </c>
      <c r="CA190" s="462">
        <f t="shared" si="44"/>
        <v>0</v>
      </c>
      <c r="CB190" s="462">
        <f t="shared" si="45"/>
        <v>0</v>
      </c>
      <c r="CC190" s="462">
        <f>IF(AT190&lt;&gt;0,SSHICHG*Y190,0)</f>
        <v>0</v>
      </c>
      <c r="CD190" s="462">
        <f>IF(AND(AT190&lt;&gt;0,AN190&lt;&gt;"NE"),VLOOKUP(AN190,Retirement_Rates,5,FALSE)*Y190,0)</f>
        <v>0</v>
      </c>
      <c r="CE190" s="462">
        <f>IF(AND(AT190&lt;&gt;0,AJ190&lt;&gt;"PF"),LifeCHG*Y190,0)</f>
        <v>0</v>
      </c>
      <c r="CF190" s="462">
        <f>IF(AND(AT190&lt;&gt;0,AM190="Y"),UICHG*Y190,0)</f>
        <v>-288.33167999999995</v>
      </c>
      <c r="CG190" s="462">
        <f>IF(AND(AT190&lt;&gt;0,N190&lt;&gt;"NR"),DHRCHG*Y190,0)</f>
        <v>0</v>
      </c>
      <c r="CH190" s="462">
        <f>IF(AT190&lt;&gt;0,WCCHG*Y190,0)</f>
        <v>135.33936000000008</v>
      </c>
      <c r="CI190" s="462">
        <f>IF(OR(AND(AT190&lt;&gt;0,AJ190&lt;&gt;"PF",AN190&lt;&gt;"NE",AG190&lt;&gt;"A"),AND(AL190="E",OR(AT190=1,AT190=3))),SickCHG*Y190,0)</f>
        <v>0</v>
      </c>
      <c r="CJ190" s="462">
        <f t="shared" si="46"/>
        <v>-152.99231999999986</v>
      </c>
      <c r="CK190" s="462" t="str">
        <f t="shared" si="47"/>
        <v/>
      </c>
      <c r="CL190" s="462" t="str">
        <f t="shared" si="48"/>
        <v/>
      </c>
      <c r="CM190" s="462" t="str">
        <f t="shared" si="49"/>
        <v/>
      </c>
      <c r="CN190" s="462" t="str">
        <f t="shared" si="50"/>
        <v>0332-05</v>
      </c>
    </row>
    <row r="191" spans="1:92" ht="15" thickBot="1" x14ac:dyDescent="0.35">
      <c r="A191" s="376" t="s">
        <v>161</v>
      </c>
      <c r="B191" s="376" t="s">
        <v>162</v>
      </c>
      <c r="C191" s="376" t="s">
        <v>742</v>
      </c>
      <c r="D191" s="376" t="s">
        <v>362</v>
      </c>
      <c r="E191" s="376" t="s">
        <v>535</v>
      </c>
      <c r="F191" s="382" t="s">
        <v>659</v>
      </c>
      <c r="G191" s="376" t="s">
        <v>651</v>
      </c>
      <c r="H191" s="378"/>
      <c r="I191" s="378"/>
      <c r="J191" s="376" t="s">
        <v>168</v>
      </c>
      <c r="K191" s="376" t="s">
        <v>363</v>
      </c>
      <c r="L191" s="376" t="s">
        <v>200</v>
      </c>
      <c r="M191" s="376" t="s">
        <v>170</v>
      </c>
      <c r="N191" s="376" t="s">
        <v>202</v>
      </c>
      <c r="O191" s="379">
        <v>1</v>
      </c>
      <c r="P191" s="460">
        <v>1</v>
      </c>
      <c r="Q191" s="460">
        <v>1</v>
      </c>
      <c r="R191" s="380">
        <v>80</v>
      </c>
      <c r="S191" s="460">
        <v>1</v>
      </c>
      <c r="T191" s="380">
        <v>23794.48</v>
      </c>
      <c r="U191" s="380">
        <v>0</v>
      </c>
      <c r="V191" s="380">
        <v>8825.3700000000008</v>
      </c>
      <c r="W191" s="380">
        <v>46800</v>
      </c>
      <c r="X191" s="380">
        <v>22244.1</v>
      </c>
      <c r="Y191" s="380">
        <v>46800</v>
      </c>
      <c r="Z191" s="380">
        <v>22122.42</v>
      </c>
      <c r="AA191" s="376" t="s">
        <v>743</v>
      </c>
      <c r="AB191" s="376" t="s">
        <v>744</v>
      </c>
      <c r="AC191" s="376" t="s">
        <v>745</v>
      </c>
      <c r="AD191" s="376" t="s">
        <v>215</v>
      </c>
      <c r="AE191" s="376" t="s">
        <v>363</v>
      </c>
      <c r="AF191" s="376" t="s">
        <v>210</v>
      </c>
      <c r="AG191" s="376" t="s">
        <v>177</v>
      </c>
      <c r="AH191" s="381">
        <v>22.5</v>
      </c>
      <c r="AI191" s="379">
        <v>5568</v>
      </c>
      <c r="AJ191" s="376" t="s">
        <v>178</v>
      </c>
      <c r="AK191" s="376" t="s">
        <v>179</v>
      </c>
      <c r="AL191" s="376" t="s">
        <v>180</v>
      </c>
      <c r="AM191" s="376" t="s">
        <v>181</v>
      </c>
      <c r="AN191" s="376" t="s">
        <v>68</v>
      </c>
      <c r="AO191" s="379">
        <v>80</v>
      </c>
      <c r="AP191" s="460">
        <v>1</v>
      </c>
      <c r="AQ191" s="460">
        <v>1</v>
      </c>
      <c r="AR191" s="458" t="s">
        <v>182</v>
      </c>
      <c r="AS191" s="462">
        <f t="shared" si="34"/>
        <v>1</v>
      </c>
      <c r="AT191">
        <f t="shared" si="35"/>
        <v>1</v>
      </c>
      <c r="AU191" s="462">
        <f>IF(AT191=0,"",IF(AND(AT191=1,M191="F",SUMIF(C2:C698,C191,AS2:AS698)&lt;=1),SUMIF(C2:C698,C191,AS2:AS698),IF(AND(AT191=1,M191="F",SUMIF(C2:C698,C191,AS2:AS698)&gt;1),1,"")))</f>
        <v>1</v>
      </c>
      <c r="AV191" s="462" t="str">
        <f>IF(AT191=0,"",IF(AND(AT191=3,M191="F",SUMIF(C2:C698,C191,AS2:AS698)&lt;=1),SUMIF(C2:C698,C191,AS2:AS698),IF(AND(AT191=3,M191="F",SUMIF(C2:C698,C191,AS2:AS698)&gt;1),1,"")))</f>
        <v/>
      </c>
      <c r="AW191" s="462">
        <f>SUMIF(C2:C698,C191,O2:O698)</f>
        <v>2</v>
      </c>
      <c r="AX191" s="462">
        <f>IF(AND(M191="F",AS191&lt;&gt;0),SUMIF(C2:C698,C191,W2:W698),0)</f>
        <v>46800</v>
      </c>
      <c r="AY191" s="462">
        <f t="shared" si="36"/>
        <v>46800</v>
      </c>
      <c r="AZ191" s="462" t="str">
        <f t="shared" si="37"/>
        <v/>
      </c>
      <c r="BA191" s="462">
        <f t="shared" si="38"/>
        <v>0</v>
      </c>
      <c r="BB191" s="462">
        <f>IF(AND(AT191=1,AK191="E",AU191&gt;=0.75,AW191=1),Health,IF(AND(AT191=1,AK191="E",AU191&gt;=0.75),Health*P191,IF(AND(AT191=1,AK191="E",AU191&gt;=0.5,AW191=1),PTHealth,IF(AND(AT191=1,AK191="E",AU191&gt;=0.5),PTHealth*P191,0))))</f>
        <v>11650</v>
      </c>
      <c r="BC191" s="462">
        <f>IF(AND(AT191=3,AK191="E",AV191&gt;=0.75,AW191=1),Health,IF(AND(AT191=3,AK191="E",AV191&gt;=0.75),Health*P191,IF(AND(AT191=3,AK191="E",AV191&gt;=0.5,AW191=1),PTHealth,IF(AND(AT191=3,AK191="E",AV191&gt;=0.5),PTHealth*P191,0))))</f>
        <v>0</v>
      </c>
      <c r="BD191" s="462">
        <f>IF(AND(AT191&lt;&gt;0,AX191&gt;=MAXSSDI),SSDI*MAXSSDI*P191,IF(AT191&lt;&gt;0,SSDI*W191,0))</f>
        <v>2901.6</v>
      </c>
      <c r="BE191" s="462">
        <f>IF(AT191&lt;&gt;0,SSHI*W191,0)</f>
        <v>678.6</v>
      </c>
      <c r="BF191" s="462">
        <f>IF(AND(AT191&lt;&gt;0,AN191&lt;&gt;"NE"),VLOOKUP(AN191,Retirement_Rates,3,FALSE)*W191,0)</f>
        <v>5587.92</v>
      </c>
      <c r="BG191" s="462">
        <f>IF(AND(AT191&lt;&gt;0,AJ191&lt;&gt;"PF"),Life*W191,0)</f>
        <v>337.428</v>
      </c>
      <c r="BH191" s="462">
        <f>IF(AND(AT191&lt;&gt;0,AM191="Y"),UI*W191,0)</f>
        <v>229.32</v>
      </c>
      <c r="BI191" s="462">
        <f>IF(AND(AT191&lt;&gt;0,N191&lt;&gt;"NR"),DHR*W191,0)</f>
        <v>143.208</v>
      </c>
      <c r="BJ191" s="462">
        <f>IF(AT191&lt;&gt;0,WC*W191,0)</f>
        <v>716.04</v>
      </c>
      <c r="BK191" s="462">
        <f>IF(OR(AND(AT191&lt;&gt;0,AJ191&lt;&gt;"PF",AN191&lt;&gt;"NE",AG191&lt;&gt;"A"),AND(AL191="E",OR(AT191=1,AT191=3))),Sick*W191,0)</f>
        <v>0</v>
      </c>
      <c r="BL191" s="462">
        <f t="shared" si="39"/>
        <v>10594.115999999998</v>
      </c>
      <c r="BM191" s="462">
        <f t="shared" si="40"/>
        <v>0</v>
      </c>
      <c r="BN191" s="462">
        <f>IF(AND(AT191=1,AK191="E",AU191&gt;=0.75,AW191=1),HealthBY,IF(AND(AT191=1,AK191="E",AU191&gt;=0.75),HealthBY*P191,IF(AND(AT191=1,AK191="E",AU191&gt;=0.5,AW191=1),PTHealthBY,IF(AND(AT191=1,AK191="E",AU191&gt;=0.5),PTHealthBY*P191,0))))</f>
        <v>11650</v>
      </c>
      <c r="BO191" s="462">
        <f>IF(AND(AT191=3,AK191="E",AV191&gt;=0.75,AW191=1),HealthBY,IF(AND(AT191=3,AK191="E",AV191&gt;=0.75),HealthBY*P191,IF(AND(AT191=3,AK191="E",AV191&gt;=0.5,AW191=1),PTHealthBY,IF(AND(AT191=3,AK191="E",AV191&gt;=0.5),PTHealthBY*P191,0))))</f>
        <v>0</v>
      </c>
      <c r="BP191" s="462">
        <f>IF(AND(AT191&lt;&gt;0,(AX191+BA191)&gt;=MAXSSDIBY),SSDIBY*MAXSSDIBY*P191,IF(AT191&lt;&gt;0,SSDIBY*W191,0))</f>
        <v>2901.6</v>
      </c>
      <c r="BQ191" s="462">
        <f>IF(AT191&lt;&gt;0,SSHIBY*W191,0)</f>
        <v>678.6</v>
      </c>
      <c r="BR191" s="462">
        <f>IF(AND(AT191&lt;&gt;0,AN191&lt;&gt;"NE"),VLOOKUP(AN191,Retirement_Rates,4,FALSE)*W191,0)</f>
        <v>5587.92</v>
      </c>
      <c r="BS191" s="462">
        <f>IF(AND(AT191&lt;&gt;0,AJ191&lt;&gt;"PF"),LifeBY*W191,0)</f>
        <v>337.428</v>
      </c>
      <c r="BT191" s="462">
        <f>IF(AND(AT191&lt;&gt;0,AM191="Y"),UIBY*W191,0)</f>
        <v>0</v>
      </c>
      <c r="BU191" s="462">
        <f>IF(AND(AT191&lt;&gt;0,N191&lt;&gt;"NR"),DHRBY*W191,0)</f>
        <v>143.208</v>
      </c>
      <c r="BV191" s="462">
        <f>IF(AT191&lt;&gt;0,WCBY*W191,0)</f>
        <v>823.68000000000006</v>
      </c>
      <c r="BW191" s="462">
        <f>IF(OR(AND(AT191&lt;&gt;0,AJ191&lt;&gt;"PF",AN191&lt;&gt;"NE",AG191&lt;&gt;"A"),AND(AL191="E",OR(AT191=1,AT191=3))),SickBY*W191,0)</f>
        <v>0</v>
      </c>
      <c r="BX191" s="462">
        <f t="shared" si="41"/>
        <v>10472.436</v>
      </c>
      <c r="BY191" s="462">
        <f t="shared" si="42"/>
        <v>0</v>
      </c>
      <c r="BZ191" s="462">
        <f t="shared" si="43"/>
        <v>0</v>
      </c>
      <c r="CA191" s="462">
        <f t="shared" si="44"/>
        <v>0</v>
      </c>
      <c r="CB191" s="462">
        <f t="shared" si="45"/>
        <v>0</v>
      </c>
      <c r="CC191" s="462">
        <f>IF(AT191&lt;&gt;0,SSHICHG*Y191,0)</f>
        <v>0</v>
      </c>
      <c r="CD191" s="462">
        <f>IF(AND(AT191&lt;&gt;0,AN191&lt;&gt;"NE"),VLOOKUP(AN191,Retirement_Rates,5,FALSE)*Y191,0)</f>
        <v>0</v>
      </c>
      <c r="CE191" s="462">
        <f>IF(AND(AT191&lt;&gt;0,AJ191&lt;&gt;"PF"),LifeCHG*Y191,0)</f>
        <v>0</v>
      </c>
      <c r="CF191" s="462">
        <f>IF(AND(AT191&lt;&gt;0,AM191="Y"),UICHG*Y191,0)</f>
        <v>-229.32</v>
      </c>
      <c r="CG191" s="462">
        <f>IF(AND(AT191&lt;&gt;0,N191&lt;&gt;"NR"),DHRCHG*Y191,0)</f>
        <v>0</v>
      </c>
      <c r="CH191" s="462">
        <f>IF(AT191&lt;&gt;0,WCCHG*Y191,0)</f>
        <v>107.64000000000009</v>
      </c>
      <c r="CI191" s="462">
        <f>IF(OR(AND(AT191&lt;&gt;0,AJ191&lt;&gt;"PF",AN191&lt;&gt;"NE",AG191&lt;&gt;"A"),AND(AL191="E",OR(AT191=1,AT191=3))),SickCHG*Y191,0)</f>
        <v>0</v>
      </c>
      <c r="CJ191" s="462">
        <f t="shared" si="46"/>
        <v>-121.67999999999991</v>
      </c>
      <c r="CK191" s="462" t="str">
        <f t="shared" si="47"/>
        <v/>
      </c>
      <c r="CL191" s="462" t="str">
        <f t="shared" si="48"/>
        <v/>
      </c>
      <c r="CM191" s="462" t="str">
        <f t="shared" si="49"/>
        <v/>
      </c>
      <c r="CN191" s="462" t="str">
        <f t="shared" si="50"/>
        <v>0332-05</v>
      </c>
    </row>
    <row r="192" spans="1:92" ht="15" thickBot="1" x14ac:dyDescent="0.35">
      <c r="A192" s="376" t="s">
        <v>161</v>
      </c>
      <c r="B192" s="376" t="s">
        <v>162</v>
      </c>
      <c r="C192" s="376" t="s">
        <v>746</v>
      </c>
      <c r="D192" s="376" t="s">
        <v>362</v>
      </c>
      <c r="E192" s="376" t="s">
        <v>535</v>
      </c>
      <c r="F192" s="382" t="s">
        <v>659</v>
      </c>
      <c r="G192" s="376" t="s">
        <v>651</v>
      </c>
      <c r="H192" s="378"/>
      <c r="I192" s="378"/>
      <c r="J192" s="376" t="s">
        <v>168</v>
      </c>
      <c r="K192" s="376" t="s">
        <v>363</v>
      </c>
      <c r="L192" s="376" t="s">
        <v>200</v>
      </c>
      <c r="M192" s="376" t="s">
        <v>170</v>
      </c>
      <c r="N192" s="376" t="s">
        <v>202</v>
      </c>
      <c r="O192" s="379">
        <v>1</v>
      </c>
      <c r="P192" s="460">
        <v>1</v>
      </c>
      <c r="Q192" s="460">
        <v>1</v>
      </c>
      <c r="R192" s="380">
        <v>80</v>
      </c>
      <c r="S192" s="460">
        <v>1</v>
      </c>
      <c r="T192" s="380">
        <v>28328.92</v>
      </c>
      <c r="U192" s="380">
        <v>0</v>
      </c>
      <c r="V192" s="380">
        <v>11211.88</v>
      </c>
      <c r="W192" s="380">
        <v>63980.800000000003</v>
      </c>
      <c r="X192" s="380">
        <v>26133.3</v>
      </c>
      <c r="Y192" s="380">
        <v>63980.800000000003</v>
      </c>
      <c r="Z192" s="380">
        <v>25966.959999999999</v>
      </c>
      <c r="AA192" s="376" t="s">
        <v>747</v>
      </c>
      <c r="AB192" s="376" t="s">
        <v>748</v>
      </c>
      <c r="AC192" s="376" t="s">
        <v>749</v>
      </c>
      <c r="AD192" s="376" t="s">
        <v>750</v>
      </c>
      <c r="AE192" s="376" t="s">
        <v>363</v>
      </c>
      <c r="AF192" s="376" t="s">
        <v>210</v>
      </c>
      <c r="AG192" s="376" t="s">
        <v>177</v>
      </c>
      <c r="AH192" s="381">
        <v>30.76</v>
      </c>
      <c r="AI192" s="381">
        <v>50394.9</v>
      </c>
      <c r="AJ192" s="376" t="s">
        <v>178</v>
      </c>
      <c r="AK192" s="376" t="s">
        <v>179</v>
      </c>
      <c r="AL192" s="376" t="s">
        <v>180</v>
      </c>
      <c r="AM192" s="376" t="s">
        <v>181</v>
      </c>
      <c r="AN192" s="376" t="s">
        <v>68</v>
      </c>
      <c r="AO192" s="379">
        <v>80</v>
      </c>
      <c r="AP192" s="460">
        <v>1</v>
      </c>
      <c r="AQ192" s="460">
        <v>1</v>
      </c>
      <c r="AR192" s="458" t="s">
        <v>182</v>
      </c>
      <c r="AS192" s="462">
        <f t="shared" si="34"/>
        <v>1</v>
      </c>
      <c r="AT192">
        <f t="shared" si="35"/>
        <v>1</v>
      </c>
      <c r="AU192" s="462">
        <f>IF(AT192=0,"",IF(AND(AT192=1,M192="F",SUMIF(C2:C698,C192,AS2:AS698)&lt;=1),SUMIF(C2:C698,C192,AS2:AS698),IF(AND(AT192=1,M192="F",SUMIF(C2:C698,C192,AS2:AS698)&gt;1),1,"")))</f>
        <v>1</v>
      </c>
      <c r="AV192" s="462" t="str">
        <f>IF(AT192=0,"",IF(AND(AT192=3,M192="F",SUMIF(C2:C698,C192,AS2:AS698)&lt;=1),SUMIF(C2:C698,C192,AS2:AS698),IF(AND(AT192=3,M192="F",SUMIF(C2:C698,C192,AS2:AS698)&gt;1),1,"")))</f>
        <v/>
      </c>
      <c r="AW192" s="462">
        <f>SUMIF(C2:C698,C192,O2:O698)</f>
        <v>2</v>
      </c>
      <c r="AX192" s="462">
        <f>IF(AND(M192="F",AS192&lt;&gt;0),SUMIF(C2:C698,C192,W2:W698),0)</f>
        <v>63980.800000000003</v>
      </c>
      <c r="AY192" s="462">
        <f t="shared" si="36"/>
        <v>63980.800000000003</v>
      </c>
      <c r="AZ192" s="462" t="str">
        <f t="shared" si="37"/>
        <v/>
      </c>
      <c r="BA192" s="462">
        <f t="shared" si="38"/>
        <v>0</v>
      </c>
      <c r="BB192" s="462">
        <f>IF(AND(AT192=1,AK192="E",AU192&gt;=0.75,AW192=1),Health,IF(AND(AT192=1,AK192="E",AU192&gt;=0.75),Health*P192,IF(AND(AT192=1,AK192="E",AU192&gt;=0.5,AW192=1),PTHealth,IF(AND(AT192=1,AK192="E",AU192&gt;=0.5),PTHealth*P192,0))))</f>
        <v>11650</v>
      </c>
      <c r="BC192" s="462">
        <f>IF(AND(AT192=3,AK192="E",AV192&gt;=0.75,AW192=1),Health,IF(AND(AT192=3,AK192="E",AV192&gt;=0.75),Health*P192,IF(AND(AT192=3,AK192="E",AV192&gt;=0.5,AW192=1),PTHealth,IF(AND(AT192=3,AK192="E",AV192&gt;=0.5),PTHealth*P192,0))))</f>
        <v>0</v>
      </c>
      <c r="BD192" s="462">
        <f>IF(AND(AT192&lt;&gt;0,AX192&gt;=MAXSSDI),SSDI*MAXSSDI*P192,IF(AT192&lt;&gt;0,SSDI*W192,0))</f>
        <v>3966.8096</v>
      </c>
      <c r="BE192" s="462">
        <f>IF(AT192&lt;&gt;0,SSHI*W192,0)</f>
        <v>927.72160000000008</v>
      </c>
      <c r="BF192" s="462">
        <f>IF(AND(AT192&lt;&gt;0,AN192&lt;&gt;"NE"),VLOOKUP(AN192,Retirement_Rates,3,FALSE)*W192,0)</f>
        <v>7639.3075200000003</v>
      </c>
      <c r="BG192" s="462">
        <f>IF(AND(AT192&lt;&gt;0,AJ192&lt;&gt;"PF"),Life*W192,0)</f>
        <v>461.30156800000003</v>
      </c>
      <c r="BH192" s="462">
        <f>IF(AND(AT192&lt;&gt;0,AM192="Y"),UI*W192,0)</f>
        <v>313.50592</v>
      </c>
      <c r="BI192" s="462">
        <f>IF(AND(AT192&lt;&gt;0,N192&lt;&gt;"NR"),DHR*W192,0)</f>
        <v>195.78124800000001</v>
      </c>
      <c r="BJ192" s="462">
        <f>IF(AT192&lt;&gt;0,WC*W192,0)</f>
        <v>978.90624000000003</v>
      </c>
      <c r="BK192" s="462">
        <f>IF(OR(AND(AT192&lt;&gt;0,AJ192&lt;&gt;"PF",AN192&lt;&gt;"NE",AG192&lt;&gt;"A"),AND(AL192="E",OR(AT192=1,AT192=3))),Sick*W192,0)</f>
        <v>0</v>
      </c>
      <c r="BL192" s="462">
        <f t="shared" si="39"/>
        <v>14483.333696</v>
      </c>
      <c r="BM192" s="462">
        <f t="shared" si="40"/>
        <v>0</v>
      </c>
      <c r="BN192" s="462">
        <f>IF(AND(AT192=1,AK192="E",AU192&gt;=0.75,AW192=1),HealthBY,IF(AND(AT192=1,AK192="E",AU192&gt;=0.75),HealthBY*P192,IF(AND(AT192=1,AK192="E",AU192&gt;=0.5,AW192=1),PTHealthBY,IF(AND(AT192=1,AK192="E",AU192&gt;=0.5),PTHealthBY*P192,0))))</f>
        <v>11650</v>
      </c>
      <c r="BO192" s="462">
        <f>IF(AND(AT192=3,AK192="E",AV192&gt;=0.75,AW192=1),HealthBY,IF(AND(AT192=3,AK192="E",AV192&gt;=0.75),HealthBY*P192,IF(AND(AT192=3,AK192="E",AV192&gt;=0.5,AW192=1),PTHealthBY,IF(AND(AT192=3,AK192="E",AV192&gt;=0.5),PTHealthBY*P192,0))))</f>
        <v>0</v>
      </c>
      <c r="BP192" s="462">
        <f>IF(AND(AT192&lt;&gt;0,(AX192+BA192)&gt;=MAXSSDIBY),SSDIBY*MAXSSDIBY*P192,IF(AT192&lt;&gt;0,SSDIBY*W192,0))</f>
        <v>3966.8096</v>
      </c>
      <c r="BQ192" s="462">
        <f>IF(AT192&lt;&gt;0,SSHIBY*W192,0)</f>
        <v>927.72160000000008</v>
      </c>
      <c r="BR192" s="462">
        <f>IF(AND(AT192&lt;&gt;0,AN192&lt;&gt;"NE"),VLOOKUP(AN192,Retirement_Rates,4,FALSE)*W192,0)</f>
        <v>7639.3075200000003</v>
      </c>
      <c r="BS192" s="462">
        <f>IF(AND(AT192&lt;&gt;0,AJ192&lt;&gt;"PF"),LifeBY*W192,0)</f>
        <v>461.30156800000003</v>
      </c>
      <c r="BT192" s="462">
        <f>IF(AND(AT192&lt;&gt;0,AM192="Y"),UIBY*W192,0)</f>
        <v>0</v>
      </c>
      <c r="BU192" s="462">
        <f>IF(AND(AT192&lt;&gt;0,N192&lt;&gt;"NR"),DHRBY*W192,0)</f>
        <v>195.78124800000001</v>
      </c>
      <c r="BV192" s="462">
        <f>IF(AT192&lt;&gt;0,WCBY*W192,0)</f>
        <v>1126.0620800000002</v>
      </c>
      <c r="BW192" s="462">
        <f>IF(OR(AND(AT192&lt;&gt;0,AJ192&lt;&gt;"PF",AN192&lt;&gt;"NE",AG192&lt;&gt;"A"),AND(AL192="E",OR(AT192=1,AT192=3))),SickBY*W192,0)</f>
        <v>0</v>
      </c>
      <c r="BX192" s="462">
        <f t="shared" si="41"/>
        <v>14316.983616</v>
      </c>
      <c r="BY192" s="462">
        <f t="shared" si="42"/>
        <v>0</v>
      </c>
      <c r="BZ192" s="462">
        <f t="shared" si="43"/>
        <v>0</v>
      </c>
      <c r="CA192" s="462">
        <f t="shared" si="44"/>
        <v>0</v>
      </c>
      <c r="CB192" s="462">
        <f t="shared" si="45"/>
        <v>0</v>
      </c>
      <c r="CC192" s="462">
        <f>IF(AT192&lt;&gt;0,SSHICHG*Y192,0)</f>
        <v>0</v>
      </c>
      <c r="CD192" s="462">
        <f>IF(AND(AT192&lt;&gt;0,AN192&lt;&gt;"NE"),VLOOKUP(AN192,Retirement_Rates,5,FALSE)*Y192,0)</f>
        <v>0</v>
      </c>
      <c r="CE192" s="462">
        <f>IF(AND(AT192&lt;&gt;0,AJ192&lt;&gt;"PF"),LifeCHG*Y192,0)</f>
        <v>0</v>
      </c>
      <c r="CF192" s="462">
        <f>IF(AND(AT192&lt;&gt;0,AM192="Y"),UICHG*Y192,0)</f>
        <v>-313.50592</v>
      </c>
      <c r="CG192" s="462">
        <f>IF(AND(AT192&lt;&gt;0,N192&lt;&gt;"NR"),DHRCHG*Y192,0)</f>
        <v>0</v>
      </c>
      <c r="CH192" s="462">
        <f>IF(AT192&lt;&gt;0,WCCHG*Y192,0)</f>
        <v>147.15584000000013</v>
      </c>
      <c r="CI192" s="462">
        <f>IF(OR(AND(AT192&lt;&gt;0,AJ192&lt;&gt;"PF",AN192&lt;&gt;"NE",AG192&lt;&gt;"A"),AND(AL192="E",OR(AT192=1,AT192=3))),SickCHG*Y192,0)</f>
        <v>0</v>
      </c>
      <c r="CJ192" s="462">
        <f t="shared" si="46"/>
        <v>-166.35007999999988</v>
      </c>
      <c r="CK192" s="462" t="str">
        <f t="shared" si="47"/>
        <v/>
      </c>
      <c r="CL192" s="462" t="str">
        <f t="shared" si="48"/>
        <v/>
      </c>
      <c r="CM192" s="462" t="str">
        <f t="shared" si="49"/>
        <v/>
      </c>
      <c r="CN192" s="462" t="str">
        <f t="shared" si="50"/>
        <v>0332-05</v>
      </c>
    </row>
    <row r="193" spans="1:92" ht="15" thickBot="1" x14ac:dyDescent="0.35">
      <c r="A193" s="376" t="s">
        <v>161</v>
      </c>
      <c r="B193" s="376" t="s">
        <v>162</v>
      </c>
      <c r="C193" s="376" t="s">
        <v>522</v>
      </c>
      <c r="D193" s="376" t="s">
        <v>457</v>
      </c>
      <c r="E193" s="376" t="s">
        <v>535</v>
      </c>
      <c r="F193" s="382" t="s">
        <v>659</v>
      </c>
      <c r="G193" s="376" t="s">
        <v>651</v>
      </c>
      <c r="H193" s="378"/>
      <c r="I193" s="378"/>
      <c r="J193" s="376" t="s">
        <v>455</v>
      </c>
      <c r="K193" s="376" t="s">
        <v>458</v>
      </c>
      <c r="L193" s="376" t="s">
        <v>177</v>
      </c>
      <c r="M193" s="376" t="s">
        <v>170</v>
      </c>
      <c r="N193" s="376" t="s">
        <v>202</v>
      </c>
      <c r="O193" s="379">
        <v>1</v>
      </c>
      <c r="P193" s="460">
        <v>0.1</v>
      </c>
      <c r="Q193" s="460">
        <v>0.1</v>
      </c>
      <c r="R193" s="380">
        <v>80</v>
      </c>
      <c r="S193" s="460">
        <v>0.1</v>
      </c>
      <c r="T193" s="380">
        <v>2601.0100000000002</v>
      </c>
      <c r="U193" s="380">
        <v>0</v>
      </c>
      <c r="V193" s="380">
        <v>1601.58</v>
      </c>
      <c r="W193" s="380">
        <v>3224</v>
      </c>
      <c r="X193" s="380">
        <v>1894.81</v>
      </c>
      <c r="Y193" s="380">
        <v>3224</v>
      </c>
      <c r="Z193" s="380">
        <v>1886.43</v>
      </c>
      <c r="AA193" s="376" t="s">
        <v>523</v>
      </c>
      <c r="AB193" s="376" t="s">
        <v>524</v>
      </c>
      <c r="AC193" s="376" t="s">
        <v>525</v>
      </c>
      <c r="AD193" s="376" t="s">
        <v>247</v>
      </c>
      <c r="AE193" s="376" t="s">
        <v>458</v>
      </c>
      <c r="AF193" s="376" t="s">
        <v>436</v>
      </c>
      <c r="AG193" s="376" t="s">
        <v>177</v>
      </c>
      <c r="AH193" s="381">
        <v>15.5</v>
      </c>
      <c r="AI193" s="381">
        <v>600.29999999999995</v>
      </c>
      <c r="AJ193" s="376" t="s">
        <v>178</v>
      </c>
      <c r="AK193" s="376" t="s">
        <v>179</v>
      </c>
      <c r="AL193" s="376" t="s">
        <v>180</v>
      </c>
      <c r="AM193" s="376" t="s">
        <v>181</v>
      </c>
      <c r="AN193" s="376" t="s">
        <v>68</v>
      </c>
      <c r="AO193" s="379">
        <v>80</v>
      </c>
      <c r="AP193" s="460">
        <v>1</v>
      </c>
      <c r="AQ193" s="460">
        <v>0.1</v>
      </c>
      <c r="AR193" s="458" t="s">
        <v>182</v>
      </c>
      <c r="AS193" s="462">
        <f t="shared" si="34"/>
        <v>0.1</v>
      </c>
      <c r="AT193">
        <f t="shared" si="35"/>
        <v>1</v>
      </c>
      <c r="AU193" s="462">
        <f>IF(AT193=0,"",IF(AND(AT193=1,M193="F",SUMIF(C2:C698,C193,AS2:AS698)&lt;=1),SUMIF(C2:C698,C193,AS2:AS698),IF(AND(AT193=1,M193="F",SUMIF(C2:C698,C193,AS2:AS698)&gt;1),1,"")))</f>
        <v>1</v>
      </c>
      <c r="AV193" s="462" t="str">
        <f>IF(AT193=0,"",IF(AND(AT193=3,M193="F",SUMIF(C2:C698,C193,AS2:AS698)&lt;=1),SUMIF(C2:C698,C193,AS2:AS698),IF(AND(AT193=3,M193="F",SUMIF(C2:C698,C193,AS2:AS698)&gt;1),1,"")))</f>
        <v/>
      </c>
      <c r="AW193" s="462">
        <f>SUMIF(C2:C698,C193,O2:O698)</f>
        <v>7</v>
      </c>
      <c r="AX193" s="462">
        <f>IF(AND(M193="F",AS193&lt;&gt;0),SUMIF(C2:C698,C193,W2:W698),0)</f>
        <v>32240</v>
      </c>
      <c r="AY193" s="462">
        <f t="shared" si="36"/>
        <v>3224</v>
      </c>
      <c r="AZ193" s="462" t="str">
        <f t="shared" si="37"/>
        <v/>
      </c>
      <c r="BA193" s="462">
        <f t="shared" si="38"/>
        <v>0</v>
      </c>
      <c r="BB193" s="462">
        <f>IF(AND(AT193=1,AK193="E",AU193&gt;=0.75,AW193=1),Health,IF(AND(AT193=1,AK193="E",AU193&gt;=0.75),Health*P193,IF(AND(AT193=1,AK193="E",AU193&gt;=0.5,AW193=1),PTHealth,IF(AND(AT193=1,AK193="E",AU193&gt;=0.5),PTHealth*P193,0))))</f>
        <v>1165</v>
      </c>
      <c r="BC193" s="462">
        <f>IF(AND(AT193=3,AK193="E",AV193&gt;=0.75,AW193=1),Health,IF(AND(AT193=3,AK193="E",AV193&gt;=0.75),Health*P193,IF(AND(AT193=3,AK193="E",AV193&gt;=0.5,AW193=1),PTHealth,IF(AND(AT193=3,AK193="E",AV193&gt;=0.5),PTHealth*P193,0))))</f>
        <v>0</v>
      </c>
      <c r="BD193" s="462">
        <f>IF(AND(AT193&lt;&gt;0,AX193&gt;=MAXSSDI),SSDI*MAXSSDI*P193,IF(AT193&lt;&gt;0,SSDI*W193,0))</f>
        <v>199.88800000000001</v>
      </c>
      <c r="BE193" s="462">
        <f>IF(AT193&lt;&gt;0,SSHI*W193,0)</f>
        <v>46.748000000000005</v>
      </c>
      <c r="BF193" s="462">
        <f>IF(AND(AT193&lt;&gt;0,AN193&lt;&gt;"NE"),VLOOKUP(AN193,Retirement_Rates,3,FALSE)*W193,0)</f>
        <v>384.94560000000001</v>
      </c>
      <c r="BG193" s="462">
        <f>IF(AND(AT193&lt;&gt;0,AJ193&lt;&gt;"PF"),Life*W193,0)</f>
        <v>23.245039999999999</v>
      </c>
      <c r="BH193" s="462">
        <f>IF(AND(AT193&lt;&gt;0,AM193="Y"),UI*W193,0)</f>
        <v>15.797599999999999</v>
      </c>
      <c r="BI193" s="462">
        <f>IF(AND(AT193&lt;&gt;0,N193&lt;&gt;"NR"),DHR*W193,0)</f>
        <v>9.8654399999999995</v>
      </c>
      <c r="BJ193" s="462">
        <f>IF(AT193&lt;&gt;0,WC*W193,0)</f>
        <v>49.327199999999998</v>
      </c>
      <c r="BK193" s="462">
        <f>IF(OR(AND(AT193&lt;&gt;0,AJ193&lt;&gt;"PF",AN193&lt;&gt;"NE",AG193&lt;&gt;"A"),AND(AL193="E",OR(AT193=1,AT193=3))),Sick*W193,0)</f>
        <v>0</v>
      </c>
      <c r="BL193" s="462">
        <f t="shared" si="39"/>
        <v>729.81687999999997</v>
      </c>
      <c r="BM193" s="462">
        <f t="shared" si="40"/>
        <v>0</v>
      </c>
      <c r="BN193" s="462">
        <f>IF(AND(AT193=1,AK193="E",AU193&gt;=0.75,AW193=1),HealthBY,IF(AND(AT193=1,AK193="E",AU193&gt;=0.75),HealthBY*P193,IF(AND(AT193=1,AK193="E",AU193&gt;=0.5,AW193=1),PTHealthBY,IF(AND(AT193=1,AK193="E",AU193&gt;=0.5),PTHealthBY*P193,0))))</f>
        <v>1165</v>
      </c>
      <c r="BO193" s="462">
        <f>IF(AND(AT193=3,AK193="E",AV193&gt;=0.75,AW193=1),HealthBY,IF(AND(AT193=3,AK193="E",AV193&gt;=0.75),HealthBY*P193,IF(AND(AT193=3,AK193="E",AV193&gt;=0.5,AW193=1),PTHealthBY,IF(AND(AT193=3,AK193="E",AV193&gt;=0.5),PTHealthBY*P193,0))))</f>
        <v>0</v>
      </c>
      <c r="BP193" s="462">
        <f>IF(AND(AT193&lt;&gt;0,(AX193+BA193)&gt;=MAXSSDIBY),SSDIBY*MAXSSDIBY*P193,IF(AT193&lt;&gt;0,SSDIBY*W193,0))</f>
        <v>199.88800000000001</v>
      </c>
      <c r="BQ193" s="462">
        <f>IF(AT193&lt;&gt;0,SSHIBY*W193,0)</f>
        <v>46.748000000000005</v>
      </c>
      <c r="BR193" s="462">
        <f>IF(AND(AT193&lt;&gt;0,AN193&lt;&gt;"NE"),VLOOKUP(AN193,Retirement_Rates,4,FALSE)*W193,0)</f>
        <v>384.94560000000001</v>
      </c>
      <c r="BS193" s="462">
        <f>IF(AND(AT193&lt;&gt;0,AJ193&lt;&gt;"PF"),LifeBY*W193,0)</f>
        <v>23.245039999999999</v>
      </c>
      <c r="BT193" s="462">
        <f>IF(AND(AT193&lt;&gt;0,AM193="Y"),UIBY*W193,0)</f>
        <v>0</v>
      </c>
      <c r="BU193" s="462">
        <f>IF(AND(AT193&lt;&gt;0,N193&lt;&gt;"NR"),DHRBY*W193,0)</f>
        <v>9.8654399999999995</v>
      </c>
      <c r="BV193" s="462">
        <f>IF(AT193&lt;&gt;0,WCBY*W193,0)</f>
        <v>56.742400000000004</v>
      </c>
      <c r="BW193" s="462">
        <f>IF(OR(AND(AT193&lt;&gt;0,AJ193&lt;&gt;"PF",AN193&lt;&gt;"NE",AG193&lt;&gt;"A"),AND(AL193="E",OR(AT193=1,AT193=3))),SickBY*W193,0)</f>
        <v>0</v>
      </c>
      <c r="BX193" s="462">
        <f t="shared" si="41"/>
        <v>721.43448000000001</v>
      </c>
      <c r="BY193" s="462">
        <f t="shared" si="42"/>
        <v>0</v>
      </c>
      <c r="BZ193" s="462">
        <f t="shared" si="43"/>
        <v>0</v>
      </c>
      <c r="CA193" s="462">
        <f t="shared" si="44"/>
        <v>0</v>
      </c>
      <c r="CB193" s="462">
        <f t="shared" si="45"/>
        <v>0</v>
      </c>
      <c r="CC193" s="462">
        <f>IF(AT193&lt;&gt;0,SSHICHG*Y193,0)</f>
        <v>0</v>
      </c>
      <c r="CD193" s="462">
        <f>IF(AND(AT193&lt;&gt;0,AN193&lt;&gt;"NE"),VLOOKUP(AN193,Retirement_Rates,5,FALSE)*Y193,0)</f>
        <v>0</v>
      </c>
      <c r="CE193" s="462">
        <f>IF(AND(AT193&lt;&gt;0,AJ193&lt;&gt;"PF"),LifeCHG*Y193,0)</f>
        <v>0</v>
      </c>
      <c r="CF193" s="462">
        <f>IF(AND(AT193&lt;&gt;0,AM193="Y"),UICHG*Y193,0)</f>
        <v>-15.797599999999999</v>
      </c>
      <c r="CG193" s="462">
        <f>IF(AND(AT193&lt;&gt;0,N193&lt;&gt;"NR"),DHRCHG*Y193,0)</f>
        <v>0</v>
      </c>
      <c r="CH193" s="462">
        <f>IF(AT193&lt;&gt;0,WCCHG*Y193,0)</f>
        <v>7.4152000000000058</v>
      </c>
      <c r="CI193" s="462">
        <f>IF(OR(AND(AT193&lt;&gt;0,AJ193&lt;&gt;"PF",AN193&lt;&gt;"NE",AG193&lt;&gt;"A"),AND(AL193="E",OR(AT193=1,AT193=3))),SickCHG*Y193,0)</f>
        <v>0</v>
      </c>
      <c r="CJ193" s="462">
        <f t="shared" si="46"/>
        <v>-8.3823999999999934</v>
      </c>
      <c r="CK193" s="462" t="str">
        <f t="shared" si="47"/>
        <v/>
      </c>
      <c r="CL193" s="462" t="str">
        <f t="shared" si="48"/>
        <v/>
      </c>
      <c r="CM193" s="462" t="str">
        <f t="shared" si="49"/>
        <v/>
      </c>
      <c r="CN193" s="462" t="str">
        <f t="shared" si="50"/>
        <v>0332-05</v>
      </c>
    </row>
    <row r="194" spans="1:92" ht="15" thickBot="1" x14ac:dyDescent="0.35">
      <c r="A194" s="376" t="s">
        <v>161</v>
      </c>
      <c r="B194" s="376" t="s">
        <v>162</v>
      </c>
      <c r="C194" s="376" t="s">
        <v>751</v>
      </c>
      <c r="D194" s="376" t="s">
        <v>362</v>
      </c>
      <c r="E194" s="376" t="s">
        <v>535</v>
      </c>
      <c r="F194" s="382" t="s">
        <v>659</v>
      </c>
      <c r="G194" s="376" t="s">
        <v>651</v>
      </c>
      <c r="H194" s="378"/>
      <c r="I194" s="378"/>
      <c r="J194" s="376" t="s">
        <v>168</v>
      </c>
      <c r="K194" s="376" t="s">
        <v>363</v>
      </c>
      <c r="L194" s="376" t="s">
        <v>200</v>
      </c>
      <c r="M194" s="376" t="s">
        <v>170</v>
      </c>
      <c r="N194" s="376" t="s">
        <v>202</v>
      </c>
      <c r="O194" s="379">
        <v>1</v>
      </c>
      <c r="P194" s="460">
        <v>1</v>
      </c>
      <c r="Q194" s="460">
        <v>1</v>
      </c>
      <c r="R194" s="380">
        <v>80</v>
      </c>
      <c r="S194" s="460">
        <v>1</v>
      </c>
      <c r="T194" s="380">
        <v>30448.26</v>
      </c>
      <c r="U194" s="380">
        <v>0</v>
      </c>
      <c r="V194" s="380">
        <v>14080.01</v>
      </c>
      <c r="W194" s="380">
        <v>46800</v>
      </c>
      <c r="X194" s="380">
        <v>22244.1</v>
      </c>
      <c r="Y194" s="380">
        <v>46800</v>
      </c>
      <c r="Z194" s="380">
        <v>22122.42</v>
      </c>
      <c r="AA194" s="376" t="s">
        <v>752</v>
      </c>
      <c r="AB194" s="376" t="s">
        <v>753</v>
      </c>
      <c r="AC194" s="376" t="s">
        <v>754</v>
      </c>
      <c r="AD194" s="376" t="s">
        <v>190</v>
      </c>
      <c r="AE194" s="376" t="s">
        <v>363</v>
      </c>
      <c r="AF194" s="376" t="s">
        <v>210</v>
      </c>
      <c r="AG194" s="376" t="s">
        <v>177</v>
      </c>
      <c r="AH194" s="381">
        <v>22.5</v>
      </c>
      <c r="AI194" s="381">
        <v>8054.5</v>
      </c>
      <c r="AJ194" s="376" t="s">
        <v>178</v>
      </c>
      <c r="AK194" s="376" t="s">
        <v>179</v>
      </c>
      <c r="AL194" s="376" t="s">
        <v>180</v>
      </c>
      <c r="AM194" s="376" t="s">
        <v>181</v>
      </c>
      <c r="AN194" s="376" t="s">
        <v>68</v>
      </c>
      <c r="AO194" s="379">
        <v>80</v>
      </c>
      <c r="AP194" s="460">
        <v>1</v>
      </c>
      <c r="AQ194" s="460">
        <v>1</v>
      </c>
      <c r="AR194" s="458" t="s">
        <v>182</v>
      </c>
      <c r="AS194" s="462">
        <f t="shared" si="34"/>
        <v>1</v>
      </c>
      <c r="AT194">
        <f t="shared" si="35"/>
        <v>1</v>
      </c>
      <c r="AU194" s="462">
        <f>IF(AT194=0,"",IF(AND(AT194=1,M194="F",SUMIF(C2:C698,C194,AS2:AS698)&lt;=1),SUMIF(C2:C698,C194,AS2:AS698),IF(AND(AT194=1,M194="F",SUMIF(C2:C698,C194,AS2:AS698)&gt;1),1,"")))</f>
        <v>1</v>
      </c>
      <c r="AV194" s="462" t="str">
        <f>IF(AT194=0,"",IF(AND(AT194=3,M194="F",SUMIF(C2:C698,C194,AS2:AS698)&lt;=1),SUMIF(C2:C698,C194,AS2:AS698),IF(AND(AT194=3,M194="F",SUMIF(C2:C698,C194,AS2:AS698)&gt;1),1,"")))</f>
        <v/>
      </c>
      <c r="AW194" s="462">
        <f>SUMIF(C2:C698,C194,O2:O698)</f>
        <v>2</v>
      </c>
      <c r="AX194" s="462">
        <f>IF(AND(M194="F",AS194&lt;&gt;0),SUMIF(C2:C698,C194,W2:W698),0)</f>
        <v>46800</v>
      </c>
      <c r="AY194" s="462">
        <f t="shared" si="36"/>
        <v>46800</v>
      </c>
      <c r="AZ194" s="462" t="str">
        <f t="shared" si="37"/>
        <v/>
      </c>
      <c r="BA194" s="462">
        <f t="shared" si="38"/>
        <v>0</v>
      </c>
      <c r="BB194" s="462">
        <f>IF(AND(AT194=1,AK194="E",AU194&gt;=0.75,AW194=1),Health,IF(AND(AT194=1,AK194="E",AU194&gt;=0.75),Health*P194,IF(AND(AT194=1,AK194="E",AU194&gt;=0.5,AW194=1),PTHealth,IF(AND(AT194=1,AK194="E",AU194&gt;=0.5),PTHealth*P194,0))))</f>
        <v>11650</v>
      </c>
      <c r="BC194" s="462">
        <f>IF(AND(AT194=3,AK194="E",AV194&gt;=0.75,AW194=1),Health,IF(AND(AT194=3,AK194="E",AV194&gt;=0.75),Health*P194,IF(AND(AT194=3,AK194="E",AV194&gt;=0.5,AW194=1),PTHealth,IF(AND(AT194=3,AK194="E",AV194&gt;=0.5),PTHealth*P194,0))))</f>
        <v>0</v>
      </c>
      <c r="BD194" s="462">
        <f>IF(AND(AT194&lt;&gt;0,AX194&gt;=MAXSSDI),SSDI*MAXSSDI*P194,IF(AT194&lt;&gt;0,SSDI*W194,0))</f>
        <v>2901.6</v>
      </c>
      <c r="BE194" s="462">
        <f>IF(AT194&lt;&gt;0,SSHI*W194,0)</f>
        <v>678.6</v>
      </c>
      <c r="BF194" s="462">
        <f>IF(AND(AT194&lt;&gt;0,AN194&lt;&gt;"NE"),VLOOKUP(AN194,Retirement_Rates,3,FALSE)*W194,0)</f>
        <v>5587.92</v>
      </c>
      <c r="BG194" s="462">
        <f>IF(AND(AT194&lt;&gt;0,AJ194&lt;&gt;"PF"),Life*W194,0)</f>
        <v>337.428</v>
      </c>
      <c r="BH194" s="462">
        <f>IF(AND(AT194&lt;&gt;0,AM194="Y"),UI*W194,0)</f>
        <v>229.32</v>
      </c>
      <c r="BI194" s="462">
        <f>IF(AND(AT194&lt;&gt;0,N194&lt;&gt;"NR"),DHR*W194,0)</f>
        <v>143.208</v>
      </c>
      <c r="BJ194" s="462">
        <f>IF(AT194&lt;&gt;0,WC*W194,0)</f>
        <v>716.04</v>
      </c>
      <c r="BK194" s="462">
        <f>IF(OR(AND(AT194&lt;&gt;0,AJ194&lt;&gt;"PF",AN194&lt;&gt;"NE",AG194&lt;&gt;"A"),AND(AL194="E",OR(AT194=1,AT194=3))),Sick*W194,0)</f>
        <v>0</v>
      </c>
      <c r="BL194" s="462">
        <f t="shared" si="39"/>
        <v>10594.115999999998</v>
      </c>
      <c r="BM194" s="462">
        <f t="shared" si="40"/>
        <v>0</v>
      </c>
      <c r="BN194" s="462">
        <f>IF(AND(AT194=1,AK194="E",AU194&gt;=0.75,AW194=1),HealthBY,IF(AND(AT194=1,AK194="E",AU194&gt;=0.75),HealthBY*P194,IF(AND(AT194=1,AK194="E",AU194&gt;=0.5,AW194=1),PTHealthBY,IF(AND(AT194=1,AK194="E",AU194&gt;=0.5),PTHealthBY*P194,0))))</f>
        <v>11650</v>
      </c>
      <c r="BO194" s="462">
        <f>IF(AND(AT194=3,AK194="E",AV194&gt;=0.75,AW194=1),HealthBY,IF(AND(AT194=3,AK194="E",AV194&gt;=0.75),HealthBY*P194,IF(AND(AT194=3,AK194="E",AV194&gt;=0.5,AW194=1),PTHealthBY,IF(AND(AT194=3,AK194="E",AV194&gt;=0.5),PTHealthBY*P194,0))))</f>
        <v>0</v>
      </c>
      <c r="BP194" s="462">
        <f>IF(AND(AT194&lt;&gt;0,(AX194+BA194)&gt;=MAXSSDIBY),SSDIBY*MAXSSDIBY*P194,IF(AT194&lt;&gt;0,SSDIBY*W194,0))</f>
        <v>2901.6</v>
      </c>
      <c r="BQ194" s="462">
        <f>IF(AT194&lt;&gt;0,SSHIBY*W194,0)</f>
        <v>678.6</v>
      </c>
      <c r="BR194" s="462">
        <f>IF(AND(AT194&lt;&gt;0,AN194&lt;&gt;"NE"),VLOOKUP(AN194,Retirement_Rates,4,FALSE)*W194,0)</f>
        <v>5587.92</v>
      </c>
      <c r="BS194" s="462">
        <f>IF(AND(AT194&lt;&gt;0,AJ194&lt;&gt;"PF"),LifeBY*W194,0)</f>
        <v>337.428</v>
      </c>
      <c r="BT194" s="462">
        <f>IF(AND(AT194&lt;&gt;0,AM194="Y"),UIBY*W194,0)</f>
        <v>0</v>
      </c>
      <c r="BU194" s="462">
        <f>IF(AND(AT194&lt;&gt;0,N194&lt;&gt;"NR"),DHRBY*W194,0)</f>
        <v>143.208</v>
      </c>
      <c r="BV194" s="462">
        <f>IF(AT194&lt;&gt;0,WCBY*W194,0)</f>
        <v>823.68000000000006</v>
      </c>
      <c r="BW194" s="462">
        <f>IF(OR(AND(AT194&lt;&gt;0,AJ194&lt;&gt;"PF",AN194&lt;&gt;"NE",AG194&lt;&gt;"A"),AND(AL194="E",OR(AT194=1,AT194=3))),SickBY*W194,0)</f>
        <v>0</v>
      </c>
      <c r="BX194" s="462">
        <f t="shared" si="41"/>
        <v>10472.436</v>
      </c>
      <c r="BY194" s="462">
        <f t="shared" si="42"/>
        <v>0</v>
      </c>
      <c r="BZ194" s="462">
        <f t="shared" si="43"/>
        <v>0</v>
      </c>
      <c r="CA194" s="462">
        <f t="shared" si="44"/>
        <v>0</v>
      </c>
      <c r="CB194" s="462">
        <f t="shared" si="45"/>
        <v>0</v>
      </c>
      <c r="CC194" s="462">
        <f>IF(AT194&lt;&gt;0,SSHICHG*Y194,0)</f>
        <v>0</v>
      </c>
      <c r="CD194" s="462">
        <f>IF(AND(AT194&lt;&gt;0,AN194&lt;&gt;"NE"),VLOOKUP(AN194,Retirement_Rates,5,FALSE)*Y194,0)</f>
        <v>0</v>
      </c>
      <c r="CE194" s="462">
        <f>IF(AND(AT194&lt;&gt;0,AJ194&lt;&gt;"PF"),LifeCHG*Y194,0)</f>
        <v>0</v>
      </c>
      <c r="CF194" s="462">
        <f>IF(AND(AT194&lt;&gt;0,AM194="Y"),UICHG*Y194,0)</f>
        <v>-229.32</v>
      </c>
      <c r="CG194" s="462">
        <f>IF(AND(AT194&lt;&gt;0,N194&lt;&gt;"NR"),DHRCHG*Y194,0)</f>
        <v>0</v>
      </c>
      <c r="CH194" s="462">
        <f>IF(AT194&lt;&gt;0,WCCHG*Y194,0)</f>
        <v>107.64000000000009</v>
      </c>
      <c r="CI194" s="462">
        <f>IF(OR(AND(AT194&lt;&gt;0,AJ194&lt;&gt;"PF",AN194&lt;&gt;"NE",AG194&lt;&gt;"A"),AND(AL194="E",OR(AT194=1,AT194=3))),SickCHG*Y194,0)</f>
        <v>0</v>
      </c>
      <c r="CJ194" s="462">
        <f t="shared" si="46"/>
        <v>-121.67999999999991</v>
      </c>
      <c r="CK194" s="462" t="str">
        <f t="shared" si="47"/>
        <v/>
      </c>
      <c r="CL194" s="462" t="str">
        <f t="shared" si="48"/>
        <v/>
      </c>
      <c r="CM194" s="462" t="str">
        <f t="shared" si="49"/>
        <v/>
      </c>
      <c r="CN194" s="462" t="str">
        <f t="shared" si="50"/>
        <v>0332-05</v>
      </c>
    </row>
    <row r="195" spans="1:92" ht="15" thickBot="1" x14ac:dyDescent="0.35">
      <c r="A195" s="376" t="s">
        <v>161</v>
      </c>
      <c r="B195" s="376" t="s">
        <v>162</v>
      </c>
      <c r="C195" s="376" t="s">
        <v>546</v>
      </c>
      <c r="D195" s="376" t="s">
        <v>222</v>
      </c>
      <c r="E195" s="376" t="s">
        <v>535</v>
      </c>
      <c r="F195" s="382" t="s">
        <v>659</v>
      </c>
      <c r="G195" s="376" t="s">
        <v>651</v>
      </c>
      <c r="H195" s="378"/>
      <c r="I195" s="378"/>
      <c r="J195" s="376" t="s">
        <v>547</v>
      </c>
      <c r="K195" s="376" t="s">
        <v>548</v>
      </c>
      <c r="L195" s="376" t="s">
        <v>247</v>
      </c>
      <c r="M195" s="376" t="s">
        <v>170</v>
      </c>
      <c r="N195" s="376" t="s">
        <v>202</v>
      </c>
      <c r="O195" s="379">
        <v>1</v>
      </c>
      <c r="P195" s="460">
        <v>0.4</v>
      </c>
      <c r="Q195" s="460">
        <v>0.4</v>
      </c>
      <c r="R195" s="380">
        <v>80</v>
      </c>
      <c r="S195" s="460">
        <v>0.4</v>
      </c>
      <c r="T195" s="380">
        <v>33441.29</v>
      </c>
      <c r="U195" s="380">
        <v>0</v>
      </c>
      <c r="V195" s="380">
        <v>11443.47</v>
      </c>
      <c r="W195" s="380">
        <v>34677.760000000002</v>
      </c>
      <c r="X195" s="380">
        <v>12509.99</v>
      </c>
      <c r="Y195" s="380">
        <v>34677.760000000002</v>
      </c>
      <c r="Z195" s="380">
        <v>12419.83</v>
      </c>
      <c r="AA195" s="376" t="s">
        <v>549</v>
      </c>
      <c r="AB195" s="376" t="s">
        <v>550</v>
      </c>
      <c r="AC195" s="376" t="s">
        <v>551</v>
      </c>
      <c r="AD195" s="376" t="s">
        <v>200</v>
      </c>
      <c r="AE195" s="376" t="s">
        <v>548</v>
      </c>
      <c r="AF195" s="376" t="s">
        <v>299</v>
      </c>
      <c r="AG195" s="376" t="s">
        <v>177</v>
      </c>
      <c r="AH195" s="381">
        <v>41.68</v>
      </c>
      <c r="AI195" s="381">
        <v>67068.3</v>
      </c>
      <c r="AJ195" s="376" t="s">
        <v>178</v>
      </c>
      <c r="AK195" s="376" t="s">
        <v>179</v>
      </c>
      <c r="AL195" s="376" t="s">
        <v>180</v>
      </c>
      <c r="AM195" s="376" t="s">
        <v>181</v>
      </c>
      <c r="AN195" s="376" t="s">
        <v>68</v>
      </c>
      <c r="AO195" s="379">
        <v>80</v>
      </c>
      <c r="AP195" s="460">
        <v>1</v>
      </c>
      <c r="AQ195" s="460">
        <v>0.4</v>
      </c>
      <c r="AR195" s="458" t="s">
        <v>182</v>
      </c>
      <c r="AS195" s="462">
        <f t="shared" ref="AS195:AS258" si="51">IF(((AO195/80)*AP195*P195)&gt;1,AQ195,((AO195/80)*AP195*P195))</f>
        <v>0.4</v>
      </c>
      <c r="AT195">
        <f t="shared" ref="AT195:AT258" si="52">IF(AND(M195="F",N195&lt;&gt;"NG",AS195&lt;&gt;0,AND(AR195&lt;&gt;6,AR195&lt;&gt;36,AR195&lt;&gt;56),AG195&lt;&gt;"A",OR(AG195="H",AJ195="FS")),1,IF(AND(M195="F",N195&lt;&gt;"NG",AS195&lt;&gt;0,AG195="A"),3,0))</f>
        <v>1</v>
      </c>
      <c r="AU195" s="462">
        <f>IF(AT195=0,"",IF(AND(AT195=1,M195="F",SUMIF(C2:C698,C195,AS2:AS698)&lt;=1),SUMIF(C2:C698,C195,AS2:AS698),IF(AND(AT195=1,M195="F",SUMIF(C2:C698,C195,AS2:AS698)&gt;1),1,"")))</f>
        <v>1</v>
      </c>
      <c r="AV195" s="462" t="str">
        <f>IF(AT195=0,"",IF(AND(AT195=3,M195="F",SUMIF(C2:C698,C195,AS2:AS698)&lt;=1),SUMIF(C2:C698,C195,AS2:AS698),IF(AND(AT195=3,M195="F",SUMIF(C2:C698,C195,AS2:AS698)&gt;1),1,"")))</f>
        <v/>
      </c>
      <c r="AW195" s="462">
        <f>SUMIF(C2:C698,C195,O2:O698)</f>
        <v>3</v>
      </c>
      <c r="AX195" s="462">
        <f>IF(AND(M195="F",AS195&lt;&gt;0),SUMIF(C2:C698,C195,W2:W698),0)</f>
        <v>86694.399999999994</v>
      </c>
      <c r="AY195" s="462">
        <f t="shared" ref="AY195:AY258" si="53">IF(AT195=1,W195,"")</f>
        <v>34677.760000000002</v>
      </c>
      <c r="AZ195" s="462" t="str">
        <f t="shared" ref="AZ195:AZ258" si="54">IF(AT195=3,W195,"")</f>
        <v/>
      </c>
      <c r="BA195" s="462">
        <f t="shared" ref="BA195:BA258" si="55">IF(AT195=1,Y195-W195,0)</f>
        <v>0</v>
      </c>
      <c r="BB195" s="462">
        <f>IF(AND(AT195=1,AK195="E",AU195&gt;=0.75,AW195=1),Health,IF(AND(AT195=1,AK195="E",AU195&gt;=0.75),Health*P195,IF(AND(AT195=1,AK195="E",AU195&gt;=0.5,AW195=1),PTHealth,IF(AND(AT195=1,AK195="E",AU195&gt;=0.5),PTHealth*P195,0))))</f>
        <v>4660</v>
      </c>
      <c r="BC195" s="462">
        <f>IF(AND(AT195=3,AK195="E",AV195&gt;=0.75,AW195=1),Health,IF(AND(AT195=3,AK195="E",AV195&gt;=0.75),Health*P195,IF(AND(AT195=3,AK195="E",AV195&gt;=0.5,AW195=1),PTHealth,IF(AND(AT195=3,AK195="E",AV195&gt;=0.5),PTHealth*P195,0))))</f>
        <v>0</v>
      </c>
      <c r="BD195" s="462">
        <f>IF(AND(AT195&lt;&gt;0,AX195&gt;=MAXSSDI),SSDI*MAXSSDI*P195,IF(AT195&lt;&gt;0,SSDI*W195,0))</f>
        <v>2150.0211200000003</v>
      </c>
      <c r="BE195" s="462">
        <f>IF(AT195&lt;&gt;0,SSHI*W195,0)</f>
        <v>502.82752000000005</v>
      </c>
      <c r="BF195" s="462">
        <f>IF(AND(AT195&lt;&gt;0,AN195&lt;&gt;"NE"),VLOOKUP(AN195,Retirement_Rates,3,FALSE)*W195,0)</f>
        <v>4140.5245440000008</v>
      </c>
      <c r="BG195" s="462">
        <f>IF(AND(AT195&lt;&gt;0,AJ195&lt;&gt;"PF"),Life*W195,0)</f>
        <v>250.02664960000001</v>
      </c>
      <c r="BH195" s="462">
        <f>IF(AND(AT195&lt;&gt;0,AM195="Y"),UI*W195,0)</f>
        <v>169.92102400000002</v>
      </c>
      <c r="BI195" s="462">
        <f>IF(AND(AT195&lt;&gt;0,N195&lt;&gt;"NR"),DHR*W195,0)</f>
        <v>106.11394559999999</v>
      </c>
      <c r="BJ195" s="462">
        <f>IF(AT195&lt;&gt;0,WC*W195,0)</f>
        <v>530.56972800000005</v>
      </c>
      <c r="BK195" s="462">
        <f>IF(OR(AND(AT195&lt;&gt;0,AJ195&lt;&gt;"PF",AN195&lt;&gt;"NE",AG195&lt;&gt;"A"),AND(AL195="E",OR(AT195=1,AT195=3))),Sick*W195,0)</f>
        <v>0</v>
      </c>
      <c r="BL195" s="462">
        <f t="shared" ref="BL195:BL258" si="56">IF(AT195=1,SUM(BD195:BK195),0)</f>
        <v>7850.004531200002</v>
      </c>
      <c r="BM195" s="462">
        <f t="shared" ref="BM195:BM258" si="57">IF(AT195=3,SUM(BD195:BK195),0)</f>
        <v>0</v>
      </c>
      <c r="BN195" s="462">
        <f>IF(AND(AT195=1,AK195="E",AU195&gt;=0.75,AW195=1),HealthBY,IF(AND(AT195=1,AK195="E",AU195&gt;=0.75),HealthBY*P195,IF(AND(AT195=1,AK195="E",AU195&gt;=0.5,AW195=1),PTHealthBY,IF(AND(AT195=1,AK195="E",AU195&gt;=0.5),PTHealthBY*P195,0))))</f>
        <v>4660</v>
      </c>
      <c r="BO195" s="462">
        <f>IF(AND(AT195=3,AK195="E",AV195&gt;=0.75,AW195=1),HealthBY,IF(AND(AT195=3,AK195="E",AV195&gt;=0.75),HealthBY*P195,IF(AND(AT195=3,AK195="E",AV195&gt;=0.5,AW195=1),PTHealthBY,IF(AND(AT195=3,AK195="E",AV195&gt;=0.5),PTHealthBY*P195,0))))</f>
        <v>0</v>
      </c>
      <c r="BP195" s="462">
        <f>IF(AND(AT195&lt;&gt;0,(AX195+BA195)&gt;=MAXSSDIBY),SSDIBY*MAXSSDIBY*P195,IF(AT195&lt;&gt;0,SSDIBY*W195,0))</f>
        <v>2150.0211200000003</v>
      </c>
      <c r="BQ195" s="462">
        <f>IF(AT195&lt;&gt;0,SSHIBY*W195,0)</f>
        <v>502.82752000000005</v>
      </c>
      <c r="BR195" s="462">
        <f>IF(AND(AT195&lt;&gt;0,AN195&lt;&gt;"NE"),VLOOKUP(AN195,Retirement_Rates,4,FALSE)*W195,0)</f>
        <v>4140.5245440000008</v>
      </c>
      <c r="BS195" s="462">
        <f>IF(AND(AT195&lt;&gt;0,AJ195&lt;&gt;"PF"),LifeBY*W195,0)</f>
        <v>250.02664960000001</v>
      </c>
      <c r="BT195" s="462">
        <f>IF(AND(AT195&lt;&gt;0,AM195="Y"),UIBY*W195,0)</f>
        <v>0</v>
      </c>
      <c r="BU195" s="462">
        <f>IF(AND(AT195&lt;&gt;0,N195&lt;&gt;"NR"),DHRBY*W195,0)</f>
        <v>106.11394559999999</v>
      </c>
      <c r="BV195" s="462">
        <f>IF(AT195&lt;&gt;0,WCBY*W195,0)</f>
        <v>610.32857600000011</v>
      </c>
      <c r="BW195" s="462">
        <f>IF(OR(AND(AT195&lt;&gt;0,AJ195&lt;&gt;"PF",AN195&lt;&gt;"NE",AG195&lt;&gt;"A"),AND(AL195="E",OR(AT195=1,AT195=3))),SickBY*W195,0)</f>
        <v>0</v>
      </c>
      <c r="BX195" s="462">
        <f t="shared" ref="BX195:BX258" si="58">IF(AT195=1,SUM(BP195:BW195),0)</f>
        <v>7759.8423552000013</v>
      </c>
      <c r="BY195" s="462">
        <f t="shared" ref="BY195:BY258" si="59">IF(AT195=3,SUM(BP195:BW195),0)</f>
        <v>0</v>
      </c>
      <c r="BZ195" s="462">
        <f t="shared" ref="BZ195:BZ258" si="60">IF(AT195=1,BN195-BB195,0)</f>
        <v>0</v>
      </c>
      <c r="CA195" s="462">
        <f t="shared" ref="CA195:CA258" si="61">IF(AT195=3,BO195-BC195,0)</f>
        <v>0</v>
      </c>
      <c r="CB195" s="462">
        <f t="shared" ref="CB195:CB258" si="62">BP195-BD195</f>
        <v>0</v>
      </c>
      <c r="CC195" s="462">
        <f>IF(AT195&lt;&gt;0,SSHICHG*Y195,0)</f>
        <v>0</v>
      </c>
      <c r="CD195" s="462">
        <f>IF(AND(AT195&lt;&gt;0,AN195&lt;&gt;"NE"),VLOOKUP(AN195,Retirement_Rates,5,FALSE)*Y195,0)</f>
        <v>0</v>
      </c>
      <c r="CE195" s="462">
        <f>IF(AND(AT195&lt;&gt;0,AJ195&lt;&gt;"PF"),LifeCHG*Y195,0)</f>
        <v>0</v>
      </c>
      <c r="CF195" s="462">
        <f>IF(AND(AT195&lt;&gt;0,AM195="Y"),UICHG*Y195,0)</f>
        <v>-169.92102400000002</v>
      </c>
      <c r="CG195" s="462">
        <f>IF(AND(AT195&lt;&gt;0,N195&lt;&gt;"NR"),DHRCHG*Y195,0)</f>
        <v>0</v>
      </c>
      <c r="CH195" s="462">
        <f>IF(AT195&lt;&gt;0,WCCHG*Y195,0)</f>
        <v>79.758848000000057</v>
      </c>
      <c r="CI195" s="462">
        <f>IF(OR(AND(AT195&lt;&gt;0,AJ195&lt;&gt;"PF",AN195&lt;&gt;"NE",AG195&lt;&gt;"A"),AND(AL195="E",OR(AT195=1,AT195=3))),SickCHG*Y195,0)</f>
        <v>0</v>
      </c>
      <c r="CJ195" s="462">
        <f t="shared" ref="CJ195:CJ258" si="63">IF(AT195=1,SUM(CB195:CI195),0)</f>
        <v>-90.16217599999996</v>
      </c>
      <c r="CK195" s="462" t="str">
        <f t="shared" ref="CK195:CK258" si="64">IF(AT195=3,SUM(CB195:CI195),"")</f>
        <v/>
      </c>
      <c r="CL195" s="462" t="str">
        <f t="shared" ref="CL195:CL258" si="65">IF(OR(N195="NG",AG195="D"),(T195+U195),"")</f>
        <v/>
      </c>
      <c r="CM195" s="462" t="str">
        <f t="shared" ref="CM195:CM258" si="66">IF(OR(N195="NG",AG195="D"),V195,"")</f>
        <v/>
      </c>
      <c r="CN195" s="462" t="str">
        <f t="shared" ref="CN195:CN258" si="67">E195 &amp; "-" &amp; F195</f>
        <v>0332-05</v>
      </c>
    </row>
    <row r="196" spans="1:92" ht="15" thickBot="1" x14ac:dyDescent="0.35">
      <c r="A196" s="376" t="s">
        <v>161</v>
      </c>
      <c r="B196" s="376" t="s">
        <v>162</v>
      </c>
      <c r="C196" s="376" t="s">
        <v>755</v>
      </c>
      <c r="D196" s="376" t="s">
        <v>362</v>
      </c>
      <c r="E196" s="376" t="s">
        <v>535</v>
      </c>
      <c r="F196" s="382" t="s">
        <v>659</v>
      </c>
      <c r="G196" s="376" t="s">
        <v>651</v>
      </c>
      <c r="H196" s="378"/>
      <c r="I196" s="378"/>
      <c r="J196" s="376" t="s">
        <v>168</v>
      </c>
      <c r="K196" s="376" t="s">
        <v>363</v>
      </c>
      <c r="L196" s="376" t="s">
        <v>200</v>
      </c>
      <c r="M196" s="376" t="s">
        <v>170</v>
      </c>
      <c r="N196" s="376" t="s">
        <v>202</v>
      </c>
      <c r="O196" s="379">
        <v>1</v>
      </c>
      <c r="P196" s="460">
        <v>1</v>
      </c>
      <c r="Q196" s="460">
        <v>1</v>
      </c>
      <c r="R196" s="380">
        <v>80</v>
      </c>
      <c r="S196" s="460">
        <v>1</v>
      </c>
      <c r="T196" s="380">
        <v>28381.61</v>
      </c>
      <c r="U196" s="380">
        <v>0</v>
      </c>
      <c r="V196" s="380">
        <v>12845.24</v>
      </c>
      <c r="W196" s="380">
        <v>46800</v>
      </c>
      <c r="X196" s="380">
        <v>22244.1</v>
      </c>
      <c r="Y196" s="380">
        <v>46800</v>
      </c>
      <c r="Z196" s="380">
        <v>22122.42</v>
      </c>
      <c r="AA196" s="376" t="s">
        <v>756</v>
      </c>
      <c r="AB196" s="376" t="s">
        <v>757</v>
      </c>
      <c r="AC196" s="376" t="s">
        <v>758</v>
      </c>
      <c r="AD196" s="376" t="s">
        <v>190</v>
      </c>
      <c r="AE196" s="376" t="s">
        <v>363</v>
      </c>
      <c r="AF196" s="376" t="s">
        <v>210</v>
      </c>
      <c r="AG196" s="376" t="s">
        <v>177</v>
      </c>
      <c r="AH196" s="381">
        <v>22.5</v>
      </c>
      <c r="AI196" s="381">
        <v>5967.5</v>
      </c>
      <c r="AJ196" s="376" t="s">
        <v>178</v>
      </c>
      <c r="AK196" s="376" t="s">
        <v>179</v>
      </c>
      <c r="AL196" s="376" t="s">
        <v>180</v>
      </c>
      <c r="AM196" s="376" t="s">
        <v>181</v>
      </c>
      <c r="AN196" s="376" t="s">
        <v>68</v>
      </c>
      <c r="AO196" s="379">
        <v>80</v>
      </c>
      <c r="AP196" s="460">
        <v>1</v>
      </c>
      <c r="AQ196" s="460">
        <v>1</v>
      </c>
      <c r="AR196" s="458" t="s">
        <v>182</v>
      </c>
      <c r="AS196" s="462">
        <f t="shared" si="51"/>
        <v>1</v>
      </c>
      <c r="AT196">
        <f t="shared" si="52"/>
        <v>1</v>
      </c>
      <c r="AU196" s="462">
        <f>IF(AT196=0,"",IF(AND(AT196=1,M196="F",SUMIF(C2:C698,C196,AS2:AS698)&lt;=1),SUMIF(C2:C698,C196,AS2:AS698),IF(AND(AT196=1,M196="F",SUMIF(C2:C698,C196,AS2:AS698)&gt;1),1,"")))</f>
        <v>1</v>
      </c>
      <c r="AV196" s="462" t="str">
        <f>IF(AT196=0,"",IF(AND(AT196=3,M196="F",SUMIF(C2:C698,C196,AS2:AS698)&lt;=1),SUMIF(C2:C698,C196,AS2:AS698),IF(AND(AT196=3,M196="F",SUMIF(C2:C698,C196,AS2:AS698)&gt;1),1,"")))</f>
        <v/>
      </c>
      <c r="AW196" s="462">
        <f>SUMIF(C2:C698,C196,O2:O698)</f>
        <v>2</v>
      </c>
      <c r="AX196" s="462">
        <f>IF(AND(M196="F",AS196&lt;&gt;0),SUMIF(C2:C698,C196,W2:W698),0)</f>
        <v>46800</v>
      </c>
      <c r="AY196" s="462">
        <f t="shared" si="53"/>
        <v>46800</v>
      </c>
      <c r="AZ196" s="462" t="str">
        <f t="shared" si="54"/>
        <v/>
      </c>
      <c r="BA196" s="462">
        <f t="shared" si="55"/>
        <v>0</v>
      </c>
      <c r="BB196" s="462">
        <f>IF(AND(AT196=1,AK196="E",AU196&gt;=0.75,AW196=1),Health,IF(AND(AT196=1,AK196="E",AU196&gt;=0.75),Health*P196,IF(AND(AT196=1,AK196="E",AU196&gt;=0.5,AW196=1),PTHealth,IF(AND(AT196=1,AK196="E",AU196&gt;=0.5),PTHealth*P196,0))))</f>
        <v>11650</v>
      </c>
      <c r="BC196" s="462">
        <f>IF(AND(AT196=3,AK196="E",AV196&gt;=0.75,AW196=1),Health,IF(AND(AT196=3,AK196="E",AV196&gt;=0.75),Health*P196,IF(AND(AT196=3,AK196="E",AV196&gt;=0.5,AW196=1),PTHealth,IF(AND(AT196=3,AK196="E",AV196&gt;=0.5),PTHealth*P196,0))))</f>
        <v>0</v>
      </c>
      <c r="BD196" s="462">
        <f>IF(AND(AT196&lt;&gt;0,AX196&gt;=MAXSSDI),SSDI*MAXSSDI*P196,IF(AT196&lt;&gt;0,SSDI*W196,0))</f>
        <v>2901.6</v>
      </c>
      <c r="BE196" s="462">
        <f>IF(AT196&lt;&gt;0,SSHI*W196,0)</f>
        <v>678.6</v>
      </c>
      <c r="BF196" s="462">
        <f>IF(AND(AT196&lt;&gt;0,AN196&lt;&gt;"NE"),VLOOKUP(AN196,Retirement_Rates,3,FALSE)*W196,0)</f>
        <v>5587.92</v>
      </c>
      <c r="BG196" s="462">
        <f>IF(AND(AT196&lt;&gt;0,AJ196&lt;&gt;"PF"),Life*W196,0)</f>
        <v>337.428</v>
      </c>
      <c r="BH196" s="462">
        <f>IF(AND(AT196&lt;&gt;0,AM196="Y"),UI*W196,0)</f>
        <v>229.32</v>
      </c>
      <c r="BI196" s="462">
        <f>IF(AND(AT196&lt;&gt;0,N196&lt;&gt;"NR"),DHR*W196,0)</f>
        <v>143.208</v>
      </c>
      <c r="BJ196" s="462">
        <f>IF(AT196&lt;&gt;0,WC*W196,0)</f>
        <v>716.04</v>
      </c>
      <c r="BK196" s="462">
        <f>IF(OR(AND(AT196&lt;&gt;0,AJ196&lt;&gt;"PF",AN196&lt;&gt;"NE",AG196&lt;&gt;"A"),AND(AL196="E",OR(AT196=1,AT196=3))),Sick*W196,0)</f>
        <v>0</v>
      </c>
      <c r="BL196" s="462">
        <f t="shared" si="56"/>
        <v>10594.115999999998</v>
      </c>
      <c r="BM196" s="462">
        <f t="shared" si="57"/>
        <v>0</v>
      </c>
      <c r="BN196" s="462">
        <f>IF(AND(AT196=1,AK196="E",AU196&gt;=0.75,AW196=1),HealthBY,IF(AND(AT196=1,AK196="E",AU196&gt;=0.75),HealthBY*P196,IF(AND(AT196=1,AK196="E",AU196&gt;=0.5,AW196=1),PTHealthBY,IF(AND(AT196=1,AK196="E",AU196&gt;=0.5),PTHealthBY*P196,0))))</f>
        <v>11650</v>
      </c>
      <c r="BO196" s="462">
        <f>IF(AND(AT196=3,AK196="E",AV196&gt;=0.75,AW196=1),HealthBY,IF(AND(AT196=3,AK196="E",AV196&gt;=0.75),HealthBY*P196,IF(AND(AT196=3,AK196="E",AV196&gt;=0.5,AW196=1),PTHealthBY,IF(AND(AT196=3,AK196="E",AV196&gt;=0.5),PTHealthBY*P196,0))))</f>
        <v>0</v>
      </c>
      <c r="BP196" s="462">
        <f>IF(AND(AT196&lt;&gt;0,(AX196+BA196)&gt;=MAXSSDIBY),SSDIBY*MAXSSDIBY*P196,IF(AT196&lt;&gt;0,SSDIBY*W196,0))</f>
        <v>2901.6</v>
      </c>
      <c r="BQ196" s="462">
        <f>IF(AT196&lt;&gt;0,SSHIBY*W196,0)</f>
        <v>678.6</v>
      </c>
      <c r="BR196" s="462">
        <f>IF(AND(AT196&lt;&gt;0,AN196&lt;&gt;"NE"),VLOOKUP(AN196,Retirement_Rates,4,FALSE)*W196,0)</f>
        <v>5587.92</v>
      </c>
      <c r="BS196" s="462">
        <f>IF(AND(AT196&lt;&gt;0,AJ196&lt;&gt;"PF"),LifeBY*W196,0)</f>
        <v>337.428</v>
      </c>
      <c r="BT196" s="462">
        <f>IF(AND(AT196&lt;&gt;0,AM196="Y"),UIBY*W196,0)</f>
        <v>0</v>
      </c>
      <c r="BU196" s="462">
        <f>IF(AND(AT196&lt;&gt;0,N196&lt;&gt;"NR"),DHRBY*W196,0)</f>
        <v>143.208</v>
      </c>
      <c r="BV196" s="462">
        <f>IF(AT196&lt;&gt;0,WCBY*W196,0)</f>
        <v>823.68000000000006</v>
      </c>
      <c r="BW196" s="462">
        <f>IF(OR(AND(AT196&lt;&gt;0,AJ196&lt;&gt;"PF",AN196&lt;&gt;"NE",AG196&lt;&gt;"A"),AND(AL196="E",OR(AT196=1,AT196=3))),SickBY*W196,0)</f>
        <v>0</v>
      </c>
      <c r="BX196" s="462">
        <f t="shared" si="58"/>
        <v>10472.436</v>
      </c>
      <c r="BY196" s="462">
        <f t="shared" si="59"/>
        <v>0</v>
      </c>
      <c r="BZ196" s="462">
        <f t="shared" si="60"/>
        <v>0</v>
      </c>
      <c r="CA196" s="462">
        <f t="shared" si="61"/>
        <v>0</v>
      </c>
      <c r="CB196" s="462">
        <f t="shared" si="62"/>
        <v>0</v>
      </c>
      <c r="CC196" s="462">
        <f>IF(AT196&lt;&gt;0,SSHICHG*Y196,0)</f>
        <v>0</v>
      </c>
      <c r="CD196" s="462">
        <f>IF(AND(AT196&lt;&gt;0,AN196&lt;&gt;"NE"),VLOOKUP(AN196,Retirement_Rates,5,FALSE)*Y196,0)</f>
        <v>0</v>
      </c>
      <c r="CE196" s="462">
        <f>IF(AND(AT196&lt;&gt;0,AJ196&lt;&gt;"PF"),LifeCHG*Y196,0)</f>
        <v>0</v>
      </c>
      <c r="CF196" s="462">
        <f>IF(AND(AT196&lt;&gt;0,AM196="Y"),UICHG*Y196,0)</f>
        <v>-229.32</v>
      </c>
      <c r="CG196" s="462">
        <f>IF(AND(AT196&lt;&gt;0,N196&lt;&gt;"NR"),DHRCHG*Y196,0)</f>
        <v>0</v>
      </c>
      <c r="CH196" s="462">
        <f>IF(AT196&lt;&gt;0,WCCHG*Y196,0)</f>
        <v>107.64000000000009</v>
      </c>
      <c r="CI196" s="462">
        <f>IF(OR(AND(AT196&lt;&gt;0,AJ196&lt;&gt;"PF",AN196&lt;&gt;"NE",AG196&lt;&gt;"A"),AND(AL196="E",OR(AT196=1,AT196=3))),SickCHG*Y196,0)</f>
        <v>0</v>
      </c>
      <c r="CJ196" s="462">
        <f t="shared" si="63"/>
        <v>-121.67999999999991</v>
      </c>
      <c r="CK196" s="462" t="str">
        <f t="shared" si="64"/>
        <v/>
      </c>
      <c r="CL196" s="462" t="str">
        <f t="shared" si="65"/>
        <v/>
      </c>
      <c r="CM196" s="462" t="str">
        <f t="shared" si="66"/>
        <v/>
      </c>
      <c r="CN196" s="462" t="str">
        <f t="shared" si="67"/>
        <v>0332-05</v>
      </c>
    </row>
    <row r="197" spans="1:92" ht="15" thickBot="1" x14ac:dyDescent="0.35">
      <c r="A197" s="376" t="s">
        <v>161</v>
      </c>
      <c r="B197" s="376" t="s">
        <v>162</v>
      </c>
      <c r="C197" s="376" t="s">
        <v>746</v>
      </c>
      <c r="D197" s="376" t="s">
        <v>362</v>
      </c>
      <c r="E197" s="376" t="s">
        <v>759</v>
      </c>
      <c r="F197" s="377" t="s">
        <v>166</v>
      </c>
      <c r="G197" s="376" t="s">
        <v>651</v>
      </c>
      <c r="H197" s="378"/>
      <c r="I197" s="378"/>
      <c r="J197" s="376" t="s">
        <v>168</v>
      </c>
      <c r="K197" s="376" t="s">
        <v>363</v>
      </c>
      <c r="L197" s="376" t="s">
        <v>200</v>
      </c>
      <c r="M197" s="376" t="s">
        <v>170</v>
      </c>
      <c r="N197" s="376" t="s">
        <v>202</v>
      </c>
      <c r="O197" s="379">
        <v>1</v>
      </c>
      <c r="P197" s="460">
        <v>0</v>
      </c>
      <c r="Q197" s="460">
        <v>0</v>
      </c>
      <c r="R197" s="380">
        <v>80</v>
      </c>
      <c r="S197" s="460">
        <v>0</v>
      </c>
      <c r="T197" s="380">
        <v>33112.68</v>
      </c>
      <c r="U197" s="380">
        <v>0</v>
      </c>
      <c r="V197" s="380">
        <v>13593.85</v>
      </c>
      <c r="W197" s="380">
        <v>0</v>
      </c>
      <c r="X197" s="380">
        <v>0</v>
      </c>
      <c r="Y197" s="380">
        <v>0</v>
      </c>
      <c r="Z197" s="380">
        <v>0</v>
      </c>
      <c r="AA197" s="376" t="s">
        <v>747</v>
      </c>
      <c r="AB197" s="376" t="s">
        <v>748</v>
      </c>
      <c r="AC197" s="376" t="s">
        <v>749</v>
      </c>
      <c r="AD197" s="376" t="s">
        <v>750</v>
      </c>
      <c r="AE197" s="376" t="s">
        <v>363</v>
      </c>
      <c r="AF197" s="376" t="s">
        <v>210</v>
      </c>
      <c r="AG197" s="376" t="s">
        <v>177</v>
      </c>
      <c r="AH197" s="381">
        <v>30.76</v>
      </c>
      <c r="AI197" s="381">
        <v>50394.9</v>
      </c>
      <c r="AJ197" s="376" t="s">
        <v>178</v>
      </c>
      <c r="AK197" s="376" t="s">
        <v>179</v>
      </c>
      <c r="AL197" s="376" t="s">
        <v>180</v>
      </c>
      <c r="AM197" s="376" t="s">
        <v>181</v>
      </c>
      <c r="AN197" s="376" t="s">
        <v>68</v>
      </c>
      <c r="AO197" s="379">
        <v>80</v>
      </c>
      <c r="AP197" s="460">
        <v>1</v>
      </c>
      <c r="AQ197" s="460">
        <v>0</v>
      </c>
      <c r="AR197" s="458" t="s">
        <v>182</v>
      </c>
      <c r="AS197" s="462">
        <f t="shared" si="51"/>
        <v>0</v>
      </c>
      <c r="AT197">
        <f t="shared" si="52"/>
        <v>0</v>
      </c>
      <c r="AU197" s="462" t="str">
        <f>IF(AT197=0,"",IF(AND(AT197=1,M197="F",SUMIF(C2:C698,C197,AS2:AS698)&lt;=1),SUMIF(C2:C698,C197,AS2:AS698),IF(AND(AT197=1,M197="F",SUMIF(C2:C698,C197,AS2:AS698)&gt;1),1,"")))</f>
        <v/>
      </c>
      <c r="AV197" s="462" t="str">
        <f>IF(AT197=0,"",IF(AND(AT197=3,M197="F",SUMIF(C2:C698,C197,AS2:AS698)&lt;=1),SUMIF(C2:C698,C197,AS2:AS698),IF(AND(AT197=3,M197="F",SUMIF(C2:C698,C197,AS2:AS698)&gt;1),1,"")))</f>
        <v/>
      </c>
      <c r="AW197" s="462">
        <f>SUMIF(C2:C698,C197,O2:O698)</f>
        <v>2</v>
      </c>
      <c r="AX197" s="462">
        <f>IF(AND(M197="F",AS197&lt;&gt;0),SUMIF(C2:C698,C197,W2:W698),0)</f>
        <v>0</v>
      </c>
      <c r="AY197" s="462" t="str">
        <f t="shared" si="53"/>
        <v/>
      </c>
      <c r="AZ197" s="462" t="str">
        <f t="shared" si="54"/>
        <v/>
      </c>
      <c r="BA197" s="462">
        <f t="shared" si="55"/>
        <v>0</v>
      </c>
      <c r="BB197" s="462">
        <f>IF(AND(AT197=1,AK197="E",AU197&gt;=0.75,AW197=1),Health,IF(AND(AT197=1,AK197="E",AU197&gt;=0.75),Health*P197,IF(AND(AT197=1,AK197="E",AU197&gt;=0.5,AW197=1),PTHealth,IF(AND(AT197=1,AK197="E",AU197&gt;=0.5),PTHealth*P197,0))))</f>
        <v>0</v>
      </c>
      <c r="BC197" s="462">
        <f>IF(AND(AT197=3,AK197="E",AV197&gt;=0.75,AW197=1),Health,IF(AND(AT197=3,AK197="E",AV197&gt;=0.75),Health*P197,IF(AND(AT197=3,AK197="E",AV197&gt;=0.5,AW197=1),PTHealth,IF(AND(AT197=3,AK197="E",AV197&gt;=0.5),PTHealth*P197,0))))</f>
        <v>0</v>
      </c>
      <c r="BD197" s="462">
        <f>IF(AND(AT197&lt;&gt;0,AX197&gt;=MAXSSDI),SSDI*MAXSSDI*P197,IF(AT197&lt;&gt;0,SSDI*W197,0))</f>
        <v>0</v>
      </c>
      <c r="BE197" s="462">
        <f>IF(AT197&lt;&gt;0,SSHI*W197,0)</f>
        <v>0</v>
      </c>
      <c r="BF197" s="462">
        <f>IF(AND(AT197&lt;&gt;0,AN197&lt;&gt;"NE"),VLOOKUP(AN197,Retirement_Rates,3,FALSE)*W197,0)</f>
        <v>0</v>
      </c>
      <c r="BG197" s="462">
        <f>IF(AND(AT197&lt;&gt;0,AJ197&lt;&gt;"PF"),Life*W197,0)</f>
        <v>0</v>
      </c>
      <c r="BH197" s="462">
        <f>IF(AND(AT197&lt;&gt;0,AM197="Y"),UI*W197,0)</f>
        <v>0</v>
      </c>
      <c r="BI197" s="462">
        <f>IF(AND(AT197&lt;&gt;0,N197&lt;&gt;"NR"),DHR*W197,0)</f>
        <v>0</v>
      </c>
      <c r="BJ197" s="462">
        <f>IF(AT197&lt;&gt;0,WC*W197,0)</f>
        <v>0</v>
      </c>
      <c r="BK197" s="462">
        <f>IF(OR(AND(AT197&lt;&gt;0,AJ197&lt;&gt;"PF",AN197&lt;&gt;"NE",AG197&lt;&gt;"A"),AND(AL197="E",OR(AT197=1,AT197=3))),Sick*W197,0)</f>
        <v>0</v>
      </c>
      <c r="BL197" s="462">
        <f t="shared" si="56"/>
        <v>0</v>
      </c>
      <c r="BM197" s="462">
        <f t="shared" si="57"/>
        <v>0</v>
      </c>
      <c r="BN197" s="462">
        <f>IF(AND(AT197=1,AK197="E",AU197&gt;=0.75,AW197=1),HealthBY,IF(AND(AT197=1,AK197="E",AU197&gt;=0.75),HealthBY*P197,IF(AND(AT197=1,AK197="E",AU197&gt;=0.5,AW197=1),PTHealthBY,IF(AND(AT197=1,AK197="E",AU197&gt;=0.5),PTHealthBY*P197,0))))</f>
        <v>0</v>
      </c>
      <c r="BO197" s="462">
        <f>IF(AND(AT197=3,AK197="E",AV197&gt;=0.75,AW197=1),HealthBY,IF(AND(AT197=3,AK197="E",AV197&gt;=0.75),HealthBY*P197,IF(AND(AT197=3,AK197="E",AV197&gt;=0.5,AW197=1),PTHealthBY,IF(AND(AT197=3,AK197="E",AV197&gt;=0.5),PTHealthBY*P197,0))))</f>
        <v>0</v>
      </c>
      <c r="BP197" s="462">
        <f>IF(AND(AT197&lt;&gt;0,(AX197+BA197)&gt;=MAXSSDIBY),SSDIBY*MAXSSDIBY*P197,IF(AT197&lt;&gt;0,SSDIBY*W197,0))</f>
        <v>0</v>
      </c>
      <c r="BQ197" s="462">
        <f>IF(AT197&lt;&gt;0,SSHIBY*W197,0)</f>
        <v>0</v>
      </c>
      <c r="BR197" s="462">
        <f>IF(AND(AT197&lt;&gt;0,AN197&lt;&gt;"NE"),VLOOKUP(AN197,Retirement_Rates,4,FALSE)*W197,0)</f>
        <v>0</v>
      </c>
      <c r="BS197" s="462">
        <f>IF(AND(AT197&lt;&gt;0,AJ197&lt;&gt;"PF"),LifeBY*W197,0)</f>
        <v>0</v>
      </c>
      <c r="BT197" s="462">
        <f>IF(AND(AT197&lt;&gt;0,AM197="Y"),UIBY*W197,0)</f>
        <v>0</v>
      </c>
      <c r="BU197" s="462">
        <f>IF(AND(AT197&lt;&gt;0,N197&lt;&gt;"NR"),DHRBY*W197,0)</f>
        <v>0</v>
      </c>
      <c r="BV197" s="462">
        <f>IF(AT197&lt;&gt;0,WCBY*W197,0)</f>
        <v>0</v>
      </c>
      <c r="BW197" s="462">
        <f>IF(OR(AND(AT197&lt;&gt;0,AJ197&lt;&gt;"PF",AN197&lt;&gt;"NE",AG197&lt;&gt;"A"),AND(AL197="E",OR(AT197=1,AT197=3))),SickBY*W197,0)</f>
        <v>0</v>
      </c>
      <c r="BX197" s="462">
        <f t="shared" si="58"/>
        <v>0</v>
      </c>
      <c r="BY197" s="462">
        <f t="shared" si="59"/>
        <v>0</v>
      </c>
      <c r="BZ197" s="462">
        <f t="shared" si="60"/>
        <v>0</v>
      </c>
      <c r="CA197" s="462">
        <f t="shared" si="61"/>
        <v>0</v>
      </c>
      <c r="CB197" s="462">
        <f t="shared" si="62"/>
        <v>0</v>
      </c>
      <c r="CC197" s="462">
        <f>IF(AT197&lt;&gt;0,SSHICHG*Y197,0)</f>
        <v>0</v>
      </c>
      <c r="CD197" s="462">
        <f>IF(AND(AT197&lt;&gt;0,AN197&lt;&gt;"NE"),VLOOKUP(AN197,Retirement_Rates,5,FALSE)*Y197,0)</f>
        <v>0</v>
      </c>
      <c r="CE197" s="462">
        <f>IF(AND(AT197&lt;&gt;0,AJ197&lt;&gt;"PF"),LifeCHG*Y197,0)</f>
        <v>0</v>
      </c>
      <c r="CF197" s="462">
        <f>IF(AND(AT197&lt;&gt;0,AM197="Y"),UICHG*Y197,0)</f>
        <v>0</v>
      </c>
      <c r="CG197" s="462">
        <f>IF(AND(AT197&lt;&gt;0,N197&lt;&gt;"NR"),DHRCHG*Y197,0)</f>
        <v>0</v>
      </c>
      <c r="CH197" s="462">
        <f>IF(AT197&lt;&gt;0,WCCHG*Y197,0)</f>
        <v>0</v>
      </c>
      <c r="CI197" s="462">
        <f>IF(OR(AND(AT197&lt;&gt;0,AJ197&lt;&gt;"PF",AN197&lt;&gt;"NE",AG197&lt;&gt;"A"),AND(AL197="E",OR(AT197=1,AT197=3))),SickCHG*Y197,0)</f>
        <v>0</v>
      </c>
      <c r="CJ197" s="462">
        <f t="shared" si="63"/>
        <v>0</v>
      </c>
      <c r="CK197" s="462" t="str">
        <f t="shared" si="64"/>
        <v/>
      </c>
      <c r="CL197" s="462" t="str">
        <f t="shared" si="65"/>
        <v/>
      </c>
      <c r="CM197" s="462" t="str">
        <f t="shared" si="66"/>
        <v/>
      </c>
      <c r="CN197" s="462" t="str">
        <f t="shared" si="67"/>
        <v>0348-00</v>
      </c>
    </row>
    <row r="198" spans="1:92" ht="15" thickBot="1" x14ac:dyDescent="0.35">
      <c r="A198" s="376" t="s">
        <v>161</v>
      </c>
      <c r="B198" s="376" t="s">
        <v>162</v>
      </c>
      <c r="C198" s="376" t="s">
        <v>751</v>
      </c>
      <c r="D198" s="376" t="s">
        <v>362</v>
      </c>
      <c r="E198" s="376" t="s">
        <v>759</v>
      </c>
      <c r="F198" s="377" t="s">
        <v>166</v>
      </c>
      <c r="G198" s="376" t="s">
        <v>651</v>
      </c>
      <c r="H198" s="378"/>
      <c r="I198" s="378"/>
      <c r="J198" s="376" t="s">
        <v>168</v>
      </c>
      <c r="K198" s="376" t="s">
        <v>363</v>
      </c>
      <c r="L198" s="376" t="s">
        <v>200</v>
      </c>
      <c r="M198" s="376" t="s">
        <v>170</v>
      </c>
      <c r="N198" s="376" t="s">
        <v>202</v>
      </c>
      <c r="O198" s="379">
        <v>1</v>
      </c>
      <c r="P198" s="460">
        <v>0</v>
      </c>
      <c r="Q198" s="460">
        <v>0</v>
      </c>
      <c r="R198" s="380">
        <v>80</v>
      </c>
      <c r="S198" s="460">
        <v>0</v>
      </c>
      <c r="T198" s="380">
        <v>14143.74</v>
      </c>
      <c r="U198" s="380">
        <v>0</v>
      </c>
      <c r="V198" s="380">
        <v>7077.95</v>
      </c>
      <c r="W198" s="380">
        <v>0</v>
      </c>
      <c r="X198" s="380">
        <v>0</v>
      </c>
      <c r="Y198" s="380">
        <v>0</v>
      </c>
      <c r="Z198" s="380">
        <v>0</v>
      </c>
      <c r="AA198" s="376" t="s">
        <v>752</v>
      </c>
      <c r="AB198" s="376" t="s">
        <v>753</v>
      </c>
      <c r="AC198" s="376" t="s">
        <v>754</v>
      </c>
      <c r="AD198" s="376" t="s">
        <v>190</v>
      </c>
      <c r="AE198" s="376" t="s">
        <v>363</v>
      </c>
      <c r="AF198" s="376" t="s">
        <v>210</v>
      </c>
      <c r="AG198" s="376" t="s">
        <v>177</v>
      </c>
      <c r="AH198" s="381">
        <v>22.5</v>
      </c>
      <c r="AI198" s="381">
        <v>8054.5</v>
      </c>
      <c r="AJ198" s="376" t="s">
        <v>178</v>
      </c>
      <c r="AK198" s="376" t="s">
        <v>179</v>
      </c>
      <c r="AL198" s="376" t="s">
        <v>180</v>
      </c>
      <c r="AM198" s="376" t="s">
        <v>181</v>
      </c>
      <c r="AN198" s="376" t="s">
        <v>68</v>
      </c>
      <c r="AO198" s="379">
        <v>80</v>
      </c>
      <c r="AP198" s="460">
        <v>1</v>
      </c>
      <c r="AQ198" s="460">
        <v>0</v>
      </c>
      <c r="AR198" s="458" t="s">
        <v>182</v>
      </c>
      <c r="AS198" s="462">
        <f t="shared" si="51"/>
        <v>0</v>
      </c>
      <c r="AT198">
        <f t="shared" si="52"/>
        <v>0</v>
      </c>
      <c r="AU198" s="462" t="str">
        <f>IF(AT198=0,"",IF(AND(AT198=1,M198="F",SUMIF(C2:C698,C198,AS2:AS698)&lt;=1),SUMIF(C2:C698,C198,AS2:AS698),IF(AND(AT198=1,M198="F",SUMIF(C2:C698,C198,AS2:AS698)&gt;1),1,"")))</f>
        <v/>
      </c>
      <c r="AV198" s="462" t="str">
        <f>IF(AT198=0,"",IF(AND(AT198=3,M198="F",SUMIF(C2:C698,C198,AS2:AS698)&lt;=1),SUMIF(C2:C698,C198,AS2:AS698),IF(AND(AT198=3,M198="F",SUMIF(C2:C698,C198,AS2:AS698)&gt;1),1,"")))</f>
        <v/>
      </c>
      <c r="AW198" s="462">
        <f>SUMIF(C2:C698,C198,O2:O698)</f>
        <v>2</v>
      </c>
      <c r="AX198" s="462">
        <f>IF(AND(M198="F",AS198&lt;&gt;0),SUMIF(C2:C698,C198,W2:W698),0)</f>
        <v>0</v>
      </c>
      <c r="AY198" s="462" t="str">
        <f t="shared" si="53"/>
        <v/>
      </c>
      <c r="AZ198" s="462" t="str">
        <f t="shared" si="54"/>
        <v/>
      </c>
      <c r="BA198" s="462">
        <f t="shared" si="55"/>
        <v>0</v>
      </c>
      <c r="BB198" s="462">
        <f>IF(AND(AT198=1,AK198="E",AU198&gt;=0.75,AW198=1),Health,IF(AND(AT198=1,AK198="E",AU198&gt;=0.75),Health*P198,IF(AND(AT198=1,AK198="E",AU198&gt;=0.5,AW198=1),PTHealth,IF(AND(AT198=1,AK198="E",AU198&gt;=0.5),PTHealth*P198,0))))</f>
        <v>0</v>
      </c>
      <c r="BC198" s="462">
        <f>IF(AND(AT198=3,AK198="E",AV198&gt;=0.75,AW198=1),Health,IF(AND(AT198=3,AK198="E",AV198&gt;=0.75),Health*P198,IF(AND(AT198=3,AK198="E",AV198&gt;=0.5,AW198=1),PTHealth,IF(AND(AT198=3,AK198="E",AV198&gt;=0.5),PTHealth*P198,0))))</f>
        <v>0</v>
      </c>
      <c r="BD198" s="462">
        <f>IF(AND(AT198&lt;&gt;0,AX198&gt;=MAXSSDI),SSDI*MAXSSDI*P198,IF(AT198&lt;&gt;0,SSDI*W198,0))</f>
        <v>0</v>
      </c>
      <c r="BE198" s="462">
        <f>IF(AT198&lt;&gt;0,SSHI*W198,0)</f>
        <v>0</v>
      </c>
      <c r="BF198" s="462">
        <f>IF(AND(AT198&lt;&gt;0,AN198&lt;&gt;"NE"),VLOOKUP(AN198,Retirement_Rates,3,FALSE)*W198,0)</f>
        <v>0</v>
      </c>
      <c r="BG198" s="462">
        <f>IF(AND(AT198&lt;&gt;0,AJ198&lt;&gt;"PF"),Life*W198,0)</f>
        <v>0</v>
      </c>
      <c r="BH198" s="462">
        <f>IF(AND(AT198&lt;&gt;0,AM198="Y"),UI*W198,0)</f>
        <v>0</v>
      </c>
      <c r="BI198" s="462">
        <f>IF(AND(AT198&lt;&gt;0,N198&lt;&gt;"NR"),DHR*W198,0)</f>
        <v>0</v>
      </c>
      <c r="BJ198" s="462">
        <f>IF(AT198&lt;&gt;0,WC*W198,0)</f>
        <v>0</v>
      </c>
      <c r="BK198" s="462">
        <f>IF(OR(AND(AT198&lt;&gt;0,AJ198&lt;&gt;"PF",AN198&lt;&gt;"NE",AG198&lt;&gt;"A"),AND(AL198="E",OR(AT198=1,AT198=3))),Sick*W198,0)</f>
        <v>0</v>
      </c>
      <c r="BL198" s="462">
        <f t="shared" si="56"/>
        <v>0</v>
      </c>
      <c r="BM198" s="462">
        <f t="shared" si="57"/>
        <v>0</v>
      </c>
      <c r="BN198" s="462">
        <f>IF(AND(AT198=1,AK198="E",AU198&gt;=0.75,AW198=1),HealthBY,IF(AND(AT198=1,AK198="E",AU198&gt;=0.75),HealthBY*P198,IF(AND(AT198=1,AK198="E",AU198&gt;=0.5,AW198=1),PTHealthBY,IF(AND(AT198=1,AK198="E",AU198&gt;=0.5),PTHealthBY*P198,0))))</f>
        <v>0</v>
      </c>
      <c r="BO198" s="462">
        <f>IF(AND(AT198=3,AK198="E",AV198&gt;=0.75,AW198=1),HealthBY,IF(AND(AT198=3,AK198="E",AV198&gt;=0.75),HealthBY*P198,IF(AND(AT198=3,AK198="E",AV198&gt;=0.5,AW198=1),PTHealthBY,IF(AND(AT198=3,AK198="E",AV198&gt;=0.5),PTHealthBY*P198,0))))</f>
        <v>0</v>
      </c>
      <c r="BP198" s="462">
        <f>IF(AND(AT198&lt;&gt;0,(AX198+BA198)&gt;=MAXSSDIBY),SSDIBY*MAXSSDIBY*P198,IF(AT198&lt;&gt;0,SSDIBY*W198,0))</f>
        <v>0</v>
      </c>
      <c r="BQ198" s="462">
        <f>IF(AT198&lt;&gt;0,SSHIBY*W198,0)</f>
        <v>0</v>
      </c>
      <c r="BR198" s="462">
        <f>IF(AND(AT198&lt;&gt;0,AN198&lt;&gt;"NE"),VLOOKUP(AN198,Retirement_Rates,4,FALSE)*W198,0)</f>
        <v>0</v>
      </c>
      <c r="BS198" s="462">
        <f>IF(AND(AT198&lt;&gt;0,AJ198&lt;&gt;"PF"),LifeBY*W198,0)</f>
        <v>0</v>
      </c>
      <c r="BT198" s="462">
        <f>IF(AND(AT198&lt;&gt;0,AM198="Y"),UIBY*W198,0)</f>
        <v>0</v>
      </c>
      <c r="BU198" s="462">
        <f>IF(AND(AT198&lt;&gt;0,N198&lt;&gt;"NR"),DHRBY*W198,0)</f>
        <v>0</v>
      </c>
      <c r="BV198" s="462">
        <f>IF(AT198&lt;&gt;0,WCBY*W198,0)</f>
        <v>0</v>
      </c>
      <c r="BW198" s="462">
        <f>IF(OR(AND(AT198&lt;&gt;0,AJ198&lt;&gt;"PF",AN198&lt;&gt;"NE",AG198&lt;&gt;"A"),AND(AL198="E",OR(AT198=1,AT198=3))),SickBY*W198,0)</f>
        <v>0</v>
      </c>
      <c r="BX198" s="462">
        <f t="shared" si="58"/>
        <v>0</v>
      </c>
      <c r="BY198" s="462">
        <f t="shared" si="59"/>
        <v>0</v>
      </c>
      <c r="BZ198" s="462">
        <f t="shared" si="60"/>
        <v>0</v>
      </c>
      <c r="CA198" s="462">
        <f t="shared" si="61"/>
        <v>0</v>
      </c>
      <c r="CB198" s="462">
        <f t="shared" si="62"/>
        <v>0</v>
      </c>
      <c r="CC198" s="462">
        <f>IF(AT198&lt;&gt;0,SSHICHG*Y198,0)</f>
        <v>0</v>
      </c>
      <c r="CD198" s="462">
        <f>IF(AND(AT198&lt;&gt;0,AN198&lt;&gt;"NE"),VLOOKUP(AN198,Retirement_Rates,5,FALSE)*Y198,0)</f>
        <v>0</v>
      </c>
      <c r="CE198" s="462">
        <f>IF(AND(AT198&lt;&gt;0,AJ198&lt;&gt;"PF"),LifeCHG*Y198,0)</f>
        <v>0</v>
      </c>
      <c r="CF198" s="462">
        <f>IF(AND(AT198&lt;&gt;0,AM198="Y"),UICHG*Y198,0)</f>
        <v>0</v>
      </c>
      <c r="CG198" s="462">
        <f>IF(AND(AT198&lt;&gt;0,N198&lt;&gt;"NR"),DHRCHG*Y198,0)</f>
        <v>0</v>
      </c>
      <c r="CH198" s="462">
        <f>IF(AT198&lt;&gt;0,WCCHG*Y198,0)</f>
        <v>0</v>
      </c>
      <c r="CI198" s="462">
        <f>IF(OR(AND(AT198&lt;&gt;0,AJ198&lt;&gt;"PF",AN198&lt;&gt;"NE",AG198&lt;&gt;"A"),AND(AL198="E",OR(AT198=1,AT198=3))),SickCHG*Y198,0)</f>
        <v>0</v>
      </c>
      <c r="CJ198" s="462">
        <f t="shared" si="63"/>
        <v>0</v>
      </c>
      <c r="CK198" s="462" t="str">
        <f t="shared" si="64"/>
        <v/>
      </c>
      <c r="CL198" s="462" t="str">
        <f t="shared" si="65"/>
        <v/>
      </c>
      <c r="CM198" s="462" t="str">
        <f t="shared" si="66"/>
        <v/>
      </c>
      <c r="CN198" s="462" t="str">
        <f t="shared" si="67"/>
        <v>0348-00</v>
      </c>
    </row>
    <row r="199" spans="1:92" ht="15" thickBot="1" x14ac:dyDescent="0.35">
      <c r="A199" s="376" t="s">
        <v>161</v>
      </c>
      <c r="B199" s="376" t="s">
        <v>162</v>
      </c>
      <c r="C199" s="376" t="s">
        <v>755</v>
      </c>
      <c r="D199" s="376" t="s">
        <v>362</v>
      </c>
      <c r="E199" s="376" t="s">
        <v>759</v>
      </c>
      <c r="F199" s="377" t="s">
        <v>166</v>
      </c>
      <c r="G199" s="376" t="s">
        <v>651</v>
      </c>
      <c r="H199" s="378"/>
      <c r="I199" s="378"/>
      <c r="J199" s="376" t="s">
        <v>168</v>
      </c>
      <c r="K199" s="376" t="s">
        <v>363</v>
      </c>
      <c r="L199" s="376" t="s">
        <v>200</v>
      </c>
      <c r="M199" s="376" t="s">
        <v>170</v>
      </c>
      <c r="N199" s="376" t="s">
        <v>202</v>
      </c>
      <c r="O199" s="379">
        <v>1</v>
      </c>
      <c r="P199" s="460">
        <v>0</v>
      </c>
      <c r="Q199" s="460">
        <v>0</v>
      </c>
      <c r="R199" s="380">
        <v>80</v>
      </c>
      <c r="S199" s="460">
        <v>0</v>
      </c>
      <c r="T199" s="380">
        <v>16210.39</v>
      </c>
      <c r="U199" s="380">
        <v>0</v>
      </c>
      <c r="V199" s="380">
        <v>7942.11</v>
      </c>
      <c r="W199" s="380">
        <v>0</v>
      </c>
      <c r="X199" s="380">
        <v>0</v>
      </c>
      <c r="Y199" s="380">
        <v>0</v>
      </c>
      <c r="Z199" s="380">
        <v>0</v>
      </c>
      <c r="AA199" s="376" t="s">
        <v>756</v>
      </c>
      <c r="AB199" s="376" t="s">
        <v>757</v>
      </c>
      <c r="AC199" s="376" t="s">
        <v>758</v>
      </c>
      <c r="AD199" s="376" t="s">
        <v>190</v>
      </c>
      <c r="AE199" s="376" t="s">
        <v>363</v>
      </c>
      <c r="AF199" s="376" t="s">
        <v>210</v>
      </c>
      <c r="AG199" s="376" t="s">
        <v>177</v>
      </c>
      <c r="AH199" s="381">
        <v>22.5</v>
      </c>
      <c r="AI199" s="381">
        <v>5967.5</v>
      </c>
      <c r="AJ199" s="376" t="s">
        <v>178</v>
      </c>
      <c r="AK199" s="376" t="s">
        <v>179</v>
      </c>
      <c r="AL199" s="376" t="s">
        <v>180</v>
      </c>
      <c r="AM199" s="376" t="s">
        <v>181</v>
      </c>
      <c r="AN199" s="376" t="s">
        <v>68</v>
      </c>
      <c r="AO199" s="379">
        <v>80</v>
      </c>
      <c r="AP199" s="460">
        <v>1</v>
      </c>
      <c r="AQ199" s="460">
        <v>0</v>
      </c>
      <c r="AR199" s="458" t="s">
        <v>182</v>
      </c>
      <c r="AS199" s="462">
        <f t="shared" si="51"/>
        <v>0</v>
      </c>
      <c r="AT199">
        <f t="shared" si="52"/>
        <v>0</v>
      </c>
      <c r="AU199" s="462" t="str">
        <f>IF(AT199=0,"",IF(AND(AT199=1,M199="F",SUMIF(C2:C698,C199,AS2:AS698)&lt;=1),SUMIF(C2:C698,C199,AS2:AS698),IF(AND(AT199=1,M199="F",SUMIF(C2:C698,C199,AS2:AS698)&gt;1),1,"")))</f>
        <v/>
      </c>
      <c r="AV199" s="462" t="str">
        <f>IF(AT199=0,"",IF(AND(AT199=3,M199="F",SUMIF(C2:C698,C199,AS2:AS698)&lt;=1),SUMIF(C2:C698,C199,AS2:AS698),IF(AND(AT199=3,M199="F",SUMIF(C2:C698,C199,AS2:AS698)&gt;1),1,"")))</f>
        <v/>
      </c>
      <c r="AW199" s="462">
        <f>SUMIF(C2:C698,C199,O2:O698)</f>
        <v>2</v>
      </c>
      <c r="AX199" s="462">
        <f>IF(AND(M199="F",AS199&lt;&gt;0),SUMIF(C2:C698,C199,W2:W698),0)</f>
        <v>0</v>
      </c>
      <c r="AY199" s="462" t="str">
        <f t="shared" si="53"/>
        <v/>
      </c>
      <c r="AZ199" s="462" t="str">
        <f t="shared" si="54"/>
        <v/>
      </c>
      <c r="BA199" s="462">
        <f t="shared" si="55"/>
        <v>0</v>
      </c>
      <c r="BB199" s="462">
        <f>IF(AND(AT199=1,AK199="E",AU199&gt;=0.75,AW199=1),Health,IF(AND(AT199=1,AK199="E",AU199&gt;=0.75),Health*P199,IF(AND(AT199=1,AK199="E",AU199&gt;=0.5,AW199=1),PTHealth,IF(AND(AT199=1,AK199="E",AU199&gt;=0.5),PTHealth*P199,0))))</f>
        <v>0</v>
      </c>
      <c r="BC199" s="462">
        <f>IF(AND(AT199=3,AK199="E",AV199&gt;=0.75,AW199=1),Health,IF(AND(AT199=3,AK199="E",AV199&gt;=0.75),Health*P199,IF(AND(AT199=3,AK199="E",AV199&gt;=0.5,AW199=1),PTHealth,IF(AND(AT199=3,AK199="E",AV199&gt;=0.5),PTHealth*P199,0))))</f>
        <v>0</v>
      </c>
      <c r="BD199" s="462">
        <f>IF(AND(AT199&lt;&gt;0,AX199&gt;=MAXSSDI),SSDI*MAXSSDI*P199,IF(AT199&lt;&gt;0,SSDI*W199,0))</f>
        <v>0</v>
      </c>
      <c r="BE199" s="462">
        <f>IF(AT199&lt;&gt;0,SSHI*W199,0)</f>
        <v>0</v>
      </c>
      <c r="BF199" s="462">
        <f>IF(AND(AT199&lt;&gt;0,AN199&lt;&gt;"NE"),VLOOKUP(AN199,Retirement_Rates,3,FALSE)*W199,0)</f>
        <v>0</v>
      </c>
      <c r="BG199" s="462">
        <f>IF(AND(AT199&lt;&gt;0,AJ199&lt;&gt;"PF"),Life*W199,0)</f>
        <v>0</v>
      </c>
      <c r="BH199" s="462">
        <f>IF(AND(AT199&lt;&gt;0,AM199="Y"),UI*W199,0)</f>
        <v>0</v>
      </c>
      <c r="BI199" s="462">
        <f>IF(AND(AT199&lt;&gt;0,N199&lt;&gt;"NR"),DHR*W199,0)</f>
        <v>0</v>
      </c>
      <c r="BJ199" s="462">
        <f>IF(AT199&lt;&gt;0,WC*W199,0)</f>
        <v>0</v>
      </c>
      <c r="BK199" s="462">
        <f>IF(OR(AND(AT199&lt;&gt;0,AJ199&lt;&gt;"PF",AN199&lt;&gt;"NE",AG199&lt;&gt;"A"),AND(AL199="E",OR(AT199=1,AT199=3))),Sick*W199,0)</f>
        <v>0</v>
      </c>
      <c r="BL199" s="462">
        <f t="shared" si="56"/>
        <v>0</v>
      </c>
      <c r="BM199" s="462">
        <f t="shared" si="57"/>
        <v>0</v>
      </c>
      <c r="BN199" s="462">
        <f>IF(AND(AT199=1,AK199="E",AU199&gt;=0.75,AW199=1),HealthBY,IF(AND(AT199=1,AK199="E",AU199&gt;=0.75),HealthBY*P199,IF(AND(AT199=1,AK199="E",AU199&gt;=0.5,AW199=1),PTHealthBY,IF(AND(AT199=1,AK199="E",AU199&gt;=0.5),PTHealthBY*P199,0))))</f>
        <v>0</v>
      </c>
      <c r="BO199" s="462">
        <f>IF(AND(AT199=3,AK199="E",AV199&gt;=0.75,AW199=1),HealthBY,IF(AND(AT199=3,AK199="E",AV199&gt;=0.75),HealthBY*P199,IF(AND(AT199=3,AK199="E",AV199&gt;=0.5,AW199=1),PTHealthBY,IF(AND(AT199=3,AK199="E",AV199&gt;=0.5),PTHealthBY*P199,0))))</f>
        <v>0</v>
      </c>
      <c r="BP199" s="462">
        <f>IF(AND(AT199&lt;&gt;0,(AX199+BA199)&gt;=MAXSSDIBY),SSDIBY*MAXSSDIBY*P199,IF(AT199&lt;&gt;0,SSDIBY*W199,0))</f>
        <v>0</v>
      </c>
      <c r="BQ199" s="462">
        <f>IF(AT199&lt;&gt;0,SSHIBY*W199,0)</f>
        <v>0</v>
      </c>
      <c r="BR199" s="462">
        <f>IF(AND(AT199&lt;&gt;0,AN199&lt;&gt;"NE"),VLOOKUP(AN199,Retirement_Rates,4,FALSE)*W199,0)</f>
        <v>0</v>
      </c>
      <c r="BS199" s="462">
        <f>IF(AND(AT199&lt;&gt;0,AJ199&lt;&gt;"PF"),LifeBY*W199,0)</f>
        <v>0</v>
      </c>
      <c r="BT199" s="462">
        <f>IF(AND(AT199&lt;&gt;0,AM199="Y"),UIBY*W199,0)</f>
        <v>0</v>
      </c>
      <c r="BU199" s="462">
        <f>IF(AND(AT199&lt;&gt;0,N199&lt;&gt;"NR"),DHRBY*W199,0)</f>
        <v>0</v>
      </c>
      <c r="BV199" s="462">
        <f>IF(AT199&lt;&gt;0,WCBY*W199,0)</f>
        <v>0</v>
      </c>
      <c r="BW199" s="462">
        <f>IF(OR(AND(AT199&lt;&gt;0,AJ199&lt;&gt;"PF",AN199&lt;&gt;"NE",AG199&lt;&gt;"A"),AND(AL199="E",OR(AT199=1,AT199=3))),SickBY*W199,0)</f>
        <v>0</v>
      </c>
      <c r="BX199" s="462">
        <f t="shared" si="58"/>
        <v>0</v>
      </c>
      <c r="BY199" s="462">
        <f t="shared" si="59"/>
        <v>0</v>
      </c>
      <c r="BZ199" s="462">
        <f t="shared" si="60"/>
        <v>0</v>
      </c>
      <c r="CA199" s="462">
        <f t="shared" si="61"/>
        <v>0</v>
      </c>
      <c r="CB199" s="462">
        <f t="shared" si="62"/>
        <v>0</v>
      </c>
      <c r="CC199" s="462">
        <f>IF(AT199&lt;&gt;0,SSHICHG*Y199,0)</f>
        <v>0</v>
      </c>
      <c r="CD199" s="462">
        <f>IF(AND(AT199&lt;&gt;0,AN199&lt;&gt;"NE"),VLOOKUP(AN199,Retirement_Rates,5,FALSE)*Y199,0)</f>
        <v>0</v>
      </c>
      <c r="CE199" s="462">
        <f>IF(AND(AT199&lt;&gt;0,AJ199&lt;&gt;"PF"),LifeCHG*Y199,0)</f>
        <v>0</v>
      </c>
      <c r="CF199" s="462">
        <f>IF(AND(AT199&lt;&gt;0,AM199="Y"),UICHG*Y199,0)</f>
        <v>0</v>
      </c>
      <c r="CG199" s="462">
        <f>IF(AND(AT199&lt;&gt;0,N199&lt;&gt;"NR"),DHRCHG*Y199,0)</f>
        <v>0</v>
      </c>
      <c r="CH199" s="462">
        <f>IF(AT199&lt;&gt;0,WCCHG*Y199,0)</f>
        <v>0</v>
      </c>
      <c r="CI199" s="462">
        <f>IF(OR(AND(AT199&lt;&gt;0,AJ199&lt;&gt;"PF",AN199&lt;&gt;"NE",AG199&lt;&gt;"A"),AND(AL199="E",OR(AT199=1,AT199=3))),SickCHG*Y199,0)</f>
        <v>0</v>
      </c>
      <c r="CJ199" s="462">
        <f t="shared" si="63"/>
        <v>0</v>
      </c>
      <c r="CK199" s="462" t="str">
        <f t="shared" si="64"/>
        <v/>
      </c>
      <c r="CL199" s="462" t="str">
        <f t="shared" si="65"/>
        <v/>
      </c>
      <c r="CM199" s="462" t="str">
        <f t="shared" si="66"/>
        <v/>
      </c>
      <c r="CN199" s="462" t="str">
        <f t="shared" si="67"/>
        <v>0348-00</v>
      </c>
    </row>
    <row r="200" spans="1:92" ht="15" thickBot="1" x14ac:dyDescent="0.35">
      <c r="A200" s="376" t="s">
        <v>161</v>
      </c>
      <c r="B200" s="376" t="s">
        <v>162</v>
      </c>
      <c r="C200" s="376" t="s">
        <v>661</v>
      </c>
      <c r="D200" s="376" t="s">
        <v>250</v>
      </c>
      <c r="E200" s="376" t="s">
        <v>759</v>
      </c>
      <c r="F200" s="377" t="s">
        <v>166</v>
      </c>
      <c r="G200" s="376" t="s">
        <v>651</v>
      </c>
      <c r="H200" s="378"/>
      <c r="I200" s="378"/>
      <c r="J200" s="376" t="s">
        <v>168</v>
      </c>
      <c r="K200" s="376" t="s">
        <v>251</v>
      </c>
      <c r="L200" s="376" t="s">
        <v>180</v>
      </c>
      <c r="M200" s="376" t="s">
        <v>170</v>
      </c>
      <c r="N200" s="376" t="s">
        <v>202</v>
      </c>
      <c r="O200" s="379">
        <v>1</v>
      </c>
      <c r="P200" s="460">
        <v>0</v>
      </c>
      <c r="Q200" s="460">
        <v>0</v>
      </c>
      <c r="R200" s="380">
        <v>80</v>
      </c>
      <c r="S200" s="460">
        <v>0</v>
      </c>
      <c r="T200" s="380">
        <v>7036.29</v>
      </c>
      <c r="U200" s="380">
        <v>0</v>
      </c>
      <c r="V200" s="380">
        <v>2618.66</v>
      </c>
      <c r="W200" s="380">
        <v>0</v>
      </c>
      <c r="X200" s="380">
        <v>0</v>
      </c>
      <c r="Y200" s="380">
        <v>0</v>
      </c>
      <c r="Z200" s="380">
        <v>0</v>
      </c>
      <c r="AA200" s="376" t="s">
        <v>662</v>
      </c>
      <c r="AB200" s="376" t="s">
        <v>663</v>
      </c>
      <c r="AC200" s="376" t="s">
        <v>664</v>
      </c>
      <c r="AD200" s="376" t="s">
        <v>665</v>
      </c>
      <c r="AE200" s="376" t="s">
        <v>251</v>
      </c>
      <c r="AF200" s="376" t="s">
        <v>256</v>
      </c>
      <c r="AG200" s="376" t="s">
        <v>177</v>
      </c>
      <c r="AH200" s="381">
        <v>39.450000000000003</v>
      </c>
      <c r="AI200" s="379">
        <v>49642</v>
      </c>
      <c r="AJ200" s="376" t="s">
        <v>178</v>
      </c>
      <c r="AK200" s="376" t="s">
        <v>179</v>
      </c>
      <c r="AL200" s="376" t="s">
        <v>180</v>
      </c>
      <c r="AM200" s="376" t="s">
        <v>181</v>
      </c>
      <c r="AN200" s="376" t="s">
        <v>68</v>
      </c>
      <c r="AO200" s="379">
        <v>80</v>
      </c>
      <c r="AP200" s="460">
        <v>1</v>
      </c>
      <c r="AQ200" s="460">
        <v>0</v>
      </c>
      <c r="AR200" s="458" t="s">
        <v>182</v>
      </c>
      <c r="AS200" s="462">
        <f t="shared" si="51"/>
        <v>0</v>
      </c>
      <c r="AT200">
        <f t="shared" si="52"/>
        <v>0</v>
      </c>
      <c r="AU200" s="462" t="str">
        <f>IF(AT200=0,"",IF(AND(AT200=1,M200="F",SUMIF(C2:C698,C200,AS2:AS698)&lt;=1),SUMIF(C2:C698,C200,AS2:AS698),IF(AND(AT200=1,M200="F",SUMIF(C2:C698,C200,AS2:AS698)&gt;1),1,"")))</f>
        <v/>
      </c>
      <c r="AV200" s="462" t="str">
        <f>IF(AT200=0,"",IF(AND(AT200=3,M200="F",SUMIF(C2:C698,C200,AS2:AS698)&lt;=1),SUMIF(C2:C698,C200,AS2:AS698),IF(AND(AT200=3,M200="F",SUMIF(C2:C698,C200,AS2:AS698)&gt;1),1,"")))</f>
        <v/>
      </c>
      <c r="AW200" s="462">
        <f>SUMIF(C2:C698,C200,O2:O698)</f>
        <v>2</v>
      </c>
      <c r="AX200" s="462">
        <f>IF(AND(M200="F",AS200&lt;&gt;0),SUMIF(C2:C698,C200,W2:W698),0)</f>
        <v>0</v>
      </c>
      <c r="AY200" s="462" t="str">
        <f t="shared" si="53"/>
        <v/>
      </c>
      <c r="AZ200" s="462" t="str">
        <f t="shared" si="54"/>
        <v/>
      </c>
      <c r="BA200" s="462">
        <f t="shared" si="55"/>
        <v>0</v>
      </c>
      <c r="BB200" s="462">
        <f>IF(AND(AT200=1,AK200="E",AU200&gt;=0.75,AW200=1),Health,IF(AND(AT200=1,AK200="E",AU200&gt;=0.75),Health*P200,IF(AND(AT200=1,AK200="E",AU200&gt;=0.5,AW200=1),PTHealth,IF(AND(AT200=1,AK200="E",AU200&gt;=0.5),PTHealth*P200,0))))</f>
        <v>0</v>
      </c>
      <c r="BC200" s="462">
        <f>IF(AND(AT200=3,AK200="E",AV200&gt;=0.75,AW200=1),Health,IF(AND(AT200=3,AK200="E",AV200&gt;=0.75),Health*P200,IF(AND(AT200=3,AK200="E",AV200&gt;=0.5,AW200=1),PTHealth,IF(AND(AT200=3,AK200="E",AV200&gt;=0.5),PTHealth*P200,0))))</f>
        <v>0</v>
      </c>
      <c r="BD200" s="462">
        <f>IF(AND(AT200&lt;&gt;0,AX200&gt;=MAXSSDI),SSDI*MAXSSDI*P200,IF(AT200&lt;&gt;0,SSDI*W200,0))</f>
        <v>0</v>
      </c>
      <c r="BE200" s="462">
        <f>IF(AT200&lt;&gt;0,SSHI*W200,0)</f>
        <v>0</v>
      </c>
      <c r="BF200" s="462">
        <f>IF(AND(AT200&lt;&gt;0,AN200&lt;&gt;"NE"),VLOOKUP(AN200,Retirement_Rates,3,FALSE)*W200,0)</f>
        <v>0</v>
      </c>
      <c r="BG200" s="462">
        <f>IF(AND(AT200&lt;&gt;0,AJ200&lt;&gt;"PF"),Life*W200,0)</f>
        <v>0</v>
      </c>
      <c r="BH200" s="462">
        <f>IF(AND(AT200&lt;&gt;0,AM200="Y"),UI*W200,0)</f>
        <v>0</v>
      </c>
      <c r="BI200" s="462">
        <f>IF(AND(AT200&lt;&gt;0,N200&lt;&gt;"NR"),DHR*W200,0)</f>
        <v>0</v>
      </c>
      <c r="BJ200" s="462">
        <f>IF(AT200&lt;&gt;0,WC*W200,0)</f>
        <v>0</v>
      </c>
      <c r="BK200" s="462">
        <f>IF(OR(AND(AT200&lt;&gt;0,AJ200&lt;&gt;"PF",AN200&lt;&gt;"NE",AG200&lt;&gt;"A"),AND(AL200="E",OR(AT200=1,AT200=3))),Sick*W200,0)</f>
        <v>0</v>
      </c>
      <c r="BL200" s="462">
        <f t="shared" si="56"/>
        <v>0</v>
      </c>
      <c r="BM200" s="462">
        <f t="shared" si="57"/>
        <v>0</v>
      </c>
      <c r="BN200" s="462">
        <f>IF(AND(AT200=1,AK200="E",AU200&gt;=0.75,AW200=1),HealthBY,IF(AND(AT200=1,AK200="E",AU200&gt;=0.75),HealthBY*P200,IF(AND(AT200=1,AK200="E",AU200&gt;=0.5,AW200=1),PTHealthBY,IF(AND(AT200=1,AK200="E",AU200&gt;=0.5),PTHealthBY*P200,0))))</f>
        <v>0</v>
      </c>
      <c r="BO200" s="462">
        <f>IF(AND(AT200=3,AK200="E",AV200&gt;=0.75,AW200=1),HealthBY,IF(AND(AT200=3,AK200="E",AV200&gt;=0.75),HealthBY*P200,IF(AND(AT200=3,AK200="E",AV200&gt;=0.5,AW200=1),PTHealthBY,IF(AND(AT200=3,AK200="E",AV200&gt;=0.5),PTHealthBY*P200,0))))</f>
        <v>0</v>
      </c>
      <c r="BP200" s="462">
        <f>IF(AND(AT200&lt;&gt;0,(AX200+BA200)&gt;=MAXSSDIBY),SSDIBY*MAXSSDIBY*P200,IF(AT200&lt;&gt;0,SSDIBY*W200,0))</f>
        <v>0</v>
      </c>
      <c r="BQ200" s="462">
        <f>IF(AT200&lt;&gt;0,SSHIBY*W200,0)</f>
        <v>0</v>
      </c>
      <c r="BR200" s="462">
        <f>IF(AND(AT200&lt;&gt;0,AN200&lt;&gt;"NE"),VLOOKUP(AN200,Retirement_Rates,4,FALSE)*W200,0)</f>
        <v>0</v>
      </c>
      <c r="BS200" s="462">
        <f>IF(AND(AT200&lt;&gt;0,AJ200&lt;&gt;"PF"),LifeBY*W200,0)</f>
        <v>0</v>
      </c>
      <c r="BT200" s="462">
        <f>IF(AND(AT200&lt;&gt;0,AM200="Y"),UIBY*W200,0)</f>
        <v>0</v>
      </c>
      <c r="BU200" s="462">
        <f>IF(AND(AT200&lt;&gt;0,N200&lt;&gt;"NR"),DHRBY*W200,0)</f>
        <v>0</v>
      </c>
      <c r="BV200" s="462">
        <f>IF(AT200&lt;&gt;0,WCBY*W200,0)</f>
        <v>0</v>
      </c>
      <c r="BW200" s="462">
        <f>IF(OR(AND(AT200&lt;&gt;0,AJ200&lt;&gt;"PF",AN200&lt;&gt;"NE",AG200&lt;&gt;"A"),AND(AL200="E",OR(AT200=1,AT200=3))),SickBY*W200,0)</f>
        <v>0</v>
      </c>
      <c r="BX200" s="462">
        <f t="shared" si="58"/>
        <v>0</v>
      </c>
      <c r="BY200" s="462">
        <f t="shared" si="59"/>
        <v>0</v>
      </c>
      <c r="BZ200" s="462">
        <f t="shared" si="60"/>
        <v>0</v>
      </c>
      <c r="CA200" s="462">
        <f t="shared" si="61"/>
        <v>0</v>
      </c>
      <c r="CB200" s="462">
        <f t="shared" si="62"/>
        <v>0</v>
      </c>
      <c r="CC200" s="462">
        <f>IF(AT200&lt;&gt;0,SSHICHG*Y200,0)</f>
        <v>0</v>
      </c>
      <c r="CD200" s="462">
        <f>IF(AND(AT200&lt;&gt;0,AN200&lt;&gt;"NE"),VLOOKUP(AN200,Retirement_Rates,5,FALSE)*Y200,0)</f>
        <v>0</v>
      </c>
      <c r="CE200" s="462">
        <f>IF(AND(AT200&lt;&gt;0,AJ200&lt;&gt;"PF"),LifeCHG*Y200,0)</f>
        <v>0</v>
      </c>
      <c r="CF200" s="462">
        <f>IF(AND(AT200&lt;&gt;0,AM200="Y"),UICHG*Y200,0)</f>
        <v>0</v>
      </c>
      <c r="CG200" s="462">
        <f>IF(AND(AT200&lt;&gt;0,N200&lt;&gt;"NR"),DHRCHG*Y200,0)</f>
        <v>0</v>
      </c>
      <c r="CH200" s="462">
        <f>IF(AT200&lt;&gt;0,WCCHG*Y200,0)</f>
        <v>0</v>
      </c>
      <c r="CI200" s="462">
        <f>IF(OR(AND(AT200&lt;&gt;0,AJ200&lt;&gt;"PF",AN200&lt;&gt;"NE",AG200&lt;&gt;"A"),AND(AL200="E",OR(AT200=1,AT200=3))),SickCHG*Y200,0)</f>
        <v>0</v>
      </c>
      <c r="CJ200" s="462">
        <f t="shared" si="63"/>
        <v>0</v>
      </c>
      <c r="CK200" s="462" t="str">
        <f t="shared" si="64"/>
        <v/>
      </c>
      <c r="CL200" s="462" t="str">
        <f t="shared" si="65"/>
        <v/>
      </c>
      <c r="CM200" s="462" t="str">
        <f t="shared" si="66"/>
        <v/>
      </c>
      <c r="CN200" s="462" t="str">
        <f t="shared" si="67"/>
        <v>0348-00</v>
      </c>
    </row>
    <row r="201" spans="1:92" ht="15" thickBot="1" x14ac:dyDescent="0.35">
      <c r="A201" s="376" t="s">
        <v>161</v>
      </c>
      <c r="B201" s="376" t="s">
        <v>162</v>
      </c>
      <c r="C201" s="376" t="s">
        <v>666</v>
      </c>
      <c r="D201" s="376" t="s">
        <v>667</v>
      </c>
      <c r="E201" s="376" t="s">
        <v>759</v>
      </c>
      <c r="F201" s="377" t="s">
        <v>166</v>
      </c>
      <c r="G201" s="376" t="s">
        <v>651</v>
      </c>
      <c r="H201" s="378"/>
      <c r="I201" s="378"/>
      <c r="J201" s="376" t="s">
        <v>168</v>
      </c>
      <c r="K201" s="376" t="s">
        <v>668</v>
      </c>
      <c r="L201" s="376" t="s">
        <v>180</v>
      </c>
      <c r="M201" s="376" t="s">
        <v>170</v>
      </c>
      <c r="N201" s="376" t="s">
        <v>202</v>
      </c>
      <c r="O201" s="379">
        <v>1</v>
      </c>
      <c r="P201" s="460">
        <v>0</v>
      </c>
      <c r="Q201" s="460">
        <v>0</v>
      </c>
      <c r="R201" s="380">
        <v>80</v>
      </c>
      <c r="S201" s="460">
        <v>0</v>
      </c>
      <c r="T201" s="380">
        <v>33994.949999999997</v>
      </c>
      <c r="U201" s="380">
        <v>0</v>
      </c>
      <c r="V201" s="380">
        <v>14345.2</v>
      </c>
      <c r="W201" s="380">
        <v>0</v>
      </c>
      <c r="X201" s="380">
        <v>0</v>
      </c>
      <c r="Y201" s="380">
        <v>0</v>
      </c>
      <c r="Z201" s="380">
        <v>0</v>
      </c>
      <c r="AA201" s="376" t="s">
        <v>669</v>
      </c>
      <c r="AB201" s="376" t="s">
        <v>524</v>
      </c>
      <c r="AC201" s="376" t="s">
        <v>670</v>
      </c>
      <c r="AD201" s="376" t="s">
        <v>671</v>
      </c>
      <c r="AE201" s="376" t="s">
        <v>668</v>
      </c>
      <c r="AF201" s="376" t="s">
        <v>256</v>
      </c>
      <c r="AG201" s="376" t="s">
        <v>177</v>
      </c>
      <c r="AH201" s="381">
        <v>33.340000000000003</v>
      </c>
      <c r="AI201" s="381">
        <v>16574.900000000001</v>
      </c>
      <c r="AJ201" s="376" t="s">
        <v>178</v>
      </c>
      <c r="AK201" s="376" t="s">
        <v>179</v>
      </c>
      <c r="AL201" s="376" t="s">
        <v>180</v>
      </c>
      <c r="AM201" s="376" t="s">
        <v>181</v>
      </c>
      <c r="AN201" s="376" t="s">
        <v>68</v>
      </c>
      <c r="AO201" s="379">
        <v>80</v>
      </c>
      <c r="AP201" s="460">
        <v>1</v>
      </c>
      <c r="AQ201" s="460">
        <v>0</v>
      </c>
      <c r="AR201" s="458" t="s">
        <v>182</v>
      </c>
      <c r="AS201" s="462">
        <f t="shared" si="51"/>
        <v>0</v>
      </c>
      <c r="AT201">
        <f t="shared" si="52"/>
        <v>0</v>
      </c>
      <c r="AU201" s="462" t="str">
        <f>IF(AT201=0,"",IF(AND(AT201=1,M201="F",SUMIF(C2:C698,C201,AS2:AS698)&lt;=1),SUMIF(C2:C698,C201,AS2:AS698),IF(AND(AT201=1,M201="F",SUMIF(C2:C698,C201,AS2:AS698)&gt;1),1,"")))</f>
        <v/>
      </c>
      <c r="AV201" s="462" t="str">
        <f>IF(AT201=0,"",IF(AND(AT201=3,M201="F",SUMIF(C2:C698,C201,AS2:AS698)&lt;=1),SUMIF(C2:C698,C201,AS2:AS698),IF(AND(AT201=3,M201="F",SUMIF(C2:C698,C201,AS2:AS698)&gt;1),1,"")))</f>
        <v/>
      </c>
      <c r="AW201" s="462">
        <f>SUMIF(C2:C698,C201,O2:O698)</f>
        <v>2</v>
      </c>
      <c r="AX201" s="462">
        <f>IF(AND(M201="F",AS201&lt;&gt;0),SUMIF(C2:C698,C201,W2:W698),0)</f>
        <v>0</v>
      </c>
      <c r="AY201" s="462" t="str">
        <f t="shared" si="53"/>
        <v/>
      </c>
      <c r="AZ201" s="462" t="str">
        <f t="shared" si="54"/>
        <v/>
      </c>
      <c r="BA201" s="462">
        <f t="shared" si="55"/>
        <v>0</v>
      </c>
      <c r="BB201" s="462">
        <f>IF(AND(AT201=1,AK201="E",AU201&gt;=0.75,AW201=1),Health,IF(AND(AT201=1,AK201="E",AU201&gt;=0.75),Health*P201,IF(AND(AT201=1,AK201="E",AU201&gt;=0.5,AW201=1),PTHealth,IF(AND(AT201=1,AK201="E",AU201&gt;=0.5),PTHealth*P201,0))))</f>
        <v>0</v>
      </c>
      <c r="BC201" s="462">
        <f>IF(AND(AT201=3,AK201="E",AV201&gt;=0.75,AW201=1),Health,IF(AND(AT201=3,AK201="E",AV201&gt;=0.75),Health*P201,IF(AND(AT201=3,AK201="E",AV201&gt;=0.5,AW201=1),PTHealth,IF(AND(AT201=3,AK201="E",AV201&gt;=0.5),PTHealth*P201,0))))</f>
        <v>0</v>
      </c>
      <c r="BD201" s="462">
        <f>IF(AND(AT201&lt;&gt;0,AX201&gt;=MAXSSDI),SSDI*MAXSSDI*P201,IF(AT201&lt;&gt;0,SSDI*W201,0))</f>
        <v>0</v>
      </c>
      <c r="BE201" s="462">
        <f>IF(AT201&lt;&gt;0,SSHI*W201,0)</f>
        <v>0</v>
      </c>
      <c r="BF201" s="462">
        <f>IF(AND(AT201&lt;&gt;0,AN201&lt;&gt;"NE"),VLOOKUP(AN201,Retirement_Rates,3,FALSE)*W201,0)</f>
        <v>0</v>
      </c>
      <c r="BG201" s="462">
        <f>IF(AND(AT201&lt;&gt;0,AJ201&lt;&gt;"PF"),Life*W201,0)</f>
        <v>0</v>
      </c>
      <c r="BH201" s="462">
        <f>IF(AND(AT201&lt;&gt;0,AM201="Y"),UI*W201,0)</f>
        <v>0</v>
      </c>
      <c r="BI201" s="462">
        <f>IF(AND(AT201&lt;&gt;0,N201&lt;&gt;"NR"),DHR*W201,0)</f>
        <v>0</v>
      </c>
      <c r="BJ201" s="462">
        <f>IF(AT201&lt;&gt;0,WC*W201,0)</f>
        <v>0</v>
      </c>
      <c r="BK201" s="462">
        <f>IF(OR(AND(AT201&lt;&gt;0,AJ201&lt;&gt;"PF",AN201&lt;&gt;"NE",AG201&lt;&gt;"A"),AND(AL201="E",OR(AT201=1,AT201=3))),Sick*W201,0)</f>
        <v>0</v>
      </c>
      <c r="BL201" s="462">
        <f t="shared" si="56"/>
        <v>0</v>
      </c>
      <c r="BM201" s="462">
        <f t="shared" si="57"/>
        <v>0</v>
      </c>
      <c r="BN201" s="462">
        <f>IF(AND(AT201=1,AK201="E",AU201&gt;=0.75,AW201=1),HealthBY,IF(AND(AT201=1,AK201="E",AU201&gt;=0.75),HealthBY*P201,IF(AND(AT201=1,AK201="E",AU201&gt;=0.5,AW201=1),PTHealthBY,IF(AND(AT201=1,AK201="E",AU201&gt;=0.5),PTHealthBY*P201,0))))</f>
        <v>0</v>
      </c>
      <c r="BO201" s="462">
        <f>IF(AND(AT201=3,AK201="E",AV201&gt;=0.75,AW201=1),HealthBY,IF(AND(AT201=3,AK201="E",AV201&gt;=0.75),HealthBY*P201,IF(AND(AT201=3,AK201="E",AV201&gt;=0.5,AW201=1),PTHealthBY,IF(AND(AT201=3,AK201="E",AV201&gt;=0.5),PTHealthBY*P201,0))))</f>
        <v>0</v>
      </c>
      <c r="BP201" s="462">
        <f>IF(AND(AT201&lt;&gt;0,(AX201+BA201)&gt;=MAXSSDIBY),SSDIBY*MAXSSDIBY*P201,IF(AT201&lt;&gt;0,SSDIBY*W201,0))</f>
        <v>0</v>
      </c>
      <c r="BQ201" s="462">
        <f>IF(AT201&lt;&gt;0,SSHIBY*W201,0)</f>
        <v>0</v>
      </c>
      <c r="BR201" s="462">
        <f>IF(AND(AT201&lt;&gt;0,AN201&lt;&gt;"NE"),VLOOKUP(AN201,Retirement_Rates,4,FALSE)*W201,0)</f>
        <v>0</v>
      </c>
      <c r="BS201" s="462">
        <f>IF(AND(AT201&lt;&gt;0,AJ201&lt;&gt;"PF"),LifeBY*W201,0)</f>
        <v>0</v>
      </c>
      <c r="BT201" s="462">
        <f>IF(AND(AT201&lt;&gt;0,AM201="Y"),UIBY*W201,0)</f>
        <v>0</v>
      </c>
      <c r="BU201" s="462">
        <f>IF(AND(AT201&lt;&gt;0,N201&lt;&gt;"NR"),DHRBY*W201,0)</f>
        <v>0</v>
      </c>
      <c r="BV201" s="462">
        <f>IF(AT201&lt;&gt;0,WCBY*W201,0)</f>
        <v>0</v>
      </c>
      <c r="BW201" s="462">
        <f>IF(OR(AND(AT201&lt;&gt;0,AJ201&lt;&gt;"PF",AN201&lt;&gt;"NE",AG201&lt;&gt;"A"),AND(AL201="E",OR(AT201=1,AT201=3))),SickBY*W201,0)</f>
        <v>0</v>
      </c>
      <c r="BX201" s="462">
        <f t="shared" si="58"/>
        <v>0</v>
      </c>
      <c r="BY201" s="462">
        <f t="shared" si="59"/>
        <v>0</v>
      </c>
      <c r="BZ201" s="462">
        <f t="shared" si="60"/>
        <v>0</v>
      </c>
      <c r="CA201" s="462">
        <f t="shared" si="61"/>
        <v>0</v>
      </c>
      <c r="CB201" s="462">
        <f t="shared" si="62"/>
        <v>0</v>
      </c>
      <c r="CC201" s="462">
        <f>IF(AT201&lt;&gt;0,SSHICHG*Y201,0)</f>
        <v>0</v>
      </c>
      <c r="CD201" s="462">
        <f>IF(AND(AT201&lt;&gt;0,AN201&lt;&gt;"NE"),VLOOKUP(AN201,Retirement_Rates,5,FALSE)*Y201,0)</f>
        <v>0</v>
      </c>
      <c r="CE201" s="462">
        <f>IF(AND(AT201&lt;&gt;0,AJ201&lt;&gt;"PF"),LifeCHG*Y201,0)</f>
        <v>0</v>
      </c>
      <c r="CF201" s="462">
        <f>IF(AND(AT201&lt;&gt;0,AM201="Y"),UICHG*Y201,0)</f>
        <v>0</v>
      </c>
      <c r="CG201" s="462">
        <f>IF(AND(AT201&lt;&gt;0,N201&lt;&gt;"NR"),DHRCHG*Y201,0)</f>
        <v>0</v>
      </c>
      <c r="CH201" s="462">
        <f>IF(AT201&lt;&gt;0,WCCHG*Y201,0)</f>
        <v>0</v>
      </c>
      <c r="CI201" s="462">
        <f>IF(OR(AND(AT201&lt;&gt;0,AJ201&lt;&gt;"PF",AN201&lt;&gt;"NE",AG201&lt;&gt;"A"),AND(AL201="E",OR(AT201=1,AT201=3))),SickCHG*Y201,0)</f>
        <v>0</v>
      </c>
      <c r="CJ201" s="462">
        <f t="shared" si="63"/>
        <v>0</v>
      </c>
      <c r="CK201" s="462" t="str">
        <f t="shared" si="64"/>
        <v/>
      </c>
      <c r="CL201" s="462" t="str">
        <f t="shared" si="65"/>
        <v/>
      </c>
      <c r="CM201" s="462" t="str">
        <f t="shared" si="66"/>
        <v/>
      </c>
      <c r="CN201" s="462" t="str">
        <f t="shared" si="67"/>
        <v>0348-00</v>
      </c>
    </row>
    <row r="202" spans="1:92" ht="15" thickBot="1" x14ac:dyDescent="0.35">
      <c r="A202" s="376" t="s">
        <v>161</v>
      </c>
      <c r="B202" s="376" t="s">
        <v>162</v>
      </c>
      <c r="C202" s="376" t="s">
        <v>672</v>
      </c>
      <c r="D202" s="376" t="s">
        <v>362</v>
      </c>
      <c r="E202" s="376" t="s">
        <v>759</v>
      </c>
      <c r="F202" s="377" t="s">
        <v>166</v>
      </c>
      <c r="G202" s="376" t="s">
        <v>651</v>
      </c>
      <c r="H202" s="378"/>
      <c r="I202" s="378"/>
      <c r="J202" s="376" t="s">
        <v>168</v>
      </c>
      <c r="K202" s="376" t="s">
        <v>363</v>
      </c>
      <c r="L202" s="376" t="s">
        <v>200</v>
      </c>
      <c r="M202" s="376" t="s">
        <v>170</v>
      </c>
      <c r="N202" s="376" t="s">
        <v>202</v>
      </c>
      <c r="O202" s="379">
        <v>1</v>
      </c>
      <c r="P202" s="460">
        <v>0</v>
      </c>
      <c r="Q202" s="460">
        <v>0</v>
      </c>
      <c r="R202" s="380">
        <v>80</v>
      </c>
      <c r="S202" s="460">
        <v>0</v>
      </c>
      <c r="T202" s="380">
        <v>5871.61</v>
      </c>
      <c r="U202" s="380">
        <v>0</v>
      </c>
      <c r="V202" s="380">
        <v>3628.92</v>
      </c>
      <c r="W202" s="380">
        <v>0</v>
      </c>
      <c r="X202" s="380">
        <v>0</v>
      </c>
      <c r="Y202" s="380">
        <v>0</v>
      </c>
      <c r="Z202" s="380">
        <v>0</v>
      </c>
      <c r="AA202" s="376" t="s">
        <v>673</v>
      </c>
      <c r="AB202" s="376" t="s">
        <v>674</v>
      </c>
      <c r="AC202" s="376" t="s">
        <v>675</v>
      </c>
      <c r="AD202" s="376" t="s">
        <v>676</v>
      </c>
      <c r="AE202" s="376" t="s">
        <v>363</v>
      </c>
      <c r="AF202" s="376" t="s">
        <v>210</v>
      </c>
      <c r="AG202" s="376" t="s">
        <v>177</v>
      </c>
      <c r="AH202" s="381">
        <v>22.5</v>
      </c>
      <c r="AI202" s="381">
        <v>2422.5</v>
      </c>
      <c r="AJ202" s="376" t="s">
        <v>178</v>
      </c>
      <c r="AK202" s="376" t="s">
        <v>179</v>
      </c>
      <c r="AL202" s="376" t="s">
        <v>180</v>
      </c>
      <c r="AM202" s="376" t="s">
        <v>181</v>
      </c>
      <c r="AN202" s="376" t="s">
        <v>68</v>
      </c>
      <c r="AO202" s="379">
        <v>80</v>
      </c>
      <c r="AP202" s="460">
        <v>1</v>
      </c>
      <c r="AQ202" s="460">
        <v>0</v>
      </c>
      <c r="AR202" s="458" t="s">
        <v>182</v>
      </c>
      <c r="AS202" s="462">
        <f t="shared" si="51"/>
        <v>0</v>
      </c>
      <c r="AT202">
        <f t="shared" si="52"/>
        <v>0</v>
      </c>
      <c r="AU202" s="462" t="str">
        <f>IF(AT202=0,"",IF(AND(AT202=1,M202="F",SUMIF(C2:C698,C202,AS2:AS698)&lt;=1),SUMIF(C2:C698,C202,AS2:AS698),IF(AND(AT202=1,M202="F",SUMIF(C2:C698,C202,AS2:AS698)&gt;1),1,"")))</f>
        <v/>
      </c>
      <c r="AV202" s="462" t="str">
        <f>IF(AT202=0,"",IF(AND(AT202=3,M202="F",SUMIF(C2:C698,C202,AS2:AS698)&lt;=1),SUMIF(C2:C698,C202,AS2:AS698),IF(AND(AT202=3,M202="F",SUMIF(C2:C698,C202,AS2:AS698)&gt;1),1,"")))</f>
        <v/>
      </c>
      <c r="AW202" s="462">
        <f>SUMIF(C2:C698,C202,O2:O698)</f>
        <v>2</v>
      </c>
      <c r="AX202" s="462">
        <f>IF(AND(M202="F",AS202&lt;&gt;0),SUMIF(C2:C698,C202,W2:W698),0)</f>
        <v>0</v>
      </c>
      <c r="AY202" s="462" t="str">
        <f t="shared" si="53"/>
        <v/>
      </c>
      <c r="AZ202" s="462" t="str">
        <f t="shared" si="54"/>
        <v/>
      </c>
      <c r="BA202" s="462">
        <f t="shared" si="55"/>
        <v>0</v>
      </c>
      <c r="BB202" s="462">
        <f>IF(AND(AT202=1,AK202="E",AU202&gt;=0.75,AW202=1),Health,IF(AND(AT202=1,AK202="E",AU202&gt;=0.75),Health*P202,IF(AND(AT202=1,AK202="E",AU202&gt;=0.5,AW202=1),PTHealth,IF(AND(AT202=1,AK202="E",AU202&gt;=0.5),PTHealth*P202,0))))</f>
        <v>0</v>
      </c>
      <c r="BC202" s="462">
        <f>IF(AND(AT202=3,AK202="E",AV202&gt;=0.75,AW202=1),Health,IF(AND(AT202=3,AK202="E",AV202&gt;=0.75),Health*P202,IF(AND(AT202=3,AK202="E",AV202&gt;=0.5,AW202=1),PTHealth,IF(AND(AT202=3,AK202="E",AV202&gt;=0.5),PTHealth*P202,0))))</f>
        <v>0</v>
      </c>
      <c r="BD202" s="462">
        <f>IF(AND(AT202&lt;&gt;0,AX202&gt;=MAXSSDI),SSDI*MAXSSDI*P202,IF(AT202&lt;&gt;0,SSDI*W202,0))</f>
        <v>0</v>
      </c>
      <c r="BE202" s="462">
        <f>IF(AT202&lt;&gt;0,SSHI*W202,0)</f>
        <v>0</v>
      </c>
      <c r="BF202" s="462">
        <f>IF(AND(AT202&lt;&gt;0,AN202&lt;&gt;"NE"),VLOOKUP(AN202,Retirement_Rates,3,FALSE)*W202,0)</f>
        <v>0</v>
      </c>
      <c r="BG202" s="462">
        <f>IF(AND(AT202&lt;&gt;0,AJ202&lt;&gt;"PF"),Life*W202,0)</f>
        <v>0</v>
      </c>
      <c r="BH202" s="462">
        <f>IF(AND(AT202&lt;&gt;0,AM202="Y"),UI*W202,0)</f>
        <v>0</v>
      </c>
      <c r="BI202" s="462">
        <f>IF(AND(AT202&lt;&gt;0,N202&lt;&gt;"NR"),DHR*W202,0)</f>
        <v>0</v>
      </c>
      <c r="BJ202" s="462">
        <f>IF(AT202&lt;&gt;0,WC*W202,0)</f>
        <v>0</v>
      </c>
      <c r="BK202" s="462">
        <f>IF(OR(AND(AT202&lt;&gt;0,AJ202&lt;&gt;"PF",AN202&lt;&gt;"NE",AG202&lt;&gt;"A"),AND(AL202="E",OR(AT202=1,AT202=3))),Sick*W202,0)</f>
        <v>0</v>
      </c>
      <c r="BL202" s="462">
        <f t="shared" si="56"/>
        <v>0</v>
      </c>
      <c r="BM202" s="462">
        <f t="shared" si="57"/>
        <v>0</v>
      </c>
      <c r="BN202" s="462">
        <f>IF(AND(AT202=1,AK202="E",AU202&gt;=0.75,AW202=1),HealthBY,IF(AND(AT202=1,AK202="E",AU202&gt;=0.75),HealthBY*P202,IF(AND(AT202=1,AK202="E",AU202&gt;=0.5,AW202=1),PTHealthBY,IF(AND(AT202=1,AK202="E",AU202&gt;=0.5),PTHealthBY*P202,0))))</f>
        <v>0</v>
      </c>
      <c r="BO202" s="462">
        <f>IF(AND(AT202=3,AK202="E",AV202&gt;=0.75,AW202=1),HealthBY,IF(AND(AT202=3,AK202="E",AV202&gt;=0.75),HealthBY*P202,IF(AND(AT202=3,AK202="E",AV202&gt;=0.5,AW202=1),PTHealthBY,IF(AND(AT202=3,AK202="E",AV202&gt;=0.5),PTHealthBY*P202,0))))</f>
        <v>0</v>
      </c>
      <c r="BP202" s="462">
        <f>IF(AND(AT202&lt;&gt;0,(AX202+BA202)&gt;=MAXSSDIBY),SSDIBY*MAXSSDIBY*P202,IF(AT202&lt;&gt;0,SSDIBY*W202,0))</f>
        <v>0</v>
      </c>
      <c r="BQ202" s="462">
        <f>IF(AT202&lt;&gt;0,SSHIBY*W202,0)</f>
        <v>0</v>
      </c>
      <c r="BR202" s="462">
        <f>IF(AND(AT202&lt;&gt;0,AN202&lt;&gt;"NE"),VLOOKUP(AN202,Retirement_Rates,4,FALSE)*W202,0)</f>
        <v>0</v>
      </c>
      <c r="BS202" s="462">
        <f>IF(AND(AT202&lt;&gt;0,AJ202&lt;&gt;"PF"),LifeBY*W202,0)</f>
        <v>0</v>
      </c>
      <c r="BT202" s="462">
        <f>IF(AND(AT202&lt;&gt;0,AM202="Y"),UIBY*W202,0)</f>
        <v>0</v>
      </c>
      <c r="BU202" s="462">
        <f>IF(AND(AT202&lt;&gt;0,N202&lt;&gt;"NR"),DHRBY*W202,0)</f>
        <v>0</v>
      </c>
      <c r="BV202" s="462">
        <f>IF(AT202&lt;&gt;0,WCBY*W202,0)</f>
        <v>0</v>
      </c>
      <c r="BW202" s="462">
        <f>IF(OR(AND(AT202&lt;&gt;0,AJ202&lt;&gt;"PF",AN202&lt;&gt;"NE",AG202&lt;&gt;"A"),AND(AL202="E",OR(AT202=1,AT202=3))),SickBY*W202,0)</f>
        <v>0</v>
      </c>
      <c r="BX202" s="462">
        <f t="shared" si="58"/>
        <v>0</v>
      </c>
      <c r="BY202" s="462">
        <f t="shared" si="59"/>
        <v>0</v>
      </c>
      <c r="BZ202" s="462">
        <f t="shared" si="60"/>
        <v>0</v>
      </c>
      <c r="CA202" s="462">
        <f t="shared" si="61"/>
        <v>0</v>
      </c>
      <c r="CB202" s="462">
        <f t="shared" si="62"/>
        <v>0</v>
      </c>
      <c r="CC202" s="462">
        <f>IF(AT202&lt;&gt;0,SSHICHG*Y202,0)</f>
        <v>0</v>
      </c>
      <c r="CD202" s="462">
        <f>IF(AND(AT202&lt;&gt;0,AN202&lt;&gt;"NE"),VLOOKUP(AN202,Retirement_Rates,5,FALSE)*Y202,0)</f>
        <v>0</v>
      </c>
      <c r="CE202" s="462">
        <f>IF(AND(AT202&lt;&gt;0,AJ202&lt;&gt;"PF"),LifeCHG*Y202,0)</f>
        <v>0</v>
      </c>
      <c r="CF202" s="462">
        <f>IF(AND(AT202&lt;&gt;0,AM202="Y"),UICHG*Y202,0)</f>
        <v>0</v>
      </c>
      <c r="CG202" s="462">
        <f>IF(AND(AT202&lt;&gt;0,N202&lt;&gt;"NR"),DHRCHG*Y202,0)</f>
        <v>0</v>
      </c>
      <c r="CH202" s="462">
        <f>IF(AT202&lt;&gt;0,WCCHG*Y202,0)</f>
        <v>0</v>
      </c>
      <c r="CI202" s="462">
        <f>IF(OR(AND(AT202&lt;&gt;0,AJ202&lt;&gt;"PF",AN202&lt;&gt;"NE",AG202&lt;&gt;"A"),AND(AL202="E",OR(AT202=1,AT202=3))),SickCHG*Y202,0)</f>
        <v>0</v>
      </c>
      <c r="CJ202" s="462">
        <f t="shared" si="63"/>
        <v>0</v>
      </c>
      <c r="CK202" s="462" t="str">
        <f t="shared" si="64"/>
        <v/>
      </c>
      <c r="CL202" s="462" t="str">
        <f t="shared" si="65"/>
        <v/>
      </c>
      <c r="CM202" s="462" t="str">
        <f t="shared" si="66"/>
        <v/>
      </c>
      <c r="CN202" s="462" t="str">
        <f t="shared" si="67"/>
        <v>0348-00</v>
      </c>
    </row>
    <row r="203" spans="1:92" ht="15" thickBot="1" x14ac:dyDescent="0.35">
      <c r="A203" s="376" t="s">
        <v>161</v>
      </c>
      <c r="B203" s="376" t="s">
        <v>162</v>
      </c>
      <c r="C203" s="376" t="s">
        <v>406</v>
      </c>
      <c r="D203" s="376" t="s">
        <v>250</v>
      </c>
      <c r="E203" s="376" t="s">
        <v>759</v>
      </c>
      <c r="F203" s="377" t="s">
        <v>166</v>
      </c>
      <c r="G203" s="376" t="s">
        <v>651</v>
      </c>
      <c r="H203" s="378"/>
      <c r="I203" s="378"/>
      <c r="J203" s="376" t="s">
        <v>168</v>
      </c>
      <c r="K203" s="376" t="s">
        <v>407</v>
      </c>
      <c r="L203" s="376" t="s">
        <v>247</v>
      </c>
      <c r="M203" s="376" t="s">
        <v>170</v>
      </c>
      <c r="N203" s="376" t="s">
        <v>202</v>
      </c>
      <c r="O203" s="379">
        <v>1</v>
      </c>
      <c r="P203" s="460">
        <v>0</v>
      </c>
      <c r="Q203" s="460">
        <v>0</v>
      </c>
      <c r="R203" s="380">
        <v>80</v>
      </c>
      <c r="S203" s="460">
        <v>0</v>
      </c>
      <c r="T203" s="380">
        <v>34740.33</v>
      </c>
      <c r="U203" s="380">
        <v>0</v>
      </c>
      <c r="V203" s="380">
        <v>13702.79</v>
      </c>
      <c r="W203" s="380">
        <v>0</v>
      </c>
      <c r="X203" s="380">
        <v>0</v>
      </c>
      <c r="Y203" s="380">
        <v>0</v>
      </c>
      <c r="Z203" s="380">
        <v>0</v>
      </c>
      <c r="AA203" s="376" t="s">
        <v>408</v>
      </c>
      <c r="AB203" s="376" t="s">
        <v>409</v>
      </c>
      <c r="AC203" s="376" t="s">
        <v>410</v>
      </c>
      <c r="AD203" s="376" t="s">
        <v>411</v>
      </c>
      <c r="AE203" s="376" t="s">
        <v>407</v>
      </c>
      <c r="AF203" s="376" t="s">
        <v>299</v>
      </c>
      <c r="AG203" s="376" t="s">
        <v>177</v>
      </c>
      <c r="AH203" s="379">
        <v>28</v>
      </c>
      <c r="AI203" s="381">
        <v>6915.2</v>
      </c>
      <c r="AJ203" s="376" t="s">
        <v>178</v>
      </c>
      <c r="AK203" s="376" t="s">
        <v>179</v>
      </c>
      <c r="AL203" s="376" t="s">
        <v>180</v>
      </c>
      <c r="AM203" s="376" t="s">
        <v>181</v>
      </c>
      <c r="AN203" s="376" t="s">
        <v>68</v>
      </c>
      <c r="AO203" s="379">
        <v>80</v>
      </c>
      <c r="AP203" s="460">
        <v>1</v>
      </c>
      <c r="AQ203" s="460">
        <v>0</v>
      </c>
      <c r="AR203" s="458" t="s">
        <v>182</v>
      </c>
      <c r="AS203" s="462">
        <f t="shared" si="51"/>
        <v>0</v>
      </c>
      <c r="AT203">
        <f t="shared" si="52"/>
        <v>0</v>
      </c>
      <c r="AU203" s="462" t="str">
        <f>IF(AT203=0,"",IF(AND(AT203=1,M203="F",SUMIF(C2:C698,C203,AS2:AS698)&lt;=1),SUMIF(C2:C698,C203,AS2:AS698),IF(AND(AT203=1,M203="F",SUMIF(C2:C698,C203,AS2:AS698)&gt;1),1,"")))</f>
        <v/>
      </c>
      <c r="AV203" s="462" t="str">
        <f>IF(AT203=0,"",IF(AND(AT203=3,M203="F",SUMIF(C2:C698,C203,AS2:AS698)&lt;=1),SUMIF(C2:C698,C203,AS2:AS698),IF(AND(AT203=3,M203="F",SUMIF(C2:C698,C203,AS2:AS698)&gt;1),1,"")))</f>
        <v/>
      </c>
      <c r="AW203" s="462">
        <f>SUMIF(C2:C698,C203,O2:O698)</f>
        <v>5</v>
      </c>
      <c r="AX203" s="462">
        <f>IF(AND(M203="F",AS203&lt;&gt;0),SUMIF(C2:C698,C203,W2:W698),0)</f>
        <v>0</v>
      </c>
      <c r="AY203" s="462" t="str">
        <f t="shared" si="53"/>
        <v/>
      </c>
      <c r="AZ203" s="462" t="str">
        <f t="shared" si="54"/>
        <v/>
      </c>
      <c r="BA203" s="462">
        <f t="shared" si="55"/>
        <v>0</v>
      </c>
      <c r="BB203" s="462">
        <f>IF(AND(AT203=1,AK203="E",AU203&gt;=0.75,AW203=1),Health,IF(AND(AT203=1,AK203="E",AU203&gt;=0.75),Health*P203,IF(AND(AT203=1,AK203="E",AU203&gt;=0.5,AW203=1),PTHealth,IF(AND(AT203=1,AK203="E",AU203&gt;=0.5),PTHealth*P203,0))))</f>
        <v>0</v>
      </c>
      <c r="BC203" s="462">
        <f>IF(AND(AT203=3,AK203="E",AV203&gt;=0.75,AW203=1),Health,IF(AND(AT203=3,AK203="E",AV203&gt;=0.75),Health*P203,IF(AND(AT203=3,AK203="E",AV203&gt;=0.5,AW203=1),PTHealth,IF(AND(AT203=3,AK203="E",AV203&gt;=0.5),PTHealth*P203,0))))</f>
        <v>0</v>
      </c>
      <c r="BD203" s="462">
        <f>IF(AND(AT203&lt;&gt;0,AX203&gt;=MAXSSDI),SSDI*MAXSSDI*P203,IF(AT203&lt;&gt;0,SSDI*W203,0))</f>
        <v>0</v>
      </c>
      <c r="BE203" s="462">
        <f>IF(AT203&lt;&gt;0,SSHI*W203,0)</f>
        <v>0</v>
      </c>
      <c r="BF203" s="462">
        <f>IF(AND(AT203&lt;&gt;0,AN203&lt;&gt;"NE"),VLOOKUP(AN203,Retirement_Rates,3,FALSE)*W203,0)</f>
        <v>0</v>
      </c>
      <c r="BG203" s="462">
        <f>IF(AND(AT203&lt;&gt;0,AJ203&lt;&gt;"PF"),Life*W203,0)</f>
        <v>0</v>
      </c>
      <c r="BH203" s="462">
        <f>IF(AND(AT203&lt;&gt;0,AM203="Y"),UI*W203,0)</f>
        <v>0</v>
      </c>
      <c r="BI203" s="462">
        <f>IF(AND(AT203&lt;&gt;0,N203&lt;&gt;"NR"),DHR*W203,0)</f>
        <v>0</v>
      </c>
      <c r="BJ203" s="462">
        <f>IF(AT203&lt;&gt;0,WC*W203,0)</f>
        <v>0</v>
      </c>
      <c r="BK203" s="462">
        <f>IF(OR(AND(AT203&lt;&gt;0,AJ203&lt;&gt;"PF",AN203&lt;&gt;"NE",AG203&lt;&gt;"A"),AND(AL203="E",OR(AT203=1,AT203=3))),Sick*W203,0)</f>
        <v>0</v>
      </c>
      <c r="BL203" s="462">
        <f t="shared" si="56"/>
        <v>0</v>
      </c>
      <c r="BM203" s="462">
        <f t="shared" si="57"/>
        <v>0</v>
      </c>
      <c r="BN203" s="462">
        <f>IF(AND(AT203=1,AK203="E",AU203&gt;=0.75,AW203=1),HealthBY,IF(AND(AT203=1,AK203="E",AU203&gt;=0.75),HealthBY*P203,IF(AND(AT203=1,AK203="E",AU203&gt;=0.5,AW203=1),PTHealthBY,IF(AND(AT203=1,AK203="E",AU203&gt;=0.5),PTHealthBY*P203,0))))</f>
        <v>0</v>
      </c>
      <c r="BO203" s="462">
        <f>IF(AND(AT203=3,AK203="E",AV203&gt;=0.75,AW203=1),HealthBY,IF(AND(AT203=3,AK203="E",AV203&gt;=0.75),HealthBY*P203,IF(AND(AT203=3,AK203="E",AV203&gt;=0.5,AW203=1),PTHealthBY,IF(AND(AT203=3,AK203="E",AV203&gt;=0.5),PTHealthBY*P203,0))))</f>
        <v>0</v>
      </c>
      <c r="BP203" s="462">
        <f>IF(AND(AT203&lt;&gt;0,(AX203+BA203)&gt;=MAXSSDIBY),SSDIBY*MAXSSDIBY*P203,IF(AT203&lt;&gt;0,SSDIBY*W203,0))</f>
        <v>0</v>
      </c>
      <c r="BQ203" s="462">
        <f>IF(AT203&lt;&gt;0,SSHIBY*W203,0)</f>
        <v>0</v>
      </c>
      <c r="BR203" s="462">
        <f>IF(AND(AT203&lt;&gt;0,AN203&lt;&gt;"NE"),VLOOKUP(AN203,Retirement_Rates,4,FALSE)*W203,0)</f>
        <v>0</v>
      </c>
      <c r="BS203" s="462">
        <f>IF(AND(AT203&lt;&gt;0,AJ203&lt;&gt;"PF"),LifeBY*W203,0)</f>
        <v>0</v>
      </c>
      <c r="BT203" s="462">
        <f>IF(AND(AT203&lt;&gt;0,AM203="Y"),UIBY*W203,0)</f>
        <v>0</v>
      </c>
      <c r="BU203" s="462">
        <f>IF(AND(AT203&lt;&gt;0,N203&lt;&gt;"NR"),DHRBY*W203,0)</f>
        <v>0</v>
      </c>
      <c r="BV203" s="462">
        <f>IF(AT203&lt;&gt;0,WCBY*W203,0)</f>
        <v>0</v>
      </c>
      <c r="BW203" s="462">
        <f>IF(OR(AND(AT203&lt;&gt;0,AJ203&lt;&gt;"PF",AN203&lt;&gt;"NE",AG203&lt;&gt;"A"),AND(AL203="E",OR(AT203=1,AT203=3))),SickBY*W203,0)</f>
        <v>0</v>
      </c>
      <c r="BX203" s="462">
        <f t="shared" si="58"/>
        <v>0</v>
      </c>
      <c r="BY203" s="462">
        <f t="shared" si="59"/>
        <v>0</v>
      </c>
      <c r="BZ203" s="462">
        <f t="shared" si="60"/>
        <v>0</v>
      </c>
      <c r="CA203" s="462">
        <f t="shared" si="61"/>
        <v>0</v>
      </c>
      <c r="CB203" s="462">
        <f t="shared" si="62"/>
        <v>0</v>
      </c>
      <c r="CC203" s="462">
        <f>IF(AT203&lt;&gt;0,SSHICHG*Y203,0)</f>
        <v>0</v>
      </c>
      <c r="CD203" s="462">
        <f>IF(AND(AT203&lt;&gt;0,AN203&lt;&gt;"NE"),VLOOKUP(AN203,Retirement_Rates,5,FALSE)*Y203,0)</f>
        <v>0</v>
      </c>
      <c r="CE203" s="462">
        <f>IF(AND(AT203&lt;&gt;0,AJ203&lt;&gt;"PF"),LifeCHG*Y203,0)</f>
        <v>0</v>
      </c>
      <c r="CF203" s="462">
        <f>IF(AND(AT203&lt;&gt;0,AM203="Y"),UICHG*Y203,0)</f>
        <v>0</v>
      </c>
      <c r="CG203" s="462">
        <f>IF(AND(AT203&lt;&gt;0,N203&lt;&gt;"NR"),DHRCHG*Y203,0)</f>
        <v>0</v>
      </c>
      <c r="CH203" s="462">
        <f>IF(AT203&lt;&gt;0,WCCHG*Y203,0)</f>
        <v>0</v>
      </c>
      <c r="CI203" s="462">
        <f>IF(OR(AND(AT203&lt;&gt;0,AJ203&lt;&gt;"PF",AN203&lt;&gt;"NE",AG203&lt;&gt;"A"),AND(AL203="E",OR(AT203=1,AT203=3))),SickCHG*Y203,0)</f>
        <v>0</v>
      </c>
      <c r="CJ203" s="462">
        <f t="shared" si="63"/>
        <v>0</v>
      </c>
      <c r="CK203" s="462" t="str">
        <f t="shared" si="64"/>
        <v/>
      </c>
      <c r="CL203" s="462" t="str">
        <f t="shared" si="65"/>
        <v/>
      </c>
      <c r="CM203" s="462" t="str">
        <f t="shared" si="66"/>
        <v/>
      </c>
      <c r="CN203" s="462" t="str">
        <f t="shared" si="67"/>
        <v>0348-00</v>
      </c>
    </row>
    <row r="204" spans="1:92" ht="15" thickBot="1" x14ac:dyDescent="0.35">
      <c r="A204" s="376" t="s">
        <v>161</v>
      </c>
      <c r="B204" s="376" t="s">
        <v>162</v>
      </c>
      <c r="C204" s="376" t="s">
        <v>678</v>
      </c>
      <c r="D204" s="376" t="s">
        <v>250</v>
      </c>
      <c r="E204" s="376" t="s">
        <v>759</v>
      </c>
      <c r="F204" s="377" t="s">
        <v>166</v>
      </c>
      <c r="G204" s="376" t="s">
        <v>651</v>
      </c>
      <c r="H204" s="378"/>
      <c r="I204" s="378"/>
      <c r="J204" s="376" t="s">
        <v>168</v>
      </c>
      <c r="K204" s="376" t="s">
        <v>407</v>
      </c>
      <c r="L204" s="376" t="s">
        <v>247</v>
      </c>
      <c r="M204" s="376" t="s">
        <v>170</v>
      </c>
      <c r="N204" s="376" t="s">
        <v>202</v>
      </c>
      <c r="O204" s="379">
        <v>1</v>
      </c>
      <c r="P204" s="460">
        <v>0</v>
      </c>
      <c r="Q204" s="460">
        <v>0</v>
      </c>
      <c r="R204" s="380">
        <v>80</v>
      </c>
      <c r="S204" s="460">
        <v>0</v>
      </c>
      <c r="T204" s="380">
        <v>5536</v>
      </c>
      <c r="U204" s="380">
        <v>0</v>
      </c>
      <c r="V204" s="380">
        <v>2381.38</v>
      </c>
      <c r="W204" s="380">
        <v>0</v>
      </c>
      <c r="X204" s="380">
        <v>0</v>
      </c>
      <c r="Y204" s="380">
        <v>0</v>
      </c>
      <c r="Z204" s="380">
        <v>0</v>
      </c>
      <c r="AA204" s="376" t="s">
        <v>679</v>
      </c>
      <c r="AB204" s="376" t="s">
        <v>680</v>
      </c>
      <c r="AC204" s="376" t="s">
        <v>681</v>
      </c>
      <c r="AD204" s="376" t="s">
        <v>682</v>
      </c>
      <c r="AE204" s="376" t="s">
        <v>407</v>
      </c>
      <c r="AF204" s="376" t="s">
        <v>299</v>
      </c>
      <c r="AG204" s="376" t="s">
        <v>177</v>
      </c>
      <c r="AH204" s="381">
        <v>28.87</v>
      </c>
      <c r="AI204" s="381">
        <v>8603.4</v>
      </c>
      <c r="AJ204" s="376" t="s">
        <v>178</v>
      </c>
      <c r="AK204" s="376" t="s">
        <v>179</v>
      </c>
      <c r="AL204" s="376" t="s">
        <v>180</v>
      </c>
      <c r="AM204" s="376" t="s">
        <v>181</v>
      </c>
      <c r="AN204" s="376" t="s">
        <v>68</v>
      </c>
      <c r="AO204" s="379">
        <v>80</v>
      </c>
      <c r="AP204" s="460">
        <v>1</v>
      </c>
      <c r="AQ204" s="460">
        <v>0</v>
      </c>
      <c r="AR204" s="458" t="s">
        <v>182</v>
      </c>
      <c r="AS204" s="462">
        <f t="shared" si="51"/>
        <v>0</v>
      </c>
      <c r="AT204">
        <f t="shared" si="52"/>
        <v>0</v>
      </c>
      <c r="AU204" s="462" t="str">
        <f>IF(AT204=0,"",IF(AND(AT204=1,M204="F",SUMIF(C2:C698,C204,AS2:AS698)&lt;=1),SUMIF(C2:C698,C204,AS2:AS698),IF(AND(AT204=1,M204="F",SUMIF(C2:C698,C204,AS2:AS698)&gt;1),1,"")))</f>
        <v/>
      </c>
      <c r="AV204" s="462" t="str">
        <f>IF(AT204=0,"",IF(AND(AT204=3,M204="F",SUMIF(C2:C698,C204,AS2:AS698)&lt;=1),SUMIF(C2:C698,C204,AS2:AS698),IF(AND(AT204=3,M204="F",SUMIF(C2:C698,C204,AS2:AS698)&gt;1),1,"")))</f>
        <v/>
      </c>
      <c r="AW204" s="462">
        <f>SUMIF(C2:C698,C204,O2:O698)</f>
        <v>2</v>
      </c>
      <c r="AX204" s="462">
        <f>IF(AND(M204="F",AS204&lt;&gt;0),SUMIF(C2:C698,C204,W2:W698),0)</f>
        <v>0</v>
      </c>
      <c r="AY204" s="462" t="str">
        <f t="shared" si="53"/>
        <v/>
      </c>
      <c r="AZ204" s="462" t="str">
        <f t="shared" si="54"/>
        <v/>
      </c>
      <c r="BA204" s="462">
        <f t="shared" si="55"/>
        <v>0</v>
      </c>
      <c r="BB204" s="462">
        <f>IF(AND(AT204=1,AK204="E",AU204&gt;=0.75,AW204=1),Health,IF(AND(AT204=1,AK204="E",AU204&gt;=0.75),Health*P204,IF(AND(AT204=1,AK204="E",AU204&gt;=0.5,AW204=1),PTHealth,IF(AND(AT204=1,AK204="E",AU204&gt;=0.5),PTHealth*P204,0))))</f>
        <v>0</v>
      </c>
      <c r="BC204" s="462">
        <f>IF(AND(AT204=3,AK204="E",AV204&gt;=0.75,AW204=1),Health,IF(AND(AT204=3,AK204="E",AV204&gt;=0.75),Health*P204,IF(AND(AT204=3,AK204="E",AV204&gt;=0.5,AW204=1),PTHealth,IF(AND(AT204=3,AK204="E",AV204&gt;=0.5),PTHealth*P204,0))))</f>
        <v>0</v>
      </c>
      <c r="BD204" s="462">
        <f>IF(AND(AT204&lt;&gt;0,AX204&gt;=MAXSSDI),SSDI*MAXSSDI*P204,IF(AT204&lt;&gt;0,SSDI*W204,0))</f>
        <v>0</v>
      </c>
      <c r="BE204" s="462">
        <f>IF(AT204&lt;&gt;0,SSHI*W204,0)</f>
        <v>0</v>
      </c>
      <c r="BF204" s="462">
        <f>IF(AND(AT204&lt;&gt;0,AN204&lt;&gt;"NE"),VLOOKUP(AN204,Retirement_Rates,3,FALSE)*W204,0)</f>
        <v>0</v>
      </c>
      <c r="BG204" s="462">
        <f>IF(AND(AT204&lt;&gt;0,AJ204&lt;&gt;"PF"),Life*W204,0)</f>
        <v>0</v>
      </c>
      <c r="BH204" s="462">
        <f>IF(AND(AT204&lt;&gt;0,AM204="Y"),UI*W204,0)</f>
        <v>0</v>
      </c>
      <c r="BI204" s="462">
        <f>IF(AND(AT204&lt;&gt;0,N204&lt;&gt;"NR"),DHR*W204,0)</f>
        <v>0</v>
      </c>
      <c r="BJ204" s="462">
        <f>IF(AT204&lt;&gt;0,WC*W204,0)</f>
        <v>0</v>
      </c>
      <c r="BK204" s="462">
        <f>IF(OR(AND(AT204&lt;&gt;0,AJ204&lt;&gt;"PF",AN204&lt;&gt;"NE",AG204&lt;&gt;"A"),AND(AL204="E",OR(AT204=1,AT204=3))),Sick*W204,0)</f>
        <v>0</v>
      </c>
      <c r="BL204" s="462">
        <f t="shared" si="56"/>
        <v>0</v>
      </c>
      <c r="BM204" s="462">
        <f t="shared" si="57"/>
        <v>0</v>
      </c>
      <c r="BN204" s="462">
        <f>IF(AND(AT204=1,AK204="E",AU204&gt;=0.75,AW204=1),HealthBY,IF(AND(AT204=1,AK204="E",AU204&gt;=0.75),HealthBY*P204,IF(AND(AT204=1,AK204="E",AU204&gt;=0.5,AW204=1),PTHealthBY,IF(AND(AT204=1,AK204="E",AU204&gt;=0.5),PTHealthBY*P204,0))))</f>
        <v>0</v>
      </c>
      <c r="BO204" s="462">
        <f>IF(AND(AT204=3,AK204="E",AV204&gt;=0.75,AW204=1),HealthBY,IF(AND(AT204=3,AK204="E",AV204&gt;=0.75),HealthBY*P204,IF(AND(AT204=3,AK204="E",AV204&gt;=0.5,AW204=1),PTHealthBY,IF(AND(AT204=3,AK204="E",AV204&gt;=0.5),PTHealthBY*P204,0))))</f>
        <v>0</v>
      </c>
      <c r="BP204" s="462">
        <f>IF(AND(AT204&lt;&gt;0,(AX204+BA204)&gt;=MAXSSDIBY),SSDIBY*MAXSSDIBY*P204,IF(AT204&lt;&gt;0,SSDIBY*W204,0))</f>
        <v>0</v>
      </c>
      <c r="BQ204" s="462">
        <f>IF(AT204&lt;&gt;0,SSHIBY*W204,0)</f>
        <v>0</v>
      </c>
      <c r="BR204" s="462">
        <f>IF(AND(AT204&lt;&gt;0,AN204&lt;&gt;"NE"),VLOOKUP(AN204,Retirement_Rates,4,FALSE)*W204,0)</f>
        <v>0</v>
      </c>
      <c r="BS204" s="462">
        <f>IF(AND(AT204&lt;&gt;0,AJ204&lt;&gt;"PF"),LifeBY*W204,0)</f>
        <v>0</v>
      </c>
      <c r="BT204" s="462">
        <f>IF(AND(AT204&lt;&gt;0,AM204="Y"),UIBY*W204,0)</f>
        <v>0</v>
      </c>
      <c r="BU204" s="462">
        <f>IF(AND(AT204&lt;&gt;0,N204&lt;&gt;"NR"),DHRBY*W204,0)</f>
        <v>0</v>
      </c>
      <c r="BV204" s="462">
        <f>IF(AT204&lt;&gt;0,WCBY*W204,0)</f>
        <v>0</v>
      </c>
      <c r="BW204" s="462">
        <f>IF(OR(AND(AT204&lt;&gt;0,AJ204&lt;&gt;"PF",AN204&lt;&gt;"NE",AG204&lt;&gt;"A"),AND(AL204="E",OR(AT204=1,AT204=3))),SickBY*W204,0)</f>
        <v>0</v>
      </c>
      <c r="BX204" s="462">
        <f t="shared" si="58"/>
        <v>0</v>
      </c>
      <c r="BY204" s="462">
        <f t="shared" si="59"/>
        <v>0</v>
      </c>
      <c r="BZ204" s="462">
        <f t="shared" si="60"/>
        <v>0</v>
      </c>
      <c r="CA204" s="462">
        <f t="shared" si="61"/>
        <v>0</v>
      </c>
      <c r="CB204" s="462">
        <f t="shared" si="62"/>
        <v>0</v>
      </c>
      <c r="CC204" s="462">
        <f>IF(AT204&lt;&gt;0,SSHICHG*Y204,0)</f>
        <v>0</v>
      </c>
      <c r="CD204" s="462">
        <f>IF(AND(AT204&lt;&gt;0,AN204&lt;&gt;"NE"),VLOOKUP(AN204,Retirement_Rates,5,FALSE)*Y204,0)</f>
        <v>0</v>
      </c>
      <c r="CE204" s="462">
        <f>IF(AND(AT204&lt;&gt;0,AJ204&lt;&gt;"PF"),LifeCHG*Y204,0)</f>
        <v>0</v>
      </c>
      <c r="CF204" s="462">
        <f>IF(AND(AT204&lt;&gt;0,AM204="Y"),UICHG*Y204,0)</f>
        <v>0</v>
      </c>
      <c r="CG204" s="462">
        <f>IF(AND(AT204&lt;&gt;0,N204&lt;&gt;"NR"),DHRCHG*Y204,0)</f>
        <v>0</v>
      </c>
      <c r="CH204" s="462">
        <f>IF(AT204&lt;&gt;0,WCCHG*Y204,0)</f>
        <v>0</v>
      </c>
      <c r="CI204" s="462">
        <f>IF(OR(AND(AT204&lt;&gt;0,AJ204&lt;&gt;"PF",AN204&lt;&gt;"NE",AG204&lt;&gt;"A"),AND(AL204="E",OR(AT204=1,AT204=3))),SickCHG*Y204,0)</f>
        <v>0</v>
      </c>
      <c r="CJ204" s="462">
        <f t="shared" si="63"/>
        <v>0</v>
      </c>
      <c r="CK204" s="462" t="str">
        <f t="shared" si="64"/>
        <v/>
      </c>
      <c r="CL204" s="462" t="str">
        <f t="shared" si="65"/>
        <v/>
      </c>
      <c r="CM204" s="462" t="str">
        <f t="shared" si="66"/>
        <v/>
      </c>
      <c r="CN204" s="462" t="str">
        <f t="shared" si="67"/>
        <v>0348-00</v>
      </c>
    </row>
    <row r="205" spans="1:92" ht="15" thickBot="1" x14ac:dyDescent="0.35">
      <c r="A205" s="376" t="s">
        <v>161</v>
      </c>
      <c r="B205" s="376" t="s">
        <v>162</v>
      </c>
      <c r="C205" s="376" t="s">
        <v>687</v>
      </c>
      <c r="D205" s="376" t="s">
        <v>362</v>
      </c>
      <c r="E205" s="376" t="s">
        <v>759</v>
      </c>
      <c r="F205" s="377" t="s">
        <v>166</v>
      </c>
      <c r="G205" s="376" t="s">
        <v>651</v>
      </c>
      <c r="H205" s="378"/>
      <c r="I205" s="378"/>
      <c r="J205" s="376" t="s">
        <v>168</v>
      </c>
      <c r="K205" s="376" t="s">
        <v>363</v>
      </c>
      <c r="L205" s="376" t="s">
        <v>200</v>
      </c>
      <c r="M205" s="376" t="s">
        <v>170</v>
      </c>
      <c r="N205" s="376" t="s">
        <v>202</v>
      </c>
      <c r="O205" s="379">
        <v>1</v>
      </c>
      <c r="P205" s="460">
        <v>0</v>
      </c>
      <c r="Q205" s="460">
        <v>0</v>
      </c>
      <c r="R205" s="380">
        <v>80</v>
      </c>
      <c r="S205" s="460">
        <v>0</v>
      </c>
      <c r="T205" s="380">
        <v>11336.33</v>
      </c>
      <c r="U205" s="380">
        <v>0</v>
      </c>
      <c r="V205" s="380">
        <v>3811.22</v>
      </c>
      <c r="W205" s="380">
        <v>0</v>
      </c>
      <c r="X205" s="380">
        <v>0</v>
      </c>
      <c r="Y205" s="380">
        <v>0</v>
      </c>
      <c r="Z205" s="380">
        <v>0</v>
      </c>
      <c r="AA205" s="376" t="s">
        <v>688</v>
      </c>
      <c r="AB205" s="376" t="s">
        <v>689</v>
      </c>
      <c r="AC205" s="376" t="s">
        <v>690</v>
      </c>
      <c r="AD205" s="376" t="s">
        <v>691</v>
      </c>
      <c r="AE205" s="376" t="s">
        <v>363</v>
      </c>
      <c r="AF205" s="376" t="s">
        <v>210</v>
      </c>
      <c r="AG205" s="376" t="s">
        <v>177</v>
      </c>
      <c r="AH205" s="381">
        <v>22.5</v>
      </c>
      <c r="AI205" s="379">
        <v>727</v>
      </c>
      <c r="AJ205" s="376" t="s">
        <v>178</v>
      </c>
      <c r="AK205" s="376" t="s">
        <v>179</v>
      </c>
      <c r="AL205" s="376" t="s">
        <v>180</v>
      </c>
      <c r="AM205" s="376" t="s">
        <v>181</v>
      </c>
      <c r="AN205" s="376" t="s">
        <v>68</v>
      </c>
      <c r="AO205" s="379">
        <v>80</v>
      </c>
      <c r="AP205" s="460">
        <v>1</v>
      </c>
      <c r="AQ205" s="460">
        <v>0</v>
      </c>
      <c r="AR205" s="458" t="s">
        <v>182</v>
      </c>
      <c r="AS205" s="462">
        <f t="shared" si="51"/>
        <v>0</v>
      </c>
      <c r="AT205">
        <f t="shared" si="52"/>
        <v>0</v>
      </c>
      <c r="AU205" s="462" t="str">
        <f>IF(AT205=0,"",IF(AND(AT205=1,M205="F",SUMIF(C2:C698,C205,AS2:AS698)&lt;=1),SUMIF(C2:C698,C205,AS2:AS698),IF(AND(AT205=1,M205="F",SUMIF(C2:C698,C205,AS2:AS698)&gt;1),1,"")))</f>
        <v/>
      </c>
      <c r="AV205" s="462" t="str">
        <f>IF(AT205=0,"",IF(AND(AT205=3,M205="F",SUMIF(C2:C698,C205,AS2:AS698)&lt;=1),SUMIF(C2:C698,C205,AS2:AS698),IF(AND(AT205=3,M205="F",SUMIF(C2:C698,C205,AS2:AS698)&gt;1),1,"")))</f>
        <v/>
      </c>
      <c r="AW205" s="462">
        <f>SUMIF(C2:C698,C205,O2:O698)</f>
        <v>2</v>
      </c>
      <c r="AX205" s="462">
        <f>IF(AND(M205="F",AS205&lt;&gt;0),SUMIF(C2:C698,C205,W2:W698),0)</f>
        <v>0</v>
      </c>
      <c r="AY205" s="462" t="str">
        <f t="shared" si="53"/>
        <v/>
      </c>
      <c r="AZ205" s="462" t="str">
        <f t="shared" si="54"/>
        <v/>
      </c>
      <c r="BA205" s="462">
        <f t="shared" si="55"/>
        <v>0</v>
      </c>
      <c r="BB205" s="462">
        <f>IF(AND(AT205=1,AK205="E",AU205&gt;=0.75,AW205=1),Health,IF(AND(AT205=1,AK205="E",AU205&gt;=0.75),Health*P205,IF(AND(AT205=1,AK205="E",AU205&gt;=0.5,AW205=1),PTHealth,IF(AND(AT205=1,AK205="E",AU205&gt;=0.5),PTHealth*P205,0))))</f>
        <v>0</v>
      </c>
      <c r="BC205" s="462">
        <f>IF(AND(AT205=3,AK205="E",AV205&gt;=0.75,AW205=1),Health,IF(AND(AT205=3,AK205="E",AV205&gt;=0.75),Health*P205,IF(AND(AT205=3,AK205="E",AV205&gt;=0.5,AW205=1),PTHealth,IF(AND(AT205=3,AK205="E",AV205&gt;=0.5),PTHealth*P205,0))))</f>
        <v>0</v>
      </c>
      <c r="BD205" s="462">
        <f>IF(AND(AT205&lt;&gt;0,AX205&gt;=MAXSSDI),SSDI*MAXSSDI*P205,IF(AT205&lt;&gt;0,SSDI*W205,0))</f>
        <v>0</v>
      </c>
      <c r="BE205" s="462">
        <f>IF(AT205&lt;&gt;0,SSHI*W205,0)</f>
        <v>0</v>
      </c>
      <c r="BF205" s="462">
        <f>IF(AND(AT205&lt;&gt;0,AN205&lt;&gt;"NE"),VLOOKUP(AN205,Retirement_Rates,3,FALSE)*W205,0)</f>
        <v>0</v>
      </c>
      <c r="BG205" s="462">
        <f>IF(AND(AT205&lt;&gt;0,AJ205&lt;&gt;"PF"),Life*W205,0)</f>
        <v>0</v>
      </c>
      <c r="BH205" s="462">
        <f>IF(AND(AT205&lt;&gt;0,AM205="Y"),UI*W205,0)</f>
        <v>0</v>
      </c>
      <c r="BI205" s="462">
        <f>IF(AND(AT205&lt;&gt;0,N205&lt;&gt;"NR"),DHR*W205,0)</f>
        <v>0</v>
      </c>
      <c r="BJ205" s="462">
        <f>IF(AT205&lt;&gt;0,WC*W205,0)</f>
        <v>0</v>
      </c>
      <c r="BK205" s="462">
        <f>IF(OR(AND(AT205&lt;&gt;0,AJ205&lt;&gt;"PF",AN205&lt;&gt;"NE",AG205&lt;&gt;"A"),AND(AL205="E",OR(AT205=1,AT205=3))),Sick*W205,0)</f>
        <v>0</v>
      </c>
      <c r="BL205" s="462">
        <f t="shared" si="56"/>
        <v>0</v>
      </c>
      <c r="BM205" s="462">
        <f t="shared" si="57"/>
        <v>0</v>
      </c>
      <c r="BN205" s="462">
        <f>IF(AND(AT205=1,AK205="E",AU205&gt;=0.75,AW205=1),HealthBY,IF(AND(AT205=1,AK205="E",AU205&gt;=0.75),HealthBY*P205,IF(AND(AT205=1,AK205="E",AU205&gt;=0.5,AW205=1),PTHealthBY,IF(AND(AT205=1,AK205="E",AU205&gt;=0.5),PTHealthBY*P205,0))))</f>
        <v>0</v>
      </c>
      <c r="BO205" s="462">
        <f>IF(AND(AT205=3,AK205="E",AV205&gt;=0.75,AW205=1),HealthBY,IF(AND(AT205=3,AK205="E",AV205&gt;=0.75),HealthBY*P205,IF(AND(AT205=3,AK205="E",AV205&gt;=0.5,AW205=1),PTHealthBY,IF(AND(AT205=3,AK205="E",AV205&gt;=0.5),PTHealthBY*P205,0))))</f>
        <v>0</v>
      </c>
      <c r="BP205" s="462">
        <f>IF(AND(AT205&lt;&gt;0,(AX205+BA205)&gt;=MAXSSDIBY),SSDIBY*MAXSSDIBY*P205,IF(AT205&lt;&gt;0,SSDIBY*W205,0))</f>
        <v>0</v>
      </c>
      <c r="BQ205" s="462">
        <f>IF(AT205&lt;&gt;0,SSHIBY*W205,0)</f>
        <v>0</v>
      </c>
      <c r="BR205" s="462">
        <f>IF(AND(AT205&lt;&gt;0,AN205&lt;&gt;"NE"),VLOOKUP(AN205,Retirement_Rates,4,FALSE)*W205,0)</f>
        <v>0</v>
      </c>
      <c r="BS205" s="462">
        <f>IF(AND(AT205&lt;&gt;0,AJ205&lt;&gt;"PF"),LifeBY*W205,0)</f>
        <v>0</v>
      </c>
      <c r="BT205" s="462">
        <f>IF(AND(AT205&lt;&gt;0,AM205="Y"),UIBY*W205,0)</f>
        <v>0</v>
      </c>
      <c r="BU205" s="462">
        <f>IF(AND(AT205&lt;&gt;0,N205&lt;&gt;"NR"),DHRBY*W205,0)</f>
        <v>0</v>
      </c>
      <c r="BV205" s="462">
        <f>IF(AT205&lt;&gt;0,WCBY*W205,0)</f>
        <v>0</v>
      </c>
      <c r="BW205" s="462">
        <f>IF(OR(AND(AT205&lt;&gt;0,AJ205&lt;&gt;"PF",AN205&lt;&gt;"NE",AG205&lt;&gt;"A"),AND(AL205="E",OR(AT205=1,AT205=3))),SickBY*W205,0)</f>
        <v>0</v>
      </c>
      <c r="BX205" s="462">
        <f t="shared" si="58"/>
        <v>0</v>
      </c>
      <c r="BY205" s="462">
        <f t="shared" si="59"/>
        <v>0</v>
      </c>
      <c r="BZ205" s="462">
        <f t="shared" si="60"/>
        <v>0</v>
      </c>
      <c r="CA205" s="462">
        <f t="shared" si="61"/>
        <v>0</v>
      </c>
      <c r="CB205" s="462">
        <f t="shared" si="62"/>
        <v>0</v>
      </c>
      <c r="CC205" s="462">
        <f>IF(AT205&lt;&gt;0,SSHICHG*Y205,0)</f>
        <v>0</v>
      </c>
      <c r="CD205" s="462">
        <f>IF(AND(AT205&lt;&gt;0,AN205&lt;&gt;"NE"),VLOOKUP(AN205,Retirement_Rates,5,FALSE)*Y205,0)</f>
        <v>0</v>
      </c>
      <c r="CE205" s="462">
        <f>IF(AND(AT205&lt;&gt;0,AJ205&lt;&gt;"PF"),LifeCHG*Y205,0)</f>
        <v>0</v>
      </c>
      <c r="CF205" s="462">
        <f>IF(AND(AT205&lt;&gt;0,AM205="Y"),UICHG*Y205,0)</f>
        <v>0</v>
      </c>
      <c r="CG205" s="462">
        <f>IF(AND(AT205&lt;&gt;0,N205&lt;&gt;"NR"),DHRCHG*Y205,0)</f>
        <v>0</v>
      </c>
      <c r="CH205" s="462">
        <f>IF(AT205&lt;&gt;0,WCCHG*Y205,0)</f>
        <v>0</v>
      </c>
      <c r="CI205" s="462">
        <f>IF(OR(AND(AT205&lt;&gt;0,AJ205&lt;&gt;"PF",AN205&lt;&gt;"NE",AG205&lt;&gt;"A"),AND(AL205="E",OR(AT205=1,AT205=3))),SickCHG*Y205,0)</f>
        <v>0</v>
      </c>
      <c r="CJ205" s="462">
        <f t="shared" si="63"/>
        <v>0</v>
      </c>
      <c r="CK205" s="462" t="str">
        <f t="shared" si="64"/>
        <v/>
      </c>
      <c r="CL205" s="462" t="str">
        <f t="shared" si="65"/>
        <v/>
      </c>
      <c r="CM205" s="462" t="str">
        <f t="shared" si="66"/>
        <v/>
      </c>
      <c r="CN205" s="462" t="str">
        <f t="shared" si="67"/>
        <v>0348-00</v>
      </c>
    </row>
    <row r="206" spans="1:92" ht="15" thickBot="1" x14ac:dyDescent="0.35">
      <c r="A206" s="376" t="s">
        <v>161</v>
      </c>
      <c r="B206" s="376" t="s">
        <v>162</v>
      </c>
      <c r="C206" s="376" t="s">
        <v>696</v>
      </c>
      <c r="D206" s="376" t="s">
        <v>250</v>
      </c>
      <c r="E206" s="376" t="s">
        <v>759</v>
      </c>
      <c r="F206" s="377" t="s">
        <v>166</v>
      </c>
      <c r="G206" s="376" t="s">
        <v>651</v>
      </c>
      <c r="H206" s="378"/>
      <c r="I206" s="378"/>
      <c r="J206" s="376" t="s">
        <v>168</v>
      </c>
      <c r="K206" s="376" t="s">
        <v>251</v>
      </c>
      <c r="L206" s="376" t="s">
        <v>180</v>
      </c>
      <c r="M206" s="376" t="s">
        <v>170</v>
      </c>
      <c r="N206" s="376" t="s">
        <v>202</v>
      </c>
      <c r="O206" s="379">
        <v>1</v>
      </c>
      <c r="P206" s="460">
        <v>0</v>
      </c>
      <c r="Q206" s="460">
        <v>0</v>
      </c>
      <c r="R206" s="380">
        <v>80</v>
      </c>
      <c r="S206" s="460">
        <v>0</v>
      </c>
      <c r="T206" s="380">
        <v>10575.37</v>
      </c>
      <c r="U206" s="380">
        <v>0</v>
      </c>
      <c r="V206" s="380">
        <v>4269</v>
      </c>
      <c r="W206" s="380">
        <v>0</v>
      </c>
      <c r="X206" s="380">
        <v>0</v>
      </c>
      <c r="Y206" s="380">
        <v>0</v>
      </c>
      <c r="Z206" s="380">
        <v>0</v>
      </c>
      <c r="AA206" s="376" t="s">
        <v>697</v>
      </c>
      <c r="AB206" s="376" t="s">
        <v>698</v>
      </c>
      <c r="AC206" s="376" t="s">
        <v>699</v>
      </c>
      <c r="AD206" s="376" t="s">
        <v>370</v>
      </c>
      <c r="AE206" s="376" t="s">
        <v>251</v>
      </c>
      <c r="AF206" s="376" t="s">
        <v>256</v>
      </c>
      <c r="AG206" s="376" t="s">
        <v>177</v>
      </c>
      <c r="AH206" s="381">
        <v>32.19</v>
      </c>
      <c r="AI206" s="379">
        <v>11122</v>
      </c>
      <c r="AJ206" s="376" t="s">
        <v>178</v>
      </c>
      <c r="AK206" s="376" t="s">
        <v>179</v>
      </c>
      <c r="AL206" s="376" t="s">
        <v>180</v>
      </c>
      <c r="AM206" s="376" t="s">
        <v>181</v>
      </c>
      <c r="AN206" s="376" t="s">
        <v>68</v>
      </c>
      <c r="AO206" s="379">
        <v>80</v>
      </c>
      <c r="AP206" s="460">
        <v>1</v>
      </c>
      <c r="AQ206" s="460">
        <v>0</v>
      </c>
      <c r="AR206" s="458" t="s">
        <v>182</v>
      </c>
      <c r="AS206" s="462">
        <f t="shared" si="51"/>
        <v>0</v>
      </c>
      <c r="AT206">
        <f t="shared" si="52"/>
        <v>0</v>
      </c>
      <c r="AU206" s="462" t="str">
        <f>IF(AT206=0,"",IF(AND(AT206=1,M206="F",SUMIF(C2:C698,C206,AS2:AS698)&lt;=1),SUMIF(C2:C698,C206,AS2:AS698),IF(AND(AT206=1,M206="F",SUMIF(C2:C698,C206,AS2:AS698)&gt;1),1,"")))</f>
        <v/>
      </c>
      <c r="AV206" s="462" t="str">
        <f>IF(AT206=0,"",IF(AND(AT206=3,M206="F",SUMIF(C2:C698,C206,AS2:AS698)&lt;=1),SUMIF(C2:C698,C206,AS2:AS698),IF(AND(AT206=3,M206="F",SUMIF(C2:C698,C206,AS2:AS698)&gt;1),1,"")))</f>
        <v/>
      </c>
      <c r="AW206" s="462">
        <f>SUMIF(C2:C698,C206,O2:O698)</f>
        <v>2</v>
      </c>
      <c r="AX206" s="462">
        <f>IF(AND(M206="F",AS206&lt;&gt;0),SUMIF(C2:C698,C206,W2:W698),0)</f>
        <v>0</v>
      </c>
      <c r="AY206" s="462" t="str">
        <f t="shared" si="53"/>
        <v/>
      </c>
      <c r="AZ206" s="462" t="str">
        <f t="shared" si="54"/>
        <v/>
      </c>
      <c r="BA206" s="462">
        <f t="shared" si="55"/>
        <v>0</v>
      </c>
      <c r="BB206" s="462">
        <f>IF(AND(AT206=1,AK206="E",AU206&gt;=0.75,AW206=1),Health,IF(AND(AT206=1,AK206="E",AU206&gt;=0.75),Health*P206,IF(AND(AT206=1,AK206="E",AU206&gt;=0.5,AW206=1),PTHealth,IF(AND(AT206=1,AK206="E",AU206&gt;=0.5),PTHealth*P206,0))))</f>
        <v>0</v>
      </c>
      <c r="BC206" s="462">
        <f>IF(AND(AT206=3,AK206="E",AV206&gt;=0.75,AW206=1),Health,IF(AND(AT206=3,AK206="E",AV206&gt;=0.75),Health*P206,IF(AND(AT206=3,AK206="E",AV206&gt;=0.5,AW206=1),PTHealth,IF(AND(AT206=3,AK206="E",AV206&gt;=0.5),PTHealth*P206,0))))</f>
        <v>0</v>
      </c>
      <c r="BD206" s="462">
        <f>IF(AND(AT206&lt;&gt;0,AX206&gt;=MAXSSDI),SSDI*MAXSSDI*P206,IF(AT206&lt;&gt;0,SSDI*W206,0))</f>
        <v>0</v>
      </c>
      <c r="BE206" s="462">
        <f>IF(AT206&lt;&gt;0,SSHI*W206,0)</f>
        <v>0</v>
      </c>
      <c r="BF206" s="462">
        <f>IF(AND(AT206&lt;&gt;0,AN206&lt;&gt;"NE"),VLOOKUP(AN206,Retirement_Rates,3,FALSE)*W206,0)</f>
        <v>0</v>
      </c>
      <c r="BG206" s="462">
        <f>IF(AND(AT206&lt;&gt;0,AJ206&lt;&gt;"PF"),Life*W206,0)</f>
        <v>0</v>
      </c>
      <c r="BH206" s="462">
        <f>IF(AND(AT206&lt;&gt;0,AM206="Y"),UI*W206,0)</f>
        <v>0</v>
      </c>
      <c r="BI206" s="462">
        <f>IF(AND(AT206&lt;&gt;0,N206&lt;&gt;"NR"),DHR*W206,0)</f>
        <v>0</v>
      </c>
      <c r="BJ206" s="462">
        <f>IF(AT206&lt;&gt;0,WC*W206,0)</f>
        <v>0</v>
      </c>
      <c r="BK206" s="462">
        <f>IF(OR(AND(AT206&lt;&gt;0,AJ206&lt;&gt;"PF",AN206&lt;&gt;"NE",AG206&lt;&gt;"A"),AND(AL206="E",OR(AT206=1,AT206=3))),Sick*W206,0)</f>
        <v>0</v>
      </c>
      <c r="BL206" s="462">
        <f t="shared" si="56"/>
        <v>0</v>
      </c>
      <c r="BM206" s="462">
        <f t="shared" si="57"/>
        <v>0</v>
      </c>
      <c r="BN206" s="462">
        <f>IF(AND(AT206=1,AK206="E",AU206&gt;=0.75,AW206=1),HealthBY,IF(AND(AT206=1,AK206="E",AU206&gt;=0.75),HealthBY*P206,IF(AND(AT206=1,AK206="E",AU206&gt;=0.5,AW206=1),PTHealthBY,IF(AND(AT206=1,AK206="E",AU206&gt;=0.5),PTHealthBY*P206,0))))</f>
        <v>0</v>
      </c>
      <c r="BO206" s="462">
        <f>IF(AND(AT206=3,AK206="E",AV206&gt;=0.75,AW206=1),HealthBY,IF(AND(AT206=3,AK206="E",AV206&gt;=0.75),HealthBY*P206,IF(AND(AT206=3,AK206="E",AV206&gt;=0.5,AW206=1),PTHealthBY,IF(AND(AT206=3,AK206="E",AV206&gt;=0.5),PTHealthBY*P206,0))))</f>
        <v>0</v>
      </c>
      <c r="BP206" s="462">
        <f>IF(AND(AT206&lt;&gt;0,(AX206+BA206)&gt;=MAXSSDIBY),SSDIBY*MAXSSDIBY*P206,IF(AT206&lt;&gt;0,SSDIBY*W206,0))</f>
        <v>0</v>
      </c>
      <c r="BQ206" s="462">
        <f>IF(AT206&lt;&gt;0,SSHIBY*W206,0)</f>
        <v>0</v>
      </c>
      <c r="BR206" s="462">
        <f>IF(AND(AT206&lt;&gt;0,AN206&lt;&gt;"NE"),VLOOKUP(AN206,Retirement_Rates,4,FALSE)*W206,0)</f>
        <v>0</v>
      </c>
      <c r="BS206" s="462">
        <f>IF(AND(AT206&lt;&gt;0,AJ206&lt;&gt;"PF"),LifeBY*W206,0)</f>
        <v>0</v>
      </c>
      <c r="BT206" s="462">
        <f>IF(AND(AT206&lt;&gt;0,AM206="Y"),UIBY*W206,0)</f>
        <v>0</v>
      </c>
      <c r="BU206" s="462">
        <f>IF(AND(AT206&lt;&gt;0,N206&lt;&gt;"NR"),DHRBY*W206,0)</f>
        <v>0</v>
      </c>
      <c r="BV206" s="462">
        <f>IF(AT206&lt;&gt;0,WCBY*W206,0)</f>
        <v>0</v>
      </c>
      <c r="BW206" s="462">
        <f>IF(OR(AND(AT206&lt;&gt;0,AJ206&lt;&gt;"PF",AN206&lt;&gt;"NE",AG206&lt;&gt;"A"),AND(AL206="E",OR(AT206=1,AT206=3))),SickBY*W206,0)</f>
        <v>0</v>
      </c>
      <c r="BX206" s="462">
        <f t="shared" si="58"/>
        <v>0</v>
      </c>
      <c r="BY206" s="462">
        <f t="shared" si="59"/>
        <v>0</v>
      </c>
      <c r="BZ206" s="462">
        <f t="shared" si="60"/>
        <v>0</v>
      </c>
      <c r="CA206" s="462">
        <f t="shared" si="61"/>
        <v>0</v>
      </c>
      <c r="CB206" s="462">
        <f t="shared" si="62"/>
        <v>0</v>
      </c>
      <c r="CC206" s="462">
        <f>IF(AT206&lt;&gt;0,SSHICHG*Y206,0)</f>
        <v>0</v>
      </c>
      <c r="CD206" s="462">
        <f>IF(AND(AT206&lt;&gt;0,AN206&lt;&gt;"NE"),VLOOKUP(AN206,Retirement_Rates,5,FALSE)*Y206,0)</f>
        <v>0</v>
      </c>
      <c r="CE206" s="462">
        <f>IF(AND(AT206&lt;&gt;0,AJ206&lt;&gt;"PF"),LifeCHG*Y206,0)</f>
        <v>0</v>
      </c>
      <c r="CF206" s="462">
        <f>IF(AND(AT206&lt;&gt;0,AM206="Y"),UICHG*Y206,0)</f>
        <v>0</v>
      </c>
      <c r="CG206" s="462">
        <f>IF(AND(AT206&lt;&gt;0,N206&lt;&gt;"NR"),DHRCHG*Y206,0)</f>
        <v>0</v>
      </c>
      <c r="CH206" s="462">
        <f>IF(AT206&lt;&gt;0,WCCHG*Y206,0)</f>
        <v>0</v>
      </c>
      <c r="CI206" s="462">
        <f>IF(OR(AND(AT206&lt;&gt;0,AJ206&lt;&gt;"PF",AN206&lt;&gt;"NE",AG206&lt;&gt;"A"),AND(AL206="E",OR(AT206=1,AT206=3))),SickCHG*Y206,0)</f>
        <v>0</v>
      </c>
      <c r="CJ206" s="462">
        <f t="shared" si="63"/>
        <v>0</v>
      </c>
      <c r="CK206" s="462" t="str">
        <f t="shared" si="64"/>
        <v/>
      </c>
      <c r="CL206" s="462" t="str">
        <f t="shared" si="65"/>
        <v/>
      </c>
      <c r="CM206" s="462" t="str">
        <f t="shared" si="66"/>
        <v/>
      </c>
      <c r="CN206" s="462" t="str">
        <f t="shared" si="67"/>
        <v>0348-00</v>
      </c>
    </row>
    <row r="207" spans="1:92" ht="15" thickBot="1" x14ac:dyDescent="0.35">
      <c r="A207" s="376" t="s">
        <v>161</v>
      </c>
      <c r="B207" s="376" t="s">
        <v>162</v>
      </c>
      <c r="C207" s="376" t="s">
        <v>700</v>
      </c>
      <c r="D207" s="376" t="s">
        <v>362</v>
      </c>
      <c r="E207" s="376" t="s">
        <v>759</v>
      </c>
      <c r="F207" s="377" t="s">
        <v>166</v>
      </c>
      <c r="G207" s="376" t="s">
        <v>651</v>
      </c>
      <c r="H207" s="378"/>
      <c r="I207" s="378"/>
      <c r="J207" s="376" t="s">
        <v>168</v>
      </c>
      <c r="K207" s="376" t="s">
        <v>363</v>
      </c>
      <c r="L207" s="376" t="s">
        <v>200</v>
      </c>
      <c r="M207" s="376" t="s">
        <v>170</v>
      </c>
      <c r="N207" s="376" t="s">
        <v>202</v>
      </c>
      <c r="O207" s="379">
        <v>1</v>
      </c>
      <c r="P207" s="460">
        <v>0</v>
      </c>
      <c r="Q207" s="460">
        <v>0</v>
      </c>
      <c r="R207" s="380">
        <v>80</v>
      </c>
      <c r="S207" s="460">
        <v>0</v>
      </c>
      <c r="T207" s="380">
        <v>18116.939999999999</v>
      </c>
      <c r="U207" s="380">
        <v>0</v>
      </c>
      <c r="V207" s="380">
        <v>8337.7800000000007</v>
      </c>
      <c r="W207" s="380">
        <v>0</v>
      </c>
      <c r="X207" s="380">
        <v>0</v>
      </c>
      <c r="Y207" s="380">
        <v>0</v>
      </c>
      <c r="Z207" s="380">
        <v>0</v>
      </c>
      <c r="AA207" s="376" t="s">
        <v>701</v>
      </c>
      <c r="AB207" s="376" t="s">
        <v>702</v>
      </c>
      <c r="AC207" s="376" t="s">
        <v>703</v>
      </c>
      <c r="AD207" s="376" t="s">
        <v>215</v>
      </c>
      <c r="AE207" s="376" t="s">
        <v>363</v>
      </c>
      <c r="AF207" s="376" t="s">
        <v>210</v>
      </c>
      <c r="AG207" s="376" t="s">
        <v>177</v>
      </c>
      <c r="AH207" s="381">
        <v>23.52</v>
      </c>
      <c r="AI207" s="379">
        <v>20348</v>
      </c>
      <c r="AJ207" s="376" t="s">
        <v>178</v>
      </c>
      <c r="AK207" s="376" t="s">
        <v>179</v>
      </c>
      <c r="AL207" s="376" t="s">
        <v>180</v>
      </c>
      <c r="AM207" s="376" t="s">
        <v>181</v>
      </c>
      <c r="AN207" s="376" t="s">
        <v>68</v>
      </c>
      <c r="AO207" s="379">
        <v>80</v>
      </c>
      <c r="AP207" s="460">
        <v>1</v>
      </c>
      <c r="AQ207" s="460">
        <v>0</v>
      </c>
      <c r="AR207" s="458" t="s">
        <v>182</v>
      </c>
      <c r="AS207" s="462">
        <f t="shared" si="51"/>
        <v>0</v>
      </c>
      <c r="AT207">
        <f t="shared" si="52"/>
        <v>0</v>
      </c>
      <c r="AU207" s="462" t="str">
        <f>IF(AT207=0,"",IF(AND(AT207=1,M207="F",SUMIF(C2:C698,C207,AS2:AS698)&lt;=1),SUMIF(C2:C698,C207,AS2:AS698),IF(AND(AT207=1,M207="F",SUMIF(C2:C698,C207,AS2:AS698)&gt;1),1,"")))</f>
        <v/>
      </c>
      <c r="AV207" s="462" t="str">
        <f>IF(AT207=0,"",IF(AND(AT207=3,M207="F",SUMIF(C2:C698,C207,AS2:AS698)&lt;=1),SUMIF(C2:C698,C207,AS2:AS698),IF(AND(AT207=3,M207="F",SUMIF(C2:C698,C207,AS2:AS698)&gt;1),1,"")))</f>
        <v/>
      </c>
      <c r="AW207" s="462">
        <f>SUMIF(C2:C698,C207,O2:O698)</f>
        <v>2</v>
      </c>
      <c r="AX207" s="462">
        <f>IF(AND(M207="F",AS207&lt;&gt;0),SUMIF(C2:C698,C207,W2:W698),0)</f>
        <v>0</v>
      </c>
      <c r="AY207" s="462" t="str">
        <f t="shared" si="53"/>
        <v/>
      </c>
      <c r="AZ207" s="462" t="str">
        <f t="shared" si="54"/>
        <v/>
      </c>
      <c r="BA207" s="462">
        <f t="shared" si="55"/>
        <v>0</v>
      </c>
      <c r="BB207" s="462">
        <f>IF(AND(AT207=1,AK207="E",AU207&gt;=0.75,AW207=1),Health,IF(AND(AT207=1,AK207="E",AU207&gt;=0.75),Health*P207,IF(AND(AT207=1,AK207="E",AU207&gt;=0.5,AW207=1),PTHealth,IF(AND(AT207=1,AK207="E",AU207&gt;=0.5),PTHealth*P207,0))))</f>
        <v>0</v>
      </c>
      <c r="BC207" s="462">
        <f>IF(AND(AT207=3,AK207="E",AV207&gt;=0.75,AW207=1),Health,IF(AND(AT207=3,AK207="E",AV207&gt;=0.75),Health*P207,IF(AND(AT207=3,AK207="E",AV207&gt;=0.5,AW207=1),PTHealth,IF(AND(AT207=3,AK207="E",AV207&gt;=0.5),PTHealth*P207,0))))</f>
        <v>0</v>
      </c>
      <c r="BD207" s="462">
        <f>IF(AND(AT207&lt;&gt;0,AX207&gt;=MAXSSDI),SSDI*MAXSSDI*P207,IF(AT207&lt;&gt;0,SSDI*W207,0))</f>
        <v>0</v>
      </c>
      <c r="BE207" s="462">
        <f>IF(AT207&lt;&gt;0,SSHI*W207,0)</f>
        <v>0</v>
      </c>
      <c r="BF207" s="462">
        <f>IF(AND(AT207&lt;&gt;0,AN207&lt;&gt;"NE"),VLOOKUP(AN207,Retirement_Rates,3,FALSE)*W207,0)</f>
        <v>0</v>
      </c>
      <c r="BG207" s="462">
        <f>IF(AND(AT207&lt;&gt;0,AJ207&lt;&gt;"PF"),Life*W207,0)</f>
        <v>0</v>
      </c>
      <c r="BH207" s="462">
        <f>IF(AND(AT207&lt;&gt;0,AM207="Y"),UI*W207,0)</f>
        <v>0</v>
      </c>
      <c r="BI207" s="462">
        <f>IF(AND(AT207&lt;&gt;0,N207&lt;&gt;"NR"),DHR*W207,0)</f>
        <v>0</v>
      </c>
      <c r="BJ207" s="462">
        <f>IF(AT207&lt;&gt;0,WC*W207,0)</f>
        <v>0</v>
      </c>
      <c r="BK207" s="462">
        <f>IF(OR(AND(AT207&lt;&gt;0,AJ207&lt;&gt;"PF",AN207&lt;&gt;"NE",AG207&lt;&gt;"A"),AND(AL207="E",OR(AT207=1,AT207=3))),Sick*W207,0)</f>
        <v>0</v>
      </c>
      <c r="BL207" s="462">
        <f t="shared" si="56"/>
        <v>0</v>
      </c>
      <c r="BM207" s="462">
        <f t="shared" si="57"/>
        <v>0</v>
      </c>
      <c r="BN207" s="462">
        <f>IF(AND(AT207=1,AK207="E",AU207&gt;=0.75,AW207=1),HealthBY,IF(AND(AT207=1,AK207="E",AU207&gt;=0.75),HealthBY*P207,IF(AND(AT207=1,AK207="E",AU207&gt;=0.5,AW207=1),PTHealthBY,IF(AND(AT207=1,AK207="E",AU207&gt;=0.5),PTHealthBY*P207,0))))</f>
        <v>0</v>
      </c>
      <c r="BO207" s="462">
        <f>IF(AND(AT207=3,AK207="E",AV207&gt;=0.75,AW207=1),HealthBY,IF(AND(AT207=3,AK207="E",AV207&gt;=0.75),HealthBY*P207,IF(AND(AT207=3,AK207="E",AV207&gt;=0.5,AW207=1),PTHealthBY,IF(AND(AT207=3,AK207="E",AV207&gt;=0.5),PTHealthBY*P207,0))))</f>
        <v>0</v>
      </c>
      <c r="BP207" s="462">
        <f>IF(AND(AT207&lt;&gt;0,(AX207+BA207)&gt;=MAXSSDIBY),SSDIBY*MAXSSDIBY*P207,IF(AT207&lt;&gt;0,SSDIBY*W207,0))</f>
        <v>0</v>
      </c>
      <c r="BQ207" s="462">
        <f>IF(AT207&lt;&gt;0,SSHIBY*W207,0)</f>
        <v>0</v>
      </c>
      <c r="BR207" s="462">
        <f>IF(AND(AT207&lt;&gt;0,AN207&lt;&gt;"NE"),VLOOKUP(AN207,Retirement_Rates,4,FALSE)*W207,0)</f>
        <v>0</v>
      </c>
      <c r="BS207" s="462">
        <f>IF(AND(AT207&lt;&gt;0,AJ207&lt;&gt;"PF"),LifeBY*W207,0)</f>
        <v>0</v>
      </c>
      <c r="BT207" s="462">
        <f>IF(AND(AT207&lt;&gt;0,AM207="Y"),UIBY*W207,0)</f>
        <v>0</v>
      </c>
      <c r="BU207" s="462">
        <f>IF(AND(AT207&lt;&gt;0,N207&lt;&gt;"NR"),DHRBY*W207,0)</f>
        <v>0</v>
      </c>
      <c r="BV207" s="462">
        <f>IF(AT207&lt;&gt;0,WCBY*W207,0)</f>
        <v>0</v>
      </c>
      <c r="BW207" s="462">
        <f>IF(OR(AND(AT207&lt;&gt;0,AJ207&lt;&gt;"PF",AN207&lt;&gt;"NE",AG207&lt;&gt;"A"),AND(AL207="E",OR(AT207=1,AT207=3))),SickBY*W207,0)</f>
        <v>0</v>
      </c>
      <c r="BX207" s="462">
        <f t="shared" si="58"/>
        <v>0</v>
      </c>
      <c r="BY207" s="462">
        <f t="shared" si="59"/>
        <v>0</v>
      </c>
      <c r="BZ207" s="462">
        <f t="shared" si="60"/>
        <v>0</v>
      </c>
      <c r="CA207" s="462">
        <f t="shared" si="61"/>
        <v>0</v>
      </c>
      <c r="CB207" s="462">
        <f t="shared" si="62"/>
        <v>0</v>
      </c>
      <c r="CC207" s="462">
        <f>IF(AT207&lt;&gt;0,SSHICHG*Y207,0)</f>
        <v>0</v>
      </c>
      <c r="CD207" s="462">
        <f>IF(AND(AT207&lt;&gt;0,AN207&lt;&gt;"NE"),VLOOKUP(AN207,Retirement_Rates,5,FALSE)*Y207,0)</f>
        <v>0</v>
      </c>
      <c r="CE207" s="462">
        <f>IF(AND(AT207&lt;&gt;0,AJ207&lt;&gt;"PF"),LifeCHG*Y207,0)</f>
        <v>0</v>
      </c>
      <c r="CF207" s="462">
        <f>IF(AND(AT207&lt;&gt;0,AM207="Y"),UICHG*Y207,0)</f>
        <v>0</v>
      </c>
      <c r="CG207" s="462">
        <f>IF(AND(AT207&lt;&gt;0,N207&lt;&gt;"NR"),DHRCHG*Y207,0)</f>
        <v>0</v>
      </c>
      <c r="CH207" s="462">
        <f>IF(AT207&lt;&gt;0,WCCHG*Y207,0)</f>
        <v>0</v>
      </c>
      <c r="CI207" s="462">
        <f>IF(OR(AND(AT207&lt;&gt;0,AJ207&lt;&gt;"PF",AN207&lt;&gt;"NE",AG207&lt;&gt;"A"),AND(AL207="E",OR(AT207=1,AT207=3))),SickCHG*Y207,0)</f>
        <v>0</v>
      </c>
      <c r="CJ207" s="462">
        <f t="shared" si="63"/>
        <v>0</v>
      </c>
      <c r="CK207" s="462" t="str">
        <f t="shared" si="64"/>
        <v/>
      </c>
      <c r="CL207" s="462" t="str">
        <f t="shared" si="65"/>
        <v/>
      </c>
      <c r="CM207" s="462" t="str">
        <f t="shared" si="66"/>
        <v/>
      </c>
      <c r="CN207" s="462" t="str">
        <f t="shared" si="67"/>
        <v>0348-00</v>
      </c>
    </row>
    <row r="208" spans="1:92" ht="15" thickBot="1" x14ac:dyDescent="0.35">
      <c r="A208" s="376" t="s">
        <v>161</v>
      </c>
      <c r="B208" s="376" t="s">
        <v>162</v>
      </c>
      <c r="C208" s="376" t="s">
        <v>704</v>
      </c>
      <c r="D208" s="376" t="s">
        <v>250</v>
      </c>
      <c r="E208" s="376" t="s">
        <v>759</v>
      </c>
      <c r="F208" s="377" t="s">
        <v>166</v>
      </c>
      <c r="G208" s="376" t="s">
        <v>651</v>
      </c>
      <c r="H208" s="378"/>
      <c r="I208" s="378"/>
      <c r="J208" s="376" t="s">
        <v>168</v>
      </c>
      <c r="K208" s="376" t="s">
        <v>407</v>
      </c>
      <c r="L208" s="376" t="s">
        <v>247</v>
      </c>
      <c r="M208" s="376" t="s">
        <v>170</v>
      </c>
      <c r="N208" s="376" t="s">
        <v>202</v>
      </c>
      <c r="O208" s="379">
        <v>1</v>
      </c>
      <c r="P208" s="460">
        <v>0</v>
      </c>
      <c r="Q208" s="460">
        <v>0</v>
      </c>
      <c r="R208" s="380">
        <v>80</v>
      </c>
      <c r="S208" s="460">
        <v>0</v>
      </c>
      <c r="T208" s="380">
        <v>7858.04</v>
      </c>
      <c r="U208" s="380">
        <v>0</v>
      </c>
      <c r="V208" s="380">
        <v>3339.1</v>
      </c>
      <c r="W208" s="380">
        <v>0</v>
      </c>
      <c r="X208" s="380">
        <v>0</v>
      </c>
      <c r="Y208" s="380">
        <v>0</v>
      </c>
      <c r="Z208" s="380">
        <v>0</v>
      </c>
      <c r="AA208" s="376" t="s">
        <v>705</v>
      </c>
      <c r="AB208" s="376" t="s">
        <v>706</v>
      </c>
      <c r="AC208" s="376" t="s">
        <v>231</v>
      </c>
      <c r="AD208" s="376" t="s">
        <v>215</v>
      </c>
      <c r="AE208" s="376" t="s">
        <v>407</v>
      </c>
      <c r="AF208" s="376" t="s">
        <v>299</v>
      </c>
      <c r="AG208" s="376" t="s">
        <v>177</v>
      </c>
      <c r="AH208" s="381">
        <v>29.01</v>
      </c>
      <c r="AI208" s="379">
        <v>15000</v>
      </c>
      <c r="AJ208" s="376" t="s">
        <v>178</v>
      </c>
      <c r="AK208" s="376" t="s">
        <v>179</v>
      </c>
      <c r="AL208" s="376" t="s">
        <v>180</v>
      </c>
      <c r="AM208" s="376" t="s">
        <v>181</v>
      </c>
      <c r="AN208" s="376" t="s">
        <v>68</v>
      </c>
      <c r="AO208" s="379">
        <v>80</v>
      </c>
      <c r="AP208" s="460">
        <v>1</v>
      </c>
      <c r="AQ208" s="460">
        <v>0</v>
      </c>
      <c r="AR208" s="458" t="s">
        <v>182</v>
      </c>
      <c r="AS208" s="462">
        <f t="shared" si="51"/>
        <v>0</v>
      </c>
      <c r="AT208">
        <f t="shared" si="52"/>
        <v>0</v>
      </c>
      <c r="AU208" s="462" t="str">
        <f>IF(AT208=0,"",IF(AND(AT208=1,M208="F",SUMIF(C2:C698,C208,AS2:AS698)&lt;=1),SUMIF(C2:C698,C208,AS2:AS698),IF(AND(AT208=1,M208="F",SUMIF(C2:C698,C208,AS2:AS698)&gt;1),1,"")))</f>
        <v/>
      </c>
      <c r="AV208" s="462" t="str">
        <f>IF(AT208=0,"",IF(AND(AT208=3,M208="F",SUMIF(C2:C698,C208,AS2:AS698)&lt;=1),SUMIF(C2:C698,C208,AS2:AS698),IF(AND(AT208=3,M208="F",SUMIF(C2:C698,C208,AS2:AS698)&gt;1),1,"")))</f>
        <v/>
      </c>
      <c r="AW208" s="462">
        <f>SUMIF(C2:C698,C208,O2:O698)</f>
        <v>2</v>
      </c>
      <c r="AX208" s="462">
        <f>IF(AND(M208="F",AS208&lt;&gt;0),SUMIF(C2:C698,C208,W2:W698),0)</f>
        <v>0</v>
      </c>
      <c r="AY208" s="462" t="str">
        <f t="shared" si="53"/>
        <v/>
      </c>
      <c r="AZ208" s="462" t="str">
        <f t="shared" si="54"/>
        <v/>
      </c>
      <c r="BA208" s="462">
        <f t="shared" si="55"/>
        <v>0</v>
      </c>
      <c r="BB208" s="462">
        <f>IF(AND(AT208=1,AK208="E",AU208&gt;=0.75,AW208=1),Health,IF(AND(AT208=1,AK208="E",AU208&gt;=0.75),Health*P208,IF(AND(AT208=1,AK208="E",AU208&gt;=0.5,AW208=1),PTHealth,IF(AND(AT208=1,AK208="E",AU208&gt;=0.5),PTHealth*P208,0))))</f>
        <v>0</v>
      </c>
      <c r="BC208" s="462">
        <f>IF(AND(AT208=3,AK208="E",AV208&gt;=0.75,AW208=1),Health,IF(AND(AT208=3,AK208="E",AV208&gt;=0.75),Health*P208,IF(AND(AT208=3,AK208="E",AV208&gt;=0.5,AW208=1),PTHealth,IF(AND(AT208=3,AK208="E",AV208&gt;=0.5),PTHealth*P208,0))))</f>
        <v>0</v>
      </c>
      <c r="BD208" s="462">
        <f>IF(AND(AT208&lt;&gt;0,AX208&gt;=MAXSSDI),SSDI*MAXSSDI*P208,IF(AT208&lt;&gt;0,SSDI*W208,0))</f>
        <v>0</v>
      </c>
      <c r="BE208" s="462">
        <f>IF(AT208&lt;&gt;0,SSHI*W208,0)</f>
        <v>0</v>
      </c>
      <c r="BF208" s="462">
        <f>IF(AND(AT208&lt;&gt;0,AN208&lt;&gt;"NE"),VLOOKUP(AN208,Retirement_Rates,3,FALSE)*W208,0)</f>
        <v>0</v>
      </c>
      <c r="BG208" s="462">
        <f>IF(AND(AT208&lt;&gt;0,AJ208&lt;&gt;"PF"),Life*W208,0)</f>
        <v>0</v>
      </c>
      <c r="BH208" s="462">
        <f>IF(AND(AT208&lt;&gt;0,AM208="Y"),UI*W208,0)</f>
        <v>0</v>
      </c>
      <c r="BI208" s="462">
        <f>IF(AND(AT208&lt;&gt;0,N208&lt;&gt;"NR"),DHR*W208,0)</f>
        <v>0</v>
      </c>
      <c r="BJ208" s="462">
        <f>IF(AT208&lt;&gt;0,WC*W208,0)</f>
        <v>0</v>
      </c>
      <c r="BK208" s="462">
        <f>IF(OR(AND(AT208&lt;&gt;0,AJ208&lt;&gt;"PF",AN208&lt;&gt;"NE",AG208&lt;&gt;"A"),AND(AL208="E",OR(AT208=1,AT208=3))),Sick*W208,0)</f>
        <v>0</v>
      </c>
      <c r="BL208" s="462">
        <f t="shared" si="56"/>
        <v>0</v>
      </c>
      <c r="BM208" s="462">
        <f t="shared" si="57"/>
        <v>0</v>
      </c>
      <c r="BN208" s="462">
        <f>IF(AND(AT208=1,AK208="E",AU208&gt;=0.75,AW208=1),HealthBY,IF(AND(AT208=1,AK208="E",AU208&gt;=0.75),HealthBY*P208,IF(AND(AT208=1,AK208="E",AU208&gt;=0.5,AW208=1),PTHealthBY,IF(AND(AT208=1,AK208="E",AU208&gt;=0.5),PTHealthBY*P208,0))))</f>
        <v>0</v>
      </c>
      <c r="BO208" s="462">
        <f>IF(AND(AT208=3,AK208="E",AV208&gt;=0.75,AW208=1),HealthBY,IF(AND(AT208=3,AK208="E",AV208&gt;=0.75),HealthBY*P208,IF(AND(AT208=3,AK208="E",AV208&gt;=0.5,AW208=1),PTHealthBY,IF(AND(AT208=3,AK208="E",AV208&gt;=0.5),PTHealthBY*P208,0))))</f>
        <v>0</v>
      </c>
      <c r="BP208" s="462">
        <f>IF(AND(AT208&lt;&gt;0,(AX208+BA208)&gt;=MAXSSDIBY),SSDIBY*MAXSSDIBY*P208,IF(AT208&lt;&gt;0,SSDIBY*W208,0))</f>
        <v>0</v>
      </c>
      <c r="BQ208" s="462">
        <f>IF(AT208&lt;&gt;0,SSHIBY*W208,0)</f>
        <v>0</v>
      </c>
      <c r="BR208" s="462">
        <f>IF(AND(AT208&lt;&gt;0,AN208&lt;&gt;"NE"),VLOOKUP(AN208,Retirement_Rates,4,FALSE)*W208,0)</f>
        <v>0</v>
      </c>
      <c r="BS208" s="462">
        <f>IF(AND(AT208&lt;&gt;0,AJ208&lt;&gt;"PF"),LifeBY*W208,0)</f>
        <v>0</v>
      </c>
      <c r="BT208" s="462">
        <f>IF(AND(AT208&lt;&gt;0,AM208="Y"),UIBY*W208,0)</f>
        <v>0</v>
      </c>
      <c r="BU208" s="462">
        <f>IF(AND(AT208&lt;&gt;0,N208&lt;&gt;"NR"),DHRBY*W208,0)</f>
        <v>0</v>
      </c>
      <c r="BV208" s="462">
        <f>IF(AT208&lt;&gt;0,WCBY*W208,0)</f>
        <v>0</v>
      </c>
      <c r="BW208" s="462">
        <f>IF(OR(AND(AT208&lt;&gt;0,AJ208&lt;&gt;"PF",AN208&lt;&gt;"NE",AG208&lt;&gt;"A"),AND(AL208="E",OR(AT208=1,AT208=3))),SickBY*W208,0)</f>
        <v>0</v>
      </c>
      <c r="BX208" s="462">
        <f t="shared" si="58"/>
        <v>0</v>
      </c>
      <c r="BY208" s="462">
        <f t="shared" si="59"/>
        <v>0</v>
      </c>
      <c r="BZ208" s="462">
        <f t="shared" si="60"/>
        <v>0</v>
      </c>
      <c r="CA208" s="462">
        <f t="shared" si="61"/>
        <v>0</v>
      </c>
      <c r="CB208" s="462">
        <f t="shared" si="62"/>
        <v>0</v>
      </c>
      <c r="CC208" s="462">
        <f>IF(AT208&lt;&gt;0,SSHICHG*Y208,0)</f>
        <v>0</v>
      </c>
      <c r="CD208" s="462">
        <f>IF(AND(AT208&lt;&gt;0,AN208&lt;&gt;"NE"),VLOOKUP(AN208,Retirement_Rates,5,FALSE)*Y208,0)</f>
        <v>0</v>
      </c>
      <c r="CE208" s="462">
        <f>IF(AND(AT208&lt;&gt;0,AJ208&lt;&gt;"PF"),LifeCHG*Y208,0)</f>
        <v>0</v>
      </c>
      <c r="CF208" s="462">
        <f>IF(AND(AT208&lt;&gt;0,AM208="Y"),UICHG*Y208,0)</f>
        <v>0</v>
      </c>
      <c r="CG208" s="462">
        <f>IF(AND(AT208&lt;&gt;0,N208&lt;&gt;"NR"),DHRCHG*Y208,0)</f>
        <v>0</v>
      </c>
      <c r="CH208" s="462">
        <f>IF(AT208&lt;&gt;0,WCCHG*Y208,0)</f>
        <v>0</v>
      </c>
      <c r="CI208" s="462">
        <f>IF(OR(AND(AT208&lt;&gt;0,AJ208&lt;&gt;"PF",AN208&lt;&gt;"NE",AG208&lt;&gt;"A"),AND(AL208="E",OR(AT208=1,AT208=3))),SickCHG*Y208,0)</f>
        <v>0</v>
      </c>
      <c r="CJ208" s="462">
        <f t="shared" si="63"/>
        <v>0</v>
      </c>
      <c r="CK208" s="462" t="str">
        <f t="shared" si="64"/>
        <v/>
      </c>
      <c r="CL208" s="462" t="str">
        <f t="shared" si="65"/>
        <v/>
      </c>
      <c r="CM208" s="462" t="str">
        <f t="shared" si="66"/>
        <v/>
      </c>
      <c r="CN208" s="462" t="str">
        <f t="shared" si="67"/>
        <v>0348-00</v>
      </c>
    </row>
    <row r="209" spans="1:92" ht="15" thickBot="1" x14ac:dyDescent="0.35">
      <c r="A209" s="376" t="s">
        <v>161</v>
      </c>
      <c r="B209" s="376" t="s">
        <v>162</v>
      </c>
      <c r="C209" s="376" t="s">
        <v>707</v>
      </c>
      <c r="D209" s="376" t="s">
        <v>250</v>
      </c>
      <c r="E209" s="376" t="s">
        <v>759</v>
      </c>
      <c r="F209" s="377" t="s">
        <v>166</v>
      </c>
      <c r="G209" s="376" t="s">
        <v>651</v>
      </c>
      <c r="H209" s="378"/>
      <c r="I209" s="378"/>
      <c r="J209" s="376" t="s">
        <v>168</v>
      </c>
      <c r="K209" s="376" t="s">
        <v>251</v>
      </c>
      <c r="L209" s="376" t="s">
        <v>180</v>
      </c>
      <c r="M209" s="376" t="s">
        <v>170</v>
      </c>
      <c r="N209" s="376" t="s">
        <v>202</v>
      </c>
      <c r="O209" s="379">
        <v>1</v>
      </c>
      <c r="P209" s="460">
        <v>0</v>
      </c>
      <c r="Q209" s="460">
        <v>0</v>
      </c>
      <c r="R209" s="380">
        <v>80</v>
      </c>
      <c r="S209" s="460">
        <v>0</v>
      </c>
      <c r="T209" s="380">
        <v>25236.75</v>
      </c>
      <c r="U209" s="380">
        <v>0</v>
      </c>
      <c r="V209" s="380">
        <v>10010.4</v>
      </c>
      <c r="W209" s="380">
        <v>0</v>
      </c>
      <c r="X209" s="380">
        <v>0</v>
      </c>
      <c r="Y209" s="380">
        <v>0</v>
      </c>
      <c r="Z209" s="380">
        <v>0</v>
      </c>
      <c r="AA209" s="376" t="s">
        <v>708</v>
      </c>
      <c r="AB209" s="376" t="s">
        <v>709</v>
      </c>
      <c r="AC209" s="376" t="s">
        <v>710</v>
      </c>
      <c r="AD209" s="376" t="s">
        <v>215</v>
      </c>
      <c r="AE209" s="376" t="s">
        <v>251</v>
      </c>
      <c r="AF209" s="376" t="s">
        <v>256</v>
      </c>
      <c r="AG209" s="376" t="s">
        <v>177</v>
      </c>
      <c r="AH209" s="381">
        <v>31.29</v>
      </c>
      <c r="AI209" s="381">
        <v>5560.5</v>
      </c>
      <c r="AJ209" s="376" t="s">
        <v>178</v>
      </c>
      <c r="AK209" s="376" t="s">
        <v>179</v>
      </c>
      <c r="AL209" s="376" t="s">
        <v>180</v>
      </c>
      <c r="AM209" s="376" t="s">
        <v>181</v>
      </c>
      <c r="AN209" s="376" t="s">
        <v>68</v>
      </c>
      <c r="AO209" s="379">
        <v>80</v>
      </c>
      <c r="AP209" s="460">
        <v>1</v>
      </c>
      <c r="AQ209" s="460">
        <v>0</v>
      </c>
      <c r="AR209" s="458" t="s">
        <v>182</v>
      </c>
      <c r="AS209" s="462">
        <f t="shared" si="51"/>
        <v>0</v>
      </c>
      <c r="AT209">
        <f t="shared" si="52"/>
        <v>0</v>
      </c>
      <c r="AU209" s="462" t="str">
        <f>IF(AT209=0,"",IF(AND(AT209=1,M209="F",SUMIF(C2:C698,C209,AS2:AS698)&lt;=1),SUMIF(C2:C698,C209,AS2:AS698),IF(AND(AT209=1,M209="F",SUMIF(C2:C698,C209,AS2:AS698)&gt;1),1,"")))</f>
        <v/>
      </c>
      <c r="AV209" s="462" t="str">
        <f>IF(AT209=0,"",IF(AND(AT209=3,M209="F",SUMIF(C2:C698,C209,AS2:AS698)&lt;=1),SUMIF(C2:C698,C209,AS2:AS698),IF(AND(AT209=3,M209="F",SUMIF(C2:C698,C209,AS2:AS698)&gt;1),1,"")))</f>
        <v/>
      </c>
      <c r="AW209" s="462">
        <f>SUMIF(C2:C698,C209,O2:O698)</f>
        <v>2</v>
      </c>
      <c r="AX209" s="462">
        <f>IF(AND(M209="F",AS209&lt;&gt;0),SUMIF(C2:C698,C209,W2:W698),0)</f>
        <v>0</v>
      </c>
      <c r="AY209" s="462" t="str">
        <f t="shared" si="53"/>
        <v/>
      </c>
      <c r="AZ209" s="462" t="str">
        <f t="shared" si="54"/>
        <v/>
      </c>
      <c r="BA209" s="462">
        <f t="shared" si="55"/>
        <v>0</v>
      </c>
      <c r="BB209" s="462">
        <f>IF(AND(AT209=1,AK209="E",AU209&gt;=0.75,AW209=1),Health,IF(AND(AT209=1,AK209="E",AU209&gt;=0.75),Health*P209,IF(AND(AT209=1,AK209="E",AU209&gt;=0.5,AW209=1),PTHealth,IF(AND(AT209=1,AK209="E",AU209&gt;=0.5),PTHealth*P209,0))))</f>
        <v>0</v>
      </c>
      <c r="BC209" s="462">
        <f>IF(AND(AT209=3,AK209="E",AV209&gt;=0.75,AW209=1),Health,IF(AND(AT209=3,AK209="E",AV209&gt;=0.75),Health*P209,IF(AND(AT209=3,AK209="E",AV209&gt;=0.5,AW209=1),PTHealth,IF(AND(AT209=3,AK209="E",AV209&gt;=0.5),PTHealth*P209,0))))</f>
        <v>0</v>
      </c>
      <c r="BD209" s="462">
        <f>IF(AND(AT209&lt;&gt;0,AX209&gt;=MAXSSDI),SSDI*MAXSSDI*P209,IF(AT209&lt;&gt;0,SSDI*W209,0))</f>
        <v>0</v>
      </c>
      <c r="BE209" s="462">
        <f>IF(AT209&lt;&gt;0,SSHI*W209,0)</f>
        <v>0</v>
      </c>
      <c r="BF209" s="462">
        <f>IF(AND(AT209&lt;&gt;0,AN209&lt;&gt;"NE"),VLOOKUP(AN209,Retirement_Rates,3,FALSE)*W209,0)</f>
        <v>0</v>
      </c>
      <c r="BG209" s="462">
        <f>IF(AND(AT209&lt;&gt;0,AJ209&lt;&gt;"PF"),Life*W209,0)</f>
        <v>0</v>
      </c>
      <c r="BH209" s="462">
        <f>IF(AND(AT209&lt;&gt;0,AM209="Y"),UI*W209,0)</f>
        <v>0</v>
      </c>
      <c r="BI209" s="462">
        <f>IF(AND(AT209&lt;&gt;0,N209&lt;&gt;"NR"),DHR*W209,0)</f>
        <v>0</v>
      </c>
      <c r="BJ209" s="462">
        <f>IF(AT209&lt;&gt;0,WC*W209,0)</f>
        <v>0</v>
      </c>
      <c r="BK209" s="462">
        <f>IF(OR(AND(AT209&lt;&gt;0,AJ209&lt;&gt;"PF",AN209&lt;&gt;"NE",AG209&lt;&gt;"A"),AND(AL209="E",OR(AT209=1,AT209=3))),Sick*W209,0)</f>
        <v>0</v>
      </c>
      <c r="BL209" s="462">
        <f t="shared" si="56"/>
        <v>0</v>
      </c>
      <c r="BM209" s="462">
        <f t="shared" si="57"/>
        <v>0</v>
      </c>
      <c r="BN209" s="462">
        <f>IF(AND(AT209=1,AK209="E",AU209&gt;=0.75,AW209=1),HealthBY,IF(AND(AT209=1,AK209="E",AU209&gt;=0.75),HealthBY*P209,IF(AND(AT209=1,AK209="E",AU209&gt;=0.5,AW209=1),PTHealthBY,IF(AND(AT209=1,AK209="E",AU209&gt;=0.5),PTHealthBY*P209,0))))</f>
        <v>0</v>
      </c>
      <c r="BO209" s="462">
        <f>IF(AND(AT209=3,AK209="E",AV209&gt;=0.75,AW209=1),HealthBY,IF(AND(AT209=3,AK209="E",AV209&gt;=0.75),HealthBY*P209,IF(AND(AT209=3,AK209="E",AV209&gt;=0.5,AW209=1),PTHealthBY,IF(AND(AT209=3,AK209="E",AV209&gt;=0.5),PTHealthBY*P209,0))))</f>
        <v>0</v>
      </c>
      <c r="BP209" s="462">
        <f>IF(AND(AT209&lt;&gt;0,(AX209+BA209)&gt;=MAXSSDIBY),SSDIBY*MAXSSDIBY*P209,IF(AT209&lt;&gt;0,SSDIBY*W209,0))</f>
        <v>0</v>
      </c>
      <c r="BQ209" s="462">
        <f>IF(AT209&lt;&gt;0,SSHIBY*W209,0)</f>
        <v>0</v>
      </c>
      <c r="BR209" s="462">
        <f>IF(AND(AT209&lt;&gt;0,AN209&lt;&gt;"NE"),VLOOKUP(AN209,Retirement_Rates,4,FALSE)*W209,0)</f>
        <v>0</v>
      </c>
      <c r="BS209" s="462">
        <f>IF(AND(AT209&lt;&gt;0,AJ209&lt;&gt;"PF"),LifeBY*W209,0)</f>
        <v>0</v>
      </c>
      <c r="BT209" s="462">
        <f>IF(AND(AT209&lt;&gt;0,AM209="Y"),UIBY*W209,0)</f>
        <v>0</v>
      </c>
      <c r="BU209" s="462">
        <f>IF(AND(AT209&lt;&gt;0,N209&lt;&gt;"NR"),DHRBY*W209,0)</f>
        <v>0</v>
      </c>
      <c r="BV209" s="462">
        <f>IF(AT209&lt;&gt;0,WCBY*W209,0)</f>
        <v>0</v>
      </c>
      <c r="BW209" s="462">
        <f>IF(OR(AND(AT209&lt;&gt;0,AJ209&lt;&gt;"PF",AN209&lt;&gt;"NE",AG209&lt;&gt;"A"),AND(AL209="E",OR(AT209=1,AT209=3))),SickBY*W209,0)</f>
        <v>0</v>
      </c>
      <c r="BX209" s="462">
        <f t="shared" si="58"/>
        <v>0</v>
      </c>
      <c r="BY209" s="462">
        <f t="shared" si="59"/>
        <v>0</v>
      </c>
      <c r="BZ209" s="462">
        <f t="shared" si="60"/>
        <v>0</v>
      </c>
      <c r="CA209" s="462">
        <f t="shared" si="61"/>
        <v>0</v>
      </c>
      <c r="CB209" s="462">
        <f t="shared" si="62"/>
        <v>0</v>
      </c>
      <c r="CC209" s="462">
        <f>IF(AT209&lt;&gt;0,SSHICHG*Y209,0)</f>
        <v>0</v>
      </c>
      <c r="CD209" s="462">
        <f>IF(AND(AT209&lt;&gt;0,AN209&lt;&gt;"NE"),VLOOKUP(AN209,Retirement_Rates,5,FALSE)*Y209,0)</f>
        <v>0</v>
      </c>
      <c r="CE209" s="462">
        <f>IF(AND(AT209&lt;&gt;0,AJ209&lt;&gt;"PF"),LifeCHG*Y209,0)</f>
        <v>0</v>
      </c>
      <c r="CF209" s="462">
        <f>IF(AND(AT209&lt;&gt;0,AM209="Y"),UICHG*Y209,0)</f>
        <v>0</v>
      </c>
      <c r="CG209" s="462">
        <f>IF(AND(AT209&lt;&gt;0,N209&lt;&gt;"NR"),DHRCHG*Y209,0)</f>
        <v>0</v>
      </c>
      <c r="CH209" s="462">
        <f>IF(AT209&lt;&gt;0,WCCHG*Y209,0)</f>
        <v>0</v>
      </c>
      <c r="CI209" s="462">
        <f>IF(OR(AND(AT209&lt;&gt;0,AJ209&lt;&gt;"PF",AN209&lt;&gt;"NE",AG209&lt;&gt;"A"),AND(AL209="E",OR(AT209=1,AT209=3))),SickCHG*Y209,0)</f>
        <v>0</v>
      </c>
      <c r="CJ209" s="462">
        <f t="shared" si="63"/>
        <v>0</v>
      </c>
      <c r="CK209" s="462" t="str">
        <f t="shared" si="64"/>
        <v/>
      </c>
      <c r="CL209" s="462" t="str">
        <f t="shared" si="65"/>
        <v/>
      </c>
      <c r="CM209" s="462" t="str">
        <f t="shared" si="66"/>
        <v/>
      </c>
      <c r="CN209" s="462" t="str">
        <f t="shared" si="67"/>
        <v>0348-00</v>
      </c>
    </row>
    <row r="210" spans="1:92" ht="15" thickBot="1" x14ac:dyDescent="0.35">
      <c r="A210" s="376" t="s">
        <v>161</v>
      </c>
      <c r="B210" s="376" t="s">
        <v>162</v>
      </c>
      <c r="C210" s="376" t="s">
        <v>715</v>
      </c>
      <c r="D210" s="376" t="s">
        <v>716</v>
      </c>
      <c r="E210" s="376" t="s">
        <v>759</v>
      </c>
      <c r="F210" s="377" t="s">
        <v>166</v>
      </c>
      <c r="G210" s="376" t="s">
        <v>651</v>
      </c>
      <c r="H210" s="378"/>
      <c r="I210" s="378"/>
      <c r="J210" s="376" t="s">
        <v>168</v>
      </c>
      <c r="K210" s="376" t="s">
        <v>717</v>
      </c>
      <c r="L210" s="376" t="s">
        <v>349</v>
      </c>
      <c r="M210" s="376" t="s">
        <v>170</v>
      </c>
      <c r="N210" s="376" t="s">
        <v>202</v>
      </c>
      <c r="O210" s="379">
        <v>1</v>
      </c>
      <c r="P210" s="460">
        <v>0</v>
      </c>
      <c r="Q210" s="460">
        <v>0</v>
      </c>
      <c r="R210" s="380">
        <v>80</v>
      </c>
      <c r="S210" s="460">
        <v>0</v>
      </c>
      <c r="T210" s="380">
        <v>264.11</v>
      </c>
      <c r="U210" s="380">
        <v>0</v>
      </c>
      <c r="V210" s="380">
        <v>170.2</v>
      </c>
      <c r="W210" s="380">
        <v>0</v>
      </c>
      <c r="X210" s="380">
        <v>0</v>
      </c>
      <c r="Y210" s="380">
        <v>0</v>
      </c>
      <c r="Z210" s="380">
        <v>0</v>
      </c>
      <c r="AA210" s="376" t="s">
        <v>718</v>
      </c>
      <c r="AB210" s="376" t="s">
        <v>719</v>
      </c>
      <c r="AC210" s="376" t="s">
        <v>720</v>
      </c>
      <c r="AD210" s="376" t="s">
        <v>274</v>
      </c>
      <c r="AE210" s="376" t="s">
        <v>717</v>
      </c>
      <c r="AF210" s="376" t="s">
        <v>353</v>
      </c>
      <c r="AG210" s="376" t="s">
        <v>177</v>
      </c>
      <c r="AH210" s="381">
        <v>14.5</v>
      </c>
      <c r="AI210" s="379">
        <v>600</v>
      </c>
      <c r="AJ210" s="376" t="s">
        <v>178</v>
      </c>
      <c r="AK210" s="376" t="s">
        <v>179</v>
      </c>
      <c r="AL210" s="376" t="s">
        <v>180</v>
      </c>
      <c r="AM210" s="376" t="s">
        <v>181</v>
      </c>
      <c r="AN210" s="376" t="s">
        <v>68</v>
      </c>
      <c r="AO210" s="379">
        <v>80</v>
      </c>
      <c r="AP210" s="460">
        <v>1</v>
      </c>
      <c r="AQ210" s="460">
        <v>0</v>
      </c>
      <c r="AR210" s="458" t="s">
        <v>182</v>
      </c>
      <c r="AS210" s="462">
        <f t="shared" si="51"/>
        <v>0</v>
      </c>
      <c r="AT210">
        <f t="shared" si="52"/>
        <v>0</v>
      </c>
      <c r="AU210" s="462" t="str">
        <f>IF(AT210=0,"",IF(AND(AT210=1,M210="F",SUMIF(C2:C698,C210,AS2:AS698)&lt;=1),SUMIF(C2:C698,C210,AS2:AS698),IF(AND(AT210=1,M210="F",SUMIF(C2:C698,C210,AS2:AS698)&gt;1),1,"")))</f>
        <v/>
      </c>
      <c r="AV210" s="462" t="str">
        <f>IF(AT210=0,"",IF(AND(AT210=3,M210="F",SUMIF(C2:C698,C210,AS2:AS698)&lt;=1),SUMIF(C2:C698,C210,AS2:AS698),IF(AND(AT210=3,M210="F",SUMIF(C2:C698,C210,AS2:AS698)&gt;1),1,"")))</f>
        <v/>
      </c>
      <c r="AW210" s="462">
        <f>SUMIF(C2:C698,C210,O2:O698)</f>
        <v>2</v>
      </c>
      <c r="AX210" s="462">
        <f>IF(AND(M210="F",AS210&lt;&gt;0),SUMIF(C2:C698,C210,W2:W698),0)</f>
        <v>0</v>
      </c>
      <c r="AY210" s="462" t="str">
        <f t="shared" si="53"/>
        <v/>
      </c>
      <c r="AZ210" s="462" t="str">
        <f t="shared" si="54"/>
        <v/>
      </c>
      <c r="BA210" s="462">
        <f t="shared" si="55"/>
        <v>0</v>
      </c>
      <c r="BB210" s="462">
        <f>IF(AND(AT210=1,AK210="E",AU210&gt;=0.75,AW210=1),Health,IF(AND(AT210=1,AK210="E",AU210&gt;=0.75),Health*P210,IF(AND(AT210=1,AK210="E",AU210&gt;=0.5,AW210=1),PTHealth,IF(AND(AT210=1,AK210="E",AU210&gt;=0.5),PTHealth*P210,0))))</f>
        <v>0</v>
      </c>
      <c r="BC210" s="462">
        <f>IF(AND(AT210=3,AK210="E",AV210&gt;=0.75,AW210=1),Health,IF(AND(AT210=3,AK210="E",AV210&gt;=0.75),Health*P210,IF(AND(AT210=3,AK210="E",AV210&gt;=0.5,AW210=1),PTHealth,IF(AND(AT210=3,AK210="E",AV210&gt;=0.5),PTHealth*P210,0))))</f>
        <v>0</v>
      </c>
      <c r="BD210" s="462">
        <f>IF(AND(AT210&lt;&gt;0,AX210&gt;=MAXSSDI),SSDI*MAXSSDI*P210,IF(AT210&lt;&gt;0,SSDI*W210,0))</f>
        <v>0</v>
      </c>
      <c r="BE210" s="462">
        <f>IF(AT210&lt;&gt;0,SSHI*W210,0)</f>
        <v>0</v>
      </c>
      <c r="BF210" s="462">
        <f>IF(AND(AT210&lt;&gt;0,AN210&lt;&gt;"NE"),VLOOKUP(AN210,Retirement_Rates,3,FALSE)*W210,0)</f>
        <v>0</v>
      </c>
      <c r="BG210" s="462">
        <f>IF(AND(AT210&lt;&gt;0,AJ210&lt;&gt;"PF"),Life*W210,0)</f>
        <v>0</v>
      </c>
      <c r="BH210" s="462">
        <f>IF(AND(AT210&lt;&gt;0,AM210="Y"),UI*W210,0)</f>
        <v>0</v>
      </c>
      <c r="BI210" s="462">
        <f>IF(AND(AT210&lt;&gt;0,N210&lt;&gt;"NR"),DHR*W210,0)</f>
        <v>0</v>
      </c>
      <c r="BJ210" s="462">
        <f>IF(AT210&lt;&gt;0,WC*W210,0)</f>
        <v>0</v>
      </c>
      <c r="BK210" s="462">
        <f>IF(OR(AND(AT210&lt;&gt;0,AJ210&lt;&gt;"PF",AN210&lt;&gt;"NE",AG210&lt;&gt;"A"),AND(AL210="E",OR(AT210=1,AT210=3))),Sick*W210,0)</f>
        <v>0</v>
      </c>
      <c r="BL210" s="462">
        <f t="shared" si="56"/>
        <v>0</v>
      </c>
      <c r="BM210" s="462">
        <f t="shared" si="57"/>
        <v>0</v>
      </c>
      <c r="BN210" s="462">
        <f>IF(AND(AT210=1,AK210="E",AU210&gt;=0.75,AW210=1),HealthBY,IF(AND(AT210=1,AK210="E",AU210&gt;=0.75),HealthBY*P210,IF(AND(AT210=1,AK210="E",AU210&gt;=0.5,AW210=1),PTHealthBY,IF(AND(AT210=1,AK210="E",AU210&gt;=0.5),PTHealthBY*P210,0))))</f>
        <v>0</v>
      </c>
      <c r="BO210" s="462">
        <f>IF(AND(AT210=3,AK210="E",AV210&gt;=0.75,AW210=1),HealthBY,IF(AND(AT210=3,AK210="E",AV210&gt;=0.75),HealthBY*P210,IF(AND(AT210=3,AK210="E",AV210&gt;=0.5,AW210=1),PTHealthBY,IF(AND(AT210=3,AK210="E",AV210&gt;=0.5),PTHealthBY*P210,0))))</f>
        <v>0</v>
      </c>
      <c r="BP210" s="462">
        <f>IF(AND(AT210&lt;&gt;0,(AX210+BA210)&gt;=MAXSSDIBY),SSDIBY*MAXSSDIBY*P210,IF(AT210&lt;&gt;0,SSDIBY*W210,0))</f>
        <v>0</v>
      </c>
      <c r="BQ210" s="462">
        <f>IF(AT210&lt;&gt;0,SSHIBY*W210,0)</f>
        <v>0</v>
      </c>
      <c r="BR210" s="462">
        <f>IF(AND(AT210&lt;&gt;0,AN210&lt;&gt;"NE"),VLOOKUP(AN210,Retirement_Rates,4,FALSE)*W210,0)</f>
        <v>0</v>
      </c>
      <c r="BS210" s="462">
        <f>IF(AND(AT210&lt;&gt;0,AJ210&lt;&gt;"PF"),LifeBY*W210,0)</f>
        <v>0</v>
      </c>
      <c r="BT210" s="462">
        <f>IF(AND(AT210&lt;&gt;0,AM210="Y"),UIBY*W210,0)</f>
        <v>0</v>
      </c>
      <c r="BU210" s="462">
        <f>IF(AND(AT210&lt;&gt;0,N210&lt;&gt;"NR"),DHRBY*W210,0)</f>
        <v>0</v>
      </c>
      <c r="BV210" s="462">
        <f>IF(AT210&lt;&gt;0,WCBY*W210,0)</f>
        <v>0</v>
      </c>
      <c r="BW210" s="462">
        <f>IF(OR(AND(AT210&lt;&gt;0,AJ210&lt;&gt;"PF",AN210&lt;&gt;"NE",AG210&lt;&gt;"A"),AND(AL210="E",OR(AT210=1,AT210=3))),SickBY*W210,0)</f>
        <v>0</v>
      </c>
      <c r="BX210" s="462">
        <f t="shared" si="58"/>
        <v>0</v>
      </c>
      <c r="BY210" s="462">
        <f t="shared" si="59"/>
        <v>0</v>
      </c>
      <c r="BZ210" s="462">
        <f t="shared" si="60"/>
        <v>0</v>
      </c>
      <c r="CA210" s="462">
        <f t="shared" si="61"/>
        <v>0</v>
      </c>
      <c r="CB210" s="462">
        <f t="shared" si="62"/>
        <v>0</v>
      </c>
      <c r="CC210" s="462">
        <f>IF(AT210&lt;&gt;0,SSHICHG*Y210,0)</f>
        <v>0</v>
      </c>
      <c r="CD210" s="462">
        <f>IF(AND(AT210&lt;&gt;0,AN210&lt;&gt;"NE"),VLOOKUP(AN210,Retirement_Rates,5,FALSE)*Y210,0)</f>
        <v>0</v>
      </c>
      <c r="CE210" s="462">
        <f>IF(AND(AT210&lt;&gt;0,AJ210&lt;&gt;"PF"),LifeCHG*Y210,0)</f>
        <v>0</v>
      </c>
      <c r="CF210" s="462">
        <f>IF(AND(AT210&lt;&gt;0,AM210="Y"),UICHG*Y210,0)</f>
        <v>0</v>
      </c>
      <c r="CG210" s="462">
        <f>IF(AND(AT210&lt;&gt;0,N210&lt;&gt;"NR"),DHRCHG*Y210,0)</f>
        <v>0</v>
      </c>
      <c r="CH210" s="462">
        <f>IF(AT210&lt;&gt;0,WCCHG*Y210,0)</f>
        <v>0</v>
      </c>
      <c r="CI210" s="462">
        <f>IF(OR(AND(AT210&lt;&gt;0,AJ210&lt;&gt;"PF",AN210&lt;&gt;"NE",AG210&lt;&gt;"A"),AND(AL210="E",OR(AT210=1,AT210=3))),SickCHG*Y210,0)</f>
        <v>0</v>
      </c>
      <c r="CJ210" s="462">
        <f t="shared" si="63"/>
        <v>0</v>
      </c>
      <c r="CK210" s="462" t="str">
        <f t="shared" si="64"/>
        <v/>
      </c>
      <c r="CL210" s="462" t="str">
        <f t="shared" si="65"/>
        <v/>
      </c>
      <c r="CM210" s="462" t="str">
        <f t="shared" si="66"/>
        <v/>
      </c>
      <c r="CN210" s="462" t="str">
        <f t="shared" si="67"/>
        <v>0348-00</v>
      </c>
    </row>
    <row r="211" spans="1:92" ht="15" thickBot="1" x14ac:dyDescent="0.35">
      <c r="A211" s="376" t="s">
        <v>161</v>
      </c>
      <c r="B211" s="376" t="s">
        <v>162</v>
      </c>
      <c r="C211" s="376" t="s">
        <v>721</v>
      </c>
      <c r="D211" s="376" t="s">
        <v>457</v>
      </c>
      <c r="E211" s="376" t="s">
        <v>759</v>
      </c>
      <c r="F211" s="377" t="s">
        <v>166</v>
      </c>
      <c r="G211" s="376" t="s">
        <v>651</v>
      </c>
      <c r="H211" s="378"/>
      <c r="I211" s="378"/>
      <c r="J211" s="376" t="s">
        <v>168</v>
      </c>
      <c r="K211" s="376" t="s">
        <v>458</v>
      </c>
      <c r="L211" s="376" t="s">
        <v>177</v>
      </c>
      <c r="M211" s="376" t="s">
        <v>170</v>
      </c>
      <c r="N211" s="376" t="s">
        <v>202</v>
      </c>
      <c r="O211" s="379">
        <v>1</v>
      </c>
      <c r="P211" s="460">
        <v>0</v>
      </c>
      <c r="Q211" s="460">
        <v>0</v>
      </c>
      <c r="R211" s="380">
        <v>80</v>
      </c>
      <c r="S211" s="460">
        <v>0</v>
      </c>
      <c r="T211" s="380">
        <v>3000</v>
      </c>
      <c r="U211" s="380">
        <v>0</v>
      </c>
      <c r="V211" s="380">
        <v>1825.13</v>
      </c>
      <c r="W211" s="380">
        <v>0</v>
      </c>
      <c r="X211" s="380">
        <v>0</v>
      </c>
      <c r="Y211" s="380">
        <v>0</v>
      </c>
      <c r="Z211" s="380">
        <v>0</v>
      </c>
      <c r="AA211" s="376" t="s">
        <v>722</v>
      </c>
      <c r="AB211" s="376" t="s">
        <v>723</v>
      </c>
      <c r="AC211" s="376" t="s">
        <v>724</v>
      </c>
      <c r="AD211" s="376" t="s">
        <v>247</v>
      </c>
      <c r="AE211" s="376" t="s">
        <v>458</v>
      </c>
      <c r="AF211" s="376" t="s">
        <v>436</v>
      </c>
      <c r="AG211" s="376" t="s">
        <v>177</v>
      </c>
      <c r="AH211" s="381">
        <v>15.65</v>
      </c>
      <c r="AI211" s="381">
        <v>4693.2</v>
      </c>
      <c r="AJ211" s="376" t="s">
        <v>178</v>
      </c>
      <c r="AK211" s="376" t="s">
        <v>179</v>
      </c>
      <c r="AL211" s="376" t="s">
        <v>180</v>
      </c>
      <c r="AM211" s="376" t="s">
        <v>181</v>
      </c>
      <c r="AN211" s="376" t="s">
        <v>68</v>
      </c>
      <c r="AO211" s="379">
        <v>80</v>
      </c>
      <c r="AP211" s="460">
        <v>1</v>
      </c>
      <c r="AQ211" s="460">
        <v>0</v>
      </c>
      <c r="AR211" s="458" t="s">
        <v>182</v>
      </c>
      <c r="AS211" s="462">
        <f t="shared" si="51"/>
        <v>0</v>
      </c>
      <c r="AT211">
        <f t="shared" si="52"/>
        <v>0</v>
      </c>
      <c r="AU211" s="462" t="str">
        <f>IF(AT211=0,"",IF(AND(AT211=1,M211="F",SUMIF(C2:C698,C211,AS2:AS698)&lt;=1),SUMIF(C2:C698,C211,AS2:AS698),IF(AND(AT211=1,M211="F",SUMIF(C2:C698,C211,AS2:AS698)&gt;1),1,"")))</f>
        <v/>
      </c>
      <c r="AV211" s="462" t="str">
        <f>IF(AT211=0,"",IF(AND(AT211=3,M211="F",SUMIF(C2:C698,C211,AS2:AS698)&lt;=1),SUMIF(C2:C698,C211,AS2:AS698),IF(AND(AT211=3,M211="F",SUMIF(C2:C698,C211,AS2:AS698)&gt;1),1,"")))</f>
        <v/>
      </c>
      <c r="AW211" s="462">
        <f>SUMIF(C2:C698,C211,O2:O698)</f>
        <v>2</v>
      </c>
      <c r="AX211" s="462">
        <f>IF(AND(M211="F",AS211&lt;&gt;0),SUMIF(C2:C698,C211,W2:W698),0)</f>
        <v>0</v>
      </c>
      <c r="AY211" s="462" t="str">
        <f t="shared" si="53"/>
        <v/>
      </c>
      <c r="AZ211" s="462" t="str">
        <f t="shared" si="54"/>
        <v/>
      </c>
      <c r="BA211" s="462">
        <f t="shared" si="55"/>
        <v>0</v>
      </c>
      <c r="BB211" s="462">
        <f>IF(AND(AT211=1,AK211="E",AU211&gt;=0.75,AW211=1),Health,IF(AND(AT211=1,AK211="E",AU211&gt;=0.75),Health*P211,IF(AND(AT211=1,AK211="E",AU211&gt;=0.5,AW211=1),PTHealth,IF(AND(AT211=1,AK211="E",AU211&gt;=0.5),PTHealth*P211,0))))</f>
        <v>0</v>
      </c>
      <c r="BC211" s="462">
        <f>IF(AND(AT211=3,AK211="E",AV211&gt;=0.75,AW211=1),Health,IF(AND(AT211=3,AK211="E",AV211&gt;=0.75),Health*P211,IF(AND(AT211=3,AK211="E",AV211&gt;=0.5,AW211=1),PTHealth,IF(AND(AT211=3,AK211="E",AV211&gt;=0.5),PTHealth*P211,0))))</f>
        <v>0</v>
      </c>
      <c r="BD211" s="462">
        <f>IF(AND(AT211&lt;&gt;0,AX211&gt;=MAXSSDI),SSDI*MAXSSDI*P211,IF(AT211&lt;&gt;0,SSDI*W211,0))</f>
        <v>0</v>
      </c>
      <c r="BE211" s="462">
        <f>IF(AT211&lt;&gt;0,SSHI*W211,0)</f>
        <v>0</v>
      </c>
      <c r="BF211" s="462">
        <f>IF(AND(AT211&lt;&gt;0,AN211&lt;&gt;"NE"),VLOOKUP(AN211,Retirement_Rates,3,FALSE)*W211,0)</f>
        <v>0</v>
      </c>
      <c r="BG211" s="462">
        <f>IF(AND(AT211&lt;&gt;0,AJ211&lt;&gt;"PF"),Life*W211,0)</f>
        <v>0</v>
      </c>
      <c r="BH211" s="462">
        <f>IF(AND(AT211&lt;&gt;0,AM211="Y"),UI*W211,0)</f>
        <v>0</v>
      </c>
      <c r="BI211" s="462">
        <f>IF(AND(AT211&lt;&gt;0,N211&lt;&gt;"NR"),DHR*W211,0)</f>
        <v>0</v>
      </c>
      <c r="BJ211" s="462">
        <f>IF(AT211&lt;&gt;0,WC*W211,0)</f>
        <v>0</v>
      </c>
      <c r="BK211" s="462">
        <f>IF(OR(AND(AT211&lt;&gt;0,AJ211&lt;&gt;"PF",AN211&lt;&gt;"NE",AG211&lt;&gt;"A"),AND(AL211="E",OR(AT211=1,AT211=3))),Sick*W211,0)</f>
        <v>0</v>
      </c>
      <c r="BL211" s="462">
        <f t="shared" si="56"/>
        <v>0</v>
      </c>
      <c r="BM211" s="462">
        <f t="shared" si="57"/>
        <v>0</v>
      </c>
      <c r="BN211" s="462">
        <f>IF(AND(AT211=1,AK211="E",AU211&gt;=0.75,AW211=1),HealthBY,IF(AND(AT211=1,AK211="E",AU211&gt;=0.75),HealthBY*P211,IF(AND(AT211=1,AK211="E",AU211&gt;=0.5,AW211=1),PTHealthBY,IF(AND(AT211=1,AK211="E",AU211&gt;=0.5),PTHealthBY*P211,0))))</f>
        <v>0</v>
      </c>
      <c r="BO211" s="462">
        <f>IF(AND(AT211=3,AK211="E",AV211&gt;=0.75,AW211=1),HealthBY,IF(AND(AT211=3,AK211="E",AV211&gt;=0.75),HealthBY*P211,IF(AND(AT211=3,AK211="E",AV211&gt;=0.5,AW211=1),PTHealthBY,IF(AND(AT211=3,AK211="E",AV211&gt;=0.5),PTHealthBY*P211,0))))</f>
        <v>0</v>
      </c>
      <c r="BP211" s="462">
        <f>IF(AND(AT211&lt;&gt;0,(AX211+BA211)&gt;=MAXSSDIBY),SSDIBY*MAXSSDIBY*P211,IF(AT211&lt;&gt;0,SSDIBY*W211,0))</f>
        <v>0</v>
      </c>
      <c r="BQ211" s="462">
        <f>IF(AT211&lt;&gt;0,SSHIBY*W211,0)</f>
        <v>0</v>
      </c>
      <c r="BR211" s="462">
        <f>IF(AND(AT211&lt;&gt;0,AN211&lt;&gt;"NE"),VLOOKUP(AN211,Retirement_Rates,4,FALSE)*W211,0)</f>
        <v>0</v>
      </c>
      <c r="BS211" s="462">
        <f>IF(AND(AT211&lt;&gt;0,AJ211&lt;&gt;"PF"),LifeBY*W211,0)</f>
        <v>0</v>
      </c>
      <c r="BT211" s="462">
        <f>IF(AND(AT211&lt;&gt;0,AM211="Y"),UIBY*W211,0)</f>
        <v>0</v>
      </c>
      <c r="BU211" s="462">
        <f>IF(AND(AT211&lt;&gt;0,N211&lt;&gt;"NR"),DHRBY*W211,0)</f>
        <v>0</v>
      </c>
      <c r="BV211" s="462">
        <f>IF(AT211&lt;&gt;0,WCBY*W211,0)</f>
        <v>0</v>
      </c>
      <c r="BW211" s="462">
        <f>IF(OR(AND(AT211&lt;&gt;0,AJ211&lt;&gt;"PF",AN211&lt;&gt;"NE",AG211&lt;&gt;"A"),AND(AL211="E",OR(AT211=1,AT211=3))),SickBY*W211,0)</f>
        <v>0</v>
      </c>
      <c r="BX211" s="462">
        <f t="shared" si="58"/>
        <v>0</v>
      </c>
      <c r="BY211" s="462">
        <f t="shared" si="59"/>
        <v>0</v>
      </c>
      <c r="BZ211" s="462">
        <f t="shared" si="60"/>
        <v>0</v>
      </c>
      <c r="CA211" s="462">
        <f t="shared" si="61"/>
        <v>0</v>
      </c>
      <c r="CB211" s="462">
        <f t="shared" si="62"/>
        <v>0</v>
      </c>
      <c r="CC211" s="462">
        <f>IF(AT211&lt;&gt;0,SSHICHG*Y211,0)</f>
        <v>0</v>
      </c>
      <c r="CD211" s="462">
        <f>IF(AND(AT211&lt;&gt;0,AN211&lt;&gt;"NE"),VLOOKUP(AN211,Retirement_Rates,5,FALSE)*Y211,0)</f>
        <v>0</v>
      </c>
      <c r="CE211" s="462">
        <f>IF(AND(AT211&lt;&gt;0,AJ211&lt;&gt;"PF"),LifeCHG*Y211,0)</f>
        <v>0</v>
      </c>
      <c r="CF211" s="462">
        <f>IF(AND(AT211&lt;&gt;0,AM211="Y"),UICHG*Y211,0)</f>
        <v>0</v>
      </c>
      <c r="CG211" s="462">
        <f>IF(AND(AT211&lt;&gt;0,N211&lt;&gt;"NR"),DHRCHG*Y211,0)</f>
        <v>0</v>
      </c>
      <c r="CH211" s="462">
        <f>IF(AT211&lt;&gt;0,WCCHG*Y211,0)</f>
        <v>0</v>
      </c>
      <c r="CI211" s="462">
        <f>IF(OR(AND(AT211&lt;&gt;0,AJ211&lt;&gt;"PF",AN211&lt;&gt;"NE",AG211&lt;&gt;"A"),AND(AL211="E",OR(AT211=1,AT211=3))),SickCHG*Y211,0)</f>
        <v>0</v>
      </c>
      <c r="CJ211" s="462">
        <f t="shared" si="63"/>
        <v>0</v>
      </c>
      <c r="CK211" s="462" t="str">
        <f t="shared" si="64"/>
        <v/>
      </c>
      <c r="CL211" s="462" t="str">
        <f t="shared" si="65"/>
        <v/>
      </c>
      <c r="CM211" s="462" t="str">
        <f t="shared" si="66"/>
        <v/>
      </c>
      <c r="CN211" s="462" t="str">
        <f t="shared" si="67"/>
        <v>0348-00</v>
      </c>
    </row>
    <row r="212" spans="1:92" ht="15" thickBot="1" x14ac:dyDescent="0.35">
      <c r="A212" s="376" t="s">
        <v>161</v>
      </c>
      <c r="B212" s="376" t="s">
        <v>162</v>
      </c>
      <c r="C212" s="376" t="s">
        <v>725</v>
      </c>
      <c r="D212" s="376" t="s">
        <v>362</v>
      </c>
      <c r="E212" s="376" t="s">
        <v>759</v>
      </c>
      <c r="F212" s="377" t="s">
        <v>166</v>
      </c>
      <c r="G212" s="376" t="s">
        <v>651</v>
      </c>
      <c r="H212" s="378"/>
      <c r="I212" s="378"/>
      <c r="J212" s="376" t="s">
        <v>168</v>
      </c>
      <c r="K212" s="376" t="s">
        <v>363</v>
      </c>
      <c r="L212" s="376" t="s">
        <v>200</v>
      </c>
      <c r="M212" s="376" t="s">
        <v>170</v>
      </c>
      <c r="N212" s="376" t="s">
        <v>202</v>
      </c>
      <c r="O212" s="379">
        <v>1</v>
      </c>
      <c r="P212" s="460">
        <v>0</v>
      </c>
      <c r="Q212" s="460">
        <v>0</v>
      </c>
      <c r="R212" s="380">
        <v>80</v>
      </c>
      <c r="S212" s="460">
        <v>0</v>
      </c>
      <c r="T212" s="380">
        <v>562.28</v>
      </c>
      <c r="U212" s="380">
        <v>0</v>
      </c>
      <c r="V212" s="380">
        <v>288.92</v>
      </c>
      <c r="W212" s="380">
        <v>0</v>
      </c>
      <c r="X212" s="380">
        <v>0</v>
      </c>
      <c r="Y212" s="380">
        <v>0</v>
      </c>
      <c r="Z212" s="380">
        <v>0</v>
      </c>
      <c r="AA212" s="376" t="s">
        <v>726</v>
      </c>
      <c r="AB212" s="376" t="s">
        <v>719</v>
      </c>
      <c r="AC212" s="376" t="s">
        <v>727</v>
      </c>
      <c r="AD212" s="376" t="s">
        <v>247</v>
      </c>
      <c r="AE212" s="376" t="s">
        <v>363</v>
      </c>
      <c r="AF212" s="376" t="s">
        <v>210</v>
      </c>
      <c r="AG212" s="376" t="s">
        <v>177</v>
      </c>
      <c r="AH212" s="381">
        <v>22.5</v>
      </c>
      <c r="AI212" s="379">
        <v>2239</v>
      </c>
      <c r="AJ212" s="376" t="s">
        <v>178</v>
      </c>
      <c r="AK212" s="376" t="s">
        <v>179</v>
      </c>
      <c r="AL212" s="376" t="s">
        <v>180</v>
      </c>
      <c r="AM212" s="376" t="s">
        <v>181</v>
      </c>
      <c r="AN212" s="376" t="s">
        <v>68</v>
      </c>
      <c r="AO212" s="379">
        <v>80</v>
      </c>
      <c r="AP212" s="460">
        <v>1</v>
      </c>
      <c r="AQ212" s="460">
        <v>0</v>
      </c>
      <c r="AR212" s="458" t="s">
        <v>182</v>
      </c>
      <c r="AS212" s="462">
        <f t="shared" si="51"/>
        <v>0</v>
      </c>
      <c r="AT212">
        <f t="shared" si="52"/>
        <v>0</v>
      </c>
      <c r="AU212" s="462" t="str">
        <f>IF(AT212=0,"",IF(AND(AT212=1,M212="F",SUMIF(C2:C698,C212,AS2:AS698)&lt;=1),SUMIF(C2:C698,C212,AS2:AS698),IF(AND(AT212=1,M212="F",SUMIF(C2:C698,C212,AS2:AS698)&gt;1),1,"")))</f>
        <v/>
      </c>
      <c r="AV212" s="462" t="str">
        <f>IF(AT212=0,"",IF(AND(AT212=3,M212="F",SUMIF(C2:C698,C212,AS2:AS698)&lt;=1),SUMIF(C2:C698,C212,AS2:AS698),IF(AND(AT212=3,M212="F",SUMIF(C2:C698,C212,AS2:AS698)&gt;1),1,"")))</f>
        <v/>
      </c>
      <c r="AW212" s="462">
        <f>SUMIF(C2:C698,C212,O2:O698)</f>
        <v>2</v>
      </c>
      <c r="AX212" s="462">
        <f>IF(AND(M212="F",AS212&lt;&gt;0),SUMIF(C2:C698,C212,W2:W698),0)</f>
        <v>0</v>
      </c>
      <c r="AY212" s="462" t="str">
        <f t="shared" si="53"/>
        <v/>
      </c>
      <c r="AZ212" s="462" t="str">
        <f t="shared" si="54"/>
        <v/>
      </c>
      <c r="BA212" s="462">
        <f t="shared" si="55"/>
        <v>0</v>
      </c>
      <c r="BB212" s="462">
        <f>IF(AND(AT212=1,AK212="E",AU212&gt;=0.75,AW212=1),Health,IF(AND(AT212=1,AK212="E",AU212&gt;=0.75),Health*P212,IF(AND(AT212=1,AK212="E",AU212&gt;=0.5,AW212=1),PTHealth,IF(AND(AT212=1,AK212="E",AU212&gt;=0.5),PTHealth*P212,0))))</f>
        <v>0</v>
      </c>
      <c r="BC212" s="462">
        <f>IF(AND(AT212=3,AK212="E",AV212&gt;=0.75,AW212=1),Health,IF(AND(AT212=3,AK212="E",AV212&gt;=0.75),Health*P212,IF(AND(AT212=3,AK212="E",AV212&gt;=0.5,AW212=1),PTHealth,IF(AND(AT212=3,AK212="E",AV212&gt;=0.5),PTHealth*P212,0))))</f>
        <v>0</v>
      </c>
      <c r="BD212" s="462">
        <f>IF(AND(AT212&lt;&gt;0,AX212&gt;=MAXSSDI),SSDI*MAXSSDI*P212,IF(AT212&lt;&gt;0,SSDI*W212,0))</f>
        <v>0</v>
      </c>
      <c r="BE212" s="462">
        <f>IF(AT212&lt;&gt;0,SSHI*W212,0)</f>
        <v>0</v>
      </c>
      <c r="BF212" s="462">
        <f>IF(AND(AT212&lt;&gt;0,AN212&lt;&gt;"NE"),VLOOKUP(AN212,Retirement_Rates,3,FALSE)*W212,0)</f>
        <v>0</v>
      </c>
      <c r="BG212" s="462">
        <f>IF(AND(AT212&lt;&gt;0,AJ212&lt;&gt;"PF"),Life*W212,0)</f>
        <v>0</v>
      </c>
      <c r="BH212" s="462">
        <f>IF(AND(AT212&lt;&gt;0,AM212="Y"),UI*W212,0)</f>
        <v>0</v>
      </c>
      <c r="BI212" s="462">
        <f>IF(AND(AT212&lt;&gt;0,N212&lt;&gt;"NR"),DHR*W212,0)</f>
        <v>0</v>
      </c>
      <c r="BJ212" s="462">
        <f>IF(AT212&lt;&gt;0,WC*W212,0)</f>
        <v>0</v>
      </c>
      <c r="BK212" s="462">
        <f>IF(OR(AND(AT212&lt;&gt;0,AJ212&lt;&gt;"PF",AN212&lt;&gt;"NE",AG212&lt;&gt;"A"),AND(AL212="E",OR(AT212=1,AT212=3))),Sick*W212,0)</f>
        <v>0</v>
      </c>
      <c r="BL212" s="462">
        <f t="shared" si="56"/>
        <v>0</v>
      </c>
      <c r="BM212" s="462">
        <f t="shared" si="57"/>
        <v>0</v>
      </c>
      <c r="BN212" s="462">
        <f>IF(AND(AT212=1,AK212="E",AU212&gt;=0.75,AW212=1),HealthBY,IF(AND(AT212=1,AK212="E",AU212&gt;=0.75),HealthBY*P212,IF(AND(AT212=1,AK212="E",AU212&gt;=0.5,AW212=1),PTHealthBY,IF(AND(AT212=1,AK212="E",AU212&gt;=0.5),PTHealthBY*P212,0))))</f>
        <v>0</v>
      </c>
      <c r="BO212" s="462">
        <f>IF(AND(AT212=3,AK212="E",AV212&gt;=0.75,AW212=1),HealthBY,IF(AND(AT212=3,AK212="E",AV212&gt;=0.75),HealthBY*P212,IF(AND(AT212=3,AK212="E",AV212&gt;=0.5,AW212=1),PTHealthBY,IF(AND(AT212=3,AK212="E",AV212&gt;=0.5),PTHealthBY*P212,0))))</f>
        <v>0</v>
      </c>
      <c r="BP212" s="462">
        <f>IF(AND(AT212&lt;&gt;0,(AX212+BA212)&gt;=MAXSSDIBY),SSDIBY*MAXSSDIBY*P212,IF(AT212&lt;&gt;0,SSDIBY*W212,0))</f>
        <v>0</v>
      </c>
      <c r="BQ212" s="462">
        <f>IF(AT212&lt;&gt;0,SSHIBY*W212,0)</f>
        <v>0</v>
      </c>
      <c r="BR212" s="462">
        <f>IF(AND(AT212&lt;&gt;0,AN212&lt;&gt;"NE"),VLOOKUP(AN212,Retirement_Rates,4,FALSE)*W212,0)</f>
        <v>0</v>
      </c>
      <c r="BS212" s="462">
        <f>IF(AND(AT212&lt;&gt;0,AJ212&lt;&gt;"PF"),LifeBY*W212,0)</f>
        <v>0</v>
      </c>
      <c r="BT212" s="462">
        <f>IF(AND(AT212&lt;&gt;0,AM212="Y"),UIBY*W212,0)</f>
        <v>0</v>
      </c>
      <c r="BU212" s="462">
        <f>IF(AND(AT212&lt;&gt;0,N212&lt;&gt;"NR"),DHRBY*W212,0)</f>
        <v>0</v>
      </c>
      <c r="BV212" s="462">
        <f>IF(AT212&lt;&gt;0,WCBY*W212,0)</f>
        <v>0</v>
      </c>
      <c r="BW212" s="462">
        <f>IF(OR(AND(AT212&lt;&gt;0,AJ212&lt;&gt;"PF",AN212&lt;&gt;"NE",AG212&lt;&gt;"A"),AND(AL212="E",OR(AT212=1,AT212=3))),SickBY*W212,0)</f>
        <v>0</v>
      </c>
      <c r="BX212" s="462">
        <f t="shared" si="58"/>
        <v>0</v>
      </c>
      <c r="BY212" s="462">
        <f t="shared" si="59"/>
        <v>0</v>
      </c>
      <c r="BZ212" s="462">
        <f t="shared" si="60"/>
        <v>0</v>
      </c>
      <c r="CA212" s="462">
        <f t="shared" si="61"/>
        <v>0</v>
      </c>
      <c r="CB212" s="462">
        <f t="shared" si="62"/>
        <v>0</v>
      </c>
      <c r="CC212" s="462">
        <f>IF(AT212&lt;&gt;0,SSHICHG*Y212,0)</f>
        <v>0</v>
      </c>
      <c r="CD212" s="462">
        <f>IF(AND(AT212&lt;&gt;0,AN212&lt;&gt;"NE"),VLOOKUP(AN212,Retirement_Rates,5,FALSE)*Y212,0)</f>
        <v>0</v>
      </c>
      <c r="CE212" s="462">
        <f>IF(AND(AT212&lt;&gt;0,AJ212&lt;&gt;"PF"),LifeCHG*Y212,0)</f>
        <v>0</v>
      </c>
      <c r="CF212" s="462">
        <f>IF(AND(AT212&lt;&gt;0,AM212="Y"),UICHG*Y212,0)</f>
        <v>0</v>
      </c>
      <c r="CG212" s="462">
        <f>IF(AND(AT212&lt;&gt;0,N212&lt;&gt;"NR"),DHRCHG*Y212,0)</f>
        <v>0</v>
      </c>
      <c r="CH212" s="462">
        <f>IF(AT212&lt;&gt;0,WCCHG*Y212,0)</f>
        <v>0</v>
      </c>
      <c r="CI212" s="462">
        <f>IF(OR(AND(AT212&lt;&gt;0,AJ212&lt;&gt;"PF",AN212&lt;&gt;"NE",AG212&lt;&gt;"A"),AND(AL212="E",OR(AT212=1,AT212=3))),SickCHG*Y212,0)</f>
        <v>0</v>
      </c>
      <c r="CJ212" s="462">
        <f t="shared" si="63"/>
        <v>0</v>
      </c>
      <c r="CK212" s="462" t="str">
        <f t="shared" si="64"/>
        <v/>
      </c>
      <c r="CL212" s="462" t="str">
        <f t="shared" si="65"/>
        <v/>
      </c>
      <c r="CM212" s="462" t="str">
        <f t="shared" si="66"/>
        <v/>
      </c>
      <c r="CN212" s="462" t="str">
        <f t="shared" si="67"/>
        <v>0348-00</v>
      </c>
    </row>
    <row r="213" spans="1:92" ht="15" thickBot="1" x14ac:dyDescent="0.35">
      <c r="A213" s="376" t="s">
        <v>161</v>
      </c>
      <c r="B213" s="376" t="s">
        <v>162</v>
      </c>
      <c r="C213" s="376" t="s">
        <v>728</v>
      </c>
      <c r="D213" s="376" t="s">
        <v>362</v>
      </c>
      <c r="E213" s="376" t="s">
        <v>759</v>
      </c>
      <c r="F213" s="377" t="s">
        <v>166</v>
      </c>
      <c r="G213" s="376" t="s">
        <v>651</v>
      </c>
      <c r="H213" s="378"/>
      <c r="I213" s="378"/>
      <c r="J213" s="376" t="s">
        <v>168</v>
      </c>
      <c r="K213" s="376" t="s">
        <v>363</v>
      </c>
      <c r="L213" s="376" t="s">
        <v>200</v>
      </c>
      <c r="M213" s="376" t="s">
        <v>170</v>
      </c>
      <c r="N213" s="376" t="s">
        <v>202</v>
      </c>
      <c r="O213" s="379">
        <v>1</v>
      </c>
      <c r="P213" s="460">
        <v>0</v>
      </c>
      <c r="Q213" s="460">
        <v>0</v>
      </c>
      <c r="R213" s="380">
        <v>80</v>
      </c>
      <c r="S213" s="460">
        <v>0</v>
      </c>
      <c r="T213" s="380">
        <v>8573.31</v>
      </c>
      <c r="U213" s="380">
        <v>0</v>
      </c>
      <c r="V213" s="380">
        <v>4204.3900000000003</v>
      </c>
      <c r="W213" s="380">
        <v>0</v>
      </c>
      <c r="X213" s="380">
        <v>0</v>
      </c>
      <c r="Y213" s="380">
        <v>0</v>
      </c>
      <c r="Z213" s="380">
        <v>0</v>
      </c>
      <c r="AA213" s="376" t="s">
        <v>729</v>
      </c>
      <c r="AB213" s="376" t="s">
        <v>730</v>
      </c>
      <c r="AC213" s="376" t="s">
        <v>731</v>
      </c>
      <c r="AD213" s="376" t="s">
        <v>215</v>
      </c>
      <c r="AE213" s="376" t="s">
        <v>363</v>
      </c>
      <c r="AF213" s="376" t="s">
        <v>210</v>
      </c>
      <c r="AG213" s="376" t="s">
        <v>177</v>
      </c>
      <c r="AH213" s="381">
        <v>22.5</v>
      </c>
      <c r="AI213" s="379">
        <v>13122</v>
      </c>
      <c r="AJ213" s="376" t="s">
        <v>178</v>
      </c>
      <c r="AK213" s="376" t="s">
        <v>179</v>
      </c>
      <c r="AL213" s="376" t="s">
        <v>180</v>
      </c>
      <c r="AM213" s="376" t="s">
        <v>181</v>
      </c>
      <c r="AN213" s="376" t="s">
        <v>68</v>
      </c>
      <c r="AO213" s="379">
        <v>80</v>
      </c>
      <c r="AP213" s="460">
        <v>1</v>
      </c>
      <c r="AQ213" s="460">
        <v>0</v>
      </c>
      <c r="AR213" s="458" t="s">
        <v>182</v>
      </c>
      <c r="AS213" s="462">
        <f t="shared" si="51"/>
        <v>0</v>
      </c>
      <c r="AT213">
        <f t="shared" si="52"/>
        <v>0</v>
      </c>
      <c r="AU213" s="462" t="str">
        <f>IF(AT213=0,"",IF(AND(AT213=1,M213="F",SUMIF(C2:C698,C213,AS2:AS698)&lt;=1),SUMIF(C2:C698,C213,AS2:AS698),IF(AND(AT213=1,M213="F",SUMIF(C2:C698,C213,AS2:AS698)&gt;1),1,"")))</f>
        <v/>
      </c>
      <c r="AV213" s="462" t="str">
        <f>IF(AT213=0,"",IF(AND(AT213=3,M213="F",SUMIF(C2:C698,C213,AS2:AS698)&lt;=1),SUMIF(C2:C698,C213,AS2:AS698),IF(AND(AT213=3,M213="F",SUMIF(C2:C698,C213,AS2:AS698)&gt;1),1,"")))</f>
        <v/>
      </c>
      <c r="AW213" s="462">
        <f>SUMIF(C2:C698,C213,O2:O698)</f>
        <v>2</v>
      </c>
      <c r="AX213" s="462">
        <f>IF(AND(M213="F",AS213&lt;&gt;0),SUMIF(C2:C698,C213,W2:W698),0)</f>
        <v>0</v>
      </c>
      <c r="AY213" s="462" t="str">
        <f t="shared" si="53"/>
        <v/>
      </c>
      <c r="AZ213" s="462" t="str">
        <f t="shared" si="54"/>
        <v/>
      </c>
      <c r="BA213" s="462">
        <f t="shared" si="55"/>
        <v>0</v>
      </c>
      <c r="BB213" s="462">
        <f>IF(AND(AT213=1,AK213="E",AU213&gt;=0.75,AW213=1),Health,IF(AND(AT213=1,AK213="E",AU213&gt;=0.75),Health*P213,IF(AND(AT213=1,AK213="E",AU213&gt;=0.5,AW213=1),PTHealth,IF(AND(AT213=1,AK213="E",AU213&gt;=0.5),PTHealth*P213,0))))</f>
        <v>0</v>
      </c>
      <c r="BC213" s="462">
        <f>IF(AND(AT213=3,AK213="E",AV213&gt;=0.75,AW213=1),Health,IF(AND(AT213=3,AK213="E",AV213&gt;=0.75),Health*P213,IF(AND(AT213=3,AK213="E",AV213&gt;=0.5,AW213=1),PTHealth,IF(AND(AT213=3,AK213="E",AV213&gt;=0.5),PTHealth*P213,0))))</f>
        <v>0</v>
      </c>
      <c r="BD213" s="462">
        <f>IF(AND(AT213&lt;&gt;0,AX213&gt;=MAXSSDI),SSDI*MAXSSDI*P213,IF(AT213&lt;&gt;0,SSDI*W213,0))</f>
        <v>0</v>
      </c>
      <c r="BE213" s="462">
        <f>IF(AT213&lt;&gt;0,SSHI*W213,0)</f>
        <v>0</v>
      </c>
      <c r="BF213" s="462">
        <f>IF(AND(AT213&lt;&gt;0,AN213&lt;&gt;"NE"),VLOOKUP(AN213,Retirement_Rates,3,FALSE)*W213,0)</f>
        <v>0</v>
      </c>
      <c r="BG213" s="462">
        <f>IF(AND(AT213&lt;&gt;0,AJ213&lt;&gt;"PF"),Life*W213,0)</f>
        <v>0</v>
      </c>
      <c r="BH213" s="462">
        <f>IF(AND(AT213&lt;&gt;0,AM213="Y"),UI*W213,0)</f>
        <v>0</v>
      </c>
      <c r="BI213" s="462">
        <f>IF(AND(AT213&lt;&gt;0,N213&lt;&gt;"NR"),DHR*W213,0)</f>
        <v>0</v>
      </c>
      <c r="BJ213" s="462">
        <f>IF(AT213&lt;&gt;0,WC*W213,0)</f>
        <v>0</v>
      </c>
      <c r="BK213" s="462">
        <f>IF(OR(AND(AT213&lt;&gt;0,AJ213&lt;&gt;"PF",AN213&lt;&gt;"NE",AG213&lt;&gt;"A"),AND(AL213="E",OR(AT213=1,AT213=3))),Sick*W213,0)</f>
        <v>0</v>
      </c>
      <c r="BL213" s="462">
        <f t="shared" si="56"/>
        <v>0</v>
      </c>
      <c r="BM213" s="462">
        <f t="shared" si="57"/>
        <v>0</v>
      </c>
      <c r="BN213" s="462">
        <f>IF(AND(AT213=1,AK213="E",AU213&gt;=0.75,AW213=1),HealthBY,IF(AND(AT213=1,AK213="E",AU213&gt;=0.75),HealthBY*P213,IF(AND(AT213=1,AK213="E",AU213&gt;=0.5,AW213=1),PTHealthBY,IF(AND(AT213=1,AK213="E",AU213&gt;=0.5),PTHealthBY*P213,0))))</f>
        <v>0</v>
      </c>
      <c r="BO213" s="462">
        <f>IF(AND(AT213=3,AK213="E",AV213&gt;=0.75,AW213=1),HealthBY,IF(AND(AT213=3,AK213="E",AV213&gt;=0.75),HealthBY*P213,IF(AND(AT213=3,AK213="E",AV213&gt;=0.5,AW213=1),PTHealthBY,IF(AND(AT213=3,AK213="E",AV213&gt;=0.5),PTHealthBY*P213,0))))</f>
        <v>0</v>
      </c>
      <c r="BP213" s="462">
        <f>IF(AND(AT213&lt;&gt;0,(AX213+BA213)&gt;=MAXSSDIBY),SSDIBY*MAXSSDIBY*P213,IF(AT213&lt;&gt;0,SSDIBY*W213,0))</f>
        <v>0</v>
      </c>
      <c r="BQ213" s="462">
        <f>IF(AT213&lt;&gt;0,SSHIBY*W213,0)</f>
        <v>0</v>
      </c>
      <c r="BR213" s="462">
        <f>IF(AND(AT213&lt;&gt;0,AN213&lt;&gt;"NE"),VLOOKUP(AN213,Retirement_Rates,4,FALSE)*W213,0)</f>
        <v>0</v>
      </c>
      <c r="BS213" s="462">
        <f>IF(AND(AT213&lt;&gt;0,AJ213&lt;&gt;"PF"),LifeBY*W213,0)</f>
        <v>0</v>
      </c>
      <c r="BT213" s="462">
        <f>IF(AND(AT213&lt;&gt;0,AM213="Y"),UIBY*W213,0)</f>
        <v>0</v>
      </c>
      <c r="BU213" s="462">
        <f>IF(AND(AT213&lt;&gt;0,N213&lt;&gt;"NR"),DHRBY*W213,0)</f>
        <v>0</v>
      </c>
      <c r="BV213" s="462">
        <f>IF(AT213&lt;&gt;0,WCBY*W213,0)</f>
        <v>0</v>
      </c>
      <c r="BW213" s="462">
        <f>IF(OR(AND(AT213&lt;&gt;0,AJ213&lt;&gt;"PF",AN213&lt;&gt;"NE",AG213&lt;&gt;"A"),AND(AL213="E",OR(AT213=1,AT213=3))),SickBY*W213,0)</f>
        <v>0</v>
      </c>
      <c r="BX213" s="462">
        <f t="shared" si="58"/>
        <v>0</v>
      </c>
      <c r="BY213" s="462">
        <f t="shared" si="59"/>
        <v>0</v>
      </c>
      <c r="BZ213" s="462">
        <f t="shared" si="60"/>
        <v>0</v>
      </c>
      <c r="CA213" s="462">
        <f t="shared" si="61"/>
        <v>0</v>
      </c>
      <c r="CB213" s="462">
        <f t="shared" si="62"/>
        <v>0</v>
      </c>
      <c r="CC213" s="462">
        <f>IF(AT213&lt;&gt;0,SSHICHG*Y213,0)</f>
        <v>0</v>
      </c>
      <c r="CD213" s="462">
        <f>IF(AND(AT213&lt;&gt;0,AN213&lt;&gt;"NE"),VLOOKUP(AN213,Retirement_Rates,5,FALSE)*Y213,0)</f>
        <v>0</v>
      </c>
      <c r="CE213" s="462">
        <f>IF(AND(AT213&lt;&gt;0,AJ213&lt;&gt;"PF"),LifeCHG*Y213,0)</f>
        <v>0</v>
      </c>
      <c r="CF213" s="462">
        <f>IF(AND(AT213&lt;&gt;0,AM213="Y"),UICHG*Y213,0)</f>
        <v>0</v>
      </c>
      <c r="CG213" s="462">
        <f>IF(AND(AT213&lt;&gt;0,N213&lt;&gt;"NR"),DHRCHG*Y213,0)</f>
        <v>0</v>
      </c>
      <c r="CH213" s="462">
        <f>IF(AT213&lt;&gt;0,WCCHG*Y213,0)</f>
        <v>0</v>
      </c>
      <c r="CI213" s="462">
        <f>IF(OR(AND(AT213&lt;&gt;0,AJ213&lt;&gt;"PF",AN213&lt;&gt;"NE",AG213&lt;&gt;"A"),AND(AL213="E",OR(AT213=1,AT213=3))),SickCHG*Y213,0)</f>
        <v>0</v>
      </c>
      <c r="CJ213" s="462">
        <f t="shared" si="63"/>
        <v>0</v>
      </c>
      <c r="CK213" s="462" t="str">
        <f t="shared" si="64"/>
        <v/>
      </c>
      <c r="CL213" s="462" t="str">
        <f t="shared" si="65"/>
        <v/>
      </c>
      <c r="CM213" s="462" t="str">
        <f t="shared" si="66"/>
        <v/>
      </c>
      <c r="CN213" s="462" t="str">
        <f t="shared" si="67"/>
        <v>0348-00</v>
      </c>
    </row>
    <row r="214" spans="1:92" ht="15" thickBot="1" x14ac:dyDescent="0.35">
      <c r="A214" s="376" t="s">
        <v>161</v>
      </c>
      <c r="B214" s="376" t="s">
        <v>162</v>
      </c>
      <c r="C214" s="376" t="s">
        <v>732</v>
      </c>
      <c r="D214" s="376" t="s">
        <v>250</v>
      </c>
      <c r="E214" s="376" t="s">
        <v>759</v>
      </c>
      <c r="F214" s="377" t="s">
        <v>166</v>
      </c>
      <c r="G214" s="376" t="s">
        <v>651</v>
      </c>
      <c r="H214" s="378"/>
      <c r="I214" s="378"/>
      <c r="J214" s="376" t="s">
        <v>168</v>
      </c>
      <c r="K214" s="376" t="s">
        <v>407</v>
      </c>
      <c r="L214" s="376" t="s">
        <v>247</v>
      </c>
      <c r="M214" s="376" t="s">
        <v>170</v>
      </c>
      <c r="N214" s="376" t="s">
        <v>202</v>
      </c>
      <c r="O214" s="379">
        <v>1</v>
      </c>
      <c r="P214" s="460">
        <v>0</v>
      </c>
      <c r="Q214" s="460">
        <v>0</v>
      </c>
      <c r="R214" s="380">
        <v>80</v>
      </c>
      <c r="S214" s="460">
        <v>0</v>
      </c>
      <c r="T214" s="380">
        <v>11429.61</v>
      </c>
      <c r="U214" s="380">
        <v>0</v>
      </c>
      <c r="V214" s="380">
        <v>4509.17</v>
      </c>
      <c r="W214" s="380">
        <v>0</v>
      </c>
      <c r="X214" s="380">
        <v>0</v>
      </c>
      <c r="Y214" s="380">
        <v>0</v>
      </c>
      <c r="Z214" s="380">
        <v>0</v>
      </c>
      <c r="AA214" s="376" t="s">
        <v>733</v>
      </c>
      <c r="AB214" s="376" t="s">
        <v>734</v>
      </c>
      <c r="AC214" s="376" t="s">
        <v>735</v>
      </c>
      <c r="AD214" s="376" t="s">
        <v>736</v>
      </c>
      <c r="AE214" s="376" t="s">
        <v>407</v>
      </c>
      <c r="AF214" s="376" t="s">
        <v>299</v>
      </c>
      <c r="AG214" s="376" t="s">
        <v>177</v>
      </c>
      <c r="AH214" s="381">
        <v>30.04</v>
      </c>
      <c r="AI214" s="379">
        <v>22720</v>
      </c>
      <c r="AJ214" s="376" t="s">
        <v>178</v>
      </c>
      <c r="AK214" s="376" t="s">
        <v>179</v>
      </c>
      <c r="AL214" s="376" t="s">
        <v>180</v>
      </c>
      <c r="AM214" s="376" t="s">
        <v>181</v>
      </c>
      <c r="AN214" s="376" t="s">
        <v>68</v>
      </c>
      <c r="AO214" s="379">
        <v>80</v>
      </c>
      <c r="AP214" s="460">
        <v>1</v>
      </c>
      <c r="AQ214" s="460">
        <v>0</v>
      </c>
      <c r="AR214" s="458" t="s">
        <v>182</v>
      </c>
      <c r="AS214" s="462">
        <f t="shared" si="51"/>
        <v>0</v>
      </c>
      <c r="AT214">
        <f t="shared" si="52"/>
        <v>0</v>
      </c>
      <c r="AU214" s="462" t="str">
        <f>IF(AT214=0,"",IF(AND(AT214=1,M214="F",SUMIF(C2:C698,C214,AS2:AS698)&lt;=1),SUMIF(C2:C698,C214,AS2:AS698),IF(AND(AT214=1,M214="F",SUMIF(C2:C698,C214,AS2:AS698)&gt;1),1,"")))</f>
        <v/>
      </c>
      <c r="AV214" s="462" t="str">
        <f>IF(AT214=0,"",IF(AND(AT214=3,M214="F",SUMIF(C2:C698,C214,AS2:AS698)&lt;=1),SUMIF(C2:C698,C214,AS2:AS698),IF(AND(AT214=3,M214="F",SUMIF(C2:C698,C214,AS2:AS698)&gt;1),1,"")))</f>
        <v/>
      </c>
      <c r="AW214" s="462">
        <f>SUMIF(C2:C698,C214,O2:O698)</f>
        <v>2</v>
      </c>
      <c r="AX214" s="462">
        <f>IF(AND(M214="F",AS214&lt;&gt;0),SUMIF(C2:C698,C214,W2:W698),0)</f>
        <v>0</v>
      </c>
      <c r="AY214" s="462" t="str">
        <f t="shared" si="53"/>
        <v/>
      </c>
      <c r="AZ214" s="462" t="str">
        <f t="shared" si="54"/>
        <v/>
      </c>
      <c r="BA214" s="462">
        <f t="shared" si="55"/>
        <v>0</v>
      </c>
      <c r="BB214" s="462">
        <f>IF(AND(AT214=1,AK214="E",AU214&gt;=0.75,AW214=1),Health,IF(AND(AT214=1,AK214="E",AU214&gt;=0.75),Health*P214,IF(AND(AT214=1,AK214="E",AU214&gt;=0.5,AW214=1),PTHealth,IF(AND(AT214=1,AK214="E",AU214&gt;=0.5),PTHealth*P214,0))))</f>
        <v>0</v>
      </c>
      <c r="BC214" s="462">
        <f>IF(AND(AT214=3,AK214="E",AV214&gt;=0.75,AW214=1),Health,IF(AND(AT214=3,AK214="E",AV214&gt;=0.75),Health*P214,IF(AND(AT214=3,AK214="E",AV214&gt;=0.5,AW214=1),PTHealth,IF(AND(AT214=3,AK214="E",AV214&gt;=0.5),PTHealth*P214,0))))</f>
        <v>0</v>
      </c>
      <c r="BD214" s="462">
        <f>IF(AND(AT214&lt;&gt;0,AX214&gt;=MAXSSDI),SSDI*MAXSSDI*P214,IF(AT214&lt;&gt;0,SSDI*W214,0))</f>
        <v>0</v>
      </c>
      <c r="BE214" s="462">
        <f>IF(AT214&lt;&gt;0,SSHI*W214,0)</f>
        <v>0</v>
      </c>
      <c r="BF214" s="462">
        <f>IF(AND(AT214&lt;&gt;0,AN214&lt;&gt;"NE"),VLOOKUP(AN214,Retirement_Rates,3,FALSE)*W214,0)</f>
        <v>0</v>
      </c>
      <c r="BG214" s="462">
        <f>IF(AND(AT214&lt;&gt;0,AJ214&lt;&gt;"PF"),Life*W214,0)</f>
        <v>0</v>
      </c>
      <c r="BH214" s="462">
        <f>IF(AND(AT214&lt;&gt;0,AM214="Y"),UI*W214,0)</f>
        <v>0</v>
      </c>
      <c r="BI214" s="462">
        <f>IF(AND(AT214&lt;&gt;0,N214&lt;&gt;"NR"),DHR*W214,0)</f>
        <v>0</v>
      </c>
      <c r="BJ214" s="462">
        <f>IF(AT214&lt;&gt;0,WC*W214,0)</f>
        <v>0</v>
      </c>
      <c r="BK214" s="462">
        <f>IF(OR(AND(AT214&lt;&gt;0,AJ214&lt;&gt;"PF",AN214&lt;&gt;"NE",AG214&lt;&gt;"A"),AND(AL214="E",OR(AT214=1,AT214=3))),Sick*W214,0)</f>
        <v>0</v>
      </c>
      <c r="BL214" s="462">
        <f t="shared" si="56"/>
        <v>0</v>
      </c>
      <c r="BM214" s="462">
        <f t="shared" si="57"/>
        <v>0</v>
      </c>
      <c r="BN214" s="462">
        <f>IF(AND(AT214=1,AK214="E",AU214&gt;=0.75,AW214=1),HealthBY,IF(AND(AT214=1,AK214="E",AU214&gt;=0.75),HealthBY*P214,IF(AND(AT214=1,AK214="E",AU214&gt;=0.5,AW214=1),PTHealthBY,IF(AND(AT214=1,AK214="E",AU214&gt;=0.5),PTHealthBY*P214,0))))</f>
        <v>0</v>
      </c>
      <c r="BO214" s="462">
        <f>IF(AND(AT214=3,AK214="E",AV214&gt;=0.75,AW214=1),HealthBY,IF(AND(AT214=3,AK214="E",AV214&gt;=0.75),HealthBY*P214,IF(AND(AT214=3,AK214="E",AV214&gt;=0.5,AW214=1),PTHealthBY,IF(AND(AT214=3,AK214="E",AV214&gt;=0.5),PTHealthBY*P214,0))))</f>
        <v>0</v>
      </c>
      <c r="BP214" s="462">
        <f>IF(AND(AT214&lt;&gt;0,(AX214+BA214)&gt;=MAXSSDIBY),SSDIBY*MAXSSDIBY*P214,IF(AT214&lt;&gt;0,SSDIBY*W214,0))</f>
        <v>0</v>
      </c>
      <c r="BQ214" s="462">
        <f>IF(AT214&lt;&gt;0,SSHIBY*W214,0)</f>
        <v>0</v>
      </c>
      <c r="BR214" s="462">
        <f>IF(AND(AT214&lt;&gt;0,AN214&lt;&gt;"NE"),VLOOKUP(AN214,Retirement_Rates,4,FALSE)*W214,0)</f>
        <v>0</v>
      </c>
      <c r="BS214" s="462">
        <f>IF(AND(AT214&lt;&gt;0,AJ214&lt;&gt;"PF"),LifeBY*W214,0)</f>
        <v>0</v>
      </c>
      <c r="BT214" s="462">
        <f>IF(AND(AT214&lt;&gt;0,AM214="Y"),UIBY*W214,0)</f>
        <v>0</v>
      </c>
      <c r="BU214" s="462">
        <f>IF(AND(AT214&lt;&gt;0,N214&lt;&gt;"NR"),DHRBY*W214,0)</f>
        <v>0</v>
      </c>
      <c r="BV214" s="462">
        <f>IF(AT214&lt;&gt;0,WCBY*W214,0)</f>
        <v>0</v>
      </c>
      <c r="BW214" s="462">
        <f>IF(OR(AND(AT214&lt;&gt;0,AJ214&lt;&gt;"PF",AN214&lt;&gt;"NE",AG214&lt;&gt;"A"),AND(AL214="E",OR(AT214=1,AT214=3))),SickBY*W214,0)</f>
        <v>0</v>
      </c>
      <c r="BX214" s="462">
        <f t="shared" si="58"/>
        <v>0</v>
      </c>
      <c r="BY214" s="462">
        <f t="shared" si="59"/>
        <v>0</v>
      </c>
      <c r="BZ214" s="462">
        <f t="shared" si="60"/>
        <v>0</v>
      </c>
      <c r="CA214" s="462">
        <f t="shared" si="61"/>
        <v>0</v>
      </c>
      <c r="CB214" s="462">
        <f t="shared" si="62"/>
        <v>0</v>
      </c>
      <c r="CC214" s="462">
        <f>IF(AT214&lt;&gt;0,SSHICHG*Y214,0)</f>
        <v>0</v>
      </c>
      <c r="CD214" s="462">
        <f>IF(AND(AT214&lt;&gt;0,AN214&lt;&gt;"NE"),VLOOKUP(AN214,Retirement_Rates,5,FALSE)*Y214,0)</f>
        <v>0</v>
      </c>
      <c r="CE214" s="462">
        <f>IF(AND(AT214&lt;&gt;0,AJ214&lt;&gt;"PF"),LifeCHG*Y214,0)</f>
        <v>0</v>
      </c>
      <c r="CF214" s="462">
        <f>IF(AND(AT214&lt;&gt;0,AM214="Y"),UICHG*Y214,0)</f>
        <v>0</v>
      </c>
      <c r="CG214" s="462">
        <f>IF(AND(AT214&lt;&gt;0,N214&lt;&gt;"NR"),DHRCHG*Y214,0)</f>
        <v>0</v>
      </c>
      <c r="CH214" s="462">
        <f>IF(AT214&lt;&gt;0,WCCHG*Y214,0)</f>
        <v>0</v>
      </c>
      <c r="CI214" s="462">
        <f>IF(OR(AND(AT214&lt;&gt;0,AJ214&lt;&gt;"PF",AN214&lt;&gt;"NE",AG214&lt;&gt;"A"),AND(AL214="E",OR(AT214=1,AT214=3))),SickCHG*Y214,0)</f>
        <v>0</v>
      </c>
      <c r="CJ214" s="462">
        <f t="shared" si="63"/>
        <v>0</v>
      </c>
      <c r="CK214" s="462" t="str">
        <f t="shared" si="64"/>
        <v/>
      </c>
      <c r="CL214" s="462" t="str">
        <f t="shared" si="65"/>
        <v/>
      </c>
      <c r="CM214" s="462" t="str">
        <f t="shared" si="66"/>
        <v/>
      </c>
      <c r="CN214" s="462" t="str">
        <f t="shared" si="67"/>
        <v>0348-00</v>
      </c>
    </row>
    <row r="215" spans="1:92" ht="15" thickBot="1" x14ac:dyDescent="0.35">
      <c r="A215" s="376" t="s">
        <v>161</v>
      </c>
      <c r="B215" s="376" t="s">
        <v>162</v>
      </c>
      <c r="C215" s="376" t="s">
        <v>737</v>
      </c>
      <c r="D215" s="376" t="s">
        <v>362</v>
      </c>
      <c r="E215" s="376" t="s">
        <v>759</v>
      </c>
      <c r="F215" s="377" t="s">
        <v>166</v>
      </c>
      <c r="G215" s="376" t="s">
        <v>651</v>
      </c>
      <c r="H215" s="378"/>
      <c r="I215" s="378"/>
      <c r="J215" s="376" t="s">
        <v>168</v>
      </c>
      <c r="K215" s="376" t="s">
        <v>363</v>
      </c>
      <c r="L215" s="376" t="s">
        <v>200</v>
      </c>
      <c r="M215" s="376" t="s">
        <v>170</v>
      </c>
      <c r="N215" s="376" t="s">
        <v>202</v>
      </c>
      <c r="O215" s="379">
        <v>1</v>
      </c>
      <c r="P215" s="460">
        <v>0</v>
      </c>
      <c r="Q215" s="460">
        <v>0</v>
      </c>
      <c r="R215" s="380">
        <v>80</v>
      </c>
      <c r="S215" s="460">
        <v>0</v>
      </c>
      <c r="T215" s="380">
        <v>17730.63</v>
      </c>
      <c r="U215" s="380">
        <v>0</v>
      </c>
      <c r="V215" s="380">
        <v>7452.29</v>
      </c>
      <c r="W215" s="380">
        <v>0</v>
      </c>
      <c r="X215" s="380">
        <v>0</v>
      </c>
      <c r="Y215" s="380">
        <v>0</v>
      </c>
      <c r="Z215" s="380">
        <v>0</v>
      </c>
      <c r="AA215" s="376" t="s">
        <v>738</v>
      </c>
      <c r="AB215" s="376" t="s">
        <v>739</v>
      </c>
      <c r="AC215" s="376" t="s">
        <v>740</v>
      </c>
      <c r="AD215" s="376" t="s">
        <v>741</v>
      </c>
      <c r="AE215" s="376" t="s">
        <v>363</v>
      </c>
      <c r="AF215" s="376" t="s">
        <v>210</v>
      </c>
      <c r="AG215" s="376" t="s">
        <v>177</v>
      </c>
      <c r="AH215" s="381">
        <v>28.29</v>
      </c>
      <c r="AI215" s="381">
        <v>56106.2</v>
      </c>
      <c r="AJ215" s="376" t="s">
        <v>178</v>
      </c>
      <c r="AK215" s="376" t="s">
        <v>179</v>
      </c>
      <c r="AL215" s="376" t="s">
        <v>180</v>
      </c>
      <c r="AM215" s="376" t="s">
        <v>181</v>
      </c>
      <c r="AN215" s="376" t="s">
        <v>68</v>
      </c>
      <c r="AO215" s="379">
        <v>80</v>
      </c>
      <c r="AP215" s="460">
        <v>1</v>
      </c>
      <c r="AQ215" s="460">
        <v>0</v>
      </c>
      <c r="AR215" s="458" t="s">
        <v>182</v>
      </c>
      <c r="AS215" s="462">
        <f t="shared" si="51"/>
        <v>0</v>
      </c>
      <c r="AT215">
        <f t="shared" si="52"/>
        <v>0</v>
      </c>
      <c r="AU215" s="462" t="str">
        <f>IF(AT215=0,"",IF(AND(AT215=1,M215="F",SUMIF(C2:C698,C215,AS2:AS698)&lt;=1),SUMIF(C2:C698,C215,AS2:AS698),IF(AND(AT215=1,M215="F",SUMIF(C2:C698,C215,AS2:AS698)&gt;1),1,"")))</f>
        <v/>
      </c>
      <c r="AV215" s="462" t="str">
        <f>IF(AT215=0,"",IF(AND(AT215=3,M215="F",SUMIF(C2:C698,C215,AS2:AS698)&lt;=1),SUMIF(C2:C698,C215,AS2:AS698),IF(AND(AT215=3,M215="F",SUMIF(C2:C698,C215,AS2:AS698)&gt;1),1,"")))</f>
        <v/>
      </c>
      <c r="AW215" s="462">
        <f>SUMIF(C2:C698,C215,O2:O698)</f>
        <v>2</v>
      </c>
      <c r="AX215" s="462">
        <f>IF(AND(M215="F",AS215&lt;&gt;0),SUMIF(C2:C698,C215,W2:W698),0)</f>
        <v>0</v>
      </c>
      <c r="AY215" s="462" t="str">
        <f t="shared" si="53"/>
        <v/>
      </c>
      <c r="AZ215" s="462" t="str">
        <f t="shared" si="54"/>
        <v/>
      </c>
      <c r="BA215" s="462">
        <f t="shared" si="55"/>
        <v>0</v>
      </c>
      <c r="BB215" s="462">
        <f>IF(AND(AT215=1,AK215="E",AU215&gt;=0.75,AW215=1),Health,IF(AND(AT215=1,AK215="E",AU215&gt;=0.75),Health*P215,IF(AND(AT215=1,AK215="E",AU215&gt;=0.5,AW215=1),PTHealth,IF(AND(AT215=1,AK215="E",AU215&gt;=0.5),PTHealth*P215,0))))</f>
        <v>0</v>
      </c>
      <c r="BC215" s="462">
        <f>IF(AND(AT215=3,AK215="E",AV215&gt;=0.75,AW215=1),Health,IF(AND(AT215=3,AK215="E",AV215&gt;=0.75),Health*P215,IF(AND(AT215=3,AK215="E",AV215&gt;=0.5,AW215=1),PTHealth,IF(AND(AT215=3,AK215="E",AV215&gt;=0.5),PTHealth*P215,0))))</f>
        <v>0</v>
      </c>
      <c r="BD215" s="462">
        <f>IF(AND(AT215&lt;&gt;0,AX215&gt;=MAXSSDI),SSDI*MAXSSDI*P215,IF(AT215&lt;&gt;0,SSDI*W215,0))</f>
        <v>0</v>
      </c>
      <c r="BE215" s="462">
        <f>IF(AT215&lt;&gt;0,SSHI*W215,0)</f>
        <v>0</v>
      </c>
      <c r="BF215" s="462">
        <f>IF(AND(AT215&lt;&gt;0,AN215&lt;&gt;"NE"),VLOOKUP(AN215,Retirement_Rates,3,FALSE)*W215,0)</f>
        <v>0</v>
      </c>
      <c r="BG215" s="462">
        <f>IF(AND(AT215&lt;&gt;0,AJ215&lt;&gt;"PF"),Life*W215,0)</f>
        <v>0</v>
      </c>
      <c r="BH215" s="462">
        <f>IF(AND(AT215&lt;&gt;0,AM215="Y"),UI*W215,0)</f>
        <v>0</v>
      </c>
      <c r="BI215" s="462">
        <f>IF(AND(AT215&lt;&gt;0,N215&lt;&gt;"NR"),DHR*W215,0)</f>
        <v>0</v>
      </c>
      <c r="BJ215" s="462">
        <f>IF(AT215&lt;&gt;0,WC*W215,0)</f>
        <v>0</v>
      </c>
      <c r="BK215" s="462">
        <f>IF(OR(AND(AT215&lt;&gt;0,AJ215&lt;&gt;"PF",AN215&lt;&gt;"NE",AG215&lt;&gt;"A"),AND(AL215="E",OR(AT215=1,AT215=3))),Sick*W215,0)</f>
        <v>0</v>
      </c>
      <c r="BL215" s="462">
        <f t="shared" si="56"/>
        <v>0</v>
      </c>
      <c r="BM215" s="462">
        <f t="shared" si="57"/>
        <v>0</v>
      </c>
      <c r="BN215" s="462">
        <f>IF(AND(AT215=1,AK215="E",AU215&gt;=0.75,AW215=1),HealthBY,IF(AND(AT215=1,AK215="E",AU215&gt;=0.75),HealthBY*P215,IF(AND(AT215=1,AK215="E",AU215&gt;=0.5,AW215=1),PTHealthBY,IF(AND(AT215=1,AK215="E",AU215&gt;=0.5),PTHealthBY*P215,0))))</f>
        <v>0</v>
      </c>
      <c r="BO215" s="462">
        <f>IF(AND(AT215=3,AK215="E",AV215&gt;=0.75,AW215=1),HealthBY,IF(AND(AT215=3,AK215="E",AV215&gt;=0.75),HealthBY*P215,IF(AND(AT215=3,AK215="E",AV215&gt;=0.5,AW215=1),PTHealthBY,IF(AND(AT215=3,AK215="E",AV215&gt;=0.5),PTHealthBY*P215,0))))</f>
        <v>0</v>
      </c>
      <c r="BP215" s="462">
        <f>IF(AND(AT215&lt;&gt;0,(AX215+BA215)&gt;=MAXSSDIBY),SSDIBY*MAXSSDIBY*P215,IF(AT215&lt;&gt;0,SSDIBY*W215,0))</f>
        <v>0</v>
      </c>
      <c r="BQ215" s="462">
        <f>IF(AT215&lt;&gt;0,SSHIBY*W215,0)</f>
        <v>0</v>
      </c>
      <c r="BR215" s="462">
        <f>IF(AND(AT215&lt;&gt;0,AN215&lt;&gt;"NE"),VLOOKUP(AN215,Retirement_Rates,4,FALSE)*W215,0)</f>
        <v>0</v>
      </c>
      <c r="BS215" s="462">
        <f>IF(AND(AT215&lt;&gt;0,AJ215&lt;&gt;"PF"),LifeBY*W215,0)</f>
        <v>0</v>
      </c>
      <c r="BT215" s="462">
        <f>IF(AND(AT215&lt;&gt;0,AM215="Y"),UIBY*W215,0)</f>
        <v>0</v>
      </c>
      <c r="BU215" s="462">
        <f>IF(AND(AT215&lt;&gt;0,N215&lt;&gt;"NR"),DHRBY*W215,0)</f>
        <v>0</v>
      </c>
      <c r="BV215" s="462">
        <f>IF(AT215&lt;&gt;0,WCBY*W215,0)</f>
        <v>0</v>
      </c>
      <c r="BW215" s="462">
        <f>IF(OR(AND(AT215&lt;&gt;0,AJ215&lt;&gt;"PF",AN215&lt;&gt;"NE",AG215&lt;&gt;"A"),AND(AL215="E",OR(AT215=1,AT215=3))),SickBY*W215,0)</f>
        <v>0</v>
      </c>
      <c r="BX215" s="462">
        <f t="shared" si="58"/>
        <v>0</v>
      </c>
      <c r="BY215" s="462">
        <f t="shared" si="59"/>
        <v>0</v>
      </c>
      <c r="BZ215" s="462">
        <f t="shared" si="60"/>
        <v>0</v>
      </c>
      <c r="CA215" s="462">
        <f t="shared" si="61"/>
        <v>0</v>
      </c>
      <c r="CB215" s="462">
        <f t="shared" si="62"/>
        <v>0</v>
      </c>
      <c r="CC215" s="462">
        <f>IF(AT215&lt;&gt;0,SSHICHG*Y215,0)</f>
        <v>0</v>
      </c>
      <c r="CD215" s="462">
        <f>IF(AND(AT215&lt;&gt;0,AN215&lt;&gt;"NE"),VLOOKUP(AN215,Retirement_Rates,5,FALSE)*Y215,0)</f>
        <v>0</v>
      </c>
      <c r="CE215" s="462">
        <f>IF(AND(AT215&lt;&gt;0,AJ215&lt;&gt;"PF"),LifeCHG*Y215,0)</f>
        <v>0</v>
      </c>
      <c r="CF215" s="462">
        <f>IF(AND(AT215&lt;&gt;0,AM215="Y"),UICHG*Y215,0)</f>
        <v>0</v>
      </c>
      <c r="CG215" s="462">
        <f>IF(AND(AT215&lt;&gt;0,N215&lt;&gt;"NR"),DHRCHG*Y215,0)</f>
        <v>0</v>
      </c>
      <c r="CH215" s="462">
        <f>IF(AT215&lt;&gt;0,WCCHG*Y215,0)</f>
        <v>0</v>
      </c>
      <c r="CI215" s="462">
        <f>IF(OR(AND(AT215&lt;&gt;0,AJ215&lt;&gt;"PF",AN215&lt;&gt;"NE",AG215&lt;&gt;"A"),AND(AL215="E",OR(AT215=1,AT215=3))),SickCHG*Y215,0)</f>
        <v>0</v>
      </c>
      <c r="CJ215" s="462">
        <f t="shared" si="63"/>
        <v>0</v>
      </c>
      <c r="CK215" s="462" t="str">
        <f t="shared" si="64"/>
        <v/>
      </c>
      <c r="CL215" s="462" t="str">
        <f t="shared" si="65"/>
        <v/>
      </c>
      <c r="CM215" s="462" t="str">
        <f t="shared" si="66"/>
        <v/>
      </c>
      <c r="CN215" s="462" t="str">
        <f t="shared" si="67"/>
        <v>0348-00</v>
      </c>
    </row>
    <row r="216" spans="1:92" ht="15" thickBot="1" x14ac:dyDescent="0.35">
      <c r="A216" s="376" t="s">
        <v>161</v>
      </c>
      <c r="B216" s="376" t="s">
        <v>162</v>
      </c>
      <c r="C216" s="376" t="s">
        <v>361</v>
      </c>
      <c r="D216" s="376" t="s">
        <v>362</v>
      </c>
      <c r="E216" s="376" t="s">
        <v>759</v>
      </c>
      <c r="F216" s="377" t="s">
        <v>166</v>
      </c>
      <c r="G216" s="376" t="s">
        <v>651</v>
      </c>
      <c r="H216" s="378"/>
      <c r="I216" s="378"/>
      <c r="J216" s="376" t="s">
        <v>168</v>
      </c>
      <c r="K216" s="376" t="s">
        <v>363</v>
      </c>
      <c r="L216" s="376" t="s">
        <v>200</v>
      </c>
      <c r="M216" s="376" t="s">
        <v>201</v>
      </c>
      <c r="N216" s="376" t="s">
        <v>202</v>
      </c>
      <c r="O216" s="379">
        <v>0</v>
      </c>
      <c r="P216" s="460">
        <v>0</v>
      </c>
      <c r="Q216" s="460">
        <v>0</v>
      </c>
      <c r="R216" s="380">
        <v>80</v>
      </c>
      <c r="S216" s="460">
        <v>0</v>
      </c>
      <c r="T216" s="380">
        <v>8469.9599999999991</v>
      </c>
      <c r="U216" s="380">
        <v>0</v>
      </c>
      <c r="V216" s="380">
        <v>4295.45</v>
      </c>
      <c r="W216" s="380">
        <v>0</v>
      </c>
      <c r="X216" s="380">
        <v>0</v>
      </c>
      <c r="Y216" s="380">
        <v>0</v>
      </c>
      <c r="Z216" s="380">
        <v>0</v>
      </c>
      <c r="AA216" s="378"/>
      <c r="AB216" s="376" t="s">
        <v>45</v>
      </c>
      <c r="AC216" s="376" t="s">
        <v>45</v>
      </c>
      <c r="AD216" s="378"/>
      <c r="AE216" s="378"/>
      <c r="AF216" s="378"/>
      <c r="AG216" s="378"/>
      <c r="AH216" s="379">
        <v>0</v>
      </c>
      <c r="AI216" s="379">
        <v>0</v>
      </c>
      <c r="AJ216" s="378"/>
      <c r="AK216" s="378"/>
      <c r="AL216" s="376" t="s">
        <v>180</v>
      </c>
      <c r="AM216" s="378"/>
      <c r="AN216" s="378"/>
      <c r="AO216" s="379">
        <v>0</v>
      </c>
      <c r="AP216" s="460">
        <v>0</v>
      </c>
      <c r="AQ216" s="460">
        <v>0</v>
      </c>
      <c r="AR216" s="459"/>
      <c r="AS216" s="462">
        <f t="shared" si="51"/>
        <v>0</v>
      </c>
      <c r="AT216">
        <f t="shared" si="52"/>
        <v>0</v>
      </c>
      <c r="AU216" s="462" t="str">
        <f>IF(AT216=0,"",IF(AND(AT216=1,M216="F",SUMIF(C2:C698,C216,AS2:AS698)&lt;=1),SUMIF(C2:C698,C216,AS2:AS698),IF(AND(AT216=1,M216="F",SUMIF(C2:C698,C216,AS2:AS698)&gt;1),1,"")))</f>
        <v/>
      </c>
      <c r="AV216" s="462" t="str">
        <f>IF(AT216=0,"",IF(AND(AT216=3,M216="F",SUMIF(C2:C698,C216,AS2:AS698)&lt;=1),SUMIF(C2:C698,C216,AS2:AS698),IF(AND(AT216=3,M216="F",SUMIF(C2:C698,C216,AS2:AS698)&gt;1),1,"")))</f>
        <v/>
      </c>
      <c r="AW216" s="462">
        <f>SUMIF(C2:C698,C216,O2:O698)</f>
        <v>0</v>
      </c>
      <c r="AX216" s="462">
        <f>IF(AND(M216="F",AS216&lt;&gt;0),SUMIF(C2:C698,C216,W2:W698),0)</f>
        <v>0</v>
      </c>
      <c r="AY216" s="462" t="str">
        <f t="shared" si="53"/>
        <v/>
      </c>
      <c r="AZ216" s="462" t="str">
        <f t="shared" si="54"/>
        <v/>
      </c>
      <c r="BA216" s="462">
        <f t="shared" si="55"/>
        <v>0</v>
      </c>
      <c r="BB216" s="462">
        <f>IF(AND(AT216=1,AK216="E",AU216&gt;=0.75,AW216=1),Health,IF(AND(AT216=1,AK216="E",AU216&gt;=0.75),Health*P216,IF(AND(AT216=1,AK216="E",AU216&gt;=0.5,AW216=1),PTHealth,IF(AND(AT216=1,AK216="E",AU216&gt;=0.5),PTHealth*P216,0))))</f>
        <v>0</v>
      </c>
      <c r="BC216" s="462">
        <f>IF(AND(AT216=3,AK216="E",AV216&gt;=0.75,AW216=1),Health,IF(AND(AT216=3,AK216="E",AV216&gt;=0.75),Health*P216,IF(AND(AT216=3,AK216="E",AV216&gt;=0.5,AW216=1),PTHealth,IF(AND(AT216=3,AK216="E",AV216&gt;=0.5),PTHealth*P216,0))))</f>
        <v>0</v>
      </c>
      <c r="BD216" s="462">
        <f>IF(AND(AT216&lt;&gt;0,AX216&gt;=MAXSSDI),SSDI*MAXSSDI*P216,IF(AT216&lt;&gt;0,SSDI*W216,0))</f>
        <v>0</v>
      </c>
      <c r="BE216" s="462">
        <f>IF(AT216&lt;&gt;0,SSHI*W216,0)</f>
        <v>0</v>
      </c>
      <c r="BF216" s="462">
        <f>IF(AND(AT216&lt;&gt;0,AN216&lt;&gt;"NE"),VLOOKUP(AN216,Retirement_Rates,3,FALSE)*W216,0)</f>
        <v>0</v>
      </c>
      <c r="BG216" s="462">
        <f>IF(AND(AT216&lt;&gt;0,AJ216&lt;&gt;"PF"),Life*W216,0)</f>
        <v>0</v>
      </c>
      <c r="BH216" s="462">
        <f>IF(AND(AT216&lt;&gt;0,AM216="Y"),UI*W216,0)</f>
        <v>0</v>
      </c>
      <c r="BI216" s="462">
        <f>IF(AND(AT216&lt;&gt;0,N216&lt;&gt;"NR"),DHR*W216,0)</f>
        <v>0</v>
      </c>
      <c r="BJ216" s="462">
        <f>IF(AT216&lt;&gt;0,WC*W216,0)</f>
        <v>0</v>
      </c>
      <c r="BK216" s="462">
        <f>IF(OR(AND(AT216&lt;&gt;0,AJ216&lt;&gt;"PF",AN216&lt;&gt;"NE",AG216&lt;&gt;"A"),AND(AL216="E",OR(AT216=1,AT216=3))),Sick*W216,0)</f>
        <v>0</v>
      </c>
      <c r="BL216" s="462">
        <f t="shared" si="56"/>
        <v>0</v>
      </c>
      <c r="BM216" s="462">
        <f t="shared" si="57"/>
        <v>0</v>
      </c>
      <c r="BN216" s="462">
        <f>IF(AND(AT216=1,AK216="E",AU216&gt;=0.75,AW216=1),HealthBY,IF(AND(AT216=1,AK216="E",AU216&gt;=0.75),HealthBY*P216,IF(AND(AT216=1,AK216="E",AU216&gt;=0.5,AW216=1),PTHealthBY,IF(AND(AT216=1,AK216="E",AU216&gt;=0.5),PTHealthBY*P216,0))))</f>
        <v>0</v>
      </c>
      <c r="BO216" s="462">
        <f>IF(AND(AT216=3,AK216="E",AV216&gt;=0.75,AW216=1),HealthBY,IF(AND(AT216=3,AK216="E",AV216&gt;=0.75),HealthBY*P216,IF(AND(AT216=3,AK216="E",AV216&gt;=0.5,AW216=1),PTHealthBY,IF(AND(AT216=3,AK216="E",AV216&gt;=0.5),PTHealthBY*P216,0))))</f>
        <v>0</v>
      </c>
      <c r="BP216" s="462">
        <f>IF(AND(AT216&lt;&gt;0,(AX216+BA216)&gt;=MAXSSDIBY),SSDIBY*MAXSSDIBY*P216,IF(AT216&lt;&gt;0,SSDIBY*W216,0))</f>
        <v>0</v>
      </c>
      <c r="BQ216" s="462">
        <f>IF(AT216&lt;&gt;0,SSHIBY*W216,0)</f>
        <v>0</v>
      </c>
      <c r="BR216" s="462">
        <f>IF(AND(AT216&lt;&gt;0,AN216&lt;&gt;"NE"),VLOOKUP(AN216,Retirement_Rates,4,FALSE)*W216,0)</f>
        <v>0</v>
      </c>
      <c r="BS216" s="462">
        <f>IF(AND(AT216&lt;&gt;0,AJ216&lt;&gt;"PF"),LifeBY*W216,0)</f>
        <v>0</v>
      </c>
      <c r="BT216" s="462">
        <f>IF(AND(AT216&lt;&gt;0,AM216="Y"),UIBY*W216,0)</f>
        <v>0</v>
      </c>
      <c r="BU216" s="462">
        <f>IF(AND(AT216&lt;&gt;0,N216&lt;&gt;"NR"),DHRBY*W216,0)</f>
        <v>0</v>
      </c>
      <c r="BV216" s="462">
        <f>IF(AT216&lt;&gt;0,WCBY*W216,0)</f>
        <v>0</v>
      </c>
      <c r="BW216" s="462">
        <f>IF(OR(AND(AT216&lt;&gt;0,AJ216&lt;&gt;"PF",AN216&lt;&gt;"NE",AG216&lt;&gt;"A"),AND(AL216="E",OR(AT216=1,AT216=3))),SickBY*W216,0)</f>
        <v>0</v>
      </c>
      <c r="BX216" s="462">
        <f t="shared" si="58"/>
        <v>0</v>
      </c>
      <c r="BY216" s="462">
        <f t="shared" si="59"/>
        <v>0</v>
      </c>
      <c r="BZ216" s="462">
        <f t="shared" si="60"/>
        <v>0</v>
      </c>
      <c r="CA216" s="462">
        <f t="shared" si="61"/>
        <v>0</v>
      </c>
      <c r="CB216" s="462">
        <f t="shared" si="62"/>
        <v>0</v>
      </c>
      <c r="CC216" s="462">
        <f>IF(AT216&lt;&gt;0,SSHICHG*Y216,0)</f>
        <v>0</v>
      </c>
      <c r="CD216" s="462">
        <f>IF(AND(AT216&lt;&gt;0,AN216&lt;&gt;"NE"),VLOOKUP(AN216,Retirement_Rates,5,FALSE)*Y216,0)</f>
        <v>0</v>
      </c>
      <c r="CE216" s="462">
        <f>IF(AND(AT216&lt;&gt;0,AJ216&lt;&gt;"PF"),LifeCHG*Y216,0)</f>
        <v>0</v>
      </c>
      <c r="CF216" s="462">
        <f>IF(AND(AT216&lt;&gt;0,AM216="Y"),UICHG*Y216,0)</f>
        <v>0</v>
      </c>
      <c r="CG216" s="462">
        <f>IF(AND(AT216&lt;&gt;0,N216&lt;&gt;"NR"),DHRCHG*Y216,0)</f>
        <v>0</v>
      </c>
      <c r="CH216" s="462">
        <f>IF(AT216&lt;&gt;0,WCCHG*Y216,0)</f>
        <v>0</v>
      </c>
      <c r="CI216" s="462">
        <f>IF(OR(AND(AT216&lt;&gt;0,AJ216&lt;&gt;"PF",AN216&lt;&gt;"NE",AG216&lt;&gt;"A"),AND(AL216="E",OR(AT216=1,AT216=3))),SickCHG*Y216,0)</f>
        <v>0</v>
      </c>
      <c r="CJ216" s="462">
        <f t="shared" si="63"/>
        <v>0</v>
      </c>
      <c r="CK216" s="462" t="str">
        <f t="shared" si="64"/>
        <v/>
      </c>
      <c r="CL216" s="462" t="str">
        <f t="shared" si="65"/>
        <v/>
      </c>
      <c r="CM216" s="462" t="str">
        <f t="shared" si="66"/>
        <v/>
      </c>
      <c r="CN216" s="462" t="str">
        <f t="shared" si="67"/>
        <v>0348-00</v>
      </c>
    </row>
    <row r="217" spans="1:92" ht="15" thickBot="1" x14ac:dyDescent="0.35">
      <c r="A217" s="376" t="s">
        <v>161</v>
      </c>
      <c r="B217" s="376" t="s">
        <v>162</v>
      </c>
      <c r="C217" s="376" t="s">
        <v>742</v>
      </c>
      <c r="D217" s="376" t="s">
        <v>362</v>
      </c>
      <c r="E217" s="376" t="s">
        <v>759</v>
      </c>
      <c r="F217" s="377" t="s">
        <v>166</v>
      </c>
      <c r="G217" s="376" t="s">
        <v>651</v>
      </c>
      <c r="H217" s="378"/>
      <c r="I217" s="378"/>
      <c r="J217" s="376" t="s">
        <v>168</v>
      </c>
      <c r="K217" s="376" t="s">
        <v>363</v>
      </c>
      <c r="L217" s="376" t="s">
        <v>200</v>
      </c>
      <c r="M217" s="376" t="s">
        <v>170</v>
      </c>
      <c r="N217" s="376" t="s">
        <v>202</v>
      </c>
      <c r="O217" s="379">
        <v>1</v>
      </c>
      <c r="P217" s="460">
        <v>0</v>
      </c>
      <c r="Q217" s="460">
        <v>0</v>
      </c>
      <c r="R217" s="380">
        <v>80</v>
      </c>
      <c r="S217" s="460">
        <v>0</v>
      </c>
      <c r="T217" s="380">
        <v>20797.52</v>
      </c>
      <c r="U217" s="380">
        <v>0</v>
      </c>
      <c r="V217" s="380">
        <v>12608.11</v>
      </c>
      <c r="W217" s="380">
        <v>0</v>
      </c>
      <c r="X217" s="380">
        <v>0</v>
      </c>
      <c r="Y217" s="380">
        <v>0</v>
      </c>
      <c r="Z217" s="380">
        <v>0</v>
      </c>
      <c r="AA217" s="376" t="s">
        <v>743</v>
      </c>
      <c r="AB217" s="376" t="s">
        <v>744</v>
      </c>
      <c r="AC217" s="376" t="s">
        <v>745</v>
      </c>
      <c r="AD217" s="376" t="s">
        <v>215</v>
      </c>
      <c r="AE217" s="376" t="s">
        <v>363</v>
      </c>
      <c r="AF217" s="376" t="s">
        <v>210</v>
      </c>
      <c r="AG217" s="376" t="s">
        <v>177</v>
      </c>
      <c r="AH217" s="381">
        <v>22.5</v>
      </c>
      <c r="AI217" s="379">
        <v>5568</v>
      </c>
      <c r="AJ217" s="376" t="s">
        <v>178</v>
      </c>
      <c r="AK217" s="376" t="s">
        <v>179</v>
      </c>
      <c r="AL217" s="376" t="s">
        <v>180</v>
      </c>
      <c r="AM217" s="376" t="s">
        <v>181</v>
      </c>
      <c r="AN217" s="376" t="s">
        <v>68</v>
      </c>
      <c r="AO217" s="379">
        <v>80</v>
      </c>
      <c r="AP217" s="460">
        <v>1</v>
      </c>
      <c r="AQ217" s="460">
        <v>0</v>
      </c>
      <c r="AR217" s="458" t="s">
        <v>182</v>
      </c>
      <c r="AS217" s="462">
        <f t="shared" si="51"/>
        <v>0</v>
      </c>
      <c r="AT217">
        <f t="shared" si="52"/>
        <v>0</v>
      </c>
      <c r="AU217" s="462" t="str">
        <f>IF(AT217=0,"",IF(AND(AT217=1,M217="F",SUMIF(C2:C698,C217,AS2:AS698)&lt;=1),SUMIF(C2:C698,C217,AS2:AS698),IF(AND(AT217=1,M217="F",SUMIF(C2:C698,C217,AS2:AS698)&gt;1),1,"")))</f>
        <v/>
      </c>
      <c r="AV217" s="462" t="str">
        <f>IF(AT217=0,"",IF(AND(AT217=3,M217="F",SUMIF(C2:C698,C217,AS2:AS698)&lt;=1),SUMIF(C2:C698,C217,AS2:AS698),IF(AND(AT217=3,M217="F",SUMIF(C2:C698,C217,AS2:AS698)&gt;1),1,"")))</f>
        <v/>
      </c>
      <c r="AW217" s="462">
        <f>SUMIF(C2:C698,C217,O2:O698)</f>
        <v>2</v>
      </c>
      <c r="AX217" s="462">
        <f>IF(AND(M217="F",AS217&lt;&gt;0),SUMIF(C2:C698,C217,W2:W698),0)</f>
        <v>0</v>
      </c>
      <c r="AY217" s="462" t="str">
        <f t="shared" si="53"/>
        <v/>
      </c>
      <c r="AZ217" s="462" t="str">
        <f t="shared" si="54"/>
        <v/>
      </c>
      <c r="BA217" s="462">
        <f t="shared" si="55"/>
        <v>0</v>
      </c>
      <c r="BB217" s="462">
        <f>IF(AND(AT217=1,AK217="E",AU217&gt;=0.75,AW217=1),Health,IF(AND(AT217=1,AK217="E",AU217&gt;=0.75),Health*P217,IF(AND(AT217=1,AK217="E",AU217&gt;=0.5,AW217=1),PTHealth,IF(AND(AT217=1,AK217="E",AU217&gt;=0.5),PTHealth*P217,0))))</f>
        <v>0</v>
      </c>
      <c r="BC217" s="462">
        <f>IF(AND(AT217=3,AK217="E",AV217&gt;=0.75,AW217=1),Health,IF(AND(AT217=3,AK217="E",AV217&gt;=0.75),Health*P217,IF(AND(AT217=3,AK217="E",AV217&gt;=0.5,AW217=1),PTHealth,IF(AND(AT217=3,AK217="E",AV217&gt;=0.5),PTHealth*P217,0))))</f>
        <v>0</v>
      </c>
      <c r="BD217" s="462">
        <f>IF(AND(AT217&lt;&gt;0,AX217&gt;=MAXSSDI),SSDI*MAXSSDI*P217,IF(AT217&lt;&gt;0,SSDI*W217,0))</f>
        <v>0</v>
      </c>
      <c r="BE217" s="462">
        <f>IF(AT217&lt;&gt;0,SSHI*W217,0)</f>
        <v>0</v>
      </c>
      <c r="BF217" s="462">
        <f>IF(AND(AT217&lt;&gt;0,AN217&lt;&gt;"NE"),VLOOKUP(AN217,Retirement_Rates,3,FALSE)*W217,0)</f>
        <v>0</v>
      </c>
      <c r="BG217" s="462">
        <f>IF(AND(AT217&lt;&gt;0,AJ217&lt;&gt;"PF"),Life*W217,0)</f>
        <v>0</v>
      </c>
      <c r="BH217" s="462">
        <f>IF(AND(AT217&lt;&gt;0,AM217="Y"),UI*W217,0)</f>
        <v>0</v>
      </c>
      <c r="BI217" s="462">
        <f>IF(AND(AT217&lt;&gt;0,N217&lt;&gt;"NR"),DHR*W217,0)</f>
        <v>0</v>
      </c>
      <c r="BJ217" s="462">
        <f>IF(AT217&lt;&gt;0,WC*W217,0)</f>
        <v>0</v>
      </c>
      <c r="BK217" s="462">
        <f>IF(OR(AND(AT217&lt;&gt;0,AJ217&lt;&gt;"PF",AN217&lt;&gt;"NE",AG217&lt;&gt;"A"),AND(AL217="E",OR(AT217=1,AT217=3))),Sick*W217,0)</f>
        <v>0</v>
      </c>
      <c r="BL217" s="462">
        <f t="shared" si="56"/>
        <v>0</v>
      </c>
      <c r="BM217" s="462">
        <f t="shared" si="57"/>
        <v>0</v>
      </c>
      <c r="BN217" s="462">
        <f>IF(AND(AT217=1,AK217="E",AU217&gt;=0.75,AW217=1),HealthBY,IF(AND(AT217=1,AK217="E",AU217&gt;=0.75),HealthBY*P217,IF(AND(AT217=1,AK217="E",AU217&gt;=0.5,AW217=1),PTHealthBY,IF(AND(AT217=1,AK217="E",AU217&gt;=0.5),PTHealthBY*P217,0))))</f>
        <v>0</v>
      </c>
      <c r="BO217" s="462">
        <f>IF(AND(AT217=3,AK217="E",AV217&gt;=0.75,AW217=1),HealthBY,IF(AND(AT217=3,AK217="E",AV217&gt;=0.75),HealthBY*P217,IF(AND(AT217=3,AK217="E",AV217&gt;=0.5,AW217=1),PTHealthBY,IF(AND(AT217=3,AK217="E",AV217&gt;=0.5),PTHealthBY*P217,0))))</f>
        <v>0</v>
      </c>
      <c r="BP217" s="462">
        <f>IF(AND(AT217&lt;&gt;0,(AX217+BA217)&gt;=MAXSSDIBY),SSDIBY*MAXSSDIBY*P217,IF(AT217&lt;&gt;0,SSDIBY*W217,0))</f>
        <v>0</v>
      </c>
      <c r="BQ217" s="462">
        <f>IF(AT217&lt;&gt;0,SSHIBY*W217,0)</f>
        <v>0</v>
      </c>
      <c r="BR217" s="462">
        <f>IF(AND(AT217&lt;&gt;0,AN217&lt;&gt;"NE"),VLOOKUP(AN217,Retirement_Rates,4,FALSE)*W217,0)</f>
        <v>0</v>
      </c>
      <c r="BS217" s="462">
        <f>IF(AND(AT217&lt;&gt;0,AJ217&lt;&gt;"PF"),LifeBY*W217,0)</f>
        <v>0</v>
      </c>
      <c r="BT217" s="462">
        <f>IF(AND(AT217&lt;&gt;0,AM217="Y"),UIBY*W217,0)</f>
        <v>0</v>
      </c>
      <c r="BU217" s="462">
        <f>IF(AND(AT217&lt;&gt;0,N217&lt;&gt;"NR"),DHRBY*W217,0)</f>
        <v>0</v>
      </c>
      <c r="BV217" s="462">
        <f>IF(AT217&lt;&gt;0,WCBY*W217,0)</f>
        <v>0</v>
      </c>
      <c r="BW217" s="462">
        <f>IF(OR(AND(AT217&lt;&gt;0,AJ217&lt;&gt;"PF",AN217&lt;&gt;"NE",AG217&lt;&gt;"A"),AND(AL217="E",OR(AT217=1,AT217=3))),SickBY*W217,0)</f>
        <v>0</v>
      </c>
      <c r="BX217" s="462">
        <f t="shared" si="58"/>
        <v>0</v>
      </c>
      <c r="BY217" s="462">
        <f t="shared" si="59"/>
        <v>0</v>
      </c>
      <c r="BZ217" s="462">
        <f t="shared" si="60"/>
        <v>0</v>
      </c>
      <c r="CA217" s="462">
        <f t="shared" si="61"/>
        <v>0</v>
      </c>
      <c r="CB217" s="462">
        <f t="shared" si="62"/>
        <v>0</v>
      </c>
      <c r="CC217" s="462">
        <f>IF(AT217&lt;&gt;0,SSHICHG*Y217,0)</f>
        <v>0</v>
      </c>
      <c r="CD217" s="462">
        <f>IF(AND(AT217&lt;&gt;0,AN217&lt;&gt;"NE"),VLOOKUP(AN217,Retirement_Rates,5,FALSE)*Y217,0)</f>
        <v>0</v>
      </c>
      <c r="CE217" s="462">
        <f>IF(AND(AT217&lt;&gt;0,AJ217&lt;&gt;"PF"),LifeCHG*Y217,0)</f>
        <v>0</v>
      </c>
      <c r="CF217" s="462">
        <f>IF(AND(AT217&lt;&gt;0,AM217="Y"),UICHG*Y217,0)</f>
        <v>0</v>
      </c>
      <c r="CG217" s="462">
        <f>IF(AND(AT217&lt;&gt;0,N217&lt;&gt;"NR"),DHRCHG*Y217,0)</f>
        <v>0</v>
      </c>
      <c r="CH217" s="462">
        <f>IF(AT217&lt;&gt;0,WCCHG*Y217,0)</f>
        <v>0</v>
      </c>
      <c r="CI217" s="462">
        <f>IF(OR(AND(AT217&lt;&gt;0,AJ217&lt;&gt;"PF",AN217&lt;&gt;"NE",AG217&lt;&gt;"A"),AND(AL217="E",OR(AT217=1,AT217=3))),SickCHG*Y217,0)</f>
        <v>0</v>
      </c>
      <c r="CJ217" s="462">
        <f t="shared" si="63"/>
        <v>0</v>
      </c>
      <c r="CK217" s="462" t="str">
        <f t="shared" si="64"/>
        <v/>
      </c>
      <c r="CL217" s="462" t="str">
        <f t="shared" si="65"/>
        <v/>
      </c>
      <c r="CM217" s="462" t="str">
        <f t="shared" si="66"/>
        <v/>
      </c>
      <c r="CN217" s="462" t="str">
        <f t="shared" si="67"/>
        <v>0348-00</v>
      </c>
    </row>
    <row r="218" spans="1:92" ht="15" thickBot="1" x14ac:dyDescent="0.35">
      <c r="A218" s="376" t="s">
        <v>161</v>
      </c>
      <c r="B218" s="376" t="s">
        <v>162</v>
      </c>
      <c r="C218" s="376" t="s">
        <v>760</v>
      </c>
      <c r="D218" s="376" t="s">
        <v>761</v>
      </c>
      <c r="E218" s="376" t="s">
        <v>165</v>
      </c>
      <c r="F218" s="377" t="s">
        <v>166</v>
      </c>
      <c r="G218" s="376" t="s">
        <v>762</v>
      </c>
      <c r="H218" s="378"/>
      <c r="I218" s="378"/>
      <c r="J218" s="376" t="s">
        <v>168</v>
      </c>
      <c r="K218" s="376" t="s">
        <v>763</v>
      </c>
      <c r="L218" s="376" t="s">
        <v>166</v>
      </c>
      <c r="M218" s="376" t="s">
        <v>201</v>
      </c>
      <c r="N218" s="376" t="s">
        <v>291</v>
      </c>
      <c r="O218" s="379">
        <v>0</v>
      </c>
      <c r="P218" s="460">
        <v>1</v>
      </c>
      <c r="Q218" s="460">
        <v>0</v>
      </c>
      <c r="R218" s="380">
        <v>0</v>
      </c>
      <c r="S218" s="460">
        <v>0</v>
      </c>
      <c r="T218" s="380">
        <v>0</v>
      </c>
      <c r="U218" s="380">
        <v>0</v>
      </c>
      <c r="V218" s="380">
        <v>0</v>
      </c>
      <c r="W218" s="380">
        <v>0</v>
      </c>
      <c r="X218" s="380">
        <v>0</v>
      </c>
      <c r="Y218" s="380">
        <v>0</v>
      </c>
      <c r="Z218" s="380">
        <v>0</v>
      </c>
      <c r="AA218" s="378"/>
      <c r="AB218" s="376" t="s">
        <v>45</v>
      </c>
      <c r="AC218" s="376" t="s">
        <v>45</v>
      </c>
      <c r="AD218" s="378"/>
      <c r="AE218" s="378"/>
      <c r="AF218" s="378"/>
      <c r="AG218" s="378"/>
      <c r="AH218" s="379">
        <v>0</v>
      </c>
      <c r="AI218" s="379">
        <v>0</v>
      </c>
      <c r="AJ218" s="378"/>
      <c r="AK218" s="378"/>
      <c r="AL218" s="376" t="s">
        <v>180</v>
      </c>
      <c r="AM218" s="378"/>
      <c r="AN218" s="378"/>
      <c r="AO218" s="379">
        <v>0</v>
      </c>
      <c r="AP218" s="460">
        <v>0</v>
      </c>
      <c r="AQ218" s="460">
        <v>0</v>
      </c>
      <c r="AR218" s="459"/>
      <c r="AS218" s="462">
        <f t="shared" si="51"/>
        <v>0</v>
      </c>
      <c r="AT218">
        <f t="shared" si="52"/>
        <v>0</v>
      </c>
      <c r="AU218" s="462" t="str">
        <f>IF(AT218=0,"",IF(AND(AT218=1,M218="F",SUMIF(C2:C698,C218,AS2:AS698)&lt;=1),SUMIF(C2:C698,C218,AS2:AS698),IF(AND(AT218=1,M218="F",SUMIF(C2:C698,C218,AS2:AS698)&gt;1),1,"")))</f>
        <v/>
      </c>
      <c r="AV218" s="462" t="str">
        <f>IF(AT218=0,"",IF(AND(AT218=3,M218="F",SUMIF(C2:C698,C218,AS2:AS698)&lt;=1),SUMIF(C2:C698,C218,AS2:AS698),IF(AND(AT218=3,M218="F",SUMIF(C2:C698,C218,AS2:AS698)&gt;1),1,"")))</f>
        <v/>
      </c>
      <c r="AW218" s="462">
        <f>SUMIF(C2:C698,C218,O2:O698)</f>
        <v>0</v>
      </c>
      <c r="AX218" s="462">
        <f>IF(AND(M218="F",AS218&lt;&gt;0),SUMIF(C2:C698,C218,W2:W698),0)</f>
        <v>0</v>
      </c>
      <c r="AY218" s="462" t="str">
        <f t="shared" si="53"/>
        <v/>
      </c>
      <c r="AZ218" s="462" t="str">
        <f t="shared" si="54"/>
        <v/>
      </c>
      <c r="BA218" s="462">
        <f t="shared" si="55"/>
        <v>0</v>
      </c>
      <c r="BB218" s="462">
        <f>IF(AND(AT218=1,AK218="E",AU218&gt;=0.75,AW218=1),Health,IF(AND(AT218=1,AK218="E",AU218&gt;=0.75),Health*P218,IF(AND(AT218=1,AK218="E",AU218&gt;=0.5,AW218=1),PTHealth,IF(AND(AT218=1,AK218="E",AU218&gt;=0.5),PTHealth*P218,0))))</f>
        <v>0</v>
      </c>
      <c r="BC218" s="462">
        <f>IF(AND(AT218=3,AK218="E",AV218&gt;=0.75,AW218=1),Health,IF(AND(AT218=3,AK218="E",AV218&gt;=0.75),Health*P218,IF(AND(AT218=3,AK218="E",AV218&gt;=0.5,AW218=1),PTHealth,IF(AND(AT218=3,AK218="E",AV218&gt;=0.5),PTHealth*P218,0))))</f>
        <v>0</v>
      </c>
      <c r="BD218" s="462">
        <f>IF(AND(AT218&lt;&gt;0,AX218&gt;=MAXSSDI),SSDI*MAXSSDI*P218,IF(AT218&lt;&gt;0,SSDI*W218,0))</f>
        <v>0</v>
      </c>
      <c r="BE218" s="462">
        <f>IF(AT218&lt;&gt;0,SSHI*W218,0)</f>
        <v>0</v>
      </c>
      <c r="BF218" s="462">
        <f>IF(AND(AT218&lt;&gt;0,AN218&lt;&gt;"NE"),VLOOKUP(AN218,Retirement_Rates,3,FALSE)*W218,0)</f>
        <v>0</v>
      </c>
      <c r="BG218" s="462">
        <f>IF(AND(AT218&lt;&gt;0,AJ218&lt;&gt;"PF"),Life*W218,0)</f>
        <v>0</v>
      </c>
      <c r="BH218" s="462">
        <f>IF(AND(AT218&lt;&gt;0,AM218="Y"),UI*W218,0)</f>
        <v>0</v>
      </c>
      <c r="BI218" s="462">
        <f>IF(AND(AT218&lt;&gt;0,N218&lt;&gt;"NR"),DHR*W218,0)</f>
        <v>0</v>
      </c>
      <c r="BJ218" s="462">
        <f>IF(AT218&lt;&gt;0,WC*W218,0)</f>
        <v>0</v>
      </c>
      <c r="BK218" s="462">
        <f>IF(OR(AND(AT218&lt;&gt;0,AJ218&lt;&gt;"PF",AN218&lt;&gt;"NE",AG218&lt;&gt;"A"),AND(AL218="E",OR(AT218=1,AT218=3))),Sick*W218,0)</f>
        <v>0</v>
      </c>
      <c r="BL218" s="462">
        <f t="shared" si="56"/>
        <v>0</v>
      </c>
      <c r="BM218" s="462">
        <f t="shared" si="57"/>
        <v>0</v>
      </c>
      <c r="BN218" s="462">
        <f>IF(AND(AT218=1,AK218="E",AU218&gt;=0.75,AW218=1),HealthBY,IF(AND(AT218=1,AK218="E",AU218&gt;=0.75),HealthBY*P218,IF(AND(AT218=1,AK218="E",AU218&gt;=0.5,AW218=1),PTHealthBY,IF(AND(AT218=1,AK218="E",AU218&gt;=0.5),PTHealthBY*P218,0))))</f>
        <v>0</v>
      </c>
      <c r="BO218" s="462">
        <f>IF(AND(AT218=3,AK218="E",AV218&gt;=0.75,AW218=1),HealthBY,IF(AND(AT218=3,AK218="E",AV218&gt;=0.75),HealthBY*P218,IF(AND(AT218=3,AK218="E",AV218&gt;=0.5,AW218=1),PTHealthBY,IF(AND(AT218=3,AK218="E",AV218&gt;=0.5),PTHealthBY*P218,0))))</f>
        <v>0</v>
      </c>
      <c r="BP218" s="462">
        <f>IF(AND(AT218&lt;&gt;0,(AX218+BA218)&gt;=MAXSSDIBY),SSDIBY*MAXSSDIBY*P218,IF(AT218&lt;&gt;0,SSDIBY*W218,0))</f>
        <v>0</v>
      </c>
      <c r="BQ218" s="462">
        <f>IF(AT218&lt;&gt;0,SSHIBY*W218,0)</f>
        <v>0</v>
      </c>
      <c r="BR218" s="462">
        <f>IF(AND(AT218&lt;&gt;0,AN218&lt;&gt;"NE"),VLOOKUP(AN218,Retirement_Rates,4,FALSE)*W218,0)</f>
        <v>0</v>
      </c>
      <c r="BS218" s="462">
        <f>IF(AND(AT218&lt;&gt;0,AJ218&lt;&gt;"PF"),LifeBY*W218,0)</f>
        <v>0</v>
      </c>
      <c r="BT218" s="462">
        <f>IF(AND(AT218&lt;&gt;0,AM218="Y"),UIBY*W218,0)</f>
        <v>0</v>
      </c>
      <c r="BU218" s="462">
        <f>IF(AND(AT218&lt;&gt;0,N218&lt;&gt;"NR"),DHRBY*W218,0)</f>
        <v>0</v>
      </c>
      <c r="BV218" s="462">
        <f>IF(AT218&lt;&gt;0,WCBY*W218,0)</f>
        <v>0</v>
      </c>
      <c r="BW218" s="462">
        <f>IF(OR(AND(AT218&lt;&gt;0,AJ218&lt;&gt;"PF",AN218&lt;&gt;"NE",AG218&lt;&gt;"A"),AND(AL218="E",OR(AT218=1,AT218=3))),SickBY*W218,0)</f>
        <v>0</v>
      </c>
      <c r="BX218" s="462">
        <f t="shared" si="58"/>
        <v>0</v>
      </c>
      <c r="BY218" s="462">
        <f t="shared" si="59"/>
        <v>0</v>
      </c>
      <c r="BZ218" s="462">
        <f t="shared" si="60"/>
        <v>0</v>
      </c>
      <c r="CA218" s="462">
        <f t="shared" si="61"/>
        <v>0</v>
      </c>
      <c r="CB218" s="462">
        <f t="shared" si="62"/>
        <v>0</v>
      </c>
      <c r="CC218" s="462">
        <f>IF(AT218&lt;&gt;0,SSHICHG*Y218,0)</f>
        <v>0</v>
      </c>
      <c r="CD218" s="462">
        <f>IF(AND(AT218&lt;&gt;0,AN218&lt;&gt;"NE"),VLOOKUP(AN218,Retirement_Rates,5,FALSE)*Y218,0)</f>
        <v>0</v>
      </c>
      <c r="CE218" s="462">
        <f>IF(AND(AT218&lt;&gt;0,AJ218&lt;&gt;"PF"),LifeCHG*Y218,0)</f>
        <v>0</v>
      </c>
      <c r="CF218" s="462">
        <f>IF(AND(AT218&lt;&gt;0,AM218="Y"),UICHG*Y218,0)</f>
        <v>0</v>
      </c>
      <c r="CG218" s="462">
        <f>IF(AND(AT218&lt;&gt;0,N218&lt;&gt;"NR"),DHRCHG*Y218,0)</f>
        <v>0</v>
      </c>
      <c r="CH218" s="462">
        <f>IF(AT218&lt;&gt;0,WCCHG*Y218,0)</f>
        <v>0</v>
      </c>
      <c r="CI218" s="462">
        <f>IF(OR(AND(AT218&lt;&gt;0,AJ218&lt;&gt;"PF",AN218&lt;&gt;"NE",AG218&lt;&gt;"A"),AND(AL218="E",OR(AT218=1,AT218=3))),SickCHG*Y218,0)</f>
        <v>0</v>
      </c>
      <c r="CJ218" s="462">
        <f t="shared" si="63"/>
        <v>0</v>
      </c>
      <c r="CK218" s="462" t="str">
        <f t="shared" si="64"/>
        <v/>
      </c>
      <c r="CL218" s="462">
        <f t="shared" si="65"/>
        <v>0</v>
      </c>
      <c r="CM218" s="462">
        <f t="shared" si="66"/>
        <v>0</v>
      </c>
      <c r="CN218" s="462" t="str">
        <f t="shared" si="67"/>
        <v>0001-00</v>
      </c>
    </row>
    <row r="219" spans="1:92" ht="15" thickBot="1" x14ac:dyDescent="0.35">
      <c r="A219" s="376" t="s">
        <v>161</v>
      </c>
      <c r="B219" s="376" t="s">
        <v>162</v>
      </c>
      <c r="C219" s="376" t="s">
        <v>764</v>
      </c>
      <c r="D219" s="376" t="s">
        <v>765</v>
      </c>
      <c r="E219" s="376" t="s">
        <v>165</v>
      </c>
      <c r="F219" s="377" t="s">
        <v>166</v>
      </c>
      <c r="G219" s="376" t="s">
        <v>762</v>
      </c>
      <c r="H219" s="378"/>
      <c r="I219" s="378"/>
      <c r="J219" s="376" t="s">
        <v>168</v>
      </c>
      <c r="K219" s="376" t="s">
        <v>766</v>
      </c>
      <c r="L219" s="376" t="s">
        <v>166</v>
      </c>
      <c r="M219" s="376" t="s">
        <v>201</v>
      </c>
      <c r="N219" s="376" t="s">
        <v>291</v>
      </c>
      <c r="O219" s="379">
        <v>0</v>
      </c>
      <c r="P219" s="460">
        <v>1</v>
      </c>
      <c r="Q219" s="460">
        <v>0</v>
      </c>
      <c r="R219" s="380">
        <v>0</v>
      </c>
      <c r="S219" s="460">
        <v>0</v>
      </c>
      <c r="T219" s="380">
        <v>0</v>
      </c>
      <c r="U219" s="380">
        <v>0</v>
      </c>
      <c r="V219" s="380">
        <v>0</v>
      </c>
      <c r="W219" s="380">
        <v>0</v>
      </c>
      <c r="X219" s="380">
        <v>0</v>
      </c>
      <c r="Y219" s="380">
        <v>0</v>
      </c>
      <c r="Z219" s="380">
        <v>0</v>
      </c>
      <c r="AA219" s="378"/>
      <c r="AB219" s="376" t="s">
        <v>45</v>
      </c>
      <c r="AC219" s="376" t="s">
        <v>45</v>
      </c>
      <c r="AD219" s="378"/>
      <c r="AE219" s="378"/>
      <c r="AF219" s="378"/>
      <c r="AG219" s="378"/>
      <c r="AH219" s="379">
        <v>0</v>
      </c>
      <c r="AI219" s="379">
        <v>0</v>
      </c>
      <c r="AJ219" s="378"/>
      <c r="AK219" s="378"/>
      <c r="AL219" s="376" t="s">
        <v>180</v>
      </c>
      <c r="AM219" s="378"/>
      <c r="AN219" s="378"/>
      <c r="AO219" s="379">
        <v>0</v>
      </c>
      <c r="AP219" s="460">
        <v>0</v>
      </c>
      <c r="AQ219" s="460">
        <v>0</v>
      </c>
      <c r="AR219" s="459"/>
      <c r="AS219" s="462">
        <f t="shared" si="51"/>
        <v>0</v>
      </c>
      <c r="AT219">
        <f t="shared" si="52"/>
        <v>0</v>
      </c>
      <c r="AU219" s="462" t="str">
        <f>IF(AT219=0,"",IF(AND(AT219=1,M219="F",SUMIF(C2:C698,C219,AS2:AS698)&lt;=1),SUMIF(C2:C698,C219,AS2:AS698),IF(AND(AT219=1,M219="F",SUMIF(C2:C698,C219,AS2:AS698)&gt;1),1,"")))</f>
        <v/>
      </c>
      <c r="AV219" s="462" t="str">
        <f>IF(AT219=0,"",IF(AND(AT219=3,M219="F",SUMIF(C2:C698,C219,AS2:AS698)&lt;=1),SUMIF(C2:C698,C219,AS2:AS698),IF(AND(AT219=3,M219="F",SUMIF(C2:C698,C219,AS2:AS698)&gt;1),1,"")))</f>
        <v/>
      </c>
      <c r="AW219" s="462">
        <f>SUMIF(C2:C698,C219,O2:O698)</f>
        <v>0</v>
      </c>
      <c r="AX219" s="462">
        <f>IF(AND(M219="F",AS219&lt;&gt;0),SUMIF(C2:C698,C219,W2:W698),0)</f>
        <v>0</v>
      </c>
      <c r="AY219" s="462" t="str">
        <f t="shared" si="53"/>
        <v/>
      </c>
      <c r="AZ219" s="462" t="str">
        <f t="shared" si="54"/>
        <v/>
      </c>
      <c r="BA219" s="462">
        <f t="shared" si="55"/>
        <v>0</v>
      </c>
      <c r="BB219" s="462">
        <f>IF(AND(AT219=1,AK219="E",AU219&gt;=0.75,AW219=1),Health,IF(AND(AT219=1,AK219="E",AU219&gt;=0.75),Health*P219,IF(AND(AT219=1,AK219="E",AU219&gt;=0.5,AW219=1),PTHealth,IF(AND(AT219=1,AK219="E",AU219&gt;=0.5),PTHealth*P219,0))))</f>
        <v>0</v>
      </c>
      <c r="BC219" s="462">
        <f>IF(AND(AT219=3,AK219="E",AV219&gt;=0.75,AW219=1),Health,IF(AND(AT219=3,AK219="E",AV219&gt;=0.75),Health*P219,IF(AND(AT219=3,AK219="E",AV219&gt;=0.5,AW219=1),PTHealth,IF(AND(AT219=3,AK219="E",AV219&gt;=0.5),PTHealth*P219,0))))</f>
        <v>0</v>
      </c>
      <c r="BD219" s="462">
        <f>IF(AND(AT219&lt;&gt;0,AX219&gt;=MAXSSDI),SSDI*MAXSSDI*P219,IF(AT219&lt;&gt;0,SSDI*W219,0))</f>
        <v>0</v>
      </c>
      <c r="BE219" s="462">
        <f>IF(AT219&lt;&gt;0,SSHI*W219,0)</f>
        <v>0</v>
      </c>
      <c r="BF219" s="462">
        <f>IF(AND(AT219&lt;&gt;0,AN219&lt;&gt;"NE"),VLOOKUP(AN219,Retirement_Rates,3,FALSE)*W219,0)</f>
        <v>0</v>
      </c>
      <c r="BG219" s="462">
        <f>IF(AND(AT219&lt;&gt;0,AJ219&lt;&gt;"PF"),Life*W219,0)</f>
        <v>0</v>
      </c>
      <c r="BH219" s="462">
        <f>IF(AND(AT219&lt;&gt;0,AM219="Y"),UI*W219,0)</f>
        <v>0</v>
      </c>
      <c r="BI219" s="462">
        <f>IF(AND(AT219&lt;&gt;0,N219&lt;&gt;"NR"),DHR*W219,0)</f>
        <v>0</v>
      </c>
      <c r="BJ219" s="462">
        <f>IF(AT219&lt;&gt;0,WC*W219,0)</f>
        <v>0</v>
      </c>
      <c r="BK219" s="462">
        <f>IF(OR(AND(AT219&lt;&gt;0,AJ219&lt;&gt;"PF",AN219&lt;&gt;"NE",AG219&lt;&gt;"A"),AND(AL219="E",OR(AT219=1,AT219=3))),Sick*W219,0)</f>
        <v>0</v>
      </c>
      <c r="BL219" s="462">
        <f t="shared" si="56"/>
        <v>0</v>
      </c>
      <c r="BM219" s="462">
        <f t="shared" si="57"/>
        <v>0</v>
      </c>
      <c r="BN219" s="462">
        <f>IF(AND(AT219=1,AK219="E",AU219&gt;=0.75,AW219=1),HealthBY,IF(AND(AT219=1,AK219="E",AU219&gt;=0.75),HealthBY*P219,IF(AND(AT219=1,AK219="E",AU219&gt;=0.5,AW219=1),PTHealthBY,IF(AND(AT219=1,AK219="E",AU219&gt;=0.5),PTHealthBY*P219,0))))</f>
        <v>0</v>
      </c>
      <c r="BO219" s="462">
        <f>IF(AND(AT219=3,AK219="E",AV219&gt;=0.75,AW219=1),HealthBY,IF(AND(AT219=3,AK219="E",AV219&gt;=0.75),HealthBY*P219,IF(AND(AT219=3,AK219="E",AV219&gt;=0.5,AW219=1),PTHealthBY,IF(AND(AT219=3,AK219="E",AV219&gt;=0.5),PTHealthBY*P219,0))))</f>
        <v>0</v>
      </c>
      <c r="BP219" s="462">
        <f>IF(AND(AT219&lt;&gt;0,(AX219+BA219)&gt;=MAXSSDIBY),SSDIBY*MAXSSDIBY*P219,IF(AT219&lt;&gt;0,SSDIBY*W219,0))</f>
        <v>0</v>
      </c>
      <c r="BQ219" s="462">
        <f>IF(AT219&lt;&gt;0,SSHIBY*W219,0)</f>
        <v>0</v>
      </c>
      <c r="BR219" s="462">
        <f>IF(AND(AT219&lt;&gt;0,AN219&lt;&gt;"NE"),VLOOKUP(AN219,Retirement_Rates,4,FALSE)*W219,0)</f>
        <v>0</v>
      </c>
      <c r="BS219" s="462">
        <f>IF(AND(AT219&lt;&gt;0,AJ219&lt;&gt;"PF"),LifeBY*W219,0)</f>
        <v>0</v>
      </c>
      <c r="BT219" s="462">
        <f>IF(AND(AT219&lt;&gt;0,AM219="Y"),UIBY*W219,0)</f>
        <v>0</v>
      </c>
      <c r="BU219" s="462">
        <f>IF(AND(AT219&lt;&gt;0,N219&lt;&gt;"NR"),DHRBY*W219,0)</f>
        <v>0</v>
      </c>
      <c r="BV219" s="462">
        <f>IF(AT219&lt;&gt;0,WCBY*W219,0)</f>
        <v>0</v>
      </c>
      <c r="BW219" s="462">
        <f>IF(OR(AND(AT219&lt;&gt;0,AJ219&lt;&gt;"PF",AN219&lt;&gt;"NE",AG219&lt;&gt;"A"),AND(AL219="E",OR(AT219=1,AT219=3))),SickBY*W219,0)</f>
        <v>0</v>
      </c>
      <c r="BX219" s="462">
        <f t="shared" si="58"/>
        <v>0</v>
      </c>
      <c r="BY219" s="462">
        <f t="shared" si="59"/>
        <v>0</v>
      </c>
      <c r="BZ219" s="462">
        <f t="shared" si="60"/>
        <v>0</v>
      </c>
      <c r="CA219" s="462">
        <f t="shared" si="61"/>
        <v>0</v>
      </c>
      <c r="CB219" s="462">
        <f t="shared" si="62"/>
        <v>0</v>
      </c>
      <c r="CC219" s="462">
        <f>IF(AT219&lt;&gt;0,SSHICHG*Y219,0)</f>
        <v>0</v>
      </c>
      <c r="CD219" s="462">
        <f>IF(AND(AT219&lt;&gt;0,AN219&lt;&gt;"NE"),VLOOKUP(AN219,Retirement_Rates,5,FALSE)*Y219,0)</f>
        <v>0</v>
      </c>
      <c r="CE219" s="462">
        <f>IF(AND(AT219&lt;&gt;0,AJ219&lt;&gt;"PF"),LifeCHG*Y219,0)</f>
        <v>0</v>
      </c>
      <c r="CF219" s="462">
        <f>IF(AND(AT219&lt;&gt;0,AM219="Y"),UICHG*Y219,0)</f>
        <v>0</v>
      </c>
      <c r="CG219" s="462">
        <f>IF(AND(AT219&lt;&gt;0,N219&lt;&gt;"NR"),DHRCHG*Y219,0)</f>
        <v>0</v>
      </c>
      <c r="CH219" s="462">
        <f>IF(AT219&lt;&gt;0,WCCHG*Y219,0)</f>
        <v>0</v>
      </c>
      <c r="CI219" s="462">
        <f>IF(OR(AND(AT219&lt;&gt;0,AJ219&lt;&gt;"PF",AN219&lt;&gt;"NE",AG219&lt;&gt;"A"),AND(AL219="E",OR(AT219=1,AT219=3))),SickCHG*Y219,0)</f>
        <v>0</v>
      </c>
      <c r="CJ219" s="462">
        <f t="shared" si="63"/>
        <v>0</v>
      </c>
      <c r="CK219" s="462" t="str">
        <f t="shared" si="64"/>
        <v/>
      </c>
      <c r="CL219" s="462">
        <f t="shared" si="65"/>
        <v>0</v>
      </c>
      <c r="CM219" s="462">
        <f t="shared" si="66"/>
        <v>0</v>
      </c>
      <c r="CN219" s="462" t="str">
        <f t="shared" si="67"/>
        <v>0001-00</v>
      </c>
    </row>
    <row r="220" spans="1:92" ht="15" thickBot="1" x14ac:dyDescent="0.35">
      <c r="A220" s="376" t="s">
        <v>161</v>
      </c>
      <c r="B220" s="376" t="s">
        <v>162</v>
      </c>
      <c r="C220" s="376" t="s">
        <v>767</v>
      </c>
      <c r="D220" s="376" t="s">
        <v>362</v>
      </c>
      <c r="E220" s="376" t="s">
        <v>165</v>
      </c>
      <c r="F220" s="377" t="s">
        <v>166</v>
      </c>
      <c r="G220" s="376" t="s">
        <v>762</v>
      </c>
      <c r="H220" s="378"/>
      <c r="I220" s="378"/>
      <c r="J220" s="376" t="s">
        <v>768</v>
      </c>
      <c r="K220" s="376" t="s">
        <v>363</v>
      </c>
      <c r="L220" s="376" t="s">
        <v>200</v>
      </c>
      <c r="M220" s="376" t="s">
        <v>170</v>
      </c>
      <c r="N220" s="376" t="s">
        <v>202</v>
      </c>
      <c r="O220" s="379">
        <v>1</v>
      </c>
      <c r="P220" s="460">
        <v>7.0000000000000007E-2</v>
      </c>
      <c r="Q220" s="460">
        <v>7.0000000000000007E-2</v>
      </c>
      <c r="R220" s="380">
        <v>80</v>
      </c>
      <c r="S220" s="460">
        <v>7.0000000000000007E-2</v>
      </c>
      <c r="T220" s="380">
        <v>18348.66</v>
      </c>
      <c r="U220" s="380">
        <v>0</v>
      </c>
      <c r="V220" s="380">
        <v>8619.1</v>
      </c>
      <c r="W220" s="380">
        <v>3519.15</v>
      </c>
      <c r="X220" s="380">
        <v>1612.12</v>
      </c>
      <c r="Y220" s="380">
        <v>3519.15</v>
      </c>
      <c r="Z220" s="380">
        <v>1602.97</v>
      </c>
      <c r="AA220" s="376" t="s">
        <v>769</v>
      </c>
      <c r="AB220" s="376" t="s">
        <v>770</v>
      </c>
      <c r="AC220" s="376" t="s">
        <v>771</v>
      </c>
      <c r="AD220" s="376" t="s">
        <v>278</v>
      </c>
      <c r="AE220" s="376" t="s">
        <v>363</v>
      </c>
      <c r="AF220" s="376" t="s">
        <v>210</v>
      </c>
      <c r="AG220" s="376" t="s">
        <v>177</v>
      </c>
      <c r="AH220" s="381">
        <v>24.17</v>
      </c>
      <c r="AI220" s="379">
        <v>25188</v>
      </c>
      <c r="AJ220" s="376" t="s">
        <v>178</v>
      </c>
      <c r="AK220" s="376" t="s">
        <v>179</v>
      </c>
      <c r="AL220" s="376" t="s">
        <v>180</v>
      </c>
      <c r="AM220" s="376" t="s">
        <v>181</v>
      </c>
      <c r="AN220" s="376" t="s">
        <v>68</v>
      </c>
      <c r="AO220" s="379">
        <v>80</v>
      </c>
      <c r="AP220" s="460">
        <v>1</v>
      </c>
      <c r="AQ220" s="460">
        <v>7.0000000000000007E-2</v>
      </c>
      <c r="AR220" s="458" t="s">
        <v>182</v>
      </c>
      <c r="AS220" s="462">
        <f t="shared" si="51"/>
        <v>7.0000000000000007E-2</v>
      </c>
      <c r="AT220">
        <f t="shared" si="52"/>
        <v>1</v>
      </c>
      <c r="AU220" s="462">
        <f>IF(AT220=0,"",IF(AND(AT220=1,M220="F",SUMIF(C2:C698,C220,AS2:AS698)&lt;=1),SUMIF(C2:C698,C220,AS2:AS698),IF(AND(AT220=1,M220="F",SUMIF(C2:C698,C220,AS2:AS698)&gt;1),1,"")))</f>
        <v>1</v>
      </c>
      <c r="AV220" s="462" t="str">
        <f>IF(AT220=0,"",IF(AND(AT220=3,M220="F",SUMIF(C2:C698,C220,AS2:AS698)&lt;=1),SUMIF(C2:C698,C220,AS2:AS698),IF(AND(AT220=3,M220="F",SUMIF(C2:C698,C220,AS2:AS698)&gt;1),1,"")))</f>
        <v/>
      </c>
      <c r="AW220" s="462">
        <f>SUMIF(C2:C698,C220,O2:O698)</f>
        <v>7</v>
      </c>
      <c r="AX220" s="462">
        <f>IF(AND(M220="F",AS220&lt;&gt;0),SUMIF(C2:C698,C220,W2:W698),0)</f>
        <v>50273.590000000004</v>
      </c>
      <c r="AY220" s="462">
        <f t="shared" si="53"/>
        <v>3519.15</v>
      </c>
      <c r="AZ220" s="462" t="str">
        <f t="shared" si="54"/>
        <v/>
      </c>
      <c r="BA220" s="462">
        <f t="shared" si="55"/>
        <v>0</v>
      </c>
      <c r="BB220" s="462">
        <f>IF(AND(AT220=1,AK220="E",AU220&gt;=0.75,AW220=1),Health,IF(AND(AT220=1,AK220="E",AU220&gt;=0.75),Health*P220,IF(AND(AT220=1,AK220="E",AU220&gt;=0.5,AW220=1),PTHealth,IF(AND(AT220=1,AK220="E",AU220&gt;=0.5),PTHealth*P220,0))))</f>
        <v>815.50000000000011</v>
      </c>
      <c r="BC220" s="462">
        <f>IF(AND(AT220=3,AK220="E",AV220&gt;=0.75,AW220=1),Health,IF(AND(AT220=3,AK220="E",AV220&gt;=0.75),Health*P220,IF(AND(AT220=3,AK220="E",AV220&gt;=0.5,AW220=1),PTHealth,IF(AND(AT220=3,AK220="E",AV220&gt;=0.5),PTHealth*P220,0))))</f>
        <v>0</v>
      </c>
      <c r="BD220" s="462">
        <f>IF(AND(AT220&lt;&gt;0,AX220&gt;=MAXSSDI),SSDI*MAXSSDI*P220,IF(AT220&lt;&gt;0,SSDI*W220,0))</f>
        <v>218.18729999999999</v>
      </c>
      <c r="BE220" s="462">
        <f>IF(AT220&lt;&gt;0,SSHI*W220,0)</f>
        <v>51.027675000000002</v>
      </c>
      <c r="BF220" s="462">
        <f>IF(AND(AT220&lt;&gt;0,AN220&lt;&gt;"NE"),VLOOKUP(AN220,Retirement_Rates,3,FALSE)*W220,0)</f>
        <v>420.18651000000006</v>
      </c>
      <c r="BG220" s="462">
        <f>IF(AND(AT220&lt;&gt;0,AJ220&lt;&gt;"PF"),Life*W220,0)</f>
        <v>25.373071500000002</v>
      </c>
      <c r="BH220" s="462">
        <f>IF(AND(AT220&lt;&gt;0,AM220="Y"),UI*W220,0)</f>
        <v>17.243835000000001</v>
      </c>
      <c r="BI220" s="462">
        <f>IF(AND(AT220&lt;&gt;0,N220&lt;&gt;"NR"),DHR*W220,0)</f>
        <v>10.768599</v>
      </c>
      <c r="BJ220" s="462">
        <f>IF(AT220&lt;&gt;0,WC*W220,0)</f>
        <v>53.842995000000002</v>
      </c>
      <c r="BK220" s="462">
        <f>IF(OR(AND(AT220&lt;&gt;0,AJ220&lt;&gt;"PF",AN220&lt;&gt;"NE",AG220&lt;&gt;"A"),AND(AL220="E",OR(AT220=1,AT220=3))),Sick*W220,0)</f>
        <v>0</v>
      </c>
      <c r="BL220" s="462">
        <f t="shared" si="56"/>
        <v>796.62998550000009</v>
      </c>
      <c r="BM220" s="462">
        <f t="shared" si="57"/>
        <v>0</v>
      </c>
      <c r="BN220" s="462">
        <f>IF(AND(AT220=1,AK220="E",AU220&gt;=0.75,AW220=1),HealthBY,IF(AND(AT220=1,AK220="E",AU220&gt;=0.75),HealthBY*P220,IF(AND(AT220=1,AK220="E",AU220&gt;=0.5,AW220=1),PTHealthBY,IF(AND(AT220=1,AK220="E",AU220&gt;=0.5),PTHealthBY*P220,0))))</f>
        <v>815.50000000000011</v>
      </c>
      <c r="BO220" s="462">
        <f>IF(AND(AT220=3,AK220="E",AV220&gt;=0.75,AW220=1),HealthBY,IF(AND(AT220=3,AK220="E",AV220&gt;=0.75),HealthBY*P220,IF(AND(AT220=3,AK220="E",AV220&gt;=0.5,AW220=1),PTHealthBY,IF(AND(AT220=3,AK220="E",AV220&gt;=0.5),PTHealthBY*P220,0))))</f>
        <v>0</v>
      </c>
      <c r="BP220" s="462">
        <f>IF(AND(AT220&lt;&gt;0,(AX220+BA220)&gt;=MAXSSDIBY),SSDIBY*MAXSSDIBY*P220,IF(AT220&lt;&gt;0,SSDIBY*W220,0))</f>
        <v>218.18729999999999</v>
      </c>
      <c r="BQ220" s="462">
        <f>IF(AT220&lt;&gt;0,SSHIBY*W220,0)</f>
        <v>51.027675000000002</v>
      </c>
      <c r="BR220" s="462">
        <f>IF(AND(AT220&lt;&gt;0,AN220&lt;&gt;"NE"),VLOOKUP(AN220,Retirement_Rates,4,FALSE)*W220,0)</f>
        <v>420.18651000000006</v>
      </c>
      <c r="BS220" s="462">
        <f>IF(AND(AT220&lt;&gt;0,AJ220&lt;&gt;"PF"),LifeBY*W220,0)</f>
        <v>25.373071500000002</v>
      </c>
      <c r="BT220" s="462">
        <f>IF(AND(AT220&lt;&gt;0,AM220="Y"),UIBY*W220,0)</f>
        <v>0</v>
      </c>
      <c r="BU220" s="462">
        <f>IF(AND(AT220&lt;&gt;0,N220&lt;&gt;"NR"),DHRBY*W220,0)</f>
        <v>10.768599</v>
      </c>
      <c r="BV220" s="462">
        <f>IF(AT220&lt;&gt;0,WCBY*W220,0)</f>
        <v>61.937040000000003</v>
      </c>
      <c r="BW220" s="462">
        <f>IF(OR(AND(AT220&lt;&gt;0,AJ220&lt;&gt;"PF",AN220&lt;&gt;"NE",AG220&lt;&gt;"A"),AND(AL220="E",OR(AT220=1,AT220=3))),SickBY*W220,0)</f>
        <v>0</v>
      </c>
      <c r="BX220" s="462">
        <f t="shared" si="58"/>
        <v>787.48019550000015</v>
      </c>
      <c r="BY220" s="462">
        <f t="shared" si="59"/>
        <v>0</v>
      </c>
      <c r="BZ220" s="462">
        <f t="shared" si="60"/>
        <v>0</v>
      </c>
      <c r="CA220" s="462">
        <f t="shared" si="61"/>
        <v>0</v>
      </c>
      <c r="CB220" s="462">
        <f t="shared" si="62"/>
        <v>0</v>
      </c>
      <c r="CC220" s="462">
        <f>IF(AT220&lt;&gt;0,SSHICHG*Y220,0)</f>
        <v>0</v>
      </c>
      <c r="CD220" s="462">
        <f>IF(AND(AT220&lt;&gt;0,AN220&lt;&gt;"NE"),VLOOKUP(AN220,Retirement_Rates,5,FALSE)*Y220,0)</f>
        <v>0</v>
      </c>
      <c r="CE220" s="462">
        <f>IF(AND(AT220&lt;&gt;0,AJ220&lt;&gt;"PF"),LifeCHG*Y220,0)</f>
        <v>0</v>
      </c>
      <c r="CF220" s="462">
        <f>IF(AND(AT220&lt;&gt;0,AM220="Y"),UICHG*Y220,0)</f>
        <v>-17.243835000000001</v>
      </c>
      <c r="CG220" s="462">
        <f>IF(AND(AT220&lt;&gt;0,N220&lt;&gt;"NR"),DHRCHG*Y220,0)</f>
        <v>0</v>
      </c>
      <c r="CH220" s="462">
        <f>IF(AT220&lt;&gt;0,WCCHG*Y220,0)</f>
        <v>8.0940450000000066</v>
      </c>
      <c r="CI220" s="462">
        <f>IF(OR(AND(AT220&lt;&gt;0,AJ220&lt;&gt;"PF",AN220&lt;&gt;"NE",AG220&lt;&gt;"A"),AND(AL220="E",OR(AT220=1,AT220=3))),SickCHG*Y220,0)</f>
        <v>0</v>
      </c>
      <c r="CJ220" s="462">
        <f t="shared" si="63"/>
        <v>-9.1497899999999941</v>
      </c>
      <c r="CK220" s="462" t="str">
        <f t="shared" si="64"/>
        <v/>
      </c>
      <c r="CL220" s="462" t="str">
        <f t="shared" si="65"/>
        <v/>
      </c>
      <c r="CM220" s="462" t="str">
        <f t="shared" si="66"/>
        <v/>
      </c>
      <c r="CN220" s="462" t="str">
        <f t="shared" si="67"/>
        <v>0001-00</v>
      </c>
    </row>
    <row r="221" spans="1:92" ht="15" thickBot="1" x14ac:dyDescent="0.35">
      <c r="A221" s="376" t="s">
        <v>161</v>
      </c>
      <c r="B221" s="376" t="s">
        <v>162</v>
      </c>
      <c r="C221" s="376" t="s">
        <v>772</v>
      </c>
      <c r="D221" s="376" t="s">
        <v>362</v>
      </c>
      <c r="E221" s="376" t="s">
        <v>165</v>
      </c>
      <c r="F221" s="377" t="s">
        <v>166</v>
      </c>
      <c r="G221" s="376" t="s">
        <v>762</v>
      </c>
      <c r="H221" s="378"/>
      <c r="I221" s="378"/>
      <c r="J221" s="376" t="s">
        <v>547</v>
      </c>
      <c r="K221" s="376" t="s">
        <v>363</v>
      </c>
      <c r="L221" s="376" t="s">
        <v>200</v>
      </c>
      <c r="M221" s="376" t="s">
        <v>170</v>
      </c>
      <c r="N221" s="376" t="s">
        <v>202</v>
      </c>
      <c r="O221" s="379">
        <v>1</v>
      </c>
      <c r="P221" s="460">
        <v>0</v>
      </c>
      <c r="Q221" s="460">
        <v>0</v>
      </c>
      <c r="R221" s="380">
        <v>80</v>
      </c>
      <c r="S221" s="460">
        <v>0</v>
      </c>
      <c r="T221" s="380">
        <v>3889.16</v>
      </c>
      <c r="U221" s="380">
        <v>0</v>
      </c>
      <c r="V221" s="380">
        <v>1952.93</v>
      </c>
      <c r="W221" s="380">
        <v>0</v>
      </c>
      <c r="X221" s="380">
        <v>0</v>
      </c>
      <c r="Y221" s="380">
        <v>0</v>
      </c>
      <c r="Z221" s="380">
        <v>0</v>
      </c>
      <c r="AA221" s="376" t="s">
        <v>773</v>
      </c>
      <c r="AB221" s="376" t="s">
        <v>774</v>
      </c>
      <c r="AC221" s="376" t="s">
        <v>690</v>
      </c>
      <c r="AD221" s="376" t="s">
        <v>225</v>
      </c>
      <c r="AE221" s="376" t="s">
        <v>363</v>
      </c>
      <c r="AF221" s="376" t="s">
        <v>210</v>
      </c>
      <c r="AG221" s="376" t="s">
        <v>177</v>
      </c>
      <c r="AH221" s="381">
        <v>22.5</v>
      </c>
      <c r="AI221" s="379">
        <v>9056</v>
      </c>
      <c r="AJ221" s="376" t="s">
        <v>178</v>
      </c>
      <c r="AK221" s="376" t="s">
        <v>179</v>
      </c>
      <c r="AL221" s="376" t="s">
        <v>180</v>
      </c>
      <c r="AM221" s="376" t="s">
        <v>181</v>
      </c>
      <c r="AN221" s="376" t="s">
        <v>68</v>
      </c>
      <c r="AO221" s="379">
        <v>80</v>
      </c>
      <c r="AP221" s="460">
        <v>1</v>
      </c>
      <c r="AQ221" s="460">
        <v>0</v>
      </c>
      <c r="AR221" s="458" t="s">
        <v>182</v>
      </c>
      <c r="AS221" s="462">
        <f t="shared" si="51"/>
        <v>0</v>
      </c>
      <c r="AT221">
        <f t="shared" si="52"/>
        <v>0</v>
      </c>
      <c r="AU221" s="462" t="str">
        <f>IF(AT221=0,"",IF(AND(AT221=1,M221="F",SUMIF(C2:C698,C221,AS2:AS698)&lt;=1),SUMIF(C2:C698,C221,AS2:AS698),IF(AND(AT221=1,M221="F",SUMIF(C2:C698,C221,AS2:AS698)&gt;1),1,"")))</f>
        <v/>
      </c>
      <c r="AV221" s="462" t="str">
        <f>IF(AT221=0,"",IF(AND(AT221=3,M221="F",SUMIF(C2:C698,C221,AS2:AS698)&lt;=1),SUMIF(C2:C698,C221,AS2:AS698),IF(AND(AT221=3,M221="F",SUMIF(C2:C698,C221,AS2:AS698)&gt;1),1,"")))</f>
        <v/>
      </c>
      <c r="AW221" s="462">
        <f>SUMIF(C2:C698,C221,O2:O698)</f>
        <v>7</v>
      </c>
      <c r="AX221" s="462">
        <f>IF(AND(M221="F",AS221&lt;&gt;0),SUMIF(C2:C698,C221,W2:W698),0)</f>
        <v>0</v>
      </c>
      <c r="AY221" s="462" t="str">
        <f t="shared" si="53"/>
        <v/>
      </c>
      <c r="AZ221" s="462" t="str">
        <f t="shared" si="54"/>
        <v/>
      </c>
      <c r="BA221" s="462">
        <f t="shared" si="55"/>
        <v>0</v>
      </c>
      <c r="BB221" s="462">
        <f>IF(AND(AT221=1,AK221="E",AU221&gt;=0.75,AW221=1),Health,IF(AND(AT221=1,AK221="E",AU221&gt;=0.75),Health*P221,IF(AND(AT221=1,AK221="E",AU221&gt;=0.5,AW221=1),PTHealth,IF(AND(AT221=1,AK221="E",AU221&gt;=0.5),PTHealth*P221,0))))</f>
        <v>0</v>
      </c>
      <c r="BC221" s="462">
        <f>IF(AND(AT221=3,AK221="E",AV221&gt;=0.75,AW221=1),Health,IF(AND(AT221=3,AK221="E",AV221&gt;=0.75),Health*P221,IF(AND(AT221=3,AK221="E",AV221&gt;=0.5,AW221=1),PTHealth,IF(AND(AT221=3,AK221="E",AV221&gt;=0.5),PTHealth*P221,0))))</f>
        <v>0</v>
      </c>
      <c r="BD221" s="462">
        <f>IF(AND(AT221&lt;&gt;0,AX221&gt;=MAXSSDI),SSDI*MAXSSDI*P221,IF(AT221&lt;&gt;0,SSDI*W221,0))</f>
        <v>0</v>
      </c>
      <c r="BE221" s="462">
        <f>IF(AT221&lt;&gt;0,SSHI*W221,0)</f>
        <v>0</v>
      </c>
      <c r="BF221" s="462">
        <f>IF(AND(AT221&lt;&gt;0,AN221&lt;&gt;"NE"),VLOOKUP(AN221,Retirement_Rates,3,FALSE)*W221,0)</f>
        <v>0</v>
      </c>
      <c r="BG221" s="462">
        <f>IF(AND(AT221&lt;&gt;0,AJ221&lt;&gt;"PF"),Life*W221,0)</f>
        <v>0</v>
      </c>
      <c r="BH221" s="462">
        <f>IF(AND(AT221&lt;&gt;0,AM221="Y"),UI*W221,0)</f>
        <v>0</v>
      </c>
      <c r="BI221" s="462">
        <f>IF(AND(AT221&lt;&gt;0,N221&lt;&gt;"NR"),DHR*W221,0)</f>
        <v>0</v>
      </c>
      <c r="BJ221" s="462">
        <f>IF(AT221&lt;&gt;0,WC*W221,0)</f>
        <v>0</v>
      </c>
      <c r="BK221" s="462">
        <f>IF(OR(AND(AT221&lt;&gt;0,AJ221&lt;&gt;"PF",AN221&lt;&gt;"NE",AG221&lt;&gt;"A"),AND(AL221="E",OR(AT221=1,AT221=3))),Sick*W221,0)</f>
        <v>0</v>
      </c>
      <c r="BL221" s="462">
        <f t="shared" si="56"/>
        <v>0</v>
      </c>
      <c r="BM221" s="462">
        <f t="shared" si="57"/>
        <v>0</v>
      </c>
      <c r="BN221" s="462">
        <f>IF(AND(AT221=1,AK221="E",AU221&gt;=0.75,AW221=1),HealthBY,IF(AND(AT221=1,AK221="E",AU221&gt;=0.75),HealthBY*P221,IF(AND(AT221=1,AK221="E",AU221&gt;=0.5,AW221=1),PTHealthBY,IF(AND(AT221=1,AK221="E",AU221&gt;=0.5),PTHealthBY*P221,0))))</f>
        <v>0</v>
      </c>
      <c r="BO221" s="462">
        <f>IF(AND(AT221=3,AK221="E",AV221&gt;=0.75,AW221=1),HealthBY,IF(AND(AT221=3,AK221="E",AV221&gt;=0.75),HealthBY*P221,IF(AND(AT221=3,AK221="E",AV221&gt;=0.5,AW221=1),PTHealthBY,IF(AND(AT221=3,AK221="E",AV221&gt;=0.5),PTHealthBY*P221,0))))</f>
        <v>0</v>
      </c>
      <c r="BP221" s="462">
        <f>IF(AND(AT221&lt;&gt;0,(AX221+BA221)&gt;=MAXSSDIBY),SSDIBY*MAXSSDIBY*P221,IF(AT221&lt;&gt;0,SSDIBY*W221,0))</f>
        <v>0</v>
      </c>
      <c r="BQ221" s="462">
        <f>IF(AT221&lt;&gt;0,SSHIBY*W221,0)</f>
        <v>0</v>
      </c>
      <c r="BR221" s="462">
        <f>IF(AND(AT221&lt;&gt;0,AN221&lt;&gt;"NE"),VLOOKUP(AN221,Retirement_Rates,4,FALSE)*W221,0)</f>
        <v>0</v>
      </c>
      <c r="BS221" s="462">
        <f>IF(AND(AT221&lt;&gt;0,AJ221&lt;&gt;"PF"),LifeBY*W221,0)</f>
        <v>0</v>
      </c>
      <c r="BT221" s="462">
        <f>IF(AND(AT221&lt;&gt;0,AM221="Y"),UIBY*W221,0)</f>
        <v>0</v>
      </c>
      <c r="BU221" s="462">
        <f>IF(AND(AT221&lt;&gt;0,N221&lt;&gt;"NR"),DHRBY*W221,0)</f>
        <v>0</v>
      </c>
      <c r="BV221" s="462">
        <f>IF(AT221&lt;&gt;0,WCBY*W221,0)</f>
        <v>0</v>
      </c>
      <c r="BW221" s="462">
        <f>IF(OR(AND(AT221&lt;&gt;0,AJ221&lt;&gt;"PF",AN221&lt;&gt;"NE",AG221&lt;&gt;"A"),AND(AL221="E",OR(AT221=1,AT221=3))),SickBY*W221,0)</f>
        <v>0</v>
      </c>
      <c r="BX221" s="462">
        <f t="shared" si="58"/>
        <v>0</v>
      </c>
      <c r="BY221" s="462">
        <f t="shared" si="59"/>
        <v>0</v>
      </c>
      <c r="BZ221" s="462">
        <f t="shared" si="60"/>
        <v>0</v>
      </c>
      <c r="CA221" s="462">
        <f t="shared" si="61"/>
        <v>0</v>
      </c>
      <c r="CB221" s="462">
        <f t="shared" si="62"/>
        <v>0</v>
      </c>
      <c r="CC221" s="462">
        <f>IF(AT221&lt;&gt;0,SSHICHG*Y221,0)</f>
        <v>0</v>
      </c>
      <c r="CD221" s="462">
        <f>IF(AND(AT221&lt;&gt;0,AN221&lt;&gt;"NE"),VLOOKUP(AN221,Retirement_Rates,5,FALSE)*Y221,0)</f>
        <v>0</v>
      </c>
      <c r="CE221" s="462">
        <f>IF(AND(AT221&lt;&gt;0,AJ221&lt;&gt;"PF"),LifeCHG*Y221,0)</f>
        <v>0</v>
      </c>
      <c r="CF221" s="462">
        <f>IF(AND(AT221&lt;&gt;0,AM221="Y"),UICHG*Y221,0)</f>
        <v>0</v>
      </c>
      <c r="CG221" s="462">
        <f>IF(AND(AT221&lt;&gt;0,N221&lt;&gt;"NR"),DHRCHG*Y221,0)</f>
        <v>0</v>
      </c>
      <c r="CH221" s="462">
        <f>IF(AT221&lt;&gt;0,WCCHG*Y221,0)</f>
        <v>0</v>
      </c>
      <c r="CI221" s="462">
        <f>IF(OR(AND(AT221&lt;&gt;0,AJ221&lt;&gt;"PF",AN221&lt;&gt;"NE",AG221&lt;&gt;"A"),AND(AL221="E",OR(AT221=1,AT221=3))),SickCHG*Y221,0)</f>
        <v>0</v>
      </c>
      <c r="CJ221" s="462">
        <f t="shared" si="63"/>
        <v>0</v>
      </c>
      <c r="CK221" s="462" t="str">
        <f t="shared" si="64"/>
        <v/>
      </c>
      <c r="CL221" s="462" t="str">
        <f t="shared" si="65"/>
        <v/>
      </c>
      <c r="CM221" s="462" t="str">
        <f t="shared" si="66"/>
        <v/>
      </c>
      <c r="CN221" s="462" t="str">
        <f t="shared" si="67"/>
        <v>0001-00</v>
      </c>
    </row>
    <row r="222" spans="1:92" ht="15" thickBot="1" x14ac:dyDescent="0.35">
      <c r="A222" s="376" t="s">
        <v>161</v>
      </c>
      <c r="B222" s="376" t="s">
        <v>162</v>
      </c>
      <c r="C222" s="376" t="s">
        <v>775</v>
      </c>
      <c r="D222" s="376" t="s">
        <v>776</v>
      </c>
      <c r="E222" s="376" t="s">
        <v>165</v>
      </c>
      <c r="F222" s="377" t="s">
        <v>166</v>
      </c>
      <c r="G222" s="376" t="s">
        <v>762</v>
      </c>
      <c r="H222" s="378"/>
      <c r="I222" s="378"/>
      <c r="J222" s="376" t="s">
        <v>185</v>
      </c>
      <c r="K222" s="376" t="s">
        <v>777</v>
      </c>
      <c r="L222" s="376" t="s">
        <v>247</v>
      </c>
      <c r="M222" s="376" t="s">
        <v>170</v>
      </c>
      <c r="N222" s="376" t="s">
        <v>202</v>
      </c>
      <c r="O222" s="379">
        <v>1</v>
      </c>
      <c r="P222" s="460">
        <v>0.66</v>
      </c>
      <c r="Q222" s="460">
        <v>0.66</v>
      </c>
      <c r="R222" s="380">
        <v>80</v>
      </c>
      <c r="S222" s="460">
        <v>0.66</v>
      </c>
      <c r="T222" s="380">
        <v>59684.11</v>
      </c>
      <c r="U222" s="380">
        <v>0</v>
      </c>
      <c r="V222" s="380">
        <v>23228.37</v>
      </c>
      <c r="W222" s="380">
        <v>42954.91</v>
      </c>
      <c r="X222" s="380">
        <v>17412.669999999998</v>
      </c>
      <c r="Y222" s="380">
        <v>42954.91</v>
      </c>
      <c r="Z222" s="380">
        <v>17300.990000000002</v>
      </c>
      <c r="AA222" s="376" t="s">
        <v>778</v>
      </c>
      <c r="AB222" s="376" t="s">
        <v>779</v>
      </c>
      <c r="AC222" s="376" t="s">
        <v>780</v>
      </c>
      <c r="AD222" s="376" t="s">
        <v>215</v>
      </c>
      <c r="AE222" s="376" t="s">
        <v>777</v>
      </c>
      <c r="AF222" s="376" t="s">
        <v>299</v>
      </c>
      <c r="AG222" s="376" t="s">
        <v>177</v>
      </c>
      <c r="AH222" s="381">
        <v>31.29</v>
      </c>
      <c r="AI222" s="379">
        <v>3512</v>
      </c>
      <c r="AJ222" s="376" t="s">
        <v>178</v>
      </c>
      <c r="AK222" s="376" t="s">
        <v>179</v>
      </c>
      <c r="AL222" s="376" t="s">
        <v>180</v>
      </c>
      <c r="AM222" s="376" t="s">
        <v>181</v>
      </c>
      <c r="AN222" s="376" t="s">
        <v>68</v>
      </c>
      <c r="AO222" s="379">
        <v>80</v>
      </c>
      <c r="AP222" s="460">
        <v>1</v>
      </c>
      <c r="AQ222" s="460">
        <v>0.66</v>
      </c>
      <c r="AR222" s="458" t="s">
        <v>182</v>
      </c>
      <c r="AS222" s="462">
        <f t="shared" si="51"/>
        <v>0.66</v>
      </c>
      <c r="AT222">
        <f t="shared" si="52"/>
        <v>1</v>
      </c>
      <c r="AU222" s="462">
        <f>IF(AT222=0,"",IF(AND(AT222=1,M222="F",SUMIF(C2:C698,C222,AS2:AS698)&lt;=1),SUMIF(C2:C698,C222,AS2:AS698),IF(AND(AT222=1,M222="F",SUMIF(C2:C698,C222,AS2:AS698)&gt;1),1,"")))</f>
        <v>1</v>
      </c>
      <c r="AV222" s="462" t="str">
        <f>IF(AT222=0,"",IF(AND(AT222=3,M222="F",SUMIF(C2:C698,C222,AS2:AS698)&lt;=1),SUMIF(C2:C698,C222,AS2:AS698),IF(AND(AT222=3,M222="F",SUMIF(C2:C698,C222,AS2:AS698)&gt;1),1,"")))</f>
        <v/>
      </c>
      <c r="AW222" s="462">
        <f>SUMIF(C2:C698,C222,O2:O698)</f>
        <v>3</v>
      </c>
      <c r="AX222" s="462">
        <f>IF(AND(M222="F",AS222&lt;&gt;0),SUMIF(C2:C698,C222,W2:W698),0)</f>
        <v>65083.19</v>
      </c>
      <c r="AY222" s="462">
        <f t="shared" si="53"/>
        <v>42954.91</v>
      </c>
      <c r="AZ222" s="462" t="str">
        <f t="shared" si="54"/>
        <v/>
      </c>
      <c r="BA222" s="462">
        <f t="shared" si="55"/>
        <v>0</v>
      </c>
      <c r="BB222" s="462">
        <f>IF(AND(AT222=1,AK222="E",AU222&gt;=0.75,AW222=1),Health,IF(AND(AT222=1,AK222="E",AU222&gt;=0.75),Health*P222,IF(AND(AT222=1,AK222="E",AU222&gt;=0.5,AW222=1),PTHealth,IF(AND(AT222=1,AK222="E",AU222&gt;=0.5),PTHealth*P222,0))))</f>
        <v>7689</v>
      </c>
      <c r="BC222" s="462">
        <f>IF(AND(AT222=3,AK222="E",AV222&gt;=0.75,AW222=1),Health,IF(AND(AT222=3,AK222="E",AV222&gt;=0.75),Health*P222,IF(AND(AT222=3,AK222="E",AV222&gt;=0.5,AW222=1),PTHealth,IF(AND(AT222=3,AK222="E",AV222&gt;=0.5),PTHealth*P222,0))))</f>
        <v>0</v>
      </c>
      <c r="BD222" s="462">
        <f>IF(AND(AT222&lt;&gt;0,AX222&gt;=MAXSSDI),SSDI*MAXSSDI*P222,IF(AT222&lt;&gt;0,SSDI*W222,0))</f>
        <v>2663.20442</v>
      </c>
      <c r="BE222" s="462">
        <f>IF(AT222&lt;&gt;0,SSHI*W222,0)</f>
        <v>622.84619500000008</v>
      </c>
      <c r="BF222" s="462">
        <f>IF(AND(AT222&lt;&gt;0,AN222&lt;&gt;"NE"),VLOOKUP(AN222,Retirement_Rates,3,FALSE)*W222,0)</f>
        <v>5128.8162540000003</v>
      </c>
      <c r="BG222" s="462">
        <f>IF(AND(AT222&lt;&gt;0,AJ222&lt;&gt;"PF"),Life*W222,0)</f>
        <v>309.70490110000003</v>
      </c>
      <c r="BH222" s="462">
        <f>IF(AND(AT222&lt;&gt;0,AM222="Y"),UI*W222,0)</f>
        <v>210.47905900000001</v>
      </c>
      <c r="BI222" s="462">
        <f>IF(AND(AT222&lt;&gt;0,N222&lt;&gt;"NR"),DHR*W222,0)</f>
        <v>131.4420246</v>
      </c>
      <c r="BJ222" s="462">
        <f>IF(AT222&lt;&gt;0,WC*W222,0)</f>
        <v>657.21012300000007</v>
      </c>
      <c r="BK222" s="462">
        <f>IF(OR(AND(AT222&lt;&gt;0,AJ222&lt;&gt;"PF",AN222&lt;&gt;"NE",AG222&lt;&gt;"A"),AND(AL222="E",OR(AT222=1,AT222=3))),Sick*W222,0)</f>
        <v>0</v>
      </c>
      <c r="BL222" s="462">
        <f t="shared" si="56"/>
        <v>9723.7029767000022</v>
      </c>
      <c r="BM222" s="462">
        <f t="shared" si="57"/>
        <v>0</v>
      </c>
      <c r="BN222" s="462">
        <f>IF(AND(AT222=1,AK222="E",AU222&gt;=0.75,AW222=1),HealthBY,IF(AND(AT222=1,AK222="E",AU222&gt;=0.75),HealthBY*P222,IF(AND(AT222=1,AK222="E",AU222&gt;=0.5,AW222=1),PTHealthBY,IF(AND(AT222=1,AK222="E",AU222&gt;=0.5),PTHealthBY*P222,0))))</f>
        <v>7689</v>
      </c>
      <c r="BO222" s="462">
        <f>IF(AND(AT222=3,AK222="E",AV222&gt;=0.75,AW222=1),HealthBY,IF(AND(AT222=3,AK222="E",AV222&gt;=0.75),HealthBY*P222,IF(AND(AT222=3,AK222="E",AV222&gt;=0.5,AW222=1),PTHealthBY,IF(AND(AT222=3,AK222="E",AV222&gt;=0.5),PTHealthBY*P222,0))))</f>
        <v>0</v>
      </c>
      <c r="BP222" s="462">
        <f>IF(AND(AT222&lt;&gt;0,(AX222+BA222)&gt;=MAXSSDIBY),SSDIBY*MAXSSDIBY*P222,IF(AT222&lt;&gt;0,SSDIBY*W222,0))</f>
        <v>2663.20442</v>
      </c>
      <c r="BQ222" s="462">
        <f>IF(AT222&lt;&gt;0,SSHIBY*W222,0)</f>
        <v>622.84619500000008</v>
      </c>
      <c r="BR222" s="462">
        <f>IF(AND(AT222&lt;&gt;0,AN222&lt;&gt;"NE"),VLOOKUP(AN222,Retirement_Rates,4,FALSE)*W222,0)</f>
        <v>5128.8162540000003</v>
      </c>
      <c r="BS222" s="462">
        <f>IF(AND(AT222&lt;&gt;0,AJ222&lt;&gt;"PF"),LifeBY*W222,0)</f>
        <v>309.70490110000003</v>
      </c>
      <c r="BT222" s="462">
        <f>IF(AND(AT222&lt;&gt;0,AM222="Y"),UIBY*W222,0)</f>
        <v>0</v>
      </c>
      <c r="BU222" s="462">
        <f>IF(AND(AT222&lt;&gt;0,N222&lt;&gt;"NR"),DHRBY*W222,0)</f>
        <v>131.4420246</v>
      </c>
      <c r="BV222" s="462">
        <f>IF(AT222&lt;&gt;0,WCBY*W222,0)</f>
        <v>756.00641600000006</v>
      </c>
      <c r="BW222" s="462">
        <f>IF(OR(AND(AT222&lt;&gt;0,AJ222&lt;&gt;"PF",AN222&lt;&gt;"NE",AG222&lt;&gt;"A"),AND(AL222="E",OR(AT222=1,AT222=3))),SickBY*W222,0)</f>
        <v>0</v>
      </c>
      <c r="BX222" s="462">
        <f t="shared" si="58"/>
        <v>9612.0202107000023</v>
      </c>
      <c r="BY222" s="462">
        <f t="shared" si="59"/>
        <v>0</v>
      </c>
      <c r="BZ222" s="462">
        <f t="shared" si="60"/>
        <v>0</v>
      </c>
      <c r="CA222" s="462">
        <f t="shared" si="61"/>
        <v>0</v>
      </c>
      <c r="CB222" s="462">
        <f t="shared" si="62"/>
        <v>0</v>
      </c>
      <c r="CC222" s="462">
        <f>IF(AT222&lt;&gt;0,SSHICHG*Y222,0)</f>
        <v>0</v>
      </c>
      <c r="CD222" s="462">
        <f>IF(AND(AT222&lt;&gt;0,AN222&lt;&gt;"NE"),VLOOKUP(AN222,Retirement_Rates,5,FALSE)*Y222,0)</f>
        <v>0</v>
      </c>
      <c r="CE222" s="462">
        <f>IF(AND(AT222&lt;&gt;0,AJ222&lt;&gt;"PF"),LifeCHG*Y222,0)</f>
        <v>0</v>
      </c>
      <c r="CF222" s="462">
        <f>IF(AND(AT222&lt;&gt;0,AM222="Y"),UICHG*Y222,0)</f>
        <v>-210.47905900000001</v>
      </c>
      <c r="CG222" s="462">
        <f>IF(AND(AT222&lt;&gt;0,N222&lt;&gt;"NR"),DHRCHG*Y222,0)</f>
        <v>0</v>
      </c>
      <c r="CH222" s="462">
        <f>IF(AT222&lt;&gt;0,WCCHG*Y222,0)</f>
        <v>98.796293000000077</v>
      </c>
      <c r="CI222" s="462">
        <f>IF(OR(AND(AT222&lt;&gt;0,AJ222&lt;&gt;"PF",AN222&lt;&gt;"NE",AG222&lt;&gt;"A"),AND(AL222="E",OR(AT222=1,AT222=3))),SickCHG*Y222,0)</f>
        <v>0</v>
      </c>
      <c r="CJ222" s="462">
        <f t="shared" si="63"/>
        <v>-111.68276599999993</v>
      </c>
      <c r="CK222" s="462" t="str">
        <f t="shared" si="64"/>
        <v/>
      </c>
      <c r="CL222" s="462" t="str">
        <f t="shared" si="65"/>
        <v/>
      </c>
      <c r="CM222" s="462" t="str">
        <f t="shared" si="66"/>
        <v/>
      </c>
      <c r="CN222" s="462" t="str">
        <f t="shared" si="67"/>
        <v>0001-00</v>
      </c>
    </row>
    <row r="223" spans="1:92" ht="15" thickBot="1" x14ac:dyDescent="0.35">
      <c r="A223" s="376" t="s">
        <v>161</v>
      </c>
      <c r="B223" s="376" t="s">
        <v>162</v>
      </c>
      <c r="C223" s="376" t="s">
        <v>781</v>
      </c>
      <c r="D223" s="376" t="s">
        <v>362</v>
      </c>
      <c r="E223" s="376" t="s">
        <v>165</v>
      </c>
      <c r="F223" s="377" t="s">
        <v>166</v>
      </c>
      <c r="G223" s="376" t="s">
        <v>762</v>
      </c>
      <c r="H223" s="378"/>
      <c r="I223" s="378"/>
      <c r="J223" s="376" t="s">
        <v>782</v>
      </c>
      <c r="K223" s="376" t="s">
        <v>363</v>
      </c>
      <c r="L223" s="376" t="s">
        <v>200</v>
      </c>
      <c r="M223" s="376" t="s">
        <v>170</v>
      </c>
      <c r="N223" s="376" t="s">
        <v>202</v>
      </c>
      <c r="O223" s="379">
        <v>1</v>
      </c>
      <c r="P223" s="460">
        <v>0.1</v>
      </c>
      <c r="Q223" s="460">
        <v>0.1</v>
      </c>
      <c r="R223" s="380">
        <v>80</v>
      </c>
      <c r="S223" s="460">
        <v>0.1</v>
      </c>
      <c r="T223" s="380">
        <v>3631.96</v>
      </c>
      <c r="U223" s="380">
        <v>0</v>
      </c>
      <c r="V223" s="380">
        <v>1771.13</v>
      </c>
      <c r="W223" s="380">
        <v>4680</v>
      </c>
      <c r="X223" s="380">
        <v>2224.41</v>
      </c>
      <c r="Y223" s="380">
        <v>4680</v>
      </c>
      <c r="Z223" s="380">
        <v>2212.2399999999998</v>
      </c>
      <c r="AA223" s="376" t="s">
        <v>783</v>
      </c>
      <c r="AB223" s="376" t="s">
        <v>784</v>
      </c>
      <c r="AC223" s="376" t="s">
        <v>690</v>
      </c>
      <c r="AD223" s="376" t="s">
        <v>215</v>
      </c>
      <c r="AE223" s="376" t="s">
        <v>363</v>
      </c>
      <c r="AF223" s="376" t="s">
        <v>210</v>
      </c>
      <c r="AG223" s="376" t="s">
        <v>177</v>
      </c>
      <c r="AH223" s="381">
        <v>22.5</v>
      </c>
      <c r="AI223" s="379">
        <v>3768</v>
      </c>
      <c r="AJ223" s="376" t="s">
        <v>178</v>
      </c>
      <c r="AK223" s="376" t="s">
        <v>179</v>
      </c>
      <c r="AL223" s="376" t="s">
        <v>180</v>
      </c>
      <c r="AM223" s="376" t="s">
        <v>181</v>
      </c>
      <c r="AN223" s="376" t="s">
        <v>68</v>
      </c>
      <c r="AO223" s="379">
        <v>80</v>
      </c>
      <c r="AP223" s="460">
        <v>1</v>
      </c>
      <c r="AQ223" s="460">
        <v>0.1</v>
      </c>
      <c r="AR223" s="458" t="s">
        <v>182</v>
      </c>
      <c r="AS223" s="462">
        <f t="shared" si="51"/>
        <v>0.1</v>
      </c>
      <c r="AT223">
        <f t="shared" si="52"/>
        <v>1</v>
      </c>
      <c r="AU223" s="462">
        <f>IF(AT223=0,"",IF(AND(AT223=1,M223="F",SUMIF(C2:C698,C223,AS2:AS698)&lt;=1),SUMIF(C2:C698,C223,AS2:AS698),IF(AND(AT223=1,M223="F",SUMIF(C2:C698,C223,AS2:AS698)&gt;1),1,"")))</f>
        <v>1</v>
      </c>
      <c r="AV223" s="462" t="str">
        <f>IF(AT223=0,"",IF(AND(AT223=3,M223="F",SUMIF(C2:C698,C223,AS2:AS698)&lt;=1),SUMIF(C2:C698,C223,AS2:AS698),IF(AND(AT223=3,M223="F",SUMIF(C2:C698,C223,AS2:AS698)&gt;1),1,"")))</f>
        <v/>
      </c>
      <c r="AW223" s="462">
        <f>SUMIF(C2:C698,C223,O2:O698)</f>
        <v>7</v>
      </c>
      <c r="AX223" s="462">
        <f>IF(AND(M223="F",AS223&lt;&gt;0),SUMIF(C2:C698,C223,W2:W698),0)</f>
        <v>46800</v>
      </c>
      <c r="AY223" s="462">
        <f t="shared" si="53"/>
        <v>4680</v>
      </c>
      <c r="AZ223" s="462" t="str">
        <f t="shared" si="54"/>
        <v/>
      </c>
      <c r="BA223" s="462">
        <f t="shared" si="55"/>
        <v>0</v>
      </c>
      <c r="BB223" s="462">
        <f>IF(AND(AT223=1,AK223="E",AU223&gt;=0.75,AW223=1),Health,IF(AND(AT223=1,AK223="E",AU223&gt;=0.75),Health*P223,IF(AND(AT223=1,AK223="E",AU223&gt;=0.5,AW223=1),PTHealth,IF(AND(AT223=1,AK223="E",AU223&gt;=0.5),PTHealth*P223,0))))</f>
        <v>1165</v>
      </c>
      <c r="BC223" s="462">
        <f>IF(AND(AT223=3,AK223="E",AV223&gt;=0.75,AW223=1),Health,IF(AND(AT223=3,AK223="E",AV223&gt;=0.75),Health*P223,IF(AND(AT223=3,AK223="E",AV223&gt;=0.5,AW223=1),PTHealth,IF(AND(AT223=3,AK223="E",AV223&gt;=0.5),PTHealth*P223,0))))</f>
        <v>0</v>
      </c>
      <c r="BD223" s="462">
        <f>IF(AND(AT223&lt;&gt;0,AX223&gt;=MAXSSDI),SSDI*MAXSSDI*P223,IF(AT223&lt;&gt;0,SSDI*W223,0))</f>
        <v>290.16000000000003</v>
      </c>
      <c r="BE223" s="462">
        <f>IF(AT223&lt;&gt;0,SSHI*W223,0)</f>
        <v>67.86</v>
      </c>
      <c r="BF223" s="462">
        <f>IF(AND(AT223&lt;&gt;0,AN223&lt;&gt;"NE"),VLOOKUP(AN223,Retirement_Rates,3,FALSE)*W223,0)</f>
        <v>558.79200000000003</v>
      </c>
      <c r="BG223" s="462">
        <f>IF(AND(AT223&lt;&gt;0,AJ223&lt;&gt;"PF"),Life*W223,0)</f>
        <v>33.742800000000003</v>
      </c>
      <c r="BH223" s="462">
        <f>IF(AND(AT223&lt;&gt;0,AM223="Y"),UI*W223,0)</f>
        <v>22.931999999999999</v>
      </c>
      <c r="BI223" s="462">
        <f>IF(AND(AT223&lt;&gt;0,N223&lt;&gt;"NR"),DHR*W223,0)</f>
        <v>14.320799999999998</v>
      </c>
      <c r="BJ223" s="462">
        <f>IF(AT223&lt;&gt;0,WC*W223,0)</f>
        <v>71.603999999999999</v>
      </c>
      <c r="BK223" s="462">
        <f>IF(OR(AND(AT223&lt;&gt;0,AJ223&lt;&gt;"PF",AN223&lt;&gt;"NE",AG223&lt;&gt;"A"),AND(AL223="E",OR(AT223=1,AT223=3))),Sick*W223,0)</f>
        <v>0</v>
      </c>
      <c r="BL223" s="462">
        <f t="shared" si="56"/>
        <v>1059.4116000000001</v>
      </c>
      <c r="BM223" s="462">
        <f t="shared" si="57"/>
        <v>0</v>
      </c>
      <c r="BN223" s="462">
        <f>IF(AND(AT223=1,AK223="E",AU223&gt;=0.75,AW223=1),HealthBY,IF(AND(AT223=1,AK223="E",AU223&gt;=0.75),HealthBY*P223,IF(AND(AT223=1,AK223="E",AU223&gt;=0.5,AW223=1),PTHealthBY,IF(AND(AT223=1,AK223="E",AU223&gt;=0.5),PTHealthBY*P223,0))))</f>
        <v>1165</v>
      </c>
      <c r="BO223" s="462">
        <f>IF(AND(AT223=3,AK223="E",AV223&gt;=0.75,AW223=1),HealthBY,IF(AND(AT223=3,AK223="E",AV223&gt;=0.75),HealthBY*P223,IF(AND(AT223=3,AK223="E",AV223&gt;=0.5,AW223=1),PTHealthBY,IF(AND(AT223=3,AK223="E",AV223&gt;=0.5),PTHealthBY*P223,0))))</f>
        <v>0</v>
      </c>
      <c r="BP223" s="462">
        <f>IF(AND(AT223&lt;&gt;0,(AX223+BA223)&gt;=MAXSSDIBY),SSDIBY*MAXSSDIBY*P223,IF(AT223&lt;&gt;0,SSDIBY*W223,0))</f>
        <v>290.16000000000003</v>
      </c>
      <c r="BQ223" s="462">
        <f>IF(AT223&lt;&gt;0,SSHIBY*W223,0)</f>
        <v>67.86</v>
      </c>
      <c r="BR223" s="462">
        <f>IF(AND(AT223&lt;&gt;0,AN223&lt;&gt;"NE"),VLOOKUP(AN223,Retirement_Rates,4,FALSE)*W223,0)</f>
        <v>558.79200000000003</v>
      </c>
      <c r="BS223" s="462">
        <f>IF(AND(AT223&lt;&gt;0,AJ223&lt;&gt;"PF"),LifeBY*W223,0)</f>
        <v>33.742800000000003</v>
      </c>
      <c r="BT223" s="462">
        <f>IF(AND(AT223&lt;&gt;0,AM223="Y"),UIBY*W223,0)</f>
        <v>0</v>
      </c>
      <c r="BU223" s="462">
        <f>IF(AND(AT223&lt;&gt;0,N223&lt;&gt;"NR"),DHRBY*W223,0)</f>
        <v>14.320799999999998</v>
      </c>
      <c r="BV223" s="462">
        <f>IF(AT223&lt;&gt;0,WCBY*W223,0)</f>
        <v>82.368000000000009</v>
      </c>
      <c r="BW223" s="462">
        <f>IF(OR(AND(AT223&lt;&gt;0,AJ223&lt;&gt;"PF",AN223&lt;&gt;"NE",AG223&lt;&gt;"A"),AND(AL223="E",OR(AT223=1,AT223=3))),SickBY*W223,0)</f>
        <v>0</v>
      </c>
      <c r="BX223" s="462">
        <f t="shared" si="58"/>
        <v>1047.2436</v>
      </c>
      <c r="BY223" s="462">
        <f t="shared" si="59"/>
        <v>0</v>
      </c>
      <c r="BZ223" s="462">
        <f t="shared" si="60"/>
        <v>0</v>
      </c>
      <c r="CA223" s="462">
        <f t="shared" si="61"/>
        <v>0</v>
      </c>
      <c r="CB223" s="462">
        <f t="shared" si="62"/>
        <v>0</v>
      </c>
      <c r="CC223" s="462">
        <f>IF(AT223&lt;&gt;0,SSHICHG*Y223,0)</f>
        <v>0</v>
      </c>
      <c r="CD223" s="462">
        <f>IF(AND(AT223&lt;&gt;0,AN223&lt;&gt;"NE"),VLOOKUP(AN223,Retirement_Rates,5,FALSE)*Y223,0)</f>
        <v>0</v>
      </c>
      <c r="CE223" s="462">
        <f>IF(AND(AT223&lt;&gt;0,AJ223&lt;&gt;"PF"),LifeCHG*Y223,0)</f>
        <v>0</v>
      </c>
      <c r="CF223" s="462">
        <f>IF(AND(AT223&lt;&gt;0,AM223="Y"),UICHG*Y223,0)</f>
        <v>-22.931999999999999</v>
      </c>
      <c r="CG223" s="462">
        <f>IF(AND(AT223&lt;&gt;0,N223&lt;&gt;"NR"),DHRCHG*Y223,0)</f>
        <v>0</v>
      </c>
      <c r="CH223" s="462">
        <f>IF(AT223&lt;&gt;0,WCCHG*Y223,0)</f>
        <v>10.764000000000008</v>
      </c>
      <c r="CI223" s="462">
        <f>IF(OR(AND(AT223&lt;&gt;0,AJ223&lt;&gt;"PF",AN223&lt;&gt;"NE",AG223&lt;&gt;"A"),AND(AL223="E",OR(AT223=1,AT223=3))),SickCHG*Y223,0)</f>
        <v>0</v>
      </c>
      <c r="CJ223" s="462">
        <f t="shared" si="63"/>
        <v>-12.16799999999999</v>
      </c>
      <c r="CK223" s="462" t="str">
        <f t="shared" si="64"/>
        <v/>
      </c>
      <c r="CL223" s="462" t="str">
        <f t="shared" si="65"/>
        <v/>
      </c>
      <c r="CM223" s="462" t="str">
        <f t="shared" si="66"/>
        <v/>
      </c>
      <c r="CN223" s="462" t="str">
        <f t="shared" si="67"/>
        <v>0001-00</v>
      </c>
    </row>
    <row r="224" spans="1:92" ht="15" thickBot="1" x14ac:dyDescent="0.35">
      <c r="A224" s="376" t="s">
        <v>161</v>
      </c>
      <c r="B224" s="376" t="s">
        <v>162</v>
      </c>
      <c r="C224" s="376" t="s">
        <v>785</v>
      </c>
      <c r="D224" s="376" t="s">
        <v>250</v>
      </c>
      <c r="E224" s="376" t="s">
        <v>165</v>
      </c>
      <c r="F224" s="377" t="s">
        <v>166</v>
      </c>
      <c r="G224" s="376" t="s">
        <v>762</v>
      </c>
      <c r="H224" s="378"/>
      <c r="I224" s="378"/>
      <c r="J224" s="376" t="s">
        <v>768</v>
      </c>
      <c r="K224" s="376" t="s">
        <v>407</v>
      </c>
      <c r="L224" s="376" t="s">
        <v>247</v>
      </c>
      <c r="M224" s="376" t="s">
        <v>170</v>
      </c>
      <c r="N224" s="376" t="s">
        <v>202</v>
      </c>
      <c r="O224" s="379">
        <v>1</v>
      </c>
      <c r="P224" s="460">
        <v>0.4</v>
      </c>
      <c r="Q224" s="460">
        <v>0.4</v>
      </c>
      <c r="R224" s="380">
        <v>80</v>
      </c>
      <c r="S224" s="460">
        <v>0.4</v>
      </c>
      <c r="T224" s="380">
        <v>21595.94</v>
      </c>
      <c r="U224" s="380">
        <v>0</v>
      </c>
      <c r="V224" s="380">
        <v>8631.19</v>
      </c>
      <c r="W224" s="380">
        <v>25109.759999999998</v>
      </c>
      <c r="X224" s="380">
        <v>10344.08</v>
      </c>
      <c r="Y224" s="380">
        <v>25109.759999999998</v>
      </c>
      <c r="Z224" s="380">
        <v>10278.790000000001</v>
      </c>
      <c r="AA224" s="376" t="s">
        <v>786</v>
      </c>
      <c r="AB224" s="376" t="s">
        <v>787</v>
      </c>
      <c r="AC224" s="376" t="s">
        <v>788</v>
      </c>
      <c r="AD224" s="376" t="s">
        <v>325</v>
      </c>
      <c r="AE224" s="376" t="s">
        <v>407</v>
      </c>
      <c r="AF224" s="376" t="s">
        <v>299</v>
      </c>
      <c r="AG224" s="376" t="s">
        <v>177</v>
      </c>
      <c r="AH224" s="381">
        <v>30.18</v>
      </c>
      <c r="AI224" s="381">
        <v>73366.600000000006</v>
      </c>
      <c r="AJ224" s="376" t="s">
        <v>178</v>
      </c>
      <c r="AK224" s="376" t="s">
        <v>179</v>
      </c>
      <c r="AL224" s="376" t="s">
        <v>180</v>
      </c>
      <c r="AM224" s="376" t="s">
        <v>181</v>
      </c>
      <c r="AN224" s="376" t="s">
        <v>68</v>
      </c>
      <c r="AO224" s="379">
        <v>80</v>
      </c>
      <c r="AP224" s="460">
        <v>1</v>
      </c>
      <c r="AQ224" s="460">
        <v>0.4</v>
      </c>
      <c r="AR224" s="458" t="s">
        <v>182</v>
      </c>
      <c r="AS224" s="462">
        <f t="shared" si="51"/>
        <v>0.4</v>
      </c>
      <c r="AT224">
        <f t="shared" si="52"/>
        <v>1</v>
      </c>
      <c r="AU224" s="462">
        <f>IF(AT224=0,"",IF(AND(AT224=1,M224="F",SUMIF(C2:C698,C224,AS2:AS698)&lt;=1),SUMIF(C2:C698,C224,AS2:AS698),IF(AND(AT224=1,M224="F",SUMIF(C2:C698,C224,AS2:AS698)&gt;1),1,"")))</f>
        <v>1</v>
      </c>
      <c r="AV224" s="462" t="str">
        <f>IF(AT224=0,"",IF(AND(AT224=3,M224="F",SUMIF(C2:C698,C224,AS2:AS698)&lt;=1),SUMIF(C2:C698,C224,AS2:AS698),IF(AND(AT224=3,M224="F",SUMIF(C2:C698,C224,AS2:AS698)&gt;1),1,"")))</f>
        <v/>
      </c>
      <c r="AW224" s="462">
        <f>SUMIF(C2:C698,C224,O2:O698)</f>
        <v>7</v>
      </c>
      <c r="AX224" s="462">
        <f>IF(AND(M224="F",AS224&lt;&gt;0),SUMIF(C2:C698,C224,W2:W698),0)</f>
        <v>62774.400000000001</v>
      </c>
      <c r="AY224" s="462">
        <f t="shared" si="53"/>
        <v>25109.759999999998</v>
      </c>
      <c r="AZ224" s="462" t="str">
        <f t="shared" si="54"/>
        <v/>
      </c>
      <c r="BA224" s="462">
        <f t="shared" si="55"/>
        <v>0</v>
      </c>
      <c r="BB224" s="462">
        <f>IF(AND(AT224=1,AK224="E",AU224&gt;=0.75,AW224=1),Health,IF(AND(AT224=1,AK224="E",AU224&gt;=0.75),Health*P224,IF(AND(AT224=1,AK224="E",AU224&gt;=0.5,AW224=1),PTHealth,IF(AND(AT224=1,AK224="E",AU224&gt;=0.5),PTHealth*P224,0))))</f>
        <v>4660</v>
      </c>
      <c r="BC224" s="462">
        <f>IF(AND(AT224=3,AK224="E",AV224&gt;=0.75,AW224=1),Health,IF(AND(AT224=3,AK224="E",AV224&gt;=0.75),Health*P224,IF(AND(AT224=3,AK224="E",AV224&gt;=0.5,AW224=1),PTHealth,IF(AND(AT224=3,AK224="E",AV224&gt;=0.5),PTHealth*P224,0))))</f>
        <v>0</v>
      </c>
      <c r="BD224" s="462">
        <f>IF(AND(AT224&lt;&gt;0,AX224&gt;=MAXSSDI),SSDI*MAXSSDI*P224,IF(AT224&lt;&gt;0,SSDI*W224,0))</f>
        <v>1556.80512</v>
      </c>
      <c r="BE224" s="462">
        <f>IF(AT224&lt;&gt;0,SSHI*W224,0)</f>
        <v>364.09152</v>
      </c>
      <c r="BF224" s="462">
        <f>IF(AND(AT224&lt;&gt;0,AN224&lt;&gt;"NE"),VLOOKUP(AN224,Retirement_Rates,3,FALSE)*W224,0)</f>
        <v>2998.1053440000001</v>
      </c>
      <c r="BG224" s="462">
        <f>IF(AND(AT224&lt;&gt;0,AJ224&lt;&gt;"PF"),Life*W224,0)</f>
        <v>181.0413696</v>
      </c>
      <c r="BH224" s="462">
        <f>IF(AND(AT224&lt;&gt;0,AM224="Y"),UI*W224,0)</f>
        <v>123.03782399999999</v>
      </c>
      <c r="BI224" s="462">
        <f>IF(AND(AT224&lt;&gt;0,N224&lt;&gt;"NR"),DHR*W224,0)</f>
        <v>76.835865599999991</v>
      </c>
      <c r="BJ224" s="462">
        <f>IF(AT224&lt;&gt;0,WC*W224,0)</f>
        <v>384.17932799999994</v>
      </c>
      <c r="BK224" s="462">
        <f>IF(OR(AND(AT224&lt;&gt;0,AJ224&lt;&gt;"PF",AN224&lt;&gt;"NE",AG224&lt;&gt;"A"),AND(AL224="E",OR(AT224=1,AT224=3))),Sick*W224,0)</f>
        <v>0</v>
      </c>
      <c r="BL224" s="462">
        <f t="shared" si="56"/>
        <v>5684.0963712000002</v>
      </c>
      <c r="BM224" s="462">
        <f t="shared" si="57"/>
        <v>0</v>
      </c>
      <c r="BN224" s="462">
        <f>IF(AND(AT224=1,AK224="E",AU224&gt;=0.75,AW224=1),HealthBY,IF(AND(AT224=1,AK224="E",AU224&gt;=0.75),HealthBY*P224,IF(AND(AT224=1,AK224="E",AU224&gt;=0.5,AW224=1),PTHealthBY,IF(AND(AT224=1,AK224="E",AU224&gt;=0.5),PTHealthBY*P224,0))))</f>
        <v>4660</v>
      </c>
      <c r="BO224" s="462">
        <f>IF(AND(AT224=3,AK224="E",AV224&gt;=0.75,AW224=1),HealthBY,IF(AND(AT224=3,AK224="E",AV224&gt;=0.75),HealthBY*P224,IF(AND(AT224=3,AK224="E",AV224&gt;=0.5,AW224=1),PTHealthBY,IF(AND(AT224=3,AK224="E",AV224&gt;=0.5),PTHealthBY*P224,0))))</f>
        <v>0</v>
      </c>
      <c r="BP224" s="462">
        <f>IF(AND(AT224&lt;&gt;0,(AX224+BA224)&gt;=MAXSSDIBY),SSDIBY*MAXSSDIBY*P224,IF(AT224&lt;&gt;0,SSDIBY*W224,0))</f>
        <v>1556.80512</v>
      </c>
      <c r="BQ224" s="462">
        <f>IF(AT224&lt;&gt;0,SSHIBY*W224,0)</f>
        <v>364.09152</v>
      </c>
      <c r="BR224" s="462">
        <f>IF(AND(AT224&lt;&gt;0,AN224&lt;&gt;"NE"),VLOOKUP(AN224,Retirement_Rates,4,FALSE)*W224,0)</f>
        <v>2998.1053440000001</v>
      </c>
      <c r="BS224" s="462">
        <f>IF(AND(AT224&lt;&gt;0,AJ224&lt;&gt;"PF"),LifeBY*W224,0)</f>
        <v>181.0413696</v>
      </c>
      <c r="BT224" s="462">
        <f>IF(AND(AT224&lt;&gt;0,AM224="Y"),UIBY*W224,0)</f>
        <v>0</v>
      </c>
      <c r="BU224" s="462">
        <f>IF(AND(AT224&lt;&gt;0,N224&lt;&gt;"NR"),DHRBY*W224,0)</f>
        <v>76.835865599999991</v>
      </c>
      <c r="BV224" s="462">
        <f>IF(AT224&lt;&gt;0,WCBY*W224,0)</f>
        <v>441.93177600000001</v>
      </c>
      <c r="BW224" s="462">
        <f>IF(OR(AND(AT224&lt;&gt;0,AJ224&lt;&gt;"PF",AN224&lt;&gt;"NE",AG224&lt;&gt;"A"),AND(AL224="E",OR(AT224=1,AT224=3))),SickBY*W224,0)</f>
        <v>0</v>
      </c>
      <c r="BX224" s="462">
        <f t="shared" si="58"/>
        <v>5618.8109952000004</v>
      </c>
      <c r="BY224" s="462">
        <f t="shared" si="59"/>
        <v>0</v>
      </c>
      <c r="BZ224" s="462">
        <f t="shared" si="60"/>
        <v>0</v>
      </c>
      <c r="CA224" s="462">
        <f t="shared" si="61"/>
        <v>0</v>
      </c>
      <c r="CB224" s="462">
        <f t="shared" si="62"/>
        <v>0</v>
      </c>
      <c r="CC224" s="462">
        <f>IF(AT224&lt;&gt;0,SSHICHG*Y224,0)</f>
        <v>0</v>
      </c>
      <c r="CD224" s="462">
        <f>IF(AND(AT224&lt;&gt;0,AN224&lt;&gt;"NE"),VLOOKUP(AN224,Retirement_Rates,5,FALSE)*Y224,0)</f>
        <v>0</v>
      </c>
      <c r="CE224" s="462">
        <f>IF(AND(AT224&lt;&gt;0,AJ224&lt;&gt;"PF"),LifeCHG*Y224,0)</f>
        <v>0</v>
      </c>
      <c r="CF224" s="462">
        <f>IF(AND(AT224&lt;&gt;0,AM224="Y"),UICHG*Y224,0)</f>
        <v>-123.03782399999999</v>
      </c>
      <c r="CG224" s="462">
        <f>IF(AND(AT224&lt;&gt;0,N224&lt;&gt;"NR"),DHRCHG*Y224,0)</f>
        <v>0</v>
      </c>
      <c r="CH224" s="462">
        <f>IF(AT224&lt;&gt;0,WCCHG*Y224,0)</f>
        <v>57.752448000000037</v>
      </c>
      <c r="CI224" s="462">
        <f>IF(OR(AND(AT224&lt;&gt;0,AJ224&lt;&gt;"PF",AN224&lt;&gt;"NE",AG224&lt;&gt;"A"),AND(AL224="E",OR(AT224=1,AT224=3))),SickCHG*Y224,0)</f>
        <v>0</v>
      </c>
      <c r="CJ224" s="462">
        <f t="shared" si="63"/>
        <v>-65.285375999999957</v>
      </c>
      <c r="CK224" s="462" t="str">
        <f t="shared" si="64"/>
        <v/>
      </c>
      <c r="CL224" s="462" t="str">
        <f t="shared" si="65"/>
        <v/>
      </c>
      <c r="CM224" s="462" t="str">
        <f t="shared" si="66"/>
        <v/>
      </c>
      <c r="CN224" s="462" t="str">
        <f t="shared" si="67"/>
        <v>0001-00</v>
      </c>
    </row>
    <row r="225" spans="1:92" ht="15" thickBot="1" x14ac:dyDescent="0.35">
      <c r="A225" s="376" t="s">
        <v>161</v>
      </c>
      <c r="B225" s="376" t="s">
        <v>162</v>
      </c>
      <c r="C225" s="376" t="s">
        <v>789</v>
      </c>
      <c r="D225" s="376" t="s">
        <v>250</v>
      </c>
      <c r="E225" s="376" t="s">
        <v>165</v>
      </c>
      <c r="F225" s="377" t="s">
        <v>166</v>
      </c>
      <c r="G225" s="376" t="s">
        <v>762</v>
      </c>
      <c r="H225" s="378"/>
      <c r="I225" s="378"/>
      <c r="J225" s="376" t="s">
        <v>768</v>
      </c>
      <c r="K225" s="376" t="s">
        <v>407</v>
      </c>
      <c r="L225" s="376" t="s">
        <v>247</v>
      </c>
      <c r="M225" s="376" t="s">
        <v>201</v>
      </c>
      <c r="N225" s="376" t="s">
        <v>202</v>
      </c>
      <c r="O225" s="379">
        <v>0</v>
      </c>
      <c r="P225" s="460">
        <v>0.4</v>
      </c>
      <c r="Q225" s="460">
        <v>0.4</v>
      </c>
      <c r="R225" s="380">
        <v>80</v>
      </c>
      <c r="S225" s="460">
        <v>0.4</v>
      </c>
      <c r="T225" s="380">
        <v>11628.41</v>
      </c>
      <c r="U225" s="380">
        <v>0</v>
      </c>
      <c r="V225" s="380">
        <v>4602.63</v>
      </c>
      <c r="W225" s="380">
        <v>24186.240000000002</v>
      </c>
      <c r="X225" s="380">
        <v>10593.57</v>
      </c>
      <c r="Y225" s="380">
        <v>24186.240000000002</v>
      </c>
      <c r="Z225" s="380">
        <v>10472.64</v>
      </c>
      <c r="AA225" s="378"/>
      <c r="AB225" s="376" t="s">
        <v>45</v>
      </c>
      <c r="AC225" s="376" t="s">
        <v>45</v>
      </c>
      <c r="AD225" s="378"/>
      <c r="AE225" s="378"/>
      <c r="AF225" s="378"/>
      <c r="AG225" s="378"/>
      <c r="AH225" s="379">
        <v>0</v>
      </c>
      <c r="AI225" s="379">
        <v>0</v>
      </c>
      <c r="AJ225" s="378"/>
      <c r="AK225" s="378"/>
      <c r="AL225" s="376" t="s">
        <v>180</v>
      </c>
      <c r="AM225" s="378"/>
      <c r="AN225" s="378"/>
      <c r="AO225" s="379">
        <v>0</v>
      </c>
      <c r="AP225" s="460">
        <v>0</v>
      </c>
      <c r="AQ225" s="460">
        <v>0</v>
      </c>
      <c r="AR225" s="459"/>
      <c r="AS225" s="462">
        <f t="shared" si="51"/>
        <v>0</v>
      </c>
      <c r="AT225">
        <f t="shared" si="52"/>
        <v>0</v>
      </c>
      <c r="AU225" s="462" t="str">
        <f>IF(AT225=0,"",IF(AND(AT225=1,M225="F",SUMIF(C2:C698,C225,AS2:AS698)&lt;=1),SUMIF(C2:C698,C225,AS2:AS698),IF(AND(AT225=1,M225="F",SUMIF(C2:C698,C225,AS2:AS698)&gt;1),1,"")))</f>
        <v/>
      </c>
      <c r="AV225" s="462" t="str">
        <f>IF(AT225=0,"",IF(AND(AT225=3,M225="F",SUMIF(C2:C698,C225,AS2:AS698)&lt;=1),SUMIF(C2:C698,C225,AS2:AS698),IF(AND(AT225=3,M225="F",SUMIF(C2:C698,C225,AS2:AS698)&gt;1),1,"")))</f>
        <v/>
      </c>
      <c r="AW225" s="462">
        <f>SUMIF(C2:C698,C225,O2:O698)</f>
        <v>0</v>
      </c>
      <c r="AX225" s="462">
        <f>IF(AND(M225="F",AS225&lt;&gt;0),SUMIF(C2:C698,C225,W2:W698),0)</f>
        <v>0</v>
      </c>
      <c r="AY225" s="462" t="str">
        <f t="shared" si="53"/>
        <v/>
      </c>
      <c r="AZ225" s="462" t="str">
        <f t="shared" si="54"/>
        <v/>
      </c>
      <c r="BA225" s="462">
        <f t="shared" si="55"/>
        <v>0</v>
      </c>
      <c r="BB225" s="462">
        <f>IF(AND(AT225=1,AK225="E",AU225&gt;=0.75,AW225=1),Health,IF(AND(AT225=1,AK225="E",AU225&gt;=0.75),Health*P225,IF(AND(AT225=1,AK225="E",AU225&gt;=0.5,AW225=1),PTHealth,IF(AND(AT225=1,AK225="E",AU225&gt;=0.5),PTHealth*P225,0))))</f>
        <v>0</v>
      </c>
      <c r="BC225" s="462">
        <f>IF(AND(AT225=3,AK225="E",AV225&gt;=0.75,AW225=1),Health,IF(AND(AT225=3,AK225="E",AV225&gt;=0.75),Health*P225,IF(AND(AT225=3,AK225="E",AV225&gt;=0.5,AW225=1),PTHealth,IF(AND(AT225=3,AK225="E",AV225&gt;=0.5),PTHealth*P225,0))))</f>
        <v>0</v>
      </c>
      <c r="BD225" s="462">
        <f>IF(AND(AT225&lt;&gt;0,AX225&gt;=MAXSSDI),SSDI*MAXSSDI*P225,IF(AT225&lt;&gt;0,SSDI*W225,0))</f>
        <v>0</v>
      </c>
      <c r="BE225" s="462">
        <f>IF(AT225&lt;&gt;0,SSHI*W225,0)</f>
        <v>0</v>
      </c>
      <c r="BF225" s="462">
        <f>IF(AND(AT225&lt;&gt;0,AN225&lt;&gt;"NE"),VLOOKUP(AN225,Retirement_Rates,3,FALSE)*W225,0)</f>
        <v>0</v>
      </c>
      <c r="BG225" s="462">
        <f>IF(AND(AT225&lt;&gt;0,AJ225&lt;&gt;"PF"),Life*W225,0)</f>
        <v>0</v>
      </c>
      <c r="BH225" s="462">
        <f>IF(AND(AT225&lt;&gt;0,AM225="Y"),UI*W225,0)</f>
        <v>0</v>
      </c>
      <c r="BI225" s="462">
        <f>IF(AND(AT225&lt;&gt;0,N225&lt;&gt;"NR"),DHR*W225,0)</f>
        <v>0</v>
      </c>
      <c r="BJ225" s="462">
        <f>IF(AT225&lt;&gt;0,WC*W225,0)</f>
        <v>0</v>
      </c>
      <c r="BK225" s="462">
        <f>IF(OR(AND(AT225&lt;&gt;0,AJ225&lt;&gt;"PF",AN225&lt;&gt;"NE",AG225&lt;&gt;"A"),AND(AL225="E",OR(AT225=1,AT225=3))),Sick*W225,0)</f>
        <v>0</v>
      </c>
      <c r="BL225" s="462">
        <f t="shared" si="56"/>
        <v>0</v>
      </c>
      <c r="BM225" s="462">
        <f t="shared" si="57"/>
        <v>0</v>
      </c>
      <c r="BN225" s="462">
        <f>IF(AND(AT225=1,AK225="E",AU225&gt;=0.75,AW225=1),HealthBY,IF(AND(AT225=1,AK225="E",AU225&gt;=0.75),HealthBY*P225,IF(AND(AT225=1,AK225="E",AU225&gt;=0.5,AW225=1),PTHealthBY,IF(AND(AT225=1,AK225="E",AU225&gt;=0.5),PTHealthBY*P225,0))))</f>
        <v>0</v>
      </c>
      <c r="BO225" s="462">
        <f>IF(AND(AT225=3,AK225="E",AV225&gt;=0.75,AW225=1),HealthBY,IF(AND(AT225=3,AK225="E",AV225&gt;=0.75),HealthBY*P225,IF(AND(AT225=3,AK225="E",AV225&gt;=0.5,AW225=1),PTHealthBY,IF(AND(AT225=3,AK225="E",AV225&gt;=0.5),PTHealthBY*P225,0))))</f>
        <v>0</v>
      </c>
      <c r="BP225" s="462">
        <f>IF(AND(AT225&lt;&gt;0,(AX225+BA225)&gt;=MAXSSDIBY),SSDIBY*MAXSSDIBY*P225,IF(AT225&lt;&gt;0,SSDIBY*W225,0))</f>
        <v>0</v>
      </c>
      <c r="BQ225" s="462">
        <f>IF(AT225&lt;&gt;0,SSHIBY*W225,0)</f>
        <v>0</v>
      </c>
      <c r="BR225" s="462">
        <f>IF(AND(AT225&lt;&gt;0,AN225&lt;&gt;"NE"),VLOOKUP(AN225,Retirement_Rates,4,FALSE)*W225,0)</f>
        <v>0</v>
      </c>
      <c r="BS225" s="462">
        <f>IF(AND(AT225&lt;&gt;0,AJ225&lt;&gt;"PF"),LifeBY*W225,0)</f>
        <v>0</v>
      </c>
      <c r="BT225" s="462">
        <f>IF(AND(AT225&lt;&gt;0,AM225="Y"),UIBY*W225,0)</f>
        <v>0</v>
      </c>
      <c r="BU225" s="462">
        <f>IF(AND(AT225&lt;&gt;0,N225&lt;&gt;"NR"),DHRBY*W225,0)</f>
        <v>0</v>
      </c>
      <c r="BV225" s="462">
        <f>IF(AT225&lt;&gt;0,WCBY*W225,0)</f>
        <v>0</v>
      </c>
      <c r="BW225" s="462">
        <f>IF(OR(AND(AT225&lt;&gt;0,AJ225&lt;&gt;"PF",AN225&lt;&gt;"NE",AG225&lt;&gt;"A"),AND(AL225="E",OR(AT225=1,AT225=3))),SickBY*W225,0)</f>
        <v>0</v>
      </c>
      <c r="BX225" s="462">
        <f t="shared" si="58"/>
        <v>0</v>
      </c>
      <c r="BY225" s="462">
        <f t="shared" si="59"/>
        <v>0</v>
      </c>
      <c r="BZ225" s="462">
        <f t="shared" si="60"/>
        <v>0</v>
      </c>
      <c r="CA225" s="462">
        <f t="shared" si="61"/>
        <v>0</v>
      </c>
      <c r="CB225" s="462">
        <f t="shared" si="62"/>
        <v>0</v>
      </c>
      <c r="CC225" s="462">
        <f>IF(AT225&lt;&gt;0,SSHICHG*Y225,0)</f>
        <v>0</v>
      </c>
      <c r="CD225" s="462">
        <f>IF(AND(AT225&lt;&gt;0,AN225&lt;&gt;"NE"),VLOOKUP(AN225,Retirement_Rates,5,FALSE)*Y225,0)</f>
        <v>0</v>
      </c>
      <c r="CE225" s="462">
        <f>IF(AND(AT225&lt;&gt;0,AJ225&lt;&gt;"PF"),LifeCHG*Y225,0)</f>
        <v>0</v>
      </c>
      <c r="CF225" s="462">
        <f>IF(AND(AT225&lt;&gt;0,AM225="Y"),UICHG*Y225,0)</f>
        <v>0</v>
      </c>
      <c r="CG225" s="462">
        <f>IF(AND(AT225&lt;&gt;0,N225&lt;&gt;"NR"),DHRCHG*Y225,0)</f>
        <v>0</v>
      </c>
      <c r="CH225" s="462">
        <f>IF(AT225&lt;&gt;0,WCCHG*Y225,0)</f>
        <v>0</v>
      </c>
      <c r="CI225" s="462">
        <f>IF(OR(AND(AT225&lt;&gt;0,AJ225&lt;&gt;"PF",AN225&lt;&gt;"NE",AG225&lt;&gt;"A"),AND(AL225="E",OR(AT225=1,AT225=3))),SickCHG*Y225,0)</f>
        <v>0</v>
      </c>
      <c r="CJ225" s="462">
        <f t="shared" si="63"/>
        <v>0</v>
      </c>
      <c r="CK225" s="462" t="str">
        <f t="shared" si="64"/>
        <v/>
      </c>
      <c r="CL225" s="462" t="str">
        <f t="shared" si="65"/>
        <v/>
      </c>
      <c r="CM225" s="462" t="str">
        <f t="shared" si="66"/>
        <v/>
      </c>
      <c r="CN225" s="462" t="str">
        <f t="shared" si="67"/>
        <v>0001-00</v>
      </c>
    </row>
    <row r="226" spans="1:92" ht="15" thickBot="1" x14ac:dyDescent="0.35">
      <c r="A226" s="376" t="s">
        <v>161</v>
      </c>
      <c r="B226" s="376" t="s">
        <v>162</v>
      </c>
      <c r="C226" s="376" t="s">
        <v>790</v>
      </c>
      <c r="D226" s="376" t="s">
        <v>791</v>
      </c>
      <c r="E226" s="376" t="s">
        <v>165</v>
      </c>
      <c r="F226" s="377" t="s">
        <v>166</v>
      </c>
      <c r="G226" s="376" t="s">
        <v>762</v>
      </c>
      <c r="H226" s="378"/>
      <c r="I226" s="378"/>
      <c r="J226" s="376" t="s">
        <v>168</v>
      </c>
      <c r="K226" s="376" t="s">
        <v>792</v>
      </c>
      <c r="L226" s="376" t="s">
        <v>200</v>
      </c>
      <c r="M226" s="376" t="s">
        <v>170</v>
      </c>
      <c r="N226" s="376" t="s">
        <v>202</v>
      </c>
      <c r="O226" s="379">
        <v>1</v>
      </c>
      <c r="P226" s="460">
        <v>1</v>
      </c>
      <c r="Q226" s="460">
        <v>1</v>
      </c>
      <c r="R226" s="380">
        <v>80</v>
      </c>
      <c r="S226" s="460">
        <v>1</v>
      </c>
      <c r="T226" s="380">
        <v>32359.99</v>
      </c>
      <c r="U226" s="380">
        <v>0</v>
      </c>
      <c r="V226" s="380">
        <v>14418.41</v>
      </c>
      <c r="W226" s="380">
        <v>36400</v>
      </c>
      <c r="X226" s="380">
        <v>19889.86</v>
      </c>
      <c r="Y226" s="380">
        <v>36400</v>
      </c>
      <c r="Z226" s="380">
        <v>19795.22</v>
      </c>
      <c r="AA226" s="376" t="s">
        <v>793</v>
      </c>
      <c r="AB226" s="376" t="s">
        <v>794</v>
      </c>
      <c r="AC226" s="376" t="s">
        <v>795</v>
      </c>
      <c r="AD226" s="376" t="s">
        <v>215</v>
      </c>
      <c r="AE226" s="376" t="s">
        <v>796</v>
      </c>
      <c r="AF226" s="376" t="s">
        <v>279</v>
      </c>
      <c r="AG226" s="376" t="s">
        <v>177</v>
      </c>
      <c r="AH226" s="381">
        <v>17.5</v>
      </c>
      <c r="AI226" s="381">
        <v>7094.5</v>
      </c>
      <c r="AJ226" s="376" t="s">
        <v>178</v>
      </c>
      <c r="AK226" s="376" t="s">
        <v>179</v>
      </c>
      <c r="AL226" s="376" t="s">
        <v>180</v>
      </c>
      <c r="AM226" s="376" t="s">
        <v>181</v>
      </c>
      <c r="AN226" s="376" t="s">
        <v>68</v>
      </c>
      <c r="AO226" s="379">
        <v>80</v>
      </c>
      <c r="AP226" s="460">
        <v>1</v>
      </c>
      <c r="AQ226" s="460">
        <v>1</v>
      </c>
      <c r="AR226" s="458">
        <v>3</v>
      </c>
      <c r="AS226" s="462">
        <f t="shared" si="51"/>
        <v>1</v>
      </c>
      <c r="AT226">
        <f t="shared" si="52"/>
        <v>1</v>
      </c>
      <c r="AU226" s="462">
        <f>IF(AT226=0,"",IF(AND(AT226=1,M226="F",SUMIF(C2:C698,C226,AS2:AS698)&lt;=1),SUMIF(C2:C698,C226,AS2:AS698),IF(AND(AT226=1,M226="F",SUMIF(C2:C698,C226,AS2:AS698)&gt;1),1,"")))</f>
        <v>1</v>
      </c>
      <c r="AV226" s="462" t="str">
        <f>IF(AT226=0,"",IF(AND(AT226=3,M226="F",SUMIF(C2:C698,C226,AS2:AS698)&lt;=1),SUMIF(C2:C698,C226,AS2:AS698),IF(AND(AT226=3,M226="F",SUMIF(C2:C698,C226,AS2:AS698)&gt;1),1,"")))</f>
        <v/>
      </c>
      <c r="AW226" s="462">
        <f>SUMIF(C2:C698,C226,O2:O698)</f>
        <v>2</v>
      </c>
      <c r="AX226" s="462">
        <f>IF(AND(M226="F",AS226&lt;&gt;0),SUMIF(C2:C698,C226,W2:W698),0)</f>
        <v>36400</v>
      </c>
      <c r="AY226" s="462">
        <f t="shared" si="53"/>
        <v>36400</v>
      </c>
      <c r="AZ226" s="462" t="str">
        <f t="shared" si="54"/>
        <v/>
      </c>
      <c r="BA226" s="462">
        <f t="shared" si="55"/>
        <v>0</v>
      </c>
      <c r="BB226" s="462">
        <f>IF(AND(AT226=1,AK226="E",AU226&gt;=0.75,AW226=1),Health,IF(AND(AT226=1,AK226="E",AU226&gt;=0.75),Health*P226,IF(AND(AT226=1,AK226="E",AU226&gt;=0.5,AW226=1),PTHealth,IF(AND(AT226=1,AK226="E",AU226&gt;=0.5),PTHealth*P226,0))))</f>
        <v>11650</v>
      </c>
      <c r="BC226" s="462">
        <f>IF(AND(AT226=3,AK226="E",AV226&gt;=0.75,AW226=1),Health,IF(AND(AT226=3,AK226="E",AV226&gt;=0.75),Health*P226,IF(AND(AT226=3,AK226="E",AV226&gt;=0.5,AW226=1),PTHealth,IF(AND(AT226=3,AK226="E",AV226&gt;=0.5),PTHealth*P226,0))))</f>
        <v>0</v>
      </c>
      <c r="BD226" s="462">
        <f>IF(AND(AT226&lt;&gt;0,AX226&gt;=MAXSSDI),SSDI*MAXSSDI*P226,IF(AT226&lt;&gt;0,SSDI*W226,0))</f>
        <v>2256.8000000000002</v>
      </c>
      <c r="BE226" s="462">
        <f>IF(AT226&lt;&gt;0,SSHI*W226,0)</f>
        <v>527.80000000000007</v>
      </c>
      <c r="BF226" s="462">
        <f>IF(AND(AT226&lt;&gt;0,AN226&lt;&gt;"NE"),VLOOKUP(AN226,Retirement_Rates,3,FALSE)*W226,0)</f>
        <v>4346.16</v>
      </c>
      <c r="BG226" s="462">
        <f>IF(AND(AT226&lt;&gt;0,AJ226&lt;&gt;"PF"),Life*W226,0)</f>
        <v>262.44400000000002</v>
      </c>
      <c r="BH226" s="462">
        <f>IF(AND(AT226&lt;&gt;0,AM226="Y"),UI*W226,0)</f>
        <v>178.35999999999999</v>
      </c>
      <c r="BI226" s="462">
        <f>IF(AND(AT226&lt;&gt;0,N226&lt;&gt;"NR"),DHR*W226,0)</f>
        <v>111.38399999999999</v>
      </c>
      <c r="BJ226" s="462">
        <f>IF(AT226&lt;&gt;0,WC*W226,0)</f>
        <v>556.91999999999996</v>
      </c>
      <c r="BK226" s="462">
        <f>IF(OR(AND(AT226&lt;&gt;0,AJ226&lt;&gt;"PF",AN226&lt;&gt;"NE",AG226&lt;&gt;"A"),AND(AL226="E",OR(AT226=1,AT226=3))),Sick*W226,0)</f>
        <v>0</v>
      </c>
      <c r="BL226" s="462">
        <f t="shared" si="56"/>
        <v>8239.8680000000004</v>
      </c>
      <c r="BM226" s="462">
        <f t="shared" si="57"/>
        <v>0</v>
      </c>
      <c r="BN226" s="462">
        <f>IF(AND(AT226=1,AK226="E",AU226&gt;=0.75,AW226=1),HealthBY,IF(AND(AT226=1,AK226="E",AU226&gt;=0.75),HealthBY*P226,IF(AND(AT226=1,AK226="E",AU226&gt;=0.5,AW226=1),PTHealthBY,IF(AND(AT226=1,AK226="E",AU226&gt;=0.5),PTHealthBY*P226,0))))</f>
        <v>11650</v>
      </c>
      <c r="BO226" s="462">
        <f>IF(AND(AT226=3,AK226="E",AV226&gt;=0.75,AW226=1),HealthBY,IF(AND(AT226=3,AK226="E",AV226&gt;=0.75),HealthBY*P226,IF(AND(AT226=3,AK226="E",AV226&gt;=0.5,AW226=1),PTHealthBY,IF(AND(AT226=3,AK226="E",AV226&gt;=0.5),PTHealthBY*P226,0))))</f>
        <v>0</v>
      </c>
      <c r="BP226" s="462">
        <f>IF(AND(AT226&lt;&gt;0,(AX226+BA226)&gt;=MAXSSDIBY),SSDIBY*MAXSSDIBY*P226,IF(AT226&lt;&gt;0,SSDIBY*W226,0))</f>
        <v>2256.8000000000002</v>
      </c>
      <c r="BQ226" s="462">
        <f>IF(AT226&lt;&gt;0,SSHIBY*W226,0)</f>
        <v>527.80000000000007</v>
      </c>
      <c r="BR226" s="462">
        <f>IF(AND(AT226&lt;&gt;0,AN226&lt;&gt;"NE"),VLOOKUP(AN226,Retirement_Rates,4,FALSE)*W226,0)</f>
        <v>4346.16</v>
      </c>
      <c r="BS226" s="462">
        <f>IF(AND(AT226&lt;&gt;0,AJ226&lt;&gt;"PF"),LifeBY*W226,0)</f>
        <v>262.44400000000002</v>
      </c>
      <c r="BT226" s="462">
        <f>IF(AND(AT226&lt;&gt;0,AM226="Y"),UIBY*W226,0)</f>
        <v>0</v>
      </c>
      <c r="BU226" s="462">
        <f>IF(AND(AT226&lt;&gt;0,N226&lt;&gt;"NR"),DHRBY*W226,0)</f>
        <v>111.38399999999999</v>
      </c>
      <c r="BV226" s="462">
        <f>IF(AT226&lt;&gt;0,WCBY*W226,0)</f>
        <v>640.64</v>
      </c>
      <c r="BW226" s="462">
        <f>IF(OR(AND(AT226&lt;&gt;0,AJ226&lt;&gt;"PF",AN226&lt;&gt;"NE",AG226&lt;&gt;"A"),AND(AL226="E",OR(AT226=1,AT226=3))),SickBY*W226,0)</f>
        <v>0</v>
      </c>
      <c r="BX226" s="462">
        <f t="shared" si="58"/>
        <v>8145.228000000001</v>
      </c>
      <c r="BY226" s="462">
        <f t="shared" si="59"/>
        <v>0</v>
      </c>
      <c r="BZ226" s="462">
        <f t="shared" si="60"/>
        <v>0</v>
      </c>
      <c r="CA226" s="462">
        <f t="shared" si="61"/>
        <v>0</v>
      </c>
      <c r="CB226" s="462">
        <f t="shared" si="62"/>
        <v>0</v>
      </c>
      <c r="CC226" s="462">
        <f>IF(AT226&lt;&gt;0,SSHICHG*Y226,0)</f>
        <v>0</v>
      </c>
      <c r="CD226" s="462">
        <f>IF(AND(AT226&lt;&gt;0,AN226&lt;&gt;"NE"),VLOOKUP(AN226,Retirement_Rates,5,FALSE)*Y226,0)</f>
        <v>0</v>
      </c>
      <c r="CE226" s="462">
        <f>IF(AND(AT226&lt;&gt;0,AJ226&lt;&gt;"PF"),LifeCHG*Y226,0)</f>
        <v>0</v>
      </c>
      <c r="CF226" s="462">
        <f>IF(AND(AT226&lt;&gt;0,AM226="Y"),UICHG*Y226,0)</f>
        <v>-178.35999999999999</v>
      </c>
      <c r="CG226" s="462">
        <f>IF(AND(AT226&lt;&gt;0,N226&lt;&gt;"NR"),DHRCHG*Y226,0)</f>
        <v>0</v>
      </c>
      <c r="CH226" s="462">
        <f>IF(AT226&lt;&gt;0,WCCHG*Y226,0)</f>
        <v>83.720000000000056</v>
      </c>
      <c r="CI226" s="462">
        <f>IF(OR(AND(AT226&lt;&gt;0,AJ226&lt;&gt;"PF",AN226&lt;&gt;"NE",AG226&lt;&gt;"A"),AND(AL226="E",OR(AT226=1,AT226=3))),SickCHG*Y226,0)</f>
        <v>0</v>
      </c>
      <c r="CJ226" s="462">
        <f t="shared" si="63"/>
        <v>-94.63999999999993</v>
      </c>
      <c r="CK226" s="462" t="str">
        <f t="shared" si="64"/>
        <v/>
      </c>
      <c r="CL226" s="462" t="str">
        <f t="shared" si="65"/>
        <v/>
      </c>
      <c r="CM226" s="462" t="str">
        <f t="shared" si="66"/>
        <v/>
      </c>
      <c r="CN226" s="462" t="str">
        <f t="shared" si="67"/>
        <v>0001-00</v>
      </c>
    </row>
    <row r="227" spans="1:92" ht="15" thickBot="1" x14ac:dyDescent="0.35">
      <c r="A227" s="376" t="s">
        <v>161</v>
      </c>
      <c r="B227" s="376" t="s">
        <v>162</v>
      </c>
      <c r="C227" s="376" t="s">
        <v>417</v>
      </c>
      <c r="D227" s="376" t="s">
        <v>418</v>
      </c>
      <c r="E227" s="376" t="s">
        <v>165</v>
      </c>
      <c r="F227" s="377" t="s">
        <v>166</v>
      </c>
      <c r="G227" s="376" t="s">
        <v>762</v>
      </c>
      <c r="H227" s="378"/>
      <c r="I227" s="378"/>
      <c r="J227" s="376" t="s">
        <v>168</v>
      </c>
      <c r="K227" s="376" t="s">
        <v>419</v>
      </c>
      <c r="L227" s="376" t="s">
        <v>177</v>
      </c>
      <c r="M227" s="376" t="s">
        <v>170</v>
      </c>
      <c r="N227" s="376" t="s">
        <v>291</v>
      </c>
      <c r="O227" s="379">
        <v>0</v>
      </c>
      <c r="P227" s="460">
        <v>0</v>
      </c>
      <c r="Q227" s="460">
        <v>0</v>
      </c>
      <c r="R227" s="380">
        <v>0</v>
      </c>
      <c r="S227" s="460">
        <v>0</v>
      </c>
      <c r="T227" s="380">
        <v>67.5</v>
      </c>
      <c r="U227" s="380">
        <v>0</v>
      </c>
      <c r="V227" s="380">
        <v>6.85</v>
      </c>
      <c r="W227" s="380">
        <v>0</v>
      </c>
      <c r="X227" s="380">
        <v>0</v>
      </c>
      <c r="Y227" s="380">
        <v>0</v>
      </c>
      <c r="Z227" s="380">
        <v>0</v>
      </c>
      <c r="AA227" s="378"/>
      <c r="AB227" s="376" t="s">
        <v>45</v>
      </c>
      <c r="AC227" s="376" t="s">
        <v>45</v>
      </c>
      <c r="AD227" s="378"/>
      <c r="AE227" s="378"/>
      <c r="AF227" s="378"/>
      <c r="AG227" s="378"/>
      <c r="AH227" s="379">
        <v>0</v>
      </c>
      <c r="AI227" s="379">
        <v>0</v>
      </c>
      <c r="AJ227" s="378"/>
      <c r="AK227" s="378"/>
      <c r="AL227" s="376" t="s">
        <v>180</v>
      </c>
      <c r="AM227" s="378"/>
      <c r="AN227" s="378"/>
      <c r="AO227" s="379">
        <v>0</v>
      </c>
      <c r="AP227" s="460">
        <v>0</v>
      </c>
      <c r="AQ227" s="460">
        <v>0</v>
      </c>
      <c r="AR227" s="459"/>
      <c r="AS227" s="462">
        <f t="shared" si="51"/>
        <v>0</v>
      </c>
      <c r="AT227">
        <f t="shared" si="52"/>
        <v>0</v>
      </c>
      <c r="AU227" s="462" t="str">
        <f>IF(AT227=0,"",IF(AND(AT227=1,M227="F",SUMIF(C2:C698,C227,AS2:AS698)&lt;=1),SUMIF(C2:C698,C227,AS2:AS698),IF(AND(AT227=1,M227="F",SUMIF(C2:C698,C227,AS2:AS698)&gt;1),1,"")))</f>
        <v/>
      </c>
      <c r="AV227" s="462" t="str">
        <f>IF(AT227=0,"",IF(AND(AT227=3,M227="F",SUMIF(C2:C698,C227,AS2:AS698)&lt;=1),SUMIF(C2:C698,C227,AS2:AS698),IF(AND(AT227=3,M227="F",SUMIF(C2:C698,C227,AS2:AS698)&gt;1),1,"")))</f>
        <v/>
      </c>
      <c r="AW227" s="462">
        <f>SUMIF(C2:C698,C227,O2:O698)</f>
        <v>0</v>
      </c>
      <c r="AX227" s="462">
        <f>IF(AND(M227="F",AS227&lt;&gt;0),SUMIF(C2:C698,C227,W2:W698),0)</f>
        <v>0</v>
      </c>
      <c r="AY227" s="462" t="str">
        <f t="shared" si="53"/>
        <v/>
      </c>
      <c r="AZ227" s="462" t="str">
        <f t="shared" si="54"/>
        <v/>
      </c>
      <c r="BA227" s="462">
        <f t="shared" si="55"/>
        <v>0</v>
      </c>
      <c r="BB227" s="462">
        <f>IF(AND(AT227=1,AK227="E",AU227&gt;=0.75,AW227=1),Health,IF(AND(AT227=1,AK227="E",AU227&gt;=0.75),Health*P227,IF(AND(AT227=1,AK227="E",AU227&gt;=0.5,AW227=1),PTHealth,IF(AND(AT227=1,AK227="E",AU227&gt;=0.5),PTHealth*P227,0))))</f>
        <v>0</v>
      </c>
      <c r="BC227" s="462">
        <f>IF(AND(AT227=3,AK227="E",AV227&gt;=0.75,AW227=1),Health,IF(AND(AT227=3,AK227="E",AV227&gt;=0.75),Health*P227,IF(AND(AT227=3,AK227="E",AV227&gt;=0.5,AW227=1),PTHealth,IF(AND(AT227=3,AK227="E",AV227&gt;=0.5),PTHealth*P227,0))))</f>
        <v>0</v>
      </c>
      <c r="BD227" s="462">
        <f>IF(AND(AT227&lt;&gt;0,AX227&gt;=MAXSSDI),SSDI*MAXSSDI*P227,IF(AT227&lt;&gt;0,SSDI*W227,0))</f>
        <v>0</v>
      </c>
      <c r="BE227" s="462">
        <f>IF(AT227&lt;&gt;0,SSHI*W227,0)</f>
        <v>0</v>
      </c>
      <c r="BF227" s="462">
        <f>IF(AND(AT227&lt;&gt;0,AN227&lt;&gt;"NE"),VLOOKUP(AN227,Retirement_Rates,3,FALSE)*W227,0)</f>
        <v>0</v>
      </c>
      <c r="BG227" s="462">
        <f>IF(AND(AT227&lt;&gt;0,AJ227&lt;&gt;"PF"),Life*W227,0)</f>
        <v>0</v>
      </c>
      <c r="BH227" s="462">
        <f>IF(AND(AT227&lt;&gt;0,AM227="Y"),UI*W227,0)</f>
        <v>0</v>
      </c>
      <c r="BI227" s="462">
        <f>IF(AND(AT227&lt;&gt;0,N227&lt;&gt;"NR"),DHR*W227,0)</f>
        <v>0</v>
      </c>
      <c r="BJ227" s="462">
        <f>IF(AT227&lt;&gt;0,WC*W227,0)</f>
        <v>0</v>
      </c>
      <c r="BK227" s="462">
        <f>IF(OR(AND(AT227&lt;&gt;0,AJ227&lt;&gt;"PF",AN227&lt;&gt;"NE",AG227&lt;&gt;"A"),AND(AL227="E",OR(AT227=1,AT227=3))),Sick*W227,0)</f>
        <v>0</v>
      </c>
      <c r="BL227" s="462">
        <f t="shared" si="56"/>
        <v>0</v>
      </c>
      <c r="BM227" s="462">
        <f t="shared" si="57"/>
        <v>0</v>
      </c>
      <c r="BN227" s="462">
        <f>IF(AND(AT227=1,AK227="E",AU227&gt;=0.75,AW227=1),HealthBY,IF(AND(AT227=1,AK227="E",AU227&gt;=0.75),HealthBY*P227,IF(AND(AT227=1,AK227="E",AU227&gt;=0.5,AW227=1),PTHealthBY,IF(AND(AT227=1,AK227="E",AU227&gt;=0.5),PTHealthBY*P227,0))))</f>
        <v>0</v>
      </c>
      <c r="BO227" s="462">
        <f>IF(AND(AT227=3,AK227="E",AV227&gt;=0.75,AW227=1),HealthBY,IF(AND(AT227=3,AK227="E",AV227&gt;=0.75),HealthBY*P227,IF(AND(AT227=3,AK227="E",AV227&gt;=0.5,AW227=1),PTHealthBY,IF(AND(AT227=3,AK227="E",AV227&gt;=0.5),PTHealthBY*P227,0))))</f>
        <v>0</v>
      </c>
      <c r="BP227" s="462">
        <f>IF(AND(AT227&lt;&gt;0,(AX227+BA227)&gt;=MAXSSDIBY),SSDIBY*MAXSSDIBY*P227,IF(AT227&lt;&gt;0,SSDIBY*W227,0))</f>
        <v>0</v>
      </c>
      <c r="BQ227" s="462">
        <f>IF(AT227&lt;&gt;0,SSHIBY*W227,0)</f>
        <v>0</v>
      </c>
      <c r="BR227" s="462">
        <f>IF(AND(AT227&lt;&gt;0,AN227&lt;&gt;"NE"),VLOOKUP(AN227,Retirement_Rates,4,FALSE)*W227,0)</f>
        <v>0</v>
      </c>
      <c r="BS227" s="462">
        <f>IF(AND(AT227&lt;&gt;0,AJ227&lt;&gt;"PF"),LifeBY*W227,0)</f>
        <v>0</v>
      </c>
      <c r="BT227" s="462">
        <f>IF(AND(AT227&lt;&gt;0,AM227="Y"),UIBY*W227,0)</f>
        <v>0</v>
      </c>
      <c r="BU227" s="462">
        <f>IF(AND(AT227&lt;&gt;0,N227&lt;&gt;"NR"),DHRBY*W227,0)</f>
        <v>0</v>
      </c>
      <c r="BV227" s="462">
        <f>IF(AT227&lt;&gt;0,WCBY*W227,0)</f>
        <v>0</v>
      </c>
      <c r="BW227" s="462">
        <f>IF(OR(AND(AT227&lt;&gt;0,AJ227&lt;&gt;"PF",AN227&lt;&gt;"NE",AG227&lt;&gt;"A"),AND(AL227="E",OR(AT227=1,AT227=3))),SickBY*W227,0)</f>
        <v>0</v>
      </c>
      <c r="BX227" s="462">
        <f t="shared" si="58"/>
        <v>0</v>
      </c>
      <c r="BY227" s="462">
        <f t="shared" si="59"/>
        <v>0</v>
      </c>
      <c r="BZ227" s="462">
        <f t="shared" si="60"/>
        <v>0</v>
      </c>
      <c r="CA227" s="462">
        <f t="shared" si="61"/>
        <v>0</v>
      </c>
      <c r="CB227" s="462">
        <f t="shared" si="62"/>
        <v>0</v>
      </c>
      <c r="CC227" s="462">
        <f>IF(AT227&lt;&gt;0,SSHICHG*Y227,0)</f>
        <v>0</v>
      </c>
      <c r="CD227" s="462">
        <f>IF(AND(AT227&lt;&gt;0,AN227&lt;&gt;"NE"),VLOOKUP(AN227,Retirement_Rates,5,FALSE)*Y227,0)</f>
        <v>0</v>
      </c>
      <c r="CE227" s="462">
        <f>IF(AND(AT227&lt;&gt;0,AJ227&lt;&gt;"PF"),LifeCHG*Y227,0)</f>
        <v>0</v>
      </c>
      <c r="CF227" s="462">
        <f>IF(AND(AT227&lt;&gt;0,AM227="Y"),UICHG*Y227,0)</f>
        <v>0</v>
      </c>
      <c r="CG227" s="462">
        <f>IF(AND(AT227&lt;&gt;0,N227&lt;&gt;"NR"),DHRCHG*Y227,0)</f>
        <v>0</v>
      </c>
      <c r="CH227" s="462">
        <f>IF(AT227&lt;&gt;0,WCCHG*Y227,0)</f>
        <v>0</v>
      </c>
      <c r="CI227" s="462">
        <f>IF(OR(AND(AT227&lt;&gt;0,AJ227&lt;&gt;"PF",AN227&lt;&gt;"NE",AG227&lt;&gt;"A"),AND(AL227="E",OR(AT227=1,AT227=3))),SickCHG*Y227,0)</f>
        <v>0</v>
      </c>
      <c r="CJ227" s="462">
        <f t="shared" si="63"/>
        <v>0</v>
      </c>
      <c r="CK227" s="462" t="str">
        <f t="shared" si="64"/>
        <v/>
      </c>
      <c r="CL227" s="462">
        <f t="shared" si="65"/>
        <v>67.5</v>
      </c>
      <c r="CM227" s="462">
        <f t="shared" si="66"/>
        <v>6.85</v>
      </c>
      <c r="CN227" s="462" t="str">
        <f t="shared" si="67"/>
        <v>0001-00</v>
      </c>
    </row>
    <row r="228" spans="1:92" ht="15" thickBot="1" x14ac:dyDescent="0.35">
      <c r="A228" s="376" t="s">
        <v>161</v>
      </c>
      <c r="B228" s="376" t="s">
        <v>162</v>
      </c>
      <c r="C228" s="376" t="s">
        <v>412</v>
      </c>
      <c r="D228" s="376" t="s">
        <v>287</v>
      </c>
      <c r="E228" s="376" t="s">
        <v>165</v>
      </c>
      <c r="F228" s="377" t="s">
        <v>166</v>
      </c>
      <c r="G228" s="376" t="s">
        <v>762</v>
      </c>
      <c r="H228" s="378"/>
      <c r="I228" s="378"/>
      <c r="J228" s="376" t="s">
        <v>168</v>
      </c>
      <c r="K228" s="376" t="s">
        <v>290</v>
      </c>
      <c r="L228" s="376" t="s">
        <v>166</v>
      </c>
      <c r="M228" s="376" t="s">
        <v>201</v>
      </c>
      <c r="N228" s="376" t="s">
        <v>291</v>
      </c>
      <c r="O228" s="379">
        <v>0</v>
      </c>
      <c r="P228" s="460">
        <v>0</v>
      </c>
      <c r="Q228" s="460">
        <v>0</v>
      </c>
      <c r="R228" s="380">
        <v>0</v>
      </c>
      <c r="S228" s="460">
        <v>0</v>
      </c>
      <c r="T228" s="380">
        <v>9945</v>
      </c>
      <c r="U228" s="380">
        <v>0</v>
      </c>
      <c r="V228" s="380">
        <v>990.34</v>
      </c>
      <c r="W228" s="380">
        <v>0</v>
      </c>
      <c r="X228" s="380">
        <v>0</v>
      </c>
      <c r="Y228" s="380">
        <v>0</v>
      </c>
      <c r="Z228" s="380">
        <v>0</v>
      </c>
      <c r="AA228" s="378"/>
      <c r="AB228" s="376" t="s">
        <v>45</v>
      </c>
      <c r="AC228" s="376" t="s">
        <v>45</v>
      </c>
      <c r="AD228" s="378"/>
      <c r="AE228" s="378"/>
      <c r="AF228" s="378"/>
      <c r="AG228" s="378"/>
      <c r="AH228" s="379">
        <v>0</v>
      </c>
      <c r="AI228" s="379">
        <v>0</v>
      </c>
      <c r="AJ228" s="378"/>
      <c r="AK228" s="378"/>
      <c r="AL228" s="376" t="s">
        <v>180</v>
      </c>
      <c r="AM228" s="378"/>
      <c r="AN228" s="378"/>
      <c r="AO228" s="379">
        <v>0</v>
      </c>
      <c r="AP228" s="460">
        <v>0</v>
      </c>
      <c r="AQ228" s="460">
        <v>0</v>
      </c>
      <c r="AR228" s="459"/>
      <c r="AS228" s="462">
        <f t="shared" si="51"/>
        <v>0</v>
      </c>
      <c r="AT228">
        <f t="shared" si="52"/>
        <v>0</v>
      </c>
      <c r="AU228" s="462" t="str">
        <f>IF(AT228=0,"",IF(AND(AT228=1,M228="F",SUMIF(C2:C698,C228,AS2:AS698)&lt;=1),SUMIF(C2:C698,C228,AS2:AS698),IF(AND(AT228=1,M228="F",SUMIF(C2:C698,C228,AS2:AS698)&gt;1),1,"")))</f>
        <v/>
      </c>
      <c r="AV228" s="462" t="str">
        <f>IF(AT228=0,"",IF(AND(AT228=3,M228="F",SUMIF(C2:C698,C228,AS2:AS698)&lt;=1),SUMIF(C2:C698,C228,AS2:AS698),IF(AND(AT228=3,M228="F",SUMIF(C2:C698,C228,AS2:AS698)&gt;1),1,"")))</f>
        <v/>
      </c>
      <c r="AW228" s="462">
        <f>SUMIF(C2:C698,C228,O2:O698)</f>
        <v>0</v>
      </c>
      <c r="AX228" s="462">
        <f>IF(AND(M228="F",AS228&lt;&gt;0),SUMIF(C2:C698,C228,W2:W698),0)</f>
        <v>0</v>
      </c>
      <c r="AY228" s="462" t="str">
        <f t="shared" si="53"/>
        <v/>
      </c>
      <c r="AZ228" s="462" t="str">
        <f t="shared" si="54"/>
        <v/>
      </c>
      <c r="BA228" s="462">
        <f t="shared" si="55"/>
        <v>0</v>
      </c>
      <c r="BB228" s="462">
        <f>IF(AND(AT228=1,AK228="E",AU228&gt;=0.75,AW228=1),Health,IF(AND(AT228=1,AK228="E",AU228&gt;=0.75),Health*P228,IF(AND(AT228=1,AK228="E",AU228&gt;=0.5,AW228=1),PTHealth,IF(AND(AT228=1,AK228="E",AU228&gt;=0.5),PTHealth*P228,0))))</f>
        <v>0</v>
      </c>
      <c r="BC228" s="462">
        <f>IF(AND(AT228=3,AK228="E",AV228&gt;=0.75,AW228=1),Health,IF(AND(AT228=3,AK228="E",AV228&gt;=0.75),Health*P228,IF(AND(AT228=3,AK228="E",AV228&gt;=0.5,AW228=1),PTHealth,IF(AND(AT228=3,AK228="E",AV228&gt;=0.5),PTHealth*P228,0))))</f>
        <v>0</v>
      </c>
      <c r="BD228" s="462">
        <f>IF(AND(AT228&lt;&gt;0,AX228&gt;=MAXSSDI),SSDI*MAXSSDI*P228,IF(AT228&lt;&gt;0,SSDI*W228,0))</f>
        <v>0</v>
      </c>
      <c r="BE228" s="462">
        <f>IF(AT228&lt;&gt;0,SSHI*W228,0)</f>
        <v>0</v>
      </c>
      <c r="BF228" s="462">
        <f>IF(AND(AT228&lt;&gt;0,AN228&lt;&gt;"NE"),VLOOKUP(AN228,Retirement_Rates,3,FALSE)*W228,0)</f>
        <v>0</v>
      </c>
      <c r="BG228" s="462">
        <f>IF(AND(AT228&lt;&gt;0,AJ228&lt;&gt;"PF"),Life*W228,0)</f>
        <v>0</v>
      </c>
      <c r="BH228" s="462">
        <f>IF(AND(AT228&lt;&gt;0,AM228="Y"),UI*W228,0)</f>
        <v>0</v>
      </c>
      <c r="BI228" s="462">
        <f>IF(AND(AT228&lt;&gt;0,N228&lt;&gt;"NR"),DHR*W228,0)</f>
        <v>0</v>
      </c>
      <c r="BJ228" s="462">
        <f>IF(AT228&lt;&gt;0,WC*W228,0)</f>
        <v>0</v>
      </c>
      <c r="BK228" s="462">
        <f>IF(OR(AND(AT228&lt;&gt;0,AJ228&lt;&gt;"PF",AN228&lt;&gt;"NE",AG228&lt;&gt;"A"),AND(AL228="E",OR(AT228=1,AT228=3))),Sick*W228,0)</f>
        <v>0</v>
      </c>
      <c r="BL228" s="462">
        <f t="shared" si="56"/>
        <v>0</v>
      </c>
      <c r="BM228" s="462">
        <f t="shared" si="57"/>
        <v>0</v>
      </c>
      <c r="BN228" s="462">
        <f>IF(AND(AT228=1,AK228="E",AU228&gt;=0.75,AW228=1),HealthBY,IF(AND(AT228=1,AK228="E",AU228&gt;=0.75),HealthBY*P228,IF(AND(AT228=1,AK228="E",AU228&gt;=0.5,AW228=1),PTHealthBY,IF(AND(AT228=1,AK228="E",AU228&gt;=0.5),PTHealthBY*P228,0))))</f>
        <v>0</v>
      </c>
      <c r="BO228" s="462">
        <f>IF(AND(AT228=3,AK228="E",AV228&gt;=0.75,AW228=1),HealthBY,IF(AND(AT228=3,AK228="E",AV228&gt;=0.75),HealthBY*P228,IF(AND(AT228=3,AK228="E",AV228&gt;=0.5,AW228=1),PTHealthBY,IF(AND(AT228=3,AK228="E",AV228&gt;=0.5),PTHealthBY*P228,0))))</f>
        <v>0</v>
      </c>
      <c r="BP228" s="462">
        <f>IF(AND(AT228&lt;&gt;0,(AX228+BA228)&gt;=MAXSSDIBY),SSDIBY*MAXSSDIBY*P228,IF(AT228&lt;&gt;0,SSDIBY*W228,0))</f>
        <v>0</v>
      </c>
      <c r="BQ228" s="462">
        <f>IF(AT228&lt;&gt;0,SSHIBY*W228,0)</f>
        <v>0</v>
      </c>
      <c r="BR228" s="462">
        <f>IF(AND(AT228&lt;&gt;0,AN228&lt;&gt;"NE"),VLOOKUP(AN228,Retirement_Rates,4,FALSE)*W228,0)</f>
        <v>0</v>
      </c>
      <c r="BS228" s="462">
        <f>IF(AND(AT228&lt;&gt;0,AJ228&lt;&gt;"PF"),LifeBY*W228,0)</f>
        <v>0</v>
      </c>
      <c r="BT228" s="462">
        <f>IF(AND(AT228&lt;&gt;0,AM228="Y"),UIBY*W228,0)</f>
        <v>0</v>
      </c>
      <c r="BU228" s="462">
        <f>IF(AND(AT228&lt;&gt;0,N228&lt;&gt;"NR"),DHRBY*W228,0)</f>
        <v>0</v>
      </c>
      <c r="BV228" s="462">
        <f>IF(AT228&lt;&gt;0,WCBY*W228,0)</f>
        <v>0</v>
      </c>
      <c r="BW228" s="462">
        <f>IF(OR(AND(AT228&lt;&gt;0,AJ228&lt;&gt;"PF",AN228&lt;&gt;"NE",AG228&lt;&gt;"A"),AND(AL228="E",OR(AT228=1,AT228=3))),SickBY*W228,0)</f>
        <v>0</v>
      </c>
      <c r="BX228" s="462">
        <f t="shared" si="58"/>
        <v>0</v>
      </c>
      <c r="BY228" s="462">
        <f t="shared" si="59"/>
        <v>0</v>
      </c>
      <c r="BZ228" s="462">
        <f t="shared" si="60"/>
        <v>0</v>
      </c>
      <c r="CA228" s="462">
        <f t="shared" si="61"/>
        <v>0</v>
      </c>
      <c r="CB228" s="462">
        <f t="shared" si="62"/>
        <v>0</v>
      </c>
      <c r="CC228" s="462">
        <f>IF(AT228&lt;&gt;0,SSHICHG*Y228,0)</f>
        <v>0</v>
      </c>
      <c r="CD228" s="462">
        <f>IF(AND(AT228&lt;&gt;0,AN228&lt;&gt;"NE"),VLOOKUP(AN228,Retirement_Rates,5,FALSE)*Y228,0)</f>
        <v>0</v>
      </c>
      <c r="CE228" s="462">
        <f>IF(AND(AT228&lt;&gt;0,AJ228&lt;&gt;"PF"),LifeCHG*Y228,0)</f>
        <v>0</v>
      </c>
      <c r="CF228" s="462">
        <f>IF(AND(AT228&lt;&gt;0,AM228="Y"),UICHG*Y228,0)</f>
        <v>0</v>
      </c>
      <c r="CG228" s="462">
        <f>IF(AND(AT228&lt;&gt;0,N228&lt;&gt;"NR"),DHRCHG*Y228,0)</f>
        <v>0</v>
      </c>
      <c r="CH228" s="462">
        <f>IF(AT228&lt;&gt;0,WCCHG*Y228,0)</f>
        <v>0</v>
      </c>
      <c r="CI228" s="462">
        <f>IF(OR(AND(AT228&lt;&gt;0,AJ228&lt;&gt;"PF",AN228&lt;&gt;"NE",AG228&lt;&gt;"A"),AND(AL228="E",OR(AT228=1,AT228=3))),SickCHG*Y228,0)</f>
        <v>0</v>
      </c>
      <c r="CJ228" s="462">
        <f t="shared" si="63"/>
        <v>0</v>
      </c>
      <c r="CK228" s="462" t="str">
        <f t="shared" si="64"/>
        <v/>
      </c>
      <c r="CL228" s="462">
        <f t="shared" si="65"/>
        <v>9945</v>
      </c>
      <c r="CM228" s="462">
        <f t="shared" si="66"/>
        <v>990.34</v>
      </c>
      <c r="CN228" s="462" t="str">
        <f t="shared" si="67"/>
        <v>0001-00</v>
      </c>
    </row>
    <row r="229" spans="1:92" ht="15" thickBot="1" x14ac:dyDescent="0.35">
      <c r="A229" s="376" t="s">
        <v>161</v>
      </c>
      <c r="B229" s="376" t="s">
        <v>162</v>
      </c>
      <c r="C229" s="376" t="s">
        <v>797</v>
      </c>
      <c r="D229" s="376" t="s">
        <v>272</v>
      </c>
      <c r="E229" s="376" t="s">
        <v>165</v>
      </c>
      <c r="F229" s="377" t="s">
        <v>166</v>
      </c>
      <c r="G229" s="376" t="s">
        <v>762</v>
      </c>
      <c r="H229" s="378"/>
      <c r="I229" s="378"/>
      <c r="J229" s="376" t="s">
        <v>168</v>
      </c>
      <c r="K229" s="376" t="s">
        <v>273</v>
      </c>
      <c r="L229" s="376" t="s">
        <v>274</v>
      </c>
      <c r="M229" s="376" t="s">
        <v>170</v>
      </c>
      <c r="N229" s="376" t="s">
        <v>202</v>
      </c>
      <c r="O229" s="379">
        <v>1</v>
      </c>
      <c r="P229" s="460">
        <v>1</v>
      </c>
      <c r="Q229" s="460">
        <v>1</v>
      </c>
      <c r="R229" s="380">
        <v>80</v>
      </c>
      <c r="S229" s="460">
        <v>1</v>
      </c>
      <c r="T229" s="380">
        <v>37565.300000000003</v>
      </c>
      <c r="U229" s="380">
        <v>0</v>
      </c>
      <c r="V229" s="380">
        <v>18719.689999999999</v>
      </c>
      <c r="W229" s="380">
        <v>38979.199999999997</v>
      </c>
      <c r="X229" s="380">
        <v>20473.689999999999</v>
      </c>
      <c r="Y229" s="380">
        <v>38979.199999999997</v>
      </c>
      <c r="Z229" s="380">
        <v>20372.349999999999</v>
      </c>
      <c r="AA229" s="376" t="s">
        <v>798</v>
      </c>
      <c r="AB229" s="376" t="s">
        <v>799</v>
      </c>
      <c r="AC229" s="376" t="s">
        <v>800</v>
      </c>
      <c r="AD229" s="376" t="s">
        <v>224</v>
      </c>
      <c r="AE229" s="376" t="s">
        <v>273</v>
      </c>
      <c r="AF229" s="376" t="s">
        <v>279</v>
      </c>
      <c r="AG229" s="376" t="s">
        <v>177</v>
      </c>
      <c r="AH229" s="381">
        <v>18.739999999999998</v>
      </c>
      <c r="AI229" s="381">
        <v>14117.7</v>
      </c>
      <c r="AJ229" s="376" t="s">
        <v>178</v>
      </c>
      <c r="AK229" s="376" t="s">
        <v>179</v>
      </c>
      <c r="AL229" s="376" t="s">
        <v>180</v>
      </c>
      <c r="AM229" s="376" t="s">
        <v>181</v>
      </c>
      <c r="AN229" s="376" t="s">
        <v>68</v>
      </c>
      <c r="AO229" s="379">
        <v>80</v>
      </c>
      <c r="AP229" s="460">
        <v>1</v>
      </c>
      <c r="AQ229" s="460">
        <v>1</v>
      </c>
      <c r="AR229" s="458" t="s">
        <v>182</v>
      </c>
      <c r="AS229" s="462">
        <f t="shared" si="51"/>
        <v>1</v>
      </c>
      <c r="AT229">
        <f t="shared" si="52"/>
        <v>1</v>
      </c>
      <c r="AU229" s="462">
        <f>IF(AT229=0,"",IF(AND(AT229=1,M229="F",SUMIF(C2:C698,C229,AS2:AS698)&lt;=1),SUMIF(C2:C698,C229,AS2:AS698),IF(AND(AT229=1,M229="F",SUMIF(C2:C698,C229,AS2:AS698)&gt;1),1,"")))</f>
        <v>1</v>
      </c>
      <c r="AV229" s="462" t="str">
        <f>IF(AT229=0,"",IF(AND(AT229=3,M229="F",SUMIF(C2:C698,C229,AS2:AS698)&lt;=1),SUMIF(C2:C698,C229,AS2:AS698),IF(AND(AT229=3,M229="F",SUMIF(C2:C698,C229,AS2:AS698)&gt;1),1,"")))</f>
        <v/>
      </c>
      <c r="AW229" s="462">
        <f>SUMIF(C2:C698,C229,O2:O698)</f>
        <v>1</v>
      </c>
      <c r="AX229" s="462">
        <f>IF(AND(M229="F",AS229&lt;&gt;0),SUMIF(C2:C698,C229,W2:W698),0)</f>
        <v>38979.199999999997</v>
      </c>
      <c r="AY229" s="462">
        <f t="shared" si="53"/>
        <v>38979.199999999997</v>
      </c>
      <c r="AZ229" s="462" t="str">
        <f t="shared" si="54"/>
        <v/>
      </c>
      <c r="BA229" s="462">
        <f t="shared" si="55"/>
        <v>0</v>
      </c>
      <c r="BB229" s="462">
        <f>IF(AND(AT229=1,AK229="E",AU229&gt;=0.75,AW229=1),Health,IF(AND(AT229=1,AK229="E",AU229&gt;=0.75),Health*P229,IF(AND(AT229=1,AK229="E",AU229&gt;=0.5,AW229=1),PTHealth,IF(AND(AT229=1,AK229="E",AU229&gt;=0.5),PTHealth*P229,0))))</f>
        <v>11650</v>
      </c>
      <c r="BC229" s="462">
        <f>IF(AND(AT229=3,AK229="E",AV229&gt;=0.75,AW229=1),Health,IF(AND(AT229=3,AK229="E",AV229&gt;=0.75),Health*P229,IF(AND(AT229=3,AK229="E",AV229&gt;=0.5,AW229=1),PTHealth,IF(AND(AT229=3,AK229="E",AV229&gt;=0.5),PTHealth*P229,0))))</f>
        <v>0</v>
      </c>
      <c r="BD229" s="462">
        <f>IF(AND(AT229&lt;&gt;0,AX229&gt;=MAXSSDI),SSDI*MAXSSDI*P229,IF(AT229&lt;&gt;0,SSDI*W229,0))</f>
        <v>2416.7103999999999</v>
      </c>
      <c r="BE229" s="462">
        <f>IF(AT229&lt;&gt;0,SSHI*W229,0)</f>
        <v>565.19839999999999</v>
      </c>
      <c r="BF229" s="462">
        <f>IF(AND(AT229&lt;&gt;0,AN229&lt;&gt;"NE"),VLOOKUP(AN229,Retirement_Rates,3,FALSE)*W229,0)</f>
        <v>4654.1164799999997</v>
      </c>
      <c r="BG229" s="462">
        <f>IF(AND(AT229&lt;&gt;0,AJ229&lt;&gt;"PF"),Life*W229,0)</f>
        <v>281.040032</v>
      </c>
      <c r="BH229" s="462">
        <f>IF(AND(AT229&lt;&gt;0,AM229="Y"),UI*W229,0)</f>
        <v>190.99807999999999</v>
      </c>
      <c r="BI229" s="462">
        <f>IF(AND(AT229&lt;&gt;0,N229&lt;&gt;"NR"),DHR*W229,0)</f>
        <v>119.27635199999999</v>
      </c>
      <c r="BJ229" s="462">
        <f>IF(AT229&lt;&gt;0,WC*W229,0)</f>
        <v>596.38175999999999</v>
      </c>
      <c r="BK229" s="462">
        <f>IF(OR(AND(AT229&lt;&gt;0,AJ229&lt;&gt;"PF",AN229&lt;&gt;"NE",AG229&lt;&gt;"A"),AND(AL229="E",OR(AT229=1,AT229=3))),Sick*W229,0)</f>
        <v>0</v>
      </c>
      <c r="BL229" s="462">
        <f t="shared" si="56"/>
        <v>8823.721504000001</v>
      </c>
      <c r="BM229" s="462">
        <f t="shared" si="57"/>
        <v>0</v>
      </c>
      <c r="BN229" s="462">
        <f>IF(AND(AT229=1,AK229="E",AU229&gt;=0.75,AW229=1),HealthBY,IF(AND(AT229=1,AK229="E",AU229&gt;=0.75),HealthBY*P229,IF(AND(AT229=1,AK229="E",AU229&gt;=0.5,AW229=1),PTHealthBY,IF(AND(AT229=1,AK229="E",AU229&gt;=0.5),PTHealthBY*P229,0))))</f>
        <v>11650</v>
      </c>
      <c r="BO229" s="462">
        <f>IF(AND(AT229=3,AK229="E",AV229&gt;=0.75,AW229=1),HealthBY,IF(AND(AT229=3,AK229="E",AV229&gt;=0.75),HealthBY*P229,IF(AND(AT229=3,AK229="E",AV229&gt;=0.5,AW229=1),PTHealthBY,IF(AND(AT229=3,AK229="E",AV229&gt;=0.5),PTHealthBY*P229,0))))</f>
        <v>0</v>
      </c>
      <c r="BP229" s="462">
        <f>IF(AND(AT229&lt;&gt;0,(AX229+BA229)&gt;=MAXSSDIBY),SSDIBY*MAXSSDIBY*P229,IF(AT229&lt;&gt;0,SSDIBY*W229,0))</f>
        <v>2416.7103999999999</v>
      </c>
      <c r="BQ229" s="462">
        <f>IF(AT229&lt;&gt;0,SSHIBY*W229,0)</f>
        <v>565.19839999999999</v>
      </c>
      <c r="BR229" s="462">
        <f>IF(AND(AT229&lt;&gt;0,AN229&lt;&gt;"NE"),VLOOKUP(AN229,Retirement_Rates,4,FALSE)*W229,0)</f>
        <v>4654.1164799999997</v>
      </c>
      <c r="BS229" s="462">
        <f>IF(AND(AT229&lt;&gt;0,AJ229&lt;&gt;"PF"),LifeBY*W229,0)</f>
        <v>281.040032</v>
      </c>
      <c r="BT229" s="462">
        <f>IF(AND(AT229&lt;&gt;0,AM229="Y"),UIBY*W229,0)</f>
        <v>0</v>
      </c>
      <c r="BU229" s="462">
        <f>IF(AND(AT229&lt;&gt;0,N229&lt;&gt;"NR"),DHRBY*W229,0)</f>
        <v>119.27635199999999</v>
      </c>
      <c r="BV229" s="462">
        <f>IF(AT229&lt;&gt;0,WCBY*W229,0)</f>
        <v>686.03391999999997</v>
      </c>
      <c r="BW229" s="462">
        <f>IF(OR(AND(AT229&lt;&gt;0,AJ229&lt;&gt;"PF",AN229&lt;&gt;"NE",AG229&lt;&gt;"A"),AND(AL229="E",OR(AT229=1,AT229=3))),SickBY*W229,0)</f>
        <v>0</v>
      </c>
      <c r="BX229" s="462">
        <f t="shared" si="58"/>
        <v>8722.3755839999994</v>
      </c>
      <c r="BY229" s="462">
        <f t="shared" si="59"/>
        <v>0</v>
      </c>
      <c r="BZ229" s="462">
        <f t="shared" si="60"/>
        <v>0</v>
      </c>
      <c r="CA229" s="462">
        <f t="shared" si="61"/>
        <v>0</v>
      </c>
      <c r="CB229" s="462">
        <f t="shared" si="62"/>
        <v>0</v>
      </c>
      <c r="CC229" s="462">
        <f>IF(AT229&lt;&gt;0,SSHICHG*Y229,0)</f>
        <v>0</v>
      </c>
      <c r="CD229" s="462">
        <f>IF(AND(AT229&lt;&gt;0,AN229&lt;&gt;"NE"),VLOOKUP(AN229,Retirement_Rates,5,FALSE)*Y229,0)</f>
        <v>0</v>
      </c>
      <c r="CE229" s="462">
        <f>IF(AND(AT229&lt;&gt;0,AJ229&lt;&gt;"PF"),LifeCHG*Y229,0)</f>
        <v>0</v>
      </c>
      <c r="CF229" s="462">
        <f>IF(AND(AT229&lt;&gt;0,AM229="Y"),UICHG*Y229,0)</f>
        <v>-190.99807999999999</v>
      </c>
      <c r="CG229" s="462">
        <f>IF(AND(AT229&lt;&gt;0,N229&lt;&gt;"NR"),DHRCHG*Y229,0)</f>
        <v>0</v>
      </c>
      <c r="CH229" s="462">
        <f>IF(AT229&lt;&gt;0,WCCHG*Y229,0)</f>
        <v>89.652160000000066</v>
      </c>
      <c r="CI229" s="462">
        <f>IF(OR(AND(AT229&lt;&gt;0,AJ229&lt;&gt;"PF",AN229&lt;&gt;"NE",AG229&lt;&gt;"A"),AND(AL229="E",OR(AT229=1,AT229=3))),SickCHG*Y229,0)</f>
        <v>0</v>
      </c>
      <c r="CJ229" s="462">
        <f t="shared" si="63"/>
        <v>-101.34591999999992</v>
      </c>
      <c r="CK229" s="462" t="str">
        <f t="shared" si="64"/>
        <v/>
      </c>
      <c r="CL229" s="462" t="str">
        <f t="shared" si="65"/>
        <v/>
      </c>
      <c r="CM229" s="462" t="str">
        <f t="shared" si="66"/>
        <v/>
      </c>
      <c r="CN229" s="462" t="str">
        <f t="shared" si="67"/>
        <v>0001-00</v>
      </c>
    </row>
    <row r="230" spans="1:92" ht="15" thickBot="1" x14ac:dyDescent="0.35">
      <c r="A230" s="376" t="s">
        <v>161</v>
      </c>
      <c r="B230" s="376" t="s">
        <v>162</v>
      </c>
      <c r="C230" s="376" t="s">
        <v>801</v>
      </c>
      <c r="D230" s="376" t="s">
        <v>802</v>
      </c>
      <c r="E230" s="376" t="s">
        <v>165</v>
      </c>
      <c r="F230" s="377" t="s">
        <v>166</v>
      </c>
      <c r="G230" s="376" t="s">
        <v>762</v>
      </c>
      <c r="H230" s="378"/>
      <c r="I230" s="378"/>
      <c r="J230" s="376" t="s">
        <v>168</v>
      </c>
      <c r="K230" s="376" t="s">
        <v>803</v>
      </c>
      <c r="L230" s="376" t="s">
        <v>243</v>
      </c>
      <c r="M230" s="376" t="s">
        <v>170</v>
      </c>
      <c r="N230" s="376" t="s">
        <v>202</v>
      </c>
      <c r="O230" s="379">
        <v>1</v>
      </c>
      <c r="P230" s="460">
        <v>1</v>
      </c>
      <c r="Q230" s="460">
        <v>1</v>
      </c>
      <c r="R230" s="380">
        <v>80</v>
      </c>
      <c r="S230" s="460">
        <v>1</v>
      </c>
      <c r="T230" s="380">
        <v>66361.600000000006</v>
      </c>
      <c r="U230" s="380">
        <v>0</v>
      </c>
      <c r="V230" s="380">
        <v>23618.05</v>
      </c>
      <c r="W230" s="380">
        <v>70720</v>
      </c>
      <c r="X230" s="380">
        <v>27658.86</v>
      </c>
      <c r="Y230" s="380">
        <v>70720</v>
      </c>
      <c r="Z230" s="380">
        <v>27475</v>
      </c>
      <c r="AA230" s="376" t="s">
        <v>804</v>
      </c>
      <c r="AB230" s="376" t="s">
        <v>805</v>
      </c>
      <c r="AC230" s="376" t="s">
        <v>806</v>
      </c>
      <c r="AD230" s="376" t="s">
        <v>215</v>
      </c>
      <c r="AE230" s="376" t="s">
        <v>803</v>
      </c>
      <c r="AF230" s="376" t="s">
        <v>248</v>
      </c>
      <c r="AG230" s="376" t="s">
        <v>177</v>
      </c>
      <c r="AH230" s="379">
        <v>34</v>
      </c>
      <c r="AI230" s="381">
        <v>20186.5</v>
      </c>
      <c r="AJ230" s="376" t="s">
        <v>178</v>
      </c>
      <c r="AK230" s="376" t="s">
        <v>179</v>
      </c>
      <c r="AL230" s="376" t="s">
        <v>180</v>
      </c>
      <c r="AM230" s="376" t="s">
        <v>181</v>
      </c>
      <c r="AN230" s="376" t="s">
        <v>68</v>
      </c>
      <c r="AO230" s="379">
        <v>80</v>
      </c>
      <c r="AP230" s="460">
        <v>1</v>
      </c>
      <c r="AQ230" s="460">
        <v>1</v>
      </c>
      <c r="AR230" s="458" t="s">
        <v>182</v>
      </c>
      <c r="AS230" s="462">
        <f t="shared" si="51"/>
        <v>1</v>
      </c>
      <c r="AT230">
        <f t="shared" si="52"/>
        <v>1</v>
      </c>
      <c r="AU230" s="462">
        <f>IF(AT230=0,"",IF(AND(AT230=1,M230="F",SUMIF(C2:C698,C230,AS2:AS698)&lt;=1),SUMIF(C2:C698,C230,AS2:AS698),IF(AND(AT230=1,M230="F",SUMIF(C2:C698,C230,AS2:AS698)&gt;1),1,"")))</f>
        <v>1</v>
      </c>
      <c r="AV230" s="462" t="str">
        <f>IF(AT230=0,"",IF(AND(AT230=3,M230="F",SUMIF(C2:C698,C230,AS2:AS698)&lt;=1),SUMIF(C2:C698,C230,AS2:AS698),IF(AND(AT230=3,M230="F",SUMIF(C2:C698,C230,AS2:AS698)&gt;1),1,"")))</f>
        <v/>
      </c>
      <c r="AW230" s="462">
        <f>SUMIF(C2:C698,C230,O2:O698)</f>
        <v>1</v>
      </c>
      <c r="AX230" s="462">
        <f>IF(AND(M230="F",AS230&lt;&gt;0),SUMIF(C2:C698,C230,W2:W698),0)</f>
        <v>70720</v>
      </c>
      <c r="AY230" s="462">
        <f t="shared" si="53"/>
        <v>70720</v>
      </c>
      <c r="AZ230" s="462" t="str">
        <f t="shared" si="54"/>
        <v/>
      </c>
      <c r="BA230" s="462">
        <f t="shared" si="55"/>
        <v>0</v>
      </c>
      <c r="BB230" s="462">
        <f>IF(AND(AT230=1,AK230="E",AU230&gt;=0.75,AW230=1),Health,IF(AND(AT230=1,AK230="E",AU230&gt;=0.75),Health*P230,IF(AND(AT230=1,AK230="E",AU230&gt;=0.5,AW230=1),PTHealth,IF(AND(AT230=1,AK230="E",AU230&gt;=0.5),PTHealth*P230,0))))</f>
        <v>11650</v>
      </c>
      <c r="BC230" s="462">
        <f>IF(AND(AT230=3,AK230="E",AV230&gt;=0.75,AW230=1),Health,IF(AND(AT230=3,AK230="E",AV230&gt;=0.75),Health*P230,IF(AND(AT230=3,AK230="E",AV230&gt;=0.5,AW230=1),PTHealth,IF(AND(AT230=3,AK230="E",AV230&gt;=0.5),PTHealth*P230,0))))</f>
        <v>0</v>
      </c>
      <c r="BD230" s="462">
        <f>IF(AND(AT230&lt;&gt;0,AX230&gt;=MAXSSDI),SSDI*MAXSSDI*P230,IF(AT230&lt;&gt;0,SSDI*W230,0))</f>
        <v>4384.6400000000003</v>
      </c>
      <c r="BE230" s="462">
        <f>IF(AT230&lt;&gt;0,SSHI*W230,0)</f>
        <v>1025.44</v>
      </c>
      <c r="BF230" s="462">
        <f>IF(AND(AT230&lt;&gt;0,AN230&lt;&gt;"NE"),VLOOKUP(AN230,Retirement_Rates,3,FALSE)*W230,0)</f>
        <v>8443.9680000000008</v>
      </c>
      <c r="BG230" s="462">
        <f>IF(AND(AT230&lt;&gt;0,AJ230&lt;&gt;"PF"),Life*W230,0)</f>
        <v>509.89120000000003</v>
      </c>
      <c r="BH230" s="462">
        <f>IF(AND(AT230&lt;&gt;0,AM230="Y"),UI*W230,0)</f>
        <v>346.52799999999996</v>
      </c>
      <c r="BI230" s="462">
        <f>IF(AND(AT230&lt;&gt;0,N230&lt;&gt;"NR"),DHR*W230,0)</f>
        <v>216.4032</v>
      </c>
      <c r="BJ230" s="462">
        <f>IF(AT230&lt;&gt;0,WC*W230,0)</f>
        <v>1082.0159999999998</v>
      </c>
      <c r="BK230" s="462">
        <f>IF(OR(AND(AT230&lt;&gt;0,AJ230&lt;&gt;"PF",AN230&lt;&gt;"NE",AG230&lt;&gt;"A"),AND(AL230="E",OR(AT230=1,AT230=3))),Sick*W230,0)</f>
        <v>0</v>
      </c>
      <c r="BL230" s="462">
        <f t="shared" si="56"/>
        <v>16008.886400000001</v>
      </c>
      <c r="BM230" s="462">
        <f t="shared" si="57"/>
        <v>0</v>
      </c>
      <c r="BN230" s="462">
        <f>IF(AND(AT230=1,AK230="E",AU230&gt;=0.75,AW230=1),HealthBY,IF(AND(AT230=1,AK230="E",AU230&gt;=0.75),HealthBY*P230,IF(AND(AT230=1,AK230="E",AU230&gt;=0.5,AW230=1),PTHealthBY,IF(AND(AT230=1,AK230="E",AU230&gt;=0.5),PTHealthBY*P230,0))))</f>
        <v>11650</v>
      </c>
      <c r="BO230" s="462">
        <f>IF(AND(AT230=3,AK230="E",AV230&gt;=0.75,AW230=1),HealthBY,IF(AND(AT230=3,AK230="E",AV230&gt;=0.75),HealthBY*P230,IF(AND(AT230=3,AK230="E",AV230&gt;=0.5,AW230=1),PTHealthBY,IF(AND(AT230=3,AK230="E",AV230&gt;=0.5),PTHealthBY*P230,0))))</f>
        <v>0</v>
      </c>
      <c r="BP230" s="462">
        <f>IF(AND(AT230&lt;&gt;0,(AX230+BA230)&gt;=MAXSSDIBY),SSDIBY*MAXSSDIBY*P230,IF(AT230&lt;&gt;0,SSDIBY*W230,0))</f>
        <v>4384.6400000000003</v>
      </c>
      <c r="BQ230" s="462">
        <f>IF(AT230&lt;&gt;0,SSHIBY*W230,0)</f>
        <v>1025.44</v>
      </c>
      <c r="BR230" s="462">
        <f>IF(AND(AT230&lt;&gt;0,AN230&lt;&gt;"NE"),VLOOKUP(AN230,Retirement_Rates,4,FALSE)*W230,0)</f>
        <v>8443.9680000000008</v>
      </c>
      <c r="BS230" s="462">
        <f>IF(AND(AT230&lt;&gt;0,AJ230&lt;&gt;"PF"),LifeBY*W230,0)</f>
        <v>509.89120000000003</v>
      </c>
      <c r="BT230" s="462">
        <f>IF(AND(AT230&lt;&gt;0,AM230="Y"),UIBY*W230,0)</f>
        <v>0</v>
      </c>
      <c r="BU230" s="462">
        <f>IF(AND(AT230&lt;&gt;0,N230&lt;&gt;"NR"),DHRBY*W230,0)</f>
        <v>216.4032</v>
      </c>
      <c r="BV230" s="462">
        <f>IF(AT230&lt;&gt;0,WCBY*W230,0)</f>
        <v>1244.672</v>
      </c>
      <c r="BW230" s="462">
        <f>IF(OR(AND(AT230&lt;&gt;0,AJ230&lt;&gt;"PF",AN230&lt;&gt;"NE",AG230&lt;&gt;"A"),AND(AL230="E",OR(AT230=1,AT230=3))),SickBY*W230,0)</f>
        <v>0</v>
      </c>
      <c r="BX230" s="462">
        <f t="shared" si="58"/>
        <v>15825.014400000002</v>
      </c>
      <c r="BY230" s="462">
        <f t="shared" si="59"/>
        <v>0</v>
      </c>
      <c r="BZ230" s="462">
        <f t="shared" si="60"/>
        <v>0</v>
      </c>
      <c r="CA230" s="462">
        <f t="shared" si="61"/>
        <v>0</v>
      </c>
      <c r="CB230" s="462">
        <f t="shared" si="62"/>
        <v>0</v>
      </c>
      <c r="CC230" s="462">
        <f>IF(AT230&lt;&gt;0,SSHICHG*Y230,0)</f>
        <v>0</v>
      </c>
      <c r="CD230" s="462">
        <f>IF(AND(AT230&lt;&gt;0,AN230&lt;&gt;"NE"),VLOOKUP(AN230,Retirement_Rates,5,FALSE)*Y230,0)</f>
        <v>0</v>
      </c>
      <c r="CE230" s="462">
        <f>IF(AND(AT230&lt;&gt;0,AJ230&lt;&gt;"PF"),LifeCHG*Y230,0)</f>
        <v>0</v>
      </c>
      <c r="CF230" s="462">
        <f>IF(AND(AT230&lt;&gt;0,AM230="Y"),UICHG*Y230,0)</f>
        <v>-346.52799999999996</v>
      </c>
      <c r="CG230" s="462">
        <f>IF(AND(AT230&lt;&gt;0,N230&lt;&gt;"NR"),DHRCHG*Y230,0)</f>
        <v>0</v>
      </c>
      <c r="CH230" s="462">
        <f>IF(AT230&lt;&gt;0,WCCHG*Y230,0)</f>
        <v>162.65600000000012</v>
      </c>
      <c r="CI230" s="462">
        <f>IF(OR(AND(AT230&lt;&gt;0,AJ230&lt;&gt;"PF",AN230&lt;&gt;"NE",AG230&lt;&gt;"A"),AND(AL230="E",OR(AT230=1,AT230=3))),SickCHG*Y230,0)</f>
        <v>0</v>
      </c>
      <c r="CJ230" s="462">
        <f t="shared" si="63"/>
        <v>-183.87199999999984</v>
      </c>
      <c r="CK230" s="462" t="str">
        <f t="shared" si="64"/>
        <v/>
      </c>
      <c r="CL230" s="462" t="str">
        <f t="shared" si="65"/>
        <v/>
      </c>
      <c r="CM230" s="462" t="str">
        <f t="shared" si="66"/>
        <v/>
      </c>
      <c r="CN230" s="462" t="str">
        <f t="shared" si="67"/>
        <v>0001-00</v>
      </c>
    </row>
    <row r="231" spans="1:92" ht="15" thickBot="1" x14ac:dyDescent="0.35">
      <c r="A231" s="376" t="s">
        <v>161</v>
      </c>
      <c r="B231" s="376" t="s">
        <v>162</v>
      </c>
      <c r="C231" s="376" t="s">
        <v>807</v>
      </c>
      <c r="D231" s="376" t="s">
        <v>372</v>
      </c>
      <c r="E231" s="376" t="s">
        <v>165</v>
      </c>
      <c r="F231" s="377" t="s">
        <v>166</v>
      </c>
      <c r="G231" s="376" t="s">
        <v>762</v>
      </c>
      <c r="H231" s="378"/>
      <c r="I231" s="378"/>
      <c r="J231" s="376" t="s">
        <v>168</v>
      </c>
      <c r="K231" s="376" t="s">
        <v>373</v>
      </c>
      <c r="L231" s="376" t="s">
        <v>374</v>
      </c>
      <c r="M231" s="376" t="s">
        <v>201</v>
      </c>
      <c r="N231" s="376" t="s">
        <v>202</v>
      </c>
      <c r="O231" s="379">
        <v>0</v>
      </c>
      <c r="P231" s="460">
        <v>1</v>
      </c>
      <c r="Q231" s="460">
        <v>1</v>
      </c>
      <c r="R231" s="380">
        <v>80</v>
      </c>
      <c r="S231" s="460">
        <v>1</v>
      </c>
      <c r="T231" s="380">
        <v>0</v>
      </c>
      <c r="U231" s="380">
        <v>0</v>
      </c>
      <c r="V231" s="380">
        <v>0</v>
      </c>
      <c r="W231" s="380">
        <v>79164.800000000003</v>
      </c>
      <c r="X231" s="380">
        <v>34674.18</v>
      </c>
      <c r="Y231" s="380">
        <v>79164.800000000003</v>
      </c>
      <c r="Z231" s="380">
        <v>34278.35</v>
      </c>
      <c r="AA231" s="378"/>
      <c r="AB231" s="376" t="s">
        <v>45</v>
      </c>
      <c r="AC231" s="376" t="s">
        <v>45</v>
      </c>
      <c r="AD231" s="378"/>
      <c r="AE231" s="378"/>
      <c r="AF231" s="378"/>
      <c r="AG231" s="378"/>
      <c r="AH231" s="379">
        <v>0</v>
      </c>
      <c r="AI231" s="379">
        <v>0</v>
      </c>
      <c r="AJ231" s="378"/>
      <c r="AK231" s="378"/>
      <c r="AL231" s="376" t="s">
        <v>180</v>
      </c>
      <c r="AM231" s="378"/>
      <c r="AN231" s="378"/>
      <c r="AO231" s="379">
        <v>0</v>
      </c>
      <c r="AP231" s="460">
        <v>0</v>
      </c>
      <c r="AQ231" s="460">
        <v>0</v>
      </c>
      <c r="AR231" s="459"/>
      <c r="AS231" s="462">
        <f t="shared" si="51"/>
        <v>0</v>
      </c>
      <c r="AT231">
        <f t="shared" si="52"/>
        <v>0</v>
      </c>
      <c r="AU231" s="462" t="str">
        <f>IF(AT231=0,"",IF(AND(AT231=1,M231="F",SUMIF(C2:C698,C231,AS2:AS698)&lt;=1),SUMIF(C2:C698,C231,AS2:AS698),IF(AND(AT231=1,M231="F",SUMIF(C2:C698,C231,AS2:AS698)&gt;1),1,"")))</f>
        <v/>
      </c>
      <c r="AV231" s="462" t="str">
        <f>IF(AT231=0,"",IF(AND(AT231=3,M231="F",SUMIF(C2:C698,C231,AS2:AS698)&lt;=1),SUMIF(C2:C698,C231,AS2:AS698),IF(AND(AT231=3,M231="F",SUMIF(C2:C698,C231,AS2:AS698)&gt;1),1,"")))</f>
        <v/>
      </c>
      <c r="AW231" s="462">
        <f>SUMIF(C2:C698,C231,O2:O698)</f>
        <v>0</v>
      </c>
      <c r="AX231" s="462">
        <f>IF(AND(M231="F",AS231&lt;&gt;0),SUMIF(C2:C698,C231,W2:W698),0)</f>
        <v>0</v>
      </c>
      <c r="AY231" s="462" t="str">
        <f t="shared" si="53"/>
        <v/>
      </c>
      <c r="AZ231" s="462" t="str">
        <f t="shared" si="54"/>
        <v/>
      </c>
      <c r="BA231" s="462">
        <f t="shared" si="55"/>
        <v>0</v>
      </c>
      <c r="BB231" s="462">
        <f>IF(AND(AT231=1,AK231="E",AU231&gt;=0.75,AW231=1),Health,IF(AND(AT231=1,AK231="E",AU231&gt;=0.75),Health*P231,IF(AND(AT231=1,AK231="E",AU231&gt;=0.5,AW231=1),PTHealth,IF(AND(AT231=1,AK231="E",AU231&gt;=0.5),PTHealth*P231,0))))</f>
        <v>0</v>
      </c>
      <c r="BC231" s="462">
        <f>IF(AND(AT231=3,AK231="E",AV231&gt;=0.75,AW231=1),Health,IF(AND(AT231=3,AK231="E",AV231&gt;=0.75),Health*P231,IF(AND(AT231=3,AK231="E",AV231&gt;=0.5,AW231=1),PTHealth,IF(AND(AT231=3,AK231="E",AV231&gt;=0.5),PTHealth*P231,0))))</f>
        <v>0</v>
      </c>
      <c r="BD231" s="462">
        <f>IF(AND(AT231&lt;&gt;0,AX231&gt;=MAXSSDI),SSDI*MAXSSDI*P231,IF(AT231&lt;&gt;0,SSDI*W231,0))</f>
        <v>0</v>
      </c>
      <c r="BE231" s="462">
        <f>IF(AT231&lt;&gt;0,SSHI*W231,0)</f>
        <v>0</v>
      </c>
      <c r="BF231" s="462">
        <f>IF(AND(AT231&lt;&gt;0,AN231&lt;&gt;"NE"),VLOOKUP(AN231,Retirement_Rates,3,FALSE)*W231,0)</f>
        <v>0</v>
      </c>
      <c r="BG231" s="462">
        <f>IF(AND(AT231&lt;&gt;0,AJ231&lt;&gt;"PF"),Life*W231,0)</f>
        <v>0</v>
      </c>
      <c r="BH231" s="462">
        <f>IF(AND(AT231&lt;&gt;0,AM231="Y"),UI*W231,0)</f>
        <v>0</v>
      </c>
      <c r="BI231" s="462">
        <f>IF(AND(AT231&lt;&gt;0,N231&lt;&gt;"NR"),DHR*W231,0)</f>
        <v>0</v>
      </c>
      <c r="BJ231" s="462">
        <f>IF(AT231&lt;&gt;0,WC*W231,0)</f>
        <v>0</v>
      </c>
      <c r="BK231" s="462">
        <f>IF(OR(AND(AT231&lt;&gt;0,AJ231&lt;&gt;"PF",AN231&lt;&gt;"NE",AG231&lt;&gt;"A"),AND(AL231="E",OR(AT231=1,AT231=3))),Sick*W231,0)</f>
        <v>0</v>
      </c>
      <c r="BL231" s="462">
        <f t="shared" si="56"/>
        <v>0</v>
      </c>
      <c r="BM231" s="462">
        <f t="shared" si="57"/>
        <v>0</v>
      </c>
      <c r="BN231" s="462">
        <f>IF(AND(AT231=1,AK231="E",AU231&gt;=0.75,AW231=1),HealthBY,IF(AND(AT231=1,AK231="E",AU231&gt;=0.75),HealthBY*P231,IF(AND(AT231=1,AK231="E",AU231&gt;=0.5,AW231=1),PTHealthBY,IF(AND(AT231=1,AK231="E",AU231&gt;=0.5),PTHealthBY*P231,0))))</f>
        <v>0</v>
      </c>
      <c r="BO231" s="462">
        <f>IF(AND(AT231=3,AK231="E",AV231&gt;=0.75,AW231=1),HealthBY,IF(AND(AT231=3,AK231="E",AV231&gt;=0.75),HealthBY*P231,IF(AND(AT231=3,AK231="E",AV231&gt;=0.5,AW231=1),PTHealthBY,IF(AND(AT231=3,AK231="E",AV231&gt;=0.5),PTHealthBY*P231,0))))</f>
        <v>0</v>
      </c>
      <c r="BP231" s="462">
        <f>IF(AND(AT231&lt;&gt;0,(AX231+BA231)&gt;=MAXSSDIBY),SSDIBY*MAXSSDIBY*P231,IF(AT231&lt;&gt;0,SSDIBY*W231,0))</f>
        <v>0</v>
      </c>
      <c r="BQ231" s="462">
        <f>IF(AT231&lt;&gt;0,SSHIBY*W231,0)</f>
        <v>0</v>
      </c>
      <c r="BR231" s="462">
        <f>IF(AND(AT231&lt;&gt;0,AN231&lt;&gt;"NE"),VLOOKUP(AN231,Retirement_Rates,4,FALSE)*W231,0)</f>
        <v>0</v>
      </c>
      <c r="BS231" s="462">
        <f>IF(AND(AT231&lt;&gt;0,AJ231&lt;&gt;"PF"),LifeBY*W231,0)</f>
        <v>0</v>
      </c>
      <c r="BT231" s="462">
        <f>IF(AND(AT231&lt;&gt;0,AM231="Y"),UIBY*W231,0)</f>
        <v>0</v>
      </c>
      <c r="BU231" s="462">
        <f>IF(AND(AT231&lt;&gt;0,N231&lt;&gt;"NR"),DHRBY*W231,0)</f>
        <v>0</v>
      </c>
      <c r="BV231" s="462">
        <f>IF(AT231&lt;&gt;0,WCBY*W231,0)</f>
        <v>0</v>
      </c>
      <c r="BW231" s="462">
        <f>IF(OR(AND(AT231&lt;&gt;0,AJ231&lt;&gt;"PF",AN231&lt;&gt;"NE",AG231&lt;&gt;"A"),AND(AL231="E",OR(AT231=1,AT231=3))),SickBY*W231,0)</f>
        <v>0</v>
      </c>
      <c r="BX231" s="462">
        <f t="shared" si="58"/>
        <v>0</v>
      </c>
      <c r="BY231" s="462">
        <f t="shared" si="59"/>
        <v>0</v>
      </c>
      <c r="BZ231" s="462">
        <f t="shared" si="60"/>
        <v>0</v>
      </c>
      <c r="CA231" s="462">
        <f t="shared" si="61"/>
        <v>0</v>
      </c>
      <c r="CB231" s="462">
        <f t="shared" si="62"/>
        <v>0</v>
      </c>
      <c r="CC231" s="462">
        <f>IF(AT231&lt;&gt;0,SSHICHG*Y231,0)</f>
        <v>0</v>
      </c>
      <c r="CD231" s="462">
        <f>IF(AND(AT231&lt;&gt;0,AN231&lt;&gt;"NE"),VLOOKUP(AN231,Retirement_Rates,5,FALSE)*Y231,0)</f>
        <v>0</v>
      </c>
      <c r="CE231" s="462">
        <f>IF(AND(AT231&lt;&gt;0,AJ231&lt;&gt;"PF"),LifeCHG*Y231,0)</f>
        <v>0</v>
      </c>
      <c r="CF231" s="462">
        <f>IF(AND(AT231&lt;&gt;0,AM231="Y"),UICHG*Y231,0)</f>
        <v>0</v>
      </c>
      <c r="CG231" s="462">
        <f>IF(AND(AT231&lt;&gt;0,N231&lt;&gt;"NR"),DHRCHG*Y231,0)</f>
        <v>0</v>
      </c>
      <c r="CH231" s="462">
        <f>IF(AT231&lt;&gt;0,WCCHG*Y231,0)</f>
        <v>0</v>
      </c>
      <c r="CI231" s="462">
        <f>IF(OR(AND(AT231&lt;&gt;0,AJ231&lt;&gt;"PF",AN231&lt;&gt;"NE",AG231&lt;&gt;"A"),AND(AL231="E",OR(AT231=1,AT231=3))),SickCHG*Y231,0)</f>
        <v>0</v>
      </c>
      <c r="CJ231" s="462">
        <f t="shared" si="63"/>
        <v>0</v>
      </c>
      <c r="CK231" s="462" t="str">
        <f t="shared" si="64"/>
        <v/>
      </c>
      <c r="CL231" s="462" t="str">
        <f t="shared" si="65"/>
        <v/>
      </c>
      <c r="CM231" s="462" t="str">
        <f t="shared" si="66"/>
        <v/>
      </c>
      <c r="CN231" s="462" t="str">
        <f t="shared" si="67"/>
        <v>0001-00</v>
      </c>
    </row>
    <row r="232" spans="1:92" ht="15" thickBot="1" x14ac:dyDescent="0.35">
      <c r="A232" s="376" t="s">
        <v>161</v>
      </c>
      <c r="B232" s="376" t="s">
        <v>162</v>
      </c>
      <c r="C232" s="376" t="s">
        <v>808</v>
      </c>
      <c r="D232" s="376" t="s">
        <v>809</v>
      </c>
      <c r="E232" s="376" t="s">
        <v>165</v>
      </c>
      <c r="F232" s="377" t="s">
        <v>166</v>
      </c>
      <c r="G232" s="376" t="s">
        <v>762</v>
      </c>
      <c r="H232" s="378"/>
      <c r="I232" s="378"/>
      <c r="J232" s="376" t="s">
        <v>168</v>
      </c>
      <c r="K232" s="376" t="s">
        <v>810</v>
      </c>
      <c r="L232" s="376" t="s">
        <v>166</v>
      </c>
      <c r="M232" s="376" t="s">
        <v>170</v>
      </c>
      <c r="N232" s="376" t="s">
        <v>171</v>
      </c>
      <c r="O232" s="379">
        <v>1</v>
      </c>
      <c r="P232" s="460">
        <v>1</v>
      </c>
      <c r="Q232" s="460">
        <v>1</v>
      </c>
      <c r="R232" s="380">
        <v>80</v>
      </c>
      <c r="S232" s="460">
        <v>1</v>
      </c>
      <c r="T232" s="380">
        <v>102044.8</v>
      </c>
      <c r="U232" s="380">
        <v>0</v>
      </c>
      <c r="V232" s="380">
        <v>32351.39</v>
      </c>
      <c r="W232" s="380">
        <v>106350.39999999999</v>
      </c>
      <c r="X232" s="380">
        <v>35399.08</v>
      </c>
      <c r="Y232" s="380">
        <v>106350.39999999999</v>
      </c>
      <c r="Z232" s="380">
        <v>35122.57</v>
      </c>
      <c r="AA232" s="376" t="s">
        <v>811</v>
      </c>
      <c r="AB232" s="376" t="s">
        <v>310</v>
      </c>
      <c r="AC232" s="376" t="s">
        <v>812</v>
      </c>
      <c r="AD232" s="376" t="s">
        <v>545</v>
      </c>
      <c r="AE232" s="376" t="s">
        <v>810</v>
      </c>
      <c r="AF232" s="376" t="s">
        <v>176</v>
      </c>
      <c r="AG232" s="376" t="s">
        <v>177</v>
      </c>
      <c r="AH232" s="381">
        <v>51.13</v>
      </c>
      <c r="AI232" s="381">
        <v>29245.1</v>
      </c>
      <c r="AJ232" s="376" t="s">
        <v>178</v>
      </c>
      <c r="AK232" s="376" t="s">
        <v>179</v>
      </c>
      <c r="AL232" s="376" t="s">
        <v>180</v>
      </c>
      <c r="AM232" s="376" t="s">
        <v>181</v>
      </c>
      <c r="AN232" s="376" t="s">
        <v>68</v>
      </c>
      <c r="AO232" s="379">
        <v>80</v>
      </c>
      <c r="AP232" s="460">
        <v>1</v>
      </c>
      <c r="AQ232" s="460">
        <v>1</v>
      </c>
      <c r="AR232" s="458" t="s">
        <v>182</v>
      </c>
      <c r="AS232" s="462">
        <f t="shared" si="51"/>
        <v>1</v>
      </c>
      <c r="AT232">
        <f t="shared" si="52"/>
        <v>1</v>
      </c>
      <c r="AU232" s="462">
        <f>IF(AT232=0,"",IF(AND(AT232=1,M232="F",SUMIF(C2:C698,C232,AS2:AS698)&lt;=1),SUMIF(C2:C698,C232,AS2:AS698),IF(AND(AT232=1,M232="F",SUMIF(C2:C698,C232,AS2:AS698)&gt;1),1,"")))</f>
        <v>1</v>
      </c>
      <c r="AV232" s="462" t="str">
        <f>IF(AT232=0,"",IF(AND(AT232=3,M232="F",SUMIF(C2:C698,C232,AS2:AS698)&lt;=1),SUMIF(C2:C698,C232,AS2:AS698),IF(AND(AT232=3,M232="F",SUMIF(C2:C698,C232,AS2:AS698)&gt;1),1,"")))</f>
        <v/>
      </c>
      <c r="AW232" s="462">
        <f>SUMIF(C2:C698,C232,O2:O698)</f>
        <v>1</v>
      </c>
      <c r="AX232" s="462">
        <f>IF(AND(M232="F",AS232&lt;&gt;0),SUMIF(C2:C698,C232,W2:W698),0)</f>
        <v>106350.39999999999</v>
      </c>
      <c r="AY232" s="462">
        <f t="shared" si="53"/>
        <v>106350.39999999999</v>
      </c>
      <c r="AZ232" s="462" t="str">
        <f t="shared" si="54"/>
        <v/>
      </c>
      <c r="BA232" s="462">
        <f t="shared" si="55"/>
        <v>0</v>
      </c>
      <c r="BB232" s="462">
        <f>IF(AND(AT232=1,AK232="E",AU232&gt;=0.75,AW232=1),Health,IF(AND(AT232=1,AK232="E",AU232&gt;=0.75),Health*P232,IF(AND(AT232=1,AK232="E",AU232&gt;=0.5,AW232=1),PTHealth,IF(AND(AT232=1,AK232="E",AU232&gt;=0.5),PTHealth*P232,0))))</f>
        <v>11650</v>
      </c>
      <c r="BC232" s="462">
        <f>IF(AND(AT232=3,AK232="E",AV232&gt;=0.75,AW232=1),Health,IF(AND(AT232=3,AK232="E",AV232&gt;=0.75),Health*P232,IF(AND(AT232=3,AK232="E",AV232&gt;=0.5,AW232=1),PTHealth,IF(AND(AT232=3,AK232="E",AV232&gt;=0.5),PTHealth*P232,0))))</f>
        <v>0</v>
      </c>
      <c r="BD232" s="462">
        <f>IF(AND(AT232&lt;&gt;0,AX232&gt;=MAXSSDI),SSDI*MAXSSDI*P232,IF(AT232&lt;&gt;0,SSDI*W232,0))</f>
        <v>6593.7248</v>
      </c>
      <c r="BE232" s="462">
        <f>IF(AT232&lt;&gt;0,SSHI*W232,0)</f>
        <v>1542.0808</v>
      </c>
      <c r="BF232" s="462">
        <f>IF(AND(AT232&lt;&gt;0,AN232&lt;&gt;"NE"),VLOOKUP(AN232,Retirement_Rates,3,FALSE)*W232,0)</f>
        <v>12698.23776</v>
      </c>
      <c r="BG232" s="462">
        <f>IF(AND(AT232&lt;&gt;0,AJ232&lt;&gt;"PF"),Life*W232,0)</f>
        <v>766.786384</v>
      </c>
      <c r="BH232" s="462">
        <f>IF(AND(AT232&lt;&gt;0,AM232="Y"),UI*W232,0)</f>
        <v>521.11695999999995</v>
      </c>
      <c r="BI232" s="462">
        <f>IF(AND(AT232&lt;&gt;0,N232&lt;&gt;"NR"),DHR*W232,0)</f>
        <v>0</v>
      </c>
      <c r="BJ232" s="462">
        <f>IF(AT232&lt;&gt;0,WC*W232,0)</f>
        <v>1627.1611199999998</v>
      </c>
      <c r="BK232" s="462">
        <f>IF(OR(AND(AT232&lt;&gt;0,AJ232&lt;&gt;"PF",AN232&lt;&gt;"NE",AG232&lt;&gt;"A"),AND(AL232="E",OR(AT232=1,AT232=3))),Sick*W232,0)</f>
        <v>0</v>
      </c>
      <c r="BL232" s="462">
        <f t="shared" si="56"/>
        <v>23749.107823999999</v>
      </c>
      <c r="BM232" s="462">
        <f t="shared" si="57"/>
        <v>0</v>
      </c>
      <c r="BN232" s="462">
        <f>IF(AND(AT232=1,AK232="E",AU232&gt;=0.75,AW232=1),HealthBY,IF(AND(AT232=1,AK232="E",AU232&gt;=0.75),HealthBY*P232,IF(AND(AT232=1,AK232="E",AU232&gt;=0.5,AW232=1),PTHealthBY,IF(AND(AT232=1,AK232="E",AU232&gt;=0.5),PTHealthBY*P232,0))))</f>
        <v>11650</v>
      </c>
      <c r="BO232" s="462">
        <f>IF(AND(AT232=3,AK232="E",AV232&gt;=0.75,AW232=1),HealthBY,IF(AND(AT232=3,AK232="E",AV232&gt;=0.75),HealthBY*P232,IF(AND(AT232=3,AK232="E",AV232&gt;=0.5,AW232=1),PTHealthBY,IF(AND(AT232=3,AK232="E",AV232&gt;=0.5),PTHealthBY*P232,0))))</f>
        <v>0</v>
      </c>
      <c r="BP232" s="462">
        <f>IF(AND(AT232&lt;&gt;0,(AX232+BA232)&gt;=MAXSSDIBY),SSDIBY*MAXSSDIBY*P232,IF(AT232&lt;&gt;0,SSDIBY*W232,0))</f>
        <v>6593.7248</v>
      </c>
      <c r="BQ232" s="462">
        <f>IF(AT232&lt;&gt;0,SSHIBY*W232,0)</f>
        <v>1542.0808</v>
      </c>
      <c r="BR232" s="462">
        <f>IF(AND(AT232&lt;&gt;0,AN232&lt;&gt;"NE"),VLOOKUP(AN232,Retirement_Rates,4,FALSE)*W232,0)</f>
        <v>12698.23776</v>
      </c>
      <c r="BS232" s="462">
        <f>IF(AND(AT232&lt;&gt;0,AJ232&lt;&gt;"PF"),LifeBY*W232,0)</f>
        <v>766.786384</v>
      </c>
      <c r="BT232" s="462">
        <f>IF(AND(AT232&lt;&gt;0,AM232="Y"),UIBY*W232,0)</f>
        <v>0</v>
      </c>
      <c r="BU232" s="462">
        <f>IF(AND(AT232&lt;&gt;0,N232&lt;&gt;"NR"),DHRBY*W232,0)</f>
        <v>0</v>
      </c>
      <c r="BV232" s="462">
        <f>IF(AT232&lt;&gt;0,WCBY*W232,0)</f>
        <v>1871.76704</v>
      </c>
      <c r="BW232" s="462">
        <f>IF(OR(AND(AT232&lt;&gt;0,AJ232&lt;&gt;"PF",AN232&lt;&gt;"NE",AG232&lt;&gt;"A"),AND(AL232="E",OR(AT232=1,AT232=3))),SickBY*W232,0)</f>
        <v>0</v>
      </c>
      <c r="BX232" s="462">
        <f t="shared" si="58"/>
        <v>23472.596783999998</v>
      </c>
      <c r="BY232" s="462">
        <f t="shared" si="59"/>
        <v>0</v>
      </c>
      <c r="BZ232" s="462">
        <f t="shared" si="60"/>
        <v>0</v>
      </c>
      <c r="CA232" s="462">
        <f t="shared" si="61"/>
        <v>0</v>
      </c>
      <c r="CB232" s="462">
        <f t="shared" si="62"/>
        <v>0</v>
      </c>
      <c r="CC232" s="462">
        <f>IF(AT232&lt;&gt;0,SSHICHG*Y232,0)</f>
        <v>0</v>
      </c>
      <c r="CD232" s="462">
        <f>IF(AND(AT232&lt;&gt;0,AN232&lt;&gt;"NE"),VLOOKUP(AN232,Retirement_Rates,5,FALSE)*Y232,0)</f>
        <v>0</v>
      </c>
      <c r="CE232" s="462">
        <f>IF(AND(AT232&lt;&gt;0,AJ232&lt;&gt;"PF"),LifeCHG*Y232,0)</f>
        <v>0</v>
      </c>
      <c r="CF232" s="462">
        <f>IF(AND(AT232&lt;&gt;0,AM232="Y"),UICHG*Y232,0)</f>
        <v>-521.11695999999995</v>
      </c>
      <c r="CG232" s="462">
        <f>IF(AND(AT232&lt;&gt;0,N232&lt;&gt;"NR"),DHRCHG*Y232,0)</f>
        <v>0</v>
      </c>
      <c r="CH232" s="462">
        <f>IF(AT232&lt;&gt;0,WCCHG*Y232,0)</f>
        <v>244.60592000000017</v>
      </c>
      <c r="CI232" s="462">
        <f>IF(OR(AND(AT232&lt;&gt;0,AJ232&lt;&gt;"PF",AN232&lt;&gt;"NE",AG232&lt;&gt;"A"),AND(AL232="E",OR(AT232=1,AT232=3))),SickCHG*Y232,0)</f>
        <v>0</v>
      </c>
      <c r="CJ232" s="462">
        <f t="shared" si="63"/>
        <v>-276.51103999999975</v>
      </c>
      <c r="CK232" s="462" t="str">
        <f t="shared" si="64"/>
        <v/>
      </c>
      <c r="CL232" s="462" t="str">
        <f t="shared" si="65"/>
        <v/>
      </c>
      <c r="CM232" s="462" t="str">
        <f t="shared" si="66"/>
        <v/>
      </c>
      <c r="CN232" s="462" t="str">
        <f t="shared" si="67"/>
        <v>0001-00</v>
      </c>
    </row>
    <row r="233" spans="1:92" ht="15" thickBot="1" x14ac:dyDescent="0.35">
      <c r="A233" s="376" t="s">
        <v>161</v>
      </c>
      <c r="B233" s="376" t="s">
        <v>162</v>
      </c>
      <c r="C233" s="376" t="s">
        <v>813</v>
      </c>
      <c r="D233" s="376" t="s">
        <v>814</v>
      </c>
      <c r="E233" s="376" t="s">
        <v>165</v>
      </c>
      <c r="F233" s="377" t="s">
        <v>166</v>
      </c>
      <c r="G233" s="376" t="s">
        <v>762</v>
      </c>
      <c r="H233" s="378"/>
      <c r="I233" s="378"/>
      <c r="J233" s="376" t="s">
        <v>168</v>
      </c>
      <c r="K233" s="376" t="s">
        <v>796</v>
      </c>
      <c r="L233" s="376" t="s">
        <v>274</v>
      </c>
      <c r="M233" s="376" t="s">
        <v>170</v>
      </c>
      <c r="N233" s="376" t="s">
        <v>202</v>
      </c>
      <c r="O233" s="379">
        <v>1</v>
      </c>
      <c r="P233" s="460">
        <v>1</v>
      </c>
      <c r="Q233" s="460">
        <v>1</v>
      </c>
      <c r="R233" s="380">
        <v>80</v>
      </c>
      <c r="S233" s="460">
        <v>1</v>
      </c>
      <c r="T233" s="380">
        <v>37157.699999999997</v>
      </c>
      <c r="U233" s="380">
        <v>0</v>
      </c>
      <c r="V233" s="380">
        <v>19835.830000000002</v>
      </c>
      <c r="W233" s="380">
        <v>38396.800000000003</v>
      </c>
      <c r="X233" s="380">
        <v>20341.86</v>
      </c>
      <c r="Y233" s="380">
        <v>38396.800000000003</v>
      </c>
      <c r="Z233" s="380">
        <v>20242.03</v>
      </c>
      <c r="AA233" s="376" t="s">
        <v>815</v>
      </c>
      <c r="AB233" s="376" t="s">
        <v>816</v>
      </c>
      <c r="AC233" s="376" t="s">
        <v>231</v>
      </c>
      <c r="AD233" s="376" t="s">
        <v>215</v>
      </c>
      <c r="AE233" s="376" t="s">
        <v>796</v>
      </c>
      <c r="AF233" s="376" t="s">
        <v>279</v>
      </c>
      <c r="AG233" s="376" t="s">
        <v>177</v>
      </c>
      <c r="AH233" s="381">
        <v>18.46</v>
      </c>
      <c r="AI233" s="381">
        <v>15097.6</v>
      </c>
      <c r="AJ233" s="376" t="s">
        <v>178</v>
      </c>
      <c r="AK233" s="376" t="s">
        <v>179</v>
      </c>
      <c r="AL233" s="376" t="s">
        <v>180</v>
      </c>
      <c r="AM233" s="376" t="s">
        <v>181</v>
      </c>
      <c r="AN233" s="376" t="s">
        <v>68</v>
      </c>
      <c r="AO233" s="379">
        <v>80</v>
      </c>
      <c r="AP233" s="460">
        <v>1</v>
      </c>
      <c r="AQ233" s="460">
        <v>1</v>
      </c>
      <c r="AR233" s="458" t="s">
        <v>182</v>
      </c>
      <c r="AS233" s="462">
        <f t="shared" si="51"/>
        <v>1</v>
      </c>
      <c r="AT233">
        <f t="shared" si="52"/>
        <v>1</v>
      </c>
      <c r="AU233" s="462">
        <f>IF(AT233=0,"",IF(AND(AT233=1,M233="F",SUMIF(C2:C698,C233,AS2:AS698)&lt;=1),SUMIF(C2:C698,C233,AS2:AS698),IF(AND(AT233=1,M233="F",SUMIF(C2:C698,C233,AS2:AS698)&gt;1),1,"")))</f>
        <v>1</v>
      </c>
      <c r="AV233" s="462" t="str">
        <f>IF(AT233=0,"",IF(AND(AT233=3,M233="F",SUMIF(C2:C698,C233,AS2:AS698)&lt;=1),SUMIF(C2:C698,C233,AS2:AS698),IF(AND(AT233=3,M233="F",SUMIF(C2:C698,C233,AS2:AS698)&gt;1),1,"")))</f>
        <v/>
      </c>
      <c r="AW233" s="462">
        <f>SUMIF(C2:C698,C233,O2:O698)</f>
        <v>1</v>
      </c>
      <c r="AX233" s="462">
        <f>IF(AND(M233="F",AS233&lt;&gt;0),SUMIF(C2:C698,C233,W2:W698),0)</f>
        <v>38396.800000000003</v>
      </c>
      <c r="AY233" s="462">
        <f t="shared" si="53"/>
        <v>38396.800000000003</v>
      </c>
      <c r="AZ233" s="462" t="str">
        <f t="shared" si="54"/>
        <v/>
      </c>
      <c r="BA233" s="462">
        <f t="shared" si="55"/>
        <v>0</v>
      </c>
      <c r="BB233" s="462">
        <f>IF(AND(AT233=1,AK233="E",AU233&gt;=0.75,AW233=1),Health,IF(AND(AT233=1,AK233="E",AU233&gt;=0.75),Health*P233,IF(AND(AT233=1,AK233="E",AU233&gt;=0.5,AW233=1),PTHealth,IF(AND(AT233=1,AK233="E",AU233&gt;=0.5),PTHealth*P233,0))))</f>
        <v>11650</v>
      </c>
      <c r="BC233" s="462">
        <f>IF(AND(AT233=3,AK233="E",AV233&gt;=0.75,AW233=1),Health,IF(AND(AT233=3,AK233="E",AV233&gt;=0.75),Health*P233,IF(AND(AT233=3,AK233="E",AV233&gt;=0.5,AW233=1),PTHealth,IF(AND(AT233=3,AK233="E",AV233&gt;=0.5),PTHealth*P233,0))))</f>
        <v>0</v>
      </c>
      <c r="BD233" s="462">
        <f>IF(AND(AT233&lt;&gt;0,AX233&gt;=MAXSSDI),SSDI*MAXSSDI*P233,IF(AT233&lt;&gt;0,SSDI*W233,0))</f>
        <v>2380.6016</v>
      </c>
      <c r="BE233" s="462">
        <f>IF(AT233&lt;&gt;0,SSHI*W233,0)</f>
        <v>556.75360000000012</v>
      </c>
      <c r="BF233" s="462">
        <f>IF(AND(AT233&lt;&gt;0,AN233&lt;&gt;"NE"),VLOOKUP(AN233,Retirement_Rates,3,FALSE)*W233,0)</f>
        <v>4584.5779200000006</v>
      </c>
      <c r="BG233" s="462">
        <f>IF(AND(AT233&lt;&gt;0,AJ233&lt;&gt;"PF"),Life*W233,0)</f>
        <v>276.84092800000002</v>
      </c>
      <c r="BH233" s="462">
        <f>IF(AND(AT233&lt;&gt;0,AM233="Y"),UI*W233,0)</f>
        <v>188.14432000000002</v>
      </c>
      <c r="BI233" s="462">
        <f>IF(AND(AT233&lt;&gt;0,N233&lt;&gt;"NR"),DHR*W233,0)</f>
        <v>117.494208</v>
      </c>
      <c r="BJ233" s="462">
        <f>IF(AT233&lt;&gt;0,WC*W233,0)</f>
        <v>587.47104000000002</v>
      </c>
      <c r="BK233" s="462">
        <f>IF(OR(AND(AT233&lt;&gt;0,AJ233&lt;&gt;"PF",AN233&lt;&gt;"NE",AG233&lt;&gt;"A"),AND(AL233="E",OR(AT233=1,AT233=3))),Sick*W233,0)</f>
        <v>0</v>
      </c>
      <c r="BL233" s="462">
        <f t="shared" si="56"/>
        <v>8691.883616000001</v>
      </c>
      <c r="BM233" s="462">
        <f t="shared" si="57"/>
        <v>0</v>
      </c>
      <c r="BN233" s="462">
        <f>IF(AND(AT233=1,AK233="E",AU233&gt;=0.75,AW233=1),HealthBY,IF(AND(AT233=1,AK233="E",AU233&gt;=0.75),HealthBY*P233,IF(AND(AT233=1,AK233="E",AU233&gt;=0.5,AW233=1),PTHealthBY,IF(AND(AT233=1,AK233="E",AU233&gt;=0.5),PTHealthBY*P233,0))))</f>
        <v>11650</v>
      </c>
      <c r="BO233" s="462">
        <f>IF(AND(AT233=3,AK233="E",AV233&gt;=0.75,AW233=1),HealthBY,IF(AND(AT233=3,AK233="E",AV233&gt;=0.75),HealthBY*P233,IF(AND(AT233=3,AK233="E",AV233&gt;=0.5,AW233=1),PTHealthBY,IF(AND(AT233=3,AK233="E",AV233&gt;=0.5),PTHealthBY*P233,0))))</f>
        <v>0</v>
      </c>
      <c r="BP233" s="462">
        <f>IF(AND(AT233&lt;&gt;0,(AX233+BA233)&gt;=MAXSSDIBY),SSDIBY*MAXSSDIBY*P233,IF(AT233&lt;&gt;0,SSDIBY*W233,0))</f>
        <v>2380.6016</v>
      </c>
      <c r="BQ233" s="462">
        <f>IF(AT233&lt;&gt;0,SSHIBY*W233,0)</f>
        <v>556.75360000000012</v>
      </c>
      <c r="BR233" s="462">
        <f>IF(AND(AT233&lt;&gt;0,AN233&lt;&gt;"NE"),VLOOKUP(AN233,Retirement_Rates,4,FALSE)*W233,0)</f>
        <v>4584.5779200000006</v>
      </c>
      <c r="BS233" s="462">
        <f>IF(AND(AT233&lt;&gt;0,AJ233&lt;&gt;"PF"),LifeBY*W233,0)</f>
        <v>276.84092800000002</v>
      </c>
      <c r="BT233" s="462">
        <f>IF(AND(AT233&lt;&gt;0,AM233="Y"),UIBY*W233,0)</f>
        <v>0</v>
      </c>
      <c r="BU233" s="462">
        <f>IF(AND(AT233&lt;&gt;0,N233&lt;&gt;"NR"),DHRBY*W233,0)</f>
        <v>117.494208</v>
      </c>
      <c r="BV233" s="462">
        <f>IF(AT233&lt;&gt;0,WCBY*W233,0)</f>
        <v>675.78368000000012</v>
      </c>
      <c r="BW233" s="462">
        <f>IF(OR(AND(AT233&lt;&gt;0,AJ233&lt;&gt;"PF",AN233&lt;&gt;"NE",AG233&lt;&gt;"A"),AND(AL233="E",OR(AT233=1,AT233=3))),SickBY*W233,0)</f>
        <v>0</v>
      </c>
      <c r="BX233" s="462">
        <f t="shared" si="58"/>
        <v>8592.0519359999998</v>
      </c>
      <c r="BY233" s="462">
        <f t="shared" si="59"/>
        <v>0</v>
      </c>
      <c r="BZ233" s="462">
        <f t="shared" si="60"/>
        <v>0</v>
      </c>
      <c r="CA233" s="462">
        <f t="shared" si="61"/>
        <v>0</v>
      </c>
      <c r="CB233" s="462">
        <f t="shared" si="62"/>
        <v>0</v>
      </c>
      <c r="CC233" s="462">
        <f>IF(AT233&lt;&gt;0,SSHICHG*Y233,0)</f>
        <v>0</v>
      </c>
      <c r="CD233" s="462">
        <f>IF(AND(AT233&lt;&gt;0,AN233&lt;&gt;"NE"),VLOOKUP(AN233,Retirement_Rates,5,FALSE)*Y233,0)</f>
        <v>0</v>
      </c>
      <c r="CE233" s="462">
        <f>IF(AND(AT233&lt;&gt;0,AJ233&lt;&gt;"PF"),LifeCHG*Y233,0)</f>
        <v>0</v>
      </c>
      <c r="CF233" s="462">
        <f>IF(AND(AT233&lt;&gt;0,AM233="Y"),UICHG*Y233,0)</f>
        <v>-188.14432000000002</v>
      </c>
      <c r="CG233" s="462">
        <f>IF(AND(AT233&lt;&gt;0,N233&lt;&gt;"NR"),DHRCHG*Y233,0)</f>
        <v>0</v>
      </c>
      <c r="CH233" s="462">
        <f>IF(AT233&lt;&gt;0,WCCHG*Y233,0)</f>
        <v>88.312640000000073</v>
      </c>
      <c r="CI233" s="462">
        <f>IF(OR(AND(AT233&lt;&gt;0,AJ233&lt;&gt;"PF",AN233&lt;&gt;"NE",AG233&lt;&gt;"A"),AND(AL233="E",OR(AT233=1,AT233=3))),SickCHG*Y233,0)</f>
        <v>0</v>
      </c>
      <c r="CJ233" s="462">
        <f t="shared" si="63"/>
        <v>-99.831679999999949</v>
      </c>
      <c r="CK233" s="462" t="str">
        <f t="shared" si="64"/>
        <v/>
      </c>
      <c r="CL233" s="462" t="str">
        <f t="shared" si="65"/>
        <v/>
      </c>
      <c r="CM233" s="462" t="str">
        <f t="shared" si="66"/>
        <v/>
      </c>
      <c r="CN233" s="462" t="str">
        <f t="shared" si="67"/>
        <v>0001-00</v>
      </c>
    </row>
    <row r="234" spans="1:92" ht="15" thickBot="1" x14ac:dyDescent="0.35">
      <c r="A234" s="376" t="s">
        <v>161</v>
      </c>
      <c r="B234" s="376" t="s">
        <v>162</v>
      </c>
      <c r="C234" s="376" t="s">
        <v>526</v>
      </c>
      <c r="D234" s="376" t="s">
        <v>418</v>
      </c>
      <c r="E234" s="376" t="s">
        <v>165</v>
      </c>
      <c r="F234" s="377" t="s">
        <v>166</v>
      </c>
      <c r="G234" s="376" t="s">
        <v>762</v>
      </c>
      <c r="H234" s="378"/>
      <c r="I234" s="378"/>
      <c r="J234" s="376" t="s">
        <v>168</v>
      </c>
      <c r="K234" s="376" t="s">
        <v>419</v>
      </c>
      <c r="L234" s="376" t="s">
        <v>177</v>
      </c>
      <c r="M234" s="376" t="s">
        <v>170</v>
      </c>
      <c r="N234" s="376" t="s">
        <v>202</v>
      </c>
      <c r="O234" s="379">
        <v>1</v>
      </c>
      <c r="P234" s="460">
        <v>0</v>
      </c>
      <c r="Q234" s="460">
        <v>0</v>
      </c>
      <c r="R234" s="380">
        <v>80</v>
      </c>
      <c r="S234" s="460">
        <v>0</v>
      </c>
      <c r="T234" s="380">
        <v>257.69</v>
      </c>
      <c r="U234" s="380">
        <v>0</v>
      </c>
      <c r="V234" s="380">
        <v>156.83000000000001</v>
      </c>
      <c r="W234" s="380">
        <v>0</v>
      </c>
      <c r="X234" s="380">
        <v>0</v>
      </c>
      <c r="Y234" s="380">
        <v>0</v>
      </c>
      <c r="Z234" s="380">
        <v>0</v>
      </c>
      <c r="AA234" s="376" t="s">
        <v>527</v>
      </c>
      <c r="AB234" s="376" t="s">
        <v>528</v>
      </c>
      <c r="AC234" s="376" t="s">
        <v>529</v>
      </c>
      <c r="AD234" s="376" t="s">
        <v>215</v>
      </c>
      <c r="AE234" s="376" t="s">
        <v>419</v>
      </c>
      <c r="AF234" s="376" t="s">
        <v>436</v>
      </c>
      <c r="AG234" s="376" t="s">
        <v>177</v>
      </c>
      <c r="AH234" s="381">
        <v>16.649999999999999</v>
      </c>
      <c r="AI234" s="381">
        <v>10545.2</v>
      </c>
      <c r="AJ234" s="376" t="s">
        <v>178</v>
      </c>
      <c r="AK234" s="376" t="s">
        <v>179</v>
      </c>
      <c r="AL234" s="376" t="s">
        <v>180</v>
      </c>
      <c r="AM234" s="376" t="s">
        <v>181</v>
      </c>
      <c r="AN234" s="376" t="s">
        <v>68</v>
      </c>
      <c r="AO234" s="379">
        <v>80</v>
      </c>
      <c r="AP234" s="460">
        <v>1</v>
      </c>
      <c r="AQ234" s="460">
        <v>0</v>
      </c>
      <c r="AR234" s="458" t="s">
        <v>182</v>
      </c>
      <c r="AS234" s="462">
        <f t="shared" si="51"/>
        <v>0</v>
      </c>
      <c r="AT234">
        <f t="shared" si="52"/>
        <v>0</v>
      </c>
      <c r="AU234" s="462" t="str">
        <f>IF(AT234=0,"",IF(AND(AT234=1,M234="F",SUMIF(C2:C698,C234,AS2:AS698)&lt;=1),SUMIF(C2:C698,C234,AS2:AS698),IF(AND(AT234=1,M234="F",SUMIF(C2:C698,C234,AS2:AS698)&gt;1),1,"")))</f>
        <v/>
      </c>
      <c r="AV234" s="462" t="str">
        <f>IF(AT234=0,"",IF(AND(AT234=3,M234="F",SUMIF(C2:C698,C234,AS2:AS698)&lt;=1),SUMIF(C2:C698,C234,AS2:AS698),IF(AND(AT234=3,M234="F",SUMIF(C2:C698,C234,AS2:AS698)&gt;1),1,"")))</f>
        <v/>
      </c>
      <c r="AW234" s="462">
        <f>SUMIF(C2:C698,C234,O2:O698)</f>
        <v>4</v>
      </c>
      <c r="AX234" s="462">
        <f>IF(AND(M234="F",AS234&lt;&gt;0),SUMIF(C2:C698,C234,W2:W698),0)</f>
        <v>0</v>
      </c>
      <c r="AY234" s="462" t="str">
        <f t="shared" si="53"/>
        <v/>
      </c>
      <c r="AZ234" s="462" t="str">
        <f t="shared" si="54"/>
        <v/>
      </c>
      <c r="BA234" s="462">
        <f t="shared" si="55"/>
        <v>0</v>
      </c>
      <c r="BB234" s="462">
        <f>IF(AND(AT234=1,AK234="E",AU234&gt;=0.75,AW234=1),Health,IF(AND(AT234=1,AK234="E",AU234&gt;=0.75),Health*P234,IF(AND(AT234=1,AK234="E",AU234&gt;=0.5,AW234=1),PTHealth,IF(AND(AT234=1,AK234="E",AU234&gt;=0.5),PTHealth*P234,0))))</f>
        <v>0</v>
      </c>
      <c r="BC234" s="462">
        <f>IF(AND(AT234=3,AK234="E",AV234&gt;=0.75,AW234=1),Health,IF(AND(AT234=3,AK234="E",AV234&gt;=0.75),Health*P234,IF(AND(AT234=3,AK234="E",AV234&gt;=0.5,AW234=1),PTHealth,IF(AND(AT234=3,AK234="E",AV234&gt;=0.5),PTHealth*P234,0))))</f>
        <v>0</v>
      </c>
      <c r="BD234" s="462">
        <f>IF(AND(AT234&lt;&gt;0,AX234&gt;=MAXSSDI),SSDI*MAXSSDI*P234,IF(AT234&lt;&gt;0,SSDI*W234,0))</f>
        <v>0</v>
      </c>
      <c r="BE234" s="462">
        <f>IF(AT234&lt;&gt;0,SSHI*W234,0)</f>
        <v>0</v>
      </c>
      <c r="BF234" s="462">
        <f>IF(AND(AT234&lt;&gt;0,AN234&lt;&gt;"NE"),VLOOKUP(AN234,Retirement_Rates,3,FALSE)*W234,0)</f>
        <v>0</v>
      </c>
      <c r="BG234" s="462">
        <f>IF(AND(AT234&lt;&gt;0,AJ234&lt;&gt;"PF"),Life*W234,0)</f>
        <v>0</v>
      </c>
      <c r="BH234" s="462">
        <f>IF(AND(AT234&lt;&gt;0,AM234="Y"),UI*W234,0)</f>
        <v>0</v>
      </c>
      <c r="BI234" s="462">
        <f>IF(AND(AT234&lt;&gt;0,N234&lt;&gt;"NR"),DHR*W234,0)</f>
        <v>0</v>
      </c>
      <c r="BJ234" s="462">
        <f>IF(AT234&lt;&gt;0,WC*W234,0)</f>
        <v>0</v>
      </c>
      <c r="BK234" s="462">
        <f>IF(OR(AND(AT234&lt;&gt;0,AJ234&lt;&gt;"PF",AN234&lt;&gt;"NE",AG234&lt;&gt;"A"),AND(AL234="E",OR(AT234=1,AT234=3))),Sick*W234,0)</f>
        <v>0</v>
      </c>
      <c r="BL234" s="462">
        <f t="shared" si="56"/>
        <v>0</v>
      </c>
      <c r="BM234" s="462">
        <f t="shared" si="57"/>
        <v>0</v>
      </c>
      <c r="BN234" s="462">
        <f>IF(AND(AT234=1,AK234="E",AU234&gt;=0.75,AW234=1),HealthBY,IF(AND(AT234=1,AK234="E",AU234&gt;=0.75),HealthBY*P234,IF(AND(AT234=1,AK234="E",AU234&gt;=0.5,AW234=1),PTHealthBY,IF(AND(AT234=1,AK234="E",AU234&gt;=0.5),PTHealthBY*P234,0))))</f>
        <v>0</v>
      </c>
      <c r="BO234" s="462">
        <f>IF(AND(AT234=3,AK234="E",AV234&gt;=0.75,AW234=1),HealthBY,IF(AND(AT234=3,AK234="E",AV234&gt;=0.75),HealthBY*P234,IF(AND(AT234=3,AK234="E",AV234&gt;=0.5,AW234=1),PTHealthBY,IF(AND(AT234=3,AK234="E",AV234&gt;=0.5),PTHealthBY*P234,0))))</f>
        <v>0</v>
      </c>
      <c r="BP234" s="462">
        <f>IF(AND(AT234&lt;&gt;0,(AX234+BA234)&gt;=MAXSSDIBY),SSDIBY*MAXSSDIBY*P234,IF(AT234&lt;&gt;0,SSDIBY*W234,0))</f>
        <v>0</v>
      </c>
      <c r="BQ234" s="462">
        <f>IF(AT234&lt;&gt;0,SSHIBY*W234,0)</f>
        <v>0</v>
      </c>
      <c r="BR234" s="462">
        <f>IF(AND(AT234&lt;&gt;0,AN234&lt;&gt;"NE"),VLOOKUP(AN234,Retirement_Rates,4,FALSE)*W234,0)</f>
        <v>0</v>
      </c>
      <c r="BS234" s="462">
        <f>IF(AND(AT234&lt;&gt;0,AJ234&lt;&gt;"PF"),LifeBY*W234,0)</f>
        <v>0</v>
      </c>
      <c r="BT234" s="462">
        <f>IF(AND(AT234&lt;&gt;0,AM234="Y"),UIBY*W234,0)</f>
        <v>0</v>
      </c>
      <c r="BU234" s="462">
        <f>IF(AND(AT234&lt;&gt;0,N234&lt;&gt;"NR"),DHRBY*W234,0)</f>
        <v>0</v>
      </c>
      <c r="BV234" s="462">
        <f>IF(AT234&lt;&gt;0,WCBY*W234,0)</f>
        <v>0</v>
      </c>
      <c r="BW234" s="462">
        <f>IF(OR(AND(AT234&lt;&gt;0,AJ234&lt;&gt;"PF",AN234&lt;&gt;"NE",AG234&lt;&gt;"A"),AND(AL234="E",OR(AT234=1,AT234=3))),SickBY*W234,0)</f>
        <v>0</v>
      </c>
      <c r="BX234" s="462">
        <f t="shared" si="58"/>
        <v>0</v>
      </c>
      <c r="BY234" s="462">
        <f t="shared" si="59"/>
        <v>0</v>
      </c>
      <c r="BZ234" s="462">
        <f t="shared" si="60"/>
        <v>0</v>
      </c>
      <c r="CA234" s="462">
        <f t="shared" si="61"/>
        <v>0</v>
      </c>
      <c r="CB234" s="462">
        <f t="shared" si="62"/>
        <v>0</v>
      </c>
      <c r="CC234" s="462">
        <f>IF(AT234&lt;&gt;0,SSHICHG*Y234,0)</f>
        <v>0</v>
      </c>
      <c r="CD234" s="462">
        <f>IF(AND(AT234&lt;&gt;0,AN234&lt;&gt;"NE"),VLOOKUP(AN234,Retirement_Rates,5,FALSE)*Y234,0)</f>
        <v>0</v>
      </c>
      <c r="CE234" s="462">
        <f>IF(AND(AT234&lt;&gt;0,AJ234&lt;&gt;"PF"),LifeCHG*Y234,0)</f>
        <v>0</v>
      </c>
      <c r="CF234" s="462">
        <f>IF(AND(AT234&lt;&gt;0,AM234="Y"),UICHG*Y234,0)</f>
        <v>0</v>
      </c>
      <c r="CG234" s="462">
        <f>IF(AND(AT234&lt;&gt;0,N234&lt;&gt;"NR"),DHRCHG*Y234,0)</f>
        <v>0</v>
      </c>
      <c r="CH234" s="462">
        <f>IF(AT234&lt;&gt;0,WCCHG*Y234,0)</f>
        <v>0</v>
      </c>
      <c r="CI234" s="462">
        <f>IF(OR(AND(AT234&lt;&gt;0,AJ234&lt;&gt;"PF",AN234&lt;&gt;"NE",AG234&lt;&gt;"A"),AND(AL234="E",OR(AT234=1,AT234=3))),SickCHG*Y234,0)</f>
        <v>0</v>
      </c>
      <c r="CJ234" s="462">
        <f t="shared" si="63"/>
        <v>0</v>
      </c>
      <c r="CK234" s="462" t="str">
        <f t="shared" si="64"/>
        <v/>
      </c>
      <c r="CL234" s="462" t="str">
        <f t="shared" si="65"/>
        <v/>
      </c>
      <c r="CM234" s="462" t="str">
        <f t="shared" si="66"/>
        <v/>
      </c>
      <c r="CN234" s="462" t="str">
        <f t="shared" si="67"/>
        <v>0001-00</v>
      </c>
    </row>
    <row r="235" spans="1:92" ht="15" thickBot="1" x14ac:dyDescent="0.35">
      <c r="A235" s="376" t="s">
        <v>161</v>
      </c>
      <c r="B235" s="376" t="s">
        <v>162</v>
      </c>
      <c r="C235" s="376" t="s">
        <v>817</v>
      </c>
      <c r="D235" s="376" t="s">
        <v>814</v>
      </c>
      <c r="E235" s="376" t="s">
        <v>165</v>
      </c>
      <c r="F235" s="377" t="s">
        <v>166</v>
      </c>
      <c r="G235" s="376" t="s">
        <v>762</v>
      </c>
      <c r="H235" s="378"/>
      <c r="I235" s="378"/>
      <c r="J235" s="376" t="s">
        <v>168</v>
      </c>
      <c r="K235" s="376" t="s">
        <v>796</v>
      </c>
      <c r="L235" s="376" t="s">
        <v>274</v>
      </c>
      <c r="M235" s="376" t="s">
        <v>170</v>
      </c>
      <c r="N235" s="376" t="s">
        <v>202</v>
      </c>
      <c r="O235" s="379">
        <v>1</v>
      </c>
      <c r="P235" s="460">
        <v>1</v>
      </c>
      <c r="Q235" s="460">
        <v>1</v>
      </c>
      <c r="R235" s="380">
        <v>80</v>
      </c>
      <c r="S235" s="460">
        <v>1</v>
      </c>
      <c r="T235" s="380">
        <v>36998.400000000001</v>
      </c>
      <c r="U235" s="380">
        <v>0</v>
      </c>
      <c r="V235" s="380">
        <v>19541.759999999998</v>
      </c>
      <c r="W235" s="380">
        <v>38396.800000000003</v>
      </c>
      <c r="X235" s="380">
        <v>20341.86</v>
      </c>
      <c r="Y235" s="380">
        <v>38396.800000000003</v>
      </c>
      <c r="Z235" s="380">
        <v>20242.03</v>
      </c>
      <c r="AA235" s="376" t="s">
        <v>818</v>
      </c>
      <c r="AB235" s="376" t="s">
        <v>794</v>
      </c>
      <c r="AC235" s="376" t="s">
        <v>819</v>
      </c>
      <c r="AD235" s="376" t="s">
        <v>215</v>
      </c>
      <c r="AE235" s="376" t="s">
        <v>796</v>
      </c>
      <c r="AF235" s="376" t="s">
        <v>279</v>
      </c>
      <c r="AG235" s="376" t="s">
        <v>177</v>
      </c>
      <c r="AH235" s="381">
        <v>18.46</v>
      </c>
      <c r="AI235" s="381">
        <v>31548.2</v>
      </c>
      <c r="AJ235" s="376" t="s">
        <v>178</v>
      </c>
      <c r="AK235" s="376" t="s">
        <v>179</v>
      </c>
      <c r="AL235" s="376" t="s">
        <v>180</v>
      </c>
      <c r="AM235" s="376" t="s">
        <v>181</v>
      </c>
      <c r="AN235" s="376" t="s">
        <v>68</v>
      </c>
      <c r="AO235" s="379">
        <v>80</v>
      </c>
      <c r="AP235" s="460">
        <v>1</v>
      </c>
      <c r="AQ235" s="460">
        <v>1</v>
      </c>
      <c r="AR235" s="458" t="s">
        <v>182</v>
      </c>
      <c r="AS235" s="462">
        <f t="shared" si="51"/>
        <v>1</v>
      </c>
      <c r="AT235">
        <f t="shared" si="52"/>
        <v>1</v>
      </c>
      <c r="AU235" s="462">
        <f>IF(AT235=0,"",IF(AND(AT235=1,M235="F",SUMIF(C2:C698,C235,AS2:AS698)&lt;=1),SUMIF(C2:C698,C235,AS2:AS698),IF(AND(AT235=1,M235="F",SUMIF(C2:C698,C235,AS2:AS698)&gt;1),1,"")))</f>
        <v>1</v>
      </c>
      <c r="AV235" s="462" t="str">
        <f>IF(AT235=0,"",IF(AND(AT235=3,M235="F",SUMIF(C2:C698,C235,AS2:AS698)&lt;=1),SUMIF(C2:C698,C235,AS2:AS698),IF(AND(AT235=3,M235="F",SUMIF(C2:C698,C235,AS2:AS698)&gt;1),1,"")))</f>
        <v/>
      </c>
      <c r="AW235" s="462">
        <f>SUMIF(C2:C698,C235,O2:O698)</f>
        <v>1</v>
      </c>
      <c r="AX235" s="462">
        <f>IF(AND(M235="F",AS235&lt;&gt;0),SUMIF(C2:C698,C235,W2:W698),0)</f>
        <v>38396.800000000003</v>
      </c>
      <c r="AY235" s="462">
        <f t="shared" si="53"/>
        <v>38396.800000000003</v>
      </c>
      <c r="AZ235" s="462" t="str">
        <f t="shared" si="54"/>
        <v/>
      </c>
      <c r="BA235" s="462">
        <f t="shared" si="55"/>
        <v>0</v>
      </c>
      <c r="BB235" s="462">
        <f>IF(AND(AT235=1,AK235="E",AU235&gt;=0.75,AW235=1),Health,IF(AND(AT235=1,AK235="E",AU235&gt;=0.75),Health*P235,IF(AND(AT235=1,AK235="E",AU235&gt;=0.5,AW235=1),PTHealth,IF(AND(AT235=1,AK235="E",AU235&gt;=0.5),PTHealth*P235,0))))</f>
        <v>11650</v>
      </c>
      <c r="BC235" s="462">
        <f>IF(AND(AT235=3,AK235="E",AV235&gt;=0.75,AW235=1),Health,IF(AND(AT235=3,AK235="E",AV235&gt;=0.75),Health*P235,IF(AND(AT235=3,AK235="E",AV235&gt;=0.5,AW235=1),PTHealth,IF(AND(AT235=3,AK235="E",AV235&gt;=0.5),PTHealth*P235,0))))</f>
        <v>0</v>
      </c>
      <c r="BD235" s="462">
        <f>IF(AND(AT235&lt;&gt;0,AX235&gt;=MAXSSDI),SSDI*MAXSSDI*P235,IF(AT235&lt;&gt;0,SSDI*W235,0))</f>
        <v>2380.6016</v>
      </c>
      <c r="BE235" s="462">
        <f>IF(AT235&lt;&gt;0,SSHI*W235,0)</f>
        <v>556.75360000000012</v>
      </c>
      <c r="BF235" s="462">
        <f>IF(AND(AT235&lt;&gt;0,AN235&lt;&gt;"NE"),VLOOKUP(AN235,Retirement_Rates,3,FALSE)*W235,0)</f>
        <v>4584.5779200000006</v>
      </c>
      <c r="BG235" s="462">
        <f>IF(AND(AT235&lt;&gt;0,AJ235&lt;&gt;"PF"),Life*W235,0)</f>
        <v>276.84092800000002</v>
      </c>
      <c r="BH235" s="462">
        <f>IF(AND(AT235&lt;&gt;0,AM235="Y"),UI*W235,0)</f>
        <v>188.14432000000002</v>
      </c>
      <c r="BI235" s="462">
        <f>IF(AND(AT235&lt;&gt;0,N235&lt;&gt;"NR"),DHR*W235,0)</f>
        <v>117.494208</v>
      </c>
      <c r="BJ235" s="462">
        <f>IF(AT235&lt;&gt;0,WC*W235,0)</f>
        <v>587.47104000000002</v>
      </c>
      <c r="BK235" s="462">
        <f>IF(OR(AND(AT235&lt;&gt;0,AJ235&lt;&gt;"PF",AN235&lt;&gt;"NE",AG235&lt;&gt;"A"),AND(AL235="E",OR(AT235=1,AT235=3))),Sick*W235,0)</f>
        <v>0</v>
      </c>
      <c r="BL235" s="462">
        <f t="shared" si="56"/>
        <v>8691.883616000001</v>
      </c>
      <c r="BM235" s="462">
        <f t="shared" si="57"/>
        <v>0</v>
      </c>
      <c r="BN235" s="462">
        <f>IF(AND(AT235=1,AK235="E",AU235&gt;=0.75,AW235=1),HealthBY,IF(AND(AT235=1,AK235="E",AU235&gt;=0.75),HealthBY*P235,IF(AND(AT235=1,AK235="E",AU235&gt;=0.5,AW235=1),PTHealthBY,IF(AND(AT235=1,AK235="E",AU235&gt;=0.5),PTHealthBY*P235,0))))</f>
        <v>11650</v>
      </c>
      <c r="BO235" s="462">
        <f>IF(AND(AT235=3,AK235="E",AV235&gt;=0.75,AW235=1),HealthBY,IF(AND(AT235=3,AK235="E",AV235&gt;=0.75),HealthBY*P235,IF(AND(AT235=3,AK235="E",AV235&gt;=0.5,AW235=1),PTHealthBY,IF(AND(AT235=3,AK235="E",AV235&gt;=0.5),PTHealthBY*P235,0))))</f>
        <v>0</v>
      </c>
      <c r="BP235" s="462">
        <f>IF(AND(AT235&lt;&gt;0,(AX235+BA235)&gt;=MAXSSDIBY),SSDIBY*MAXSSDIBY*P235,IF(AT235&lt;&gt;0,SSDIBY*W235,0))</f>
        <v>2380.6016</v>
      </c>
      <c r="BQ235" s="462">
        <f>IF(AT235&lt;&gt;0,SSHIBY*W235,0)</f>
        <v>556.75360000000012</v>
      </c>
      <c r="BR235" s="462">
        <f>IF(AND(AT235&lt;&gt;0,AN235&lt;&gt;"NE"),VLOOKUP(AN235,Retirement_Rates,4,FALSE)*W235,0)</f>
        <v>4584.5779200000006</v>
      </c>
      <c r="BS235" s="462">
        <f>IF(AND(AT235&lt;&gt;0,AJ235&lt;&gt;"PF"),LifeBY*W235,0)</f>
        <v>276.84092800000002</v>
      </c>
      <c r="BT235" s="462">
        <f>IF(AND(AT235&lt;&gt;0,AM235="Y"),UIBY*W235,0)</f>
        <v>0</v>
      </c>
      <c r="BU235" s="462">
        <f>IF(AND(AT235&lt;&gt;0,N235&lt;&gt;"NR"),DHRBY*W235,0)</f>
        <v>117.494208</v>
      </c>
      <c r="BV235" s="462">
        <f>IF(AT235&lt;&gt;0,WCBY*W235,0)</f>
        <v>675.78368000000012</v>
      </c>
      <c r="BW235" s="462">
        <f>IF(OR(AND(AT235&lt;&gt;0,AJ235&lt;&gt;"PF",AN235&lt;&gt;"NE",AG235&lt;&gt;"A"),AND(AL235="E",OR(AT235=1,AT235=3))),SickBY*W235,0)</f>
        <v>0</v>
      </c>
      <c r="BX235" s="462">
        <f t="shared" si="58"/>
        <v>8592.0519359999998</v>
      </c>
      <c r="BY235" s="462">
        <f t="shared" si="59"/>
        <v>0</v>
      </c>
      <c r="BZ235" s="462">
        <f t="shared" si="60"/>
        <v>0</v>
      </c>
      <c r="CA235" s="462">
        <f t="shared" si="61"/>
        <v>0</v>
      </c>
      <c r="CB235" s="462">
        <f t="shared" si="62"/>
        <v>0</v>
      </c>
      <c r="CC235" s="462">
        <f>IF(AT235&lt;&gt;0,SSHICHG*Y235,0)</f>
        <v>0</v>
      </c>
      <c r="CD235" s="462">
        <f>IF(AND(AT235&lt;&gt;0,AN235&lt;&gt;"NE"),VLOOKUP(AN235,Retirement_Rates,5,FALSE)*Y235,0)</f>
        <v>0</v>
      </c>
      <c r="CE235" s="462">
        <f>IF(AND(AT235&lt;&gt;0,AJ235&lt;&gt;"PF"),LifeCHG*Y235,0)</f>
        <v>0</v>
      </c>
      <c r="CF235" s="462">
        <f>IF(AND(AT235&lt;&gt;0,AM235="Y"),UICHG*Y235,0)</f>
        <v>-188.14432000000002</v>
      </c>
      <c r="CG235" s="462">
        <f>IF(AND(AT235&lt;&gt;0,N235&lt;&gt;"NR"),DHRCHG*Y235,0)</f>
        <v>0</v>
      </c>
      <c r="CH235" s="462">
        <f>IF(AT235&lt;&gt;0,WCCHG*Y235,0)</f>
        <v>88.312640000000073</v>
      </c>
      <c r="CI235" s="462">
        <f>IF(OR(AND(AT235&lt;&gt;0,AJ235&lt;&gt;"PF",AN235&lt;&gt;"NE",AG235&lt;&gt;"A"),AND(AL235="E",OR(AT235=1,AT235=3))),SickCHG*Y235,0)</f>
        <v>0</v>
      </c>
      <c r="CJ235" s="462">
        <f t="shared" si="63"/>
        <v>-99.831679999999949</v>
      </c>
      <c r="CK235" s="462" t="str">
        <f t="shared" si="64"/>
        <v/>
      </c>
      <c r="CL235" s="462" t="str">
        <f t="shared" si="65"/>
        <v/>
      </c>
      <c r="CM235" s="462" t="str">
        <f t="shared" si="66"/>
        <v/>
      </c>
      <c r="CN235" s="462" t="str">
        <f t="shared" si="67"/>
        <v>0001-00</v>
      </c>
    </row>
    <row r="236" spans="1:92" ht="15" thickBot="1" x14ac:dyDescent="0.35">
      <c r="A236" s="376" t="s">
        <v>161</v>
      </c>
      <c r="B236" s="376" t="s">
        <v>162</v>
      </c>
      <c r="C236" s="376" t="s">
        <v>820</v>
      </c>
      <c r="D236" s="376" t="s">
        <v>761</v>
      </c>
      <c r="E236" s="376" t="s">
        <v>165</v>
      </c>
      <c r="F236" s="377" t="s">
        <v>166</v>
      </c>
      <c r="G236" s="376" t="s">
        <v>762</v>
      </c>
      <c r="H236" s="378"/>
      <c r="I236" s="378"/>
      <c r="J236" s="376" t="s">
        <v>168</v>
      </c>
      <c r="K236" s="376" t="s">
        <v>763</v>
      </c>
      <c r="L236" s="376" t="s">
        <v>166</v>
      </c>
      <c r="M236" s="376" t="s">
        <v>170</v>
      </c>
      <c r="N236" s="376" t="s">
        <v>291</v>
      </c>
      <c r="O236" s="379">
        <v>0</v>
      </c>
      <c r="P236" s="460">
        <v>1</v>
      </c>
      <c r="Q236" s="460">
        <v>0</v>
      </c>
      <c r="R236" s="380">
        <v>0</v>
      </c>
      <c r="S236" s="460">
        <v>0</v>
      </c>
      <c r="T236" s="380">
        <v>830</v>
      </c>
      <c r="U236" s="380">
        <v>125</v>
      </c>
      <c r="V236" s="380">
        <v>155.02000000000001</v>
      </c>
      <c r="W236" s="380">
        <v>21441.5</v>
      </c>
      <c r="X236" s="380">
        <v>2503.2199999999998</v>
      </c>
      <c r="Y236" s="380">
        <v>21441.5</v>
      </c>
      <c r="Z236" s="380">
        <v>2503.2199999999998</v>
      </c>
      <c r="AA236" s="378"/>
      <c r="AB236" s="376" t="s">
        <v>45</v>
      </c>
      <c r="AC236" s="376" t="s">
        <v>45</v>
      </c>
      <c r="AD236" s="378"/>
      <c r="AE236" s="378"/>
      <c r="AF236" s="378"/>
      <c r="AG236" s="378"/>
      <c r="AH236" s="379">
        <v>0</v>
      </c>
      <c r="AI236" s="379">
        <v>0</v>
      </c>
      <c r="AJ236" s="378"/>
      <c r="AK236" s="378"/>
      <c r="AL236" s="376" t="s">
        <v>180</v>
      </c>
      <c r="AM236" s="378"/>
      <c r="AN236" s="378"/>
      <c r="AO236" s="379">
        <v>0</v>
      </c>
      <c r="AP236" s="460">
        <v>0</v>
      </c>
      <c r="AQ236" s="460">
        <v>0</v>
      </c>
      <c r="AR236" s="459"/>
      <c r="AS236" s="462">
        <f t="shared" si="51"/>
        <v>0</v>
      </c>
      <c r="AT236">
        <f t="shared" si="52"/>
        <v>0</v>
      </c>
      <c r="AU236" s="462" t="str">
        <f>IF(AT236=0,"",IF(AND(AT236=1,M236="F",SUMIF(C2:C698,C236,AS2:AS698)&lt;=1),SUMIF(C2:C698,C236,AS2:AS698),IF(AND(AT236=1,M236="F",SUMIF(C2:C698,C236,AS2:AS698)&gt;1),1,"")))</f>
        <v/>
      </c>
      <c r="AV236" s="462" t="str">
        <f>IF(AT236=0,"",IF(AND(AT236=3,M236="F",SUMIF(C2:C698,C236,AS2:AS698)&lt;=1),SUMIF(C2:C698,C236,AS2:AS698),IF(AND(AT236=3,M236="F",SUMIF(C2:C698,C236,AS2:AS698)&gt;1),1,"")))</f>
        <v/>
      </c>
      <c r="AW236" s="462">
        <f>SUMIF(C2:C698,C236,O2:O698)</f>
        <v>0</v>
      </c>
      <c r="AX236" s="462">
        <f>IF(AND(M236="F",AS236&lt;&gt;0),SUMIF(C2:C698,C236,W2:W698),0)</f>
        <v>0</v>
      </c>
      <c r="AY236" s="462" t="str">
        <f t="shared" si="53"/>
        <v/>
      </c>
      <c r="AZ236" s="462" t="str">
        <f t="shared" si="54"/>
        <v/>
      </c>
      <c r="BA236" s="462">
        <f t="shared" si="55"/>
        <v>0</v>
      </c>
      <c r="BB236" s="462">
        <f>IF(AND(AT236=1,AK236="E",AU236&gt;=0.75,AW236=1),Health,IF(AND(AT236=1,AK236="E",AU236&gt;=0.75),Health*P236,IF(AND(AT236=1,AK236="E",AU236&gt;=0.5,AW236=1),PTHealth,IF(AND(AT236=1,AK236="E",AU236&gt;=0.5),PTHealth*P236,0))))</f>
        <v>0</v>
      </c>
      <c r="BC236" s="462">
        <f>IF(AND(AT236=3,AK236="E",AV236&gt;=0.75,AW236=1),Health,IF(AND(AT236=3,AK236="E",AV236&gt;=0.75),Health*P236,IF(AND(AT236=3,AK236="E",AV236&gt;=0.5,AW236=1),PTHealth,IF(AND(AT236=3,AK236="E",AV236&gt;=0.5),PTHealth*P236,0))))</f>
        <v>0</v>
      </c>
      <c r="BD236" s="462">
        <f>IF(AND(AT236&lt;&gt;0,AX236&gt;=MAXSSDI),SSDI*MAXSSDI*P236,IF(AT236&lt;&gt;0,SSDI*W236,0))</f>
        <v>0</v>
      </c>
      <c r="BE236" s="462">
        <f>IF(AT236&lt;&gt;0,SSHI*W236,0)</f>
        <v>0</v>
      </c>
      <c r="BF236" s="462">
        <f>IF(AND(AT236&lt;&gt;0,AN236&lt;&gt;"NE"),VLOOKUP(AN236,Retirement_Rates,3,FALSE)*W236,0)</f>
        <v>0</v>
      </c>
      <c r="BG236" s="462">
        <f>IF(AND(AT236&lt;&gt;0,AJ236&lt;&gt;"PF"),Life*W236,0)</f>
        <v>0</v>
      </c>
      <c r="BH236" s="462">
        <f>IF(AND(AT236&lt;&gt;0,AM236="Y"),UI*W236,0)</f>
        <v>0</v>
      </c>
      <c r="BI236" s="462">
        <f>IF(AND(AT236&lt;&gt;0,N236&lt;&gt;"NR"),DHR*W236,0)</f>
        <v>0</v>
      </c>
      <c r="BJ236" s="462">
        <f>IF(AT236&lt;&gt;0,WC*W236,0)</f>
        <v>0</v>
      </c>
      <c r="BK236" s="462">
        <f>IF(OR(AND(AT236&lt;&gt;0,AJ236&lt;&gt;"PF",AN236&lt;&gt;"NE",AG236&lt;&gt;"A"),AND(AL236="E",OR(AT236=1,AT236=3))),Sick*W236,0)</f>
        <v>0</v>
      </c>
      <c r="BL236" s="462">
        <f t="shared" si="56"/>
        <v>0</v>
      </c>
      <c r="BM236" s="462">
        <f t="shared" si="57"/>
        <v>0</v>
      </c>
      <c r="BN236" s="462">
        <f>IF(AND(AT236=1,AK236="E",AU236&gt;=0.75,AW236=1),HealthBY,IF(AND(AT236=1,AK236="E",AU236&gt;=0.75),HealthBY*P236,IF(AND(AT236=1,AK236="E",AU236&gt;=0.5,AW236=1),PTHealthBY,IF(AND(AT236=1,AK236="E",AU236&gt;=0.5),PTHealthBY*P236,0))))</f>
        <v>0</v>
      </c>
      <c r="BO236" s="462">
        <f>IF(AND(AT236=3,AK236="E",AV236&gt;=0.75,AW236=1),HealthBY,IF(AND(AT236=3,AK236="E",AV236&gt;=0.75),HealthBY*P236,IF(AND(AT236=3,AK236="E",AV236&gt;=0.5,AW236=1),PTHealthBY,IF(AND(AT236=3,AK236="E",AV236&gt;=0.5),PTHealthBY*P236,0))))</f>
        <v>0</v>
      </c>
      <c r="BP236" s="462">
        <f>IF(AND(AT236&lt;&gt;0,(AX236+BA236)&gt;=MAXSSDIBY),SSDIBY*MAXSSDIBY*P236,IF(AT236&lt;&gt;0,SSDIBY*W236,0))</f>
        <v>0</v>
      </c>
      <c r="BQ236" s="462">
        <f>IF(AT236&lt;&gt;0,SSHIBY*W236,0)</f>
        <v>0</v>
      </c>
      <c r="BR236" s="462">
        <f>IF(AND(AT236&lt;&gt;0,AN236&lt;&gt;"NE"),VLOOKUP(AN236,Retirement_Rates,4,FALSE)*W236,0)</f>
        <v>0</v>
      </c>
      <c r="BS236" s="462">
        <f>IF(AND(AT236&lt;&gt;0,AJ236&lt;&gt;"PF"),LifeBY*W236,0)</f>
        <v>0</v>
      </c>
      <c r="BT236" s="462">
        <f>IF(AND(AT236&lt;&gt;0,AM236="Y"),UIBY*W236,0)</f>
        <v>0</v>
      </c>
      <c r="BU236" s="462">
        <f>IF(AND(AT236&lt;&gt;0,N236&lt;&gt;"NR"),DHRBY*W236,0)</f>
        <v>0</v>
      </c>
      <c r="BV236" s="462">
        <f>IF(AT236&lt;&gt;0,WCBY*W236,0)</f>
        <v>0</v>
      </c>
      <c r="BW236" s="462">
        <f>IF(OR(AND(AT236&lt;&gt;0,AJ236&lt;&gt;"PF",AN236&lt;&gt;"NE",AG236&lt;&gt;"A"),AND(AL236="E",OR(AT236=1,AT236=3))),SickBY*W236,0)</f>
        <v>0</v>
      </c>
      <c r="BX236" s="462">
        <f t="shared" si="58"/>
        <v>0</v>
      </c>
      <c r="BY236" s="462">
        <f t="shared" si="59"/>
        <v>0</v>
      </c>
      <c r="BZ236" s="462">
        <f t="shared" si="60"/>
        <v>0</v>
      </c>
      <c r="CA236" s="462">
        <f t="shared" si="61"/>
        <v>0</v>
      </c>
      <c r="CB236" s="462">
        <f t="shared" si="62"/>
        <v>0</v>
      </c>
      <c r="CC236" s="462">
        <f>IF(AT236&lt;&gt;0,SSHICHG*Y236,0)</f>
        <v>0</v>
      </c>
      <c r="CD236" s="462">
        <f>IF(AND(AT236&lt;&gt;0,AN236&lt;&gt;"NE"),VLOOKUP(AN236,Retirement_Rates,5,FALSE)*Y236,0)</f>
        <v>0</v>
      </c>
      <c r="CE236" s="462">
        <f>IF(AND(AT236&lt;&gt;0,AJ236&lt;&gt;"PF"),LifeCHG*Y236,0)</f>
        <v>0</v>
      </c>
      <c r="CF236" s="462">
        <f>IF(AND(AT236&lt;&gt;0,AM236="Y"),UICHG*Y236,0)</f>
        <v>0</v>
      </c>
      <c r="CG236" s="462">
        <f>IF(AND(AT236&lt;&gt;0,N236&lt;&gt;"NR"),DHRCHG*Y236,0)</f>
        <v>0</v>
      </c>
      <c r="CH236" s="462">
        <f>IF(AT236&lt;&gt;0,WCCHG*Y236,0)</f>
        <v>0</v>
      </c>
      <c r="CI236" s="462">
        <f>IF(OR(AND(AT236&lt;&gt;0,AJ236&lt;&gt;"PF",AN236&lt;&gt;"NE",AG236&lt;&gt;"A"),AND(AL236="E",OR(AT236=1,AT236=3))),SickCHG*Y236,0)</f>
        <v>0</v>
      </c>
      <c r="CJ236" s="462">
        <f t="shared" si="63"/>
        <v>0</v>
      </c>
      <c r="CK236" s="462" t="str">
        <f t="shared" si="64"/>
        <v/>
      </c>
      <c r="CL236" s="462">
        <f t="shared" si="65"/>
        <v>955</v>
      </c>
      <c r="CM236" s="462">
        <f t="shared" si="66"/>
        <v>155.02000000000001</v>
      </c>
      <c r="CN236" s="462" t="str">
        <f t="shared" si="67"/>
        <v>0001-00</v>
      </c>
    </row>
    <row r="237" spans="1:92" ht="15" thickBot="1" x14ac:dyDescent="0.35">
      <c r="A237" s="376" t="s">
        <v>161</v>
      </c>
      <c r="B237" s="376" t="s">
        <v>162</v>
      </c>
      <c r="C237" s="376" t="s">
        <v>821</v>
      </c>
      <c r="D237" s="376" t="s">
        <v>822</v>
      </c>
      <c r="E237" s="376" t="s">
        <v>165</v>
      </c>
      <c r="F237" s="377" t="s">
        <v>166</v>
      </c>
      <c r="G237" s="376" t="s">
        <v>762</v>
      </c>
      <c r="H237" s="378"/>
      <c r="I237" s="378"/>
      <c r="J237" s="376" t="s">
        <v>168</v>
      </c>
      <c r="K237" s="376" t="s">
        <v>823</v>
      </c>
      <c r="L237" s="376" t="s">
        <v>220</v>
      </c>
      <c r="M237" s="376" t="s">
        <v>170</v>
      </c>
      <c r="N237" s="376" t="s">
        <v>202</v>
      </c>
      <c r="O237" s="379">
        <v>1</v>
      </c>
      <c r="P237" s="460">
        <v>1</v>
      </c>
      <c r="Q237" s="460">
        <v>1</v>
      </c>
      <c r="R237" s="380">
        <v>80</v>
      </c>
      <c r="S237" s="460">
        <v>1</v>
      </c>
      <c r="T237" s="380">
        <v>29660.02</v>
      </c>
      <c r="U237" s="380">
        <v>0</v>
      </c>
      <c r="V237" s="380">
        <v>17713.28</v>
      </c>
      <c r="W237" s="380">
        <v>36400</v>
      </c>
      <c r="X237" s="380">
        <v>19889.86</v>
      </c>
      <c r="Y237" s="380">
        <v>36400</v>
      </c>
      <c r="Z237" s="380">
        <v>19795.22</v>
      </c>
      <c r="AA237" s="376" t="s">
        <v>824</v>
      </c>
      <c r="AB237" s="376" t="s">
        <v>825</v>
      </c>
      <c r="AC237" s="376" t="s">
        <v>591</v>
      </c>
      <c r="AD237" s="376" t="s">
        <v>274</v>
      </c>
      <c r="AE237" s="376" t="s">
        <v>796</v>
      </c>
      <c r="AF237" s="376" t="s">
        <v>279</v>
      </c>
      <c r="AG237" s="376" t="s">
        <v>177</v>
      </c>
      <c r="AH237" s="381">
        <v>17.5</v>
      </c>
      <c r="AI237" s="381">
        <v>2781.2</v>
      </c>
      <c r="AJ237" s="376" t="s">
        <v>178</v>
      </c>
      <c r="AK237" s="376" t="s">
        <v>179</v>
      </c>
      <c r="AL237" s="376" t="s">
        <v>180</v>
      </c>
      <c r="AM237" s="376" t="s">
        <v>181</v>
      </c>
      <c r="AN237" s="376" t="s">
        <v>68</v>
      </c>
      <c r="AO237" s="379">
        <v>80</v>
      </c>
      <c r="AP237" s="460">
        <v>1</v>
      </c>
      <c r="AQ237" s="460">
        <v>1</v>
      </c>
      <c r="AR237" s="458">
        <v>3</v>
      </c>
      <c r="AS237" s="462">
        <f t="shared" si="51"/>
        <v>1</v>
      </c>
      <c r="AT237">
        <f t="shared" si="52"/>
        <v>1</v>
      </c>
      <c r="AU237" s="462">
        <f>IF(AT237=0,"",IF(AND(AT237=1,M237="F",SUMIF(C2:C698,C237,AS2:AS698)&lt;=1),SUMIF(C2:C698,C237,AS2:AS698),IF(AND(AT237=1,M237="F",SUMIF(C2:C698,C237,AS2:AS698)&gt;1),1,"")))</f>
        <v>1</v>
      </c>
      <c r="AV237" s="462" t="str">
        <f>IF(AT237=0,"",IF(AND(AT237=3,M237="F",SUMIF(C2:C698,C237,AS2:AS698)&lt;=1),SUMIF(C2:C698,C237,AS2:AS698),IF(AND(AT237=3,M237="F",SUMIF(C2:C698,C237,AS2:AS698)&gt;1),1,"")))</f>
        <v/>
      </c>
      <c r="AW237" s="462">
        <f>SUMIF(C2:C698,C237,O2:O698)</f>
        <v>1</v>
      </c>
      <c r="AX237" s="462">
        <f>IF(AND(M237="F",AS237&lt;&gt;0),SUMIF(C2:C698,C237,W2:W698),0)</f>
        <v>36400</v>
      </c>
      <c r="AY237" s="462">
        <f t="shared" si="53"/>
        <v>36400</v>
      </c>
      <c r="AZ237" s="462" t="str">
        <f t="shared" si="54"/>
        <v/>
      </c>
      <c r="BA237" s="462">
        <f t="shared" si="55"/>
        <v>0</v>
      </c>
      <c r="BB237" s="462">
        <f>IF(AND(AT237=1,AK237="E",AU237&gt;=0.75,AW237=1),Health,IF(AND(AT237=1,AK237="E",AU237&gt;=0.75),Health*P237,IF(AND(AT237=1,AK237="E",AU237&gt;=0.5,AW237=1),PTHealth,IF(AND(AT237=1,AK237="E",AU237&gt;=0.5),PTHealth*P237,0))))</f>
        <v>11650</v>
      </c>
      <c r="BC237" s="462">
        <f>IF(AND(AT237=3,AK237="E",AV237&gt;=0.75,AW237=1),Health,IF(AND(AT237=3,AK237="E",AV237&gt;=0.75),Health*P237,IF(AND(AT237=3,AK237="E",AV237&gt;=0.5,AW237=1),PTHealth,IF(AND(AT237=3,AK237="E",AV237&gt;=0.5),PTHealth*P237,0))))</f>
        <v>0</v>
      </c>
      <c r="BD237" s="462">
        <f>IF(AND(AT237&lt;&gt;0,AX237&gt;=MAXSSDI),SSDI*MAXSSDI*P237,IF(AT237&lt;&gt;0,SSDI*W237,0))</f>
        <v>2256.8000000000002</v>
      </c>
      <c r="BE237" s="462">
        <f>IF(AT237&lt;&gt;0,SSHI*W237,0)</f>
        <v>527.80000000000007</v>
      </c>
      <c r="BF237" s="462">
        <f>IF(AND(AT237&lt;&gt;0,AN237&lt;&gt;"NE"),VLOOKUP(AN237,Retirement_Rates,3,FALSE)*W237,0)</f>
        <v>4346.16</v>
      </c>
      <c r="BG237" s="462">
        <f>IF(AND(AT237&lt;&gt;0,AJ237&lt;&gt;"PF"),Life*W237,0)</f>
        <v>262.44400000000002</v>
      </c>
      <c r="BH237" s="462">
        <f>IF(AND(AT237&lt;&gt;0,AM237="Y"),UI*W237,0)</f>
        <v>178.35999999999999</v>
      </c>
      <c r="BI237" s="462">
        <f>IF(AND(AT237&lt;&gt;0,N237&lt;&gt;"NR"),DHR*W237,0)</f>
        <v>111.38399999999999</v>
      </c>
      <c r="BJ237" s="462">
        <f>IF(AT237&lt;&gt;0,WC*W237,0)</f>
        <v>556.91999999999996</v>
      </c>
      <c r="BK237" s="462">
        <f>IF(OR(AND(AT237&lt;&gt;0,AJ237&lt;&gt;"PF",AN237&lt;&gt;"NE",AG237&lt;&gt;"A"),AND(AL237="E",OR(AT237=1,AT237=3))),Sick*W237,0)</f>
        <v>0</v>
      </c>
      <c r="BL237" s="462">
        <f t="shared" si="56"/>
        <v>8239.8680000000004</v>
      </c>
      <c r="BM237" s="462">
        <f t="shared" si="57"/>
        <v>0</v>
      </c>
      <c r="BN237" s="462">
        <f>IF(AND(AT237=1,AK237="E",AU237&gt;=0.75,AW237=1),HealthBY,IF(AND(AT237=1,AK237="E",AU237&gt;=0.75),HealthBY*P237,IF(AND(AT237=1,AK237="E",AU237&gt;=0.5,AW237=1),PTHealthBY,IF(AND(AT237=1,AK237="E",AU237&gt;=0.5),PTHealthBY*P237,0))))</f>
        <v>11650</v>
      </c>
      <c r="BO237" s="462">
        <f>IF(AND(AT237=3,AK237="E",AV237&gt;=0.75,AW237=1),HealthBY,IF(AND(AT237=3,AK237="E",AV237&gt;=0.75),HealthBY*P237,IF(AND(AT237=3,AK237="E",AV237&gt;=0.5,AW237=1),PTHealthBY,IF(AND(AT237=3,AK237="E",AV237&gt;=0.5),PTHealthBY*P237,0))))</f>
        <v>0</v>
      </c>
      <c r="BP237" s="462">
        <f>IF(AND(AT237&lt;&gt;0,(AX237+BA237)&gt;=MAXSSDIBY),SSDIBY*MAXSSDIBY*P237,IF(AT237&lt;&gt;0,SSDIBY*W237,0))</f>
        <v>2256.8000000000002</v>
      </c>
      <c r="BQ237" s="462">
        <f>IF(AT237&lt;&gt;0,SSHIBY*W237,0)</f>
        <v>527.80000000000007</v>
      </c>
      <c r="BR237" s="462">
        <f>IF(AND(AT237&lt;&gt;0,AN237&lt;&gt;"NE"),VLOOKUP(AN237,Retirement_Rates,4,FALSE)*W237,0)</f>
        <v>4346.16</v>
      </c>
      <c r="BS237" s="462">
        <f>IF(AND(AT237&lt;&gt;0,AJ237&lt;&gt;"PF"),LifeBY*W237,0)</f>
        <v>262.44400000000002</v>
      </c>
      <c r="BT237" s="462">
        <f>IF(AND(AT237&lt;&gt;0,AM237="Y"),UIBY*W237,0)</f>
        <v>0</v>
      </c>
      <c r="BU237" s="462">
        <f>IF(AND(AT237&lt;&gt;0,N237&lt;&gt;"NR"),DHRBY*W237,0)</f>
        <v>111.38399999999999</v>
      </c>
      <c r="BV237" s="462">
        <f>IF(AT237&lt;&gt;0,WCBY*W237,0)</f>
        <v>640.64</v>
      </c>
      <c r="BW237" s="462">
        <f>IF(OR(AND(AT237&lt;&gt;0,AJ237&lt;&gt;"PF",AN237&lt;&gt;"NE",AG237&lt;&gt;"A"),AND(AL237="E",OR(AT237=1,AT237=3))),SickBY*W237,0)</f>
        <v>0</v>
      </c>
      <c r="BX237" s="462">
        <f t="shared" si="58"/>
        <v>8145.228000000001</v>
      </c>
      <c r="BY237" s="462">
        <f t="shared" si="59"/>
        <v>0</v>
      </c>
      <c r="BZ237" s="462">
        <f t="shared" si="60"/>
        <v>0</v>
      </c>
      <c r="CA237" s="462">
        <f t="shared" si="61"/>
        <v>0</v>
      </c>
      <c r="CB237" s="462">
        <f t="shared" si="62"/>
        <v>0</v>
      </c>
      <c r="CC237" s="462">
        <f>IF(AT237&lt;&gt;0,SSHICHG*Y237,0)</f>
        <v>0</v>
      </c>
      <c r="CD237" s="462">
        <f>IF(AND(AT237&lt;&gt;0,AN237&lt;&gt;"NE"),VLOOKUP(AN237,Retirement_Rates,5,FALSE)*Y237,0)</f>
        <v>0</v>
      </c>
      <c r="CE237" s="462">
        <f>IF(AND(AT237&lt;&gt;0,AJ237&lt;&gt;"PF"),LifeCHG*Y237,0)</f>
        <v>0</v>
      </c>
      <c r="CF237" s="462">
        <f>IF(AND(AT237&lt;&gt;0,AM237="Y"),UICHG*Y237,0)</f>
        <v>-178.35999999999999</v>
      </c>
      <c r="CG237" s="462">
        <f>IF(AND(AT237&lt;&gt;0,N237&lt;&gt;"NR"),DHRCHG*Y237,0)</f>
        <v>0</v>
      </c>
      <c r="CH237" s="462">
        <f>IF(AT237&lt;&gt;0,WCCHG*Y237,0)</f>
        <v>83.720000000000056</v>
      </c>
      <c r="CI237" s="462">
        <f>IF(OR(AND(AT237&lt;&gt;0,AJ237&lt;&gt;"PF",AN237&lt;&gt;"NE",AG237&lt;&gt;"A"),AND(AL237="E",OR(AT237=1,AT237=3))),SickCHG*Y237,0)</f>
        <v>0</v>
      </c>
      <c r="CJ237" s="462">
        <f t="shared" si="63"/>
        <v>-94.63999999999993</v>
      </c>
      <c r="CK237" s="462" t="str">
        <f t="shared" si="64"/>
        <v/>
      </c>
      <c r="CL237" s="462" t="str">
        <f t="shared" si="65"/>
        <v/>
      </c>
      <c r="CM237" s="462" t="str">
        <f t="shared" si="66"/>
        <v/>
      </c>
      <c r="CN237" s="462" t="str">
        <f t="shared" si="67"/>
        <v>0001-00</v>
      </c>
    </row>
    <row r="238" spans="1:92" ht="15" thickBot="1" x14ac:dyDescent="0.35">
      <c r="A238" s="376" t="s">
        <v>161</v>
      </c>
      <c r="B238" s="376" t="s">
        <v>162</v>
      </c>
      <c r="C238" s="376" t="s">
        <v>826</v>
      </c>
      <c r="D238" s="376" t="s">
        <v>791</v>
      </c>
      <c r="E238" s="376" t="s">
        <v>165</v>
      </c>
      <c r="F238" s="377" t="s">
        <v>166</v>
      </c>
      <c r="G238" s="376" t="s">
        <v>762</v>
      </c>
      <c r="H238" s="378"/>
      <c r="I238" s="378"/>
      <c r="J238" s="376" t="s">
        <v>168</v>
      </c>
      <c r="K238" s="376" t="s">
        <v>792</v>
      </c>
      <c r="L238" s="376" t="s">
        <v>200</v>
      </c>
      <c r="M238" s="376" t="s">
        <v>170</v>
      </c>
      <c r="N238" s="376" t="s">
        <v>202</v>
      </c>
      <c r="O238" s="379">
        <v>1</v>
      </c>
      <c r="P238" s="460">
        <v>1</v>
      </c>
      <c r="Q238" s="460">
        <v>1</v>
      </c>
      <c r="R238" s="380">
        <v>80</v>
      </c>
      <c r="S238" s="460">
        <v>1</v>
      </c>
      <c r="T238" s="380">
        <v>7073.92</v>
      </c>
      <c r="U238" s="380">
        <v>0</v>
      </c>
      <c r="V238" s="380">
        <v>11901.68</v>
      </c>
      <c r="W238" s="380">
        <v>51542.400000000001</v>
      </c>
      <c r="X238" s="380">
        <v>23317.61</v>
      </c>
      <c r="Y238" s="380">
        <v>51542.400000000001</v>
      </c>
      <c r="Z238" s="380">
        <v>23183.61</v>
      </c>
      <c r="AA238" s="376" t="s">
        <v>827</v>
      </c>
      <c r="AB238" s="376" t="s">
        <v>828</v>
      </c>
      <c r="AC238" s="376" t="s">
        <v>829</v>
      </c>
      <c r="AD238" s="376" t="s">
        <v>374</v>
      </c>
      <c r="AE238" s="376" t="s">
        <v>792</v>
      </c>
      <c r="AF238" s="376" t="s">
        <v>210</v>
      </c>
      <c r="AG238" s="376" t="s">
        <v>177</v>
      </c>
      <c r="AH238" s="381">
        <v>28.32</v>
      </c>
      <c r="AI238" s="381">
        <v>36799.699999999997</v>
      </c>
      <c r="AJ238" s="376" t="s">
        <v>313</v>
      </c>
      <c r="AK238" s="376" t="s">
        <v>179</v>
      </c>
      <c r="AL238" s="376" t="s">
        <v>180</v>
      </c>
      <c r="AM238" s="376" t="s">
        <v>181</v>
      </c>
      <c r="AN238" s="376" t="s">
        <v>68</v>
      </c>
      <c r="AO238" s="379">
        <v>70</v>
      </c>
      <c r="AP238" s="460">
        <v>1</v>
      </c>
      <c r="AQ238" s="460">
        <v>0.87</v>
      </c>
      <c r="AR238" s="458" t="s">
        <v>182</v>
      </c>
      <c r="AS238" s="462">
        <f t="shared" si="51"/>
        <v>0.875</v>
      </c>
      <c r="AT238">
        <f t="shared" si="52"/>
        <v>1</v>
      </c>
      <c r="AU238" s="462">
        <f>IF(AT238=0,"",IF(AND(AT238=1,M238="F",SUMIF(C2:C698,C238,AS2:AS698)&lt;=1),SUMIF(C2:C698,C238,AS2:AS698),IF(AND(AT238=1,M238="F",SUMIF(C2:C698,C238,AS2:AS698)&gt;1),1,"")))</f>
        <v>0.875</v>
      </c>
      <c r="AV238" s="462" t="str">
        <f>IF(AT238=0,"",IF(AND(AT238=3,M238="F",SUMIF(C2:C698,C238,AS2:AS698)&lt;=1),SUMIF(C2:C698,C238,AS2:AS698),IF(AND(AT238=3,M238="F",SUMIF(C2:C698,C238,AS2:AS698)&gt;1),1,"")))</f>
        <v/>
      </c>
      <c r="AW238" s="462">
        <f>SUMIF(C2:C698,C238,O2:O698)</f>
        <v>3</v>
      </c>
      <c r="AX238" s="462">
        <f>IF(AND(M238="F",AS238&lt;&gt;0),SUMIF(C2:C698,C238,W2:W698),0)</f>
        <v>51542.400000000001</v>
      </c>
      <c r="AY238" s="462">
        <f t="shared" si="53"/>
        <v>51542.400000000001</v>
      </c>
      <c r="AZ238" s="462" t="str">
        <f t="shared" si="54"/>
        <v/>
      </c>
      <c r="BA238" s="462">
        <f t="shared" si="55"/>
        <v>0</v>
      </c>
      <c r="BB238" s="462">
        <f>IF(AND(AT238=1,AK238="E",AU238&gt;=0.75,AW238=1),Health,IF(AND(AT238=1,AK238="E",AU238&gt;=0.75),Health*P238,IF(AND(AT238=1,AK238="E",AU238&gt;=0.5,AW238=1),PTHealth,IF(AND(AT238=1,AK238="E",AU238&gt;=0.5),PTHealth*P238,0))))</f>
        <v>11650</v>
      </c>
      <c r="BC238" s="462">
        <f>IF(AND(AT238=3,AK238="E",AV238&gt;=0.75,AW238=1),Health,IF(AND(AT238=3,AK238="E",AV238&gt;=0.75),Health*P238,IF(AND(AT238=3,AK238="E",AV238&gt;=0.5,AW238=1),PTHealth,IF(AND(AT238=3,AK238="E",AV238&gt;=0.5),PTHealth*P238,0))))</f>
        <v>0</v>
      </c>
      <c r="BD238" s="462">
        <f>IF(AND(AT238&lt;&gt;0,AX238&gt;=MAXSSDI),SSDI*MAXSSDI*P238,IF(AT238&lt;&gt;0,SSDI*W238,0))</f>
        <v>3195.6288</v>
      </c>
      <c r="BE238" s="462">
        <f>IF(AT238&lt;&gt;0,SSHI*W238,0)</f>
        <v>747.36480000000006</v>
      </c>
      <c r="BF238" s="462">
        <f>IF(AND(AT238&lt;&gt;0,AN238&lt;&gt;"NE"),VLOOKUP(AN238,Retirement_Rates,3,FALSE)*W238,0)</f>
        <v>6154.1625600000007</v>
      </c>
      <c r="BG238" s="462">
        <f>IF(AND(AT238&lt;&gt;0,AJ238&lt;&gt;"PF"),Life*W238,0)</f>
        <v>371.62070400000005</v>
      </c>
      <c r="BH238" s="462">
        <f>IF(AND(AT238&lt;&gt;0,AM238="Y"),UI*W238,0)</f>
        <v>252.55776</v>
      </c>
      <c r="BI238" s="462">
        <f>IF(AND(AT238&lt;&gt;0,N238&lt;&gt;"NR"),DHR*W238,0)</f>
        <v>157.71974399999999</v>
      </c>
      <c r="BJ238" s="462">
        <f>IF(AT238&lt;&gt;0,WC*W238,0)</f>
        <v>788.59871999999996</v>
      </c>
      <c r="BK238" s="462">
        <f>IF(OR(AND(AT238&lt;&gt;0,AJ238&lt;&gt;"PF",AN238&lt;&gt;"NE",AG238&lt;&gt;"A"),AND(AL238="E",OR(AT238=1,AT238=3))),Sick*W238,0)</f>
        <v>0</v>
      </c>
      <c r="BL238" s="462">
        <f t="shared" si="56"/>
        <v>11667.653088000001</v>
      </c>
      <c r="BM238" s="462">
        <f t="shared" si="57"/>
        <v>0</v>
      </c>
      <c r="BN238" s="462">
        <f>IF(AND(AT238=1,AK238="E",AU238&gt;=0.75,AW238=1),HealthBY,IF(AND(AT238=1,AK238="E",AU238&gt;=0.75),HealthBY*P238,IF(AND(AT238=1,AK238="E",AU238&gt;=0.5,AW238=1),PTHealthBY,IF(AND(AT238=1,AK238="E",AU238&gt;=0.5),PTHealthBY*P238,0))))</f>
        <v>11650</v>
      </c>
      <c r="BO238" s="462">
        <f>IF(AND(AT238=3,AK238="E",AV238&gt;=0.75,AW238=1),HealthBY,IF(AND(AT238=3,AK238="E",AV238&gt;=0.75),HealthBY*P238,IF(AND(AT238=3,AK238="E",AV238&gt;=0.5,AW238=1),PTHealthBY,IF(AND(AT238=3,AK238="E",AV238&gt;=0.5),PTHealthBY*P238,0))))</f>
        <v>0</v>
      </c>
      <c r="BP238" s="462">
        <f>IF(AND(AT238&lt;&gt;0,(AX238+BA238)&gt;=MAXSSDIBY),SSDIBY*MAXSSDIBY*P238,IF(AT238&lt;&gt;0,SSDIBY*W238,0))</f>
        <v>3195.6288</v>
      </c>
      <c r="BQ238" s="462">
        <f>IF(AT238&lt;&gt;0,SSHIBY*W238,0)</f>
        <v>747.36480000000006</v>
      </c>
      <c r="BR238" s="462">
        <f>IF(AND(AT238&lt;&gt;0,AN238&lt;&gt;"NE"),VLOOKUP(AN238,Retirement_Rates,4,FALSE)*W238,0)</f>
        <v>6154.1625600000007</v>
      </c>
      <c r="BS238" s="462">
        <f>IF(AND(AT238&lt;&gt;0,AJ238&lt;&gt;"PF"),LifeBY*W238,0)</f>
        <v>371.62070400000005</v>
      </c>
      <c r="BT238" s="462">
        <f>IF(AND(AT238&lt;&gt;0,AM238="Y"),UIBY*W238,0)</f>
        <v>0</v>
      </c>
      <c r="BU238" s="462">
        <f>IF(AND(AT238&lt;&gt;0,N238&lt;&gt;"NR"),DHRBY*W238,0)</f>
        <v>157.71974399999999</v>
      </c>
      <c r="BV238" s="462">
        <f>IF(AT238&lt;&gt;0,WCBY*W238,0)</f>
        <v>907.14624000000003</v>
      </c>
      <c r="BW238" s="462">
        <f>IF(OR(AND(AT238&lt;&gt;0,AJ238&lt;&gt;"PF",AN238&lt;&gt;"NE",AG238&lt;&gt;"A"),AND(AL238="E",OR(AT238=1,AT238=3))),SickBY*W238,0)</f>
        <v>0</v>
      </c>
      <c r="BX238" s="462">
        <f t="shared" si="58"/>
        <v>11533.642848000001</v>
      </c>
      <c r="BY238" s="462">
        <f t="shared" si="59"/>
        <v>0</v>
      </c>
      <c r="BZ238" s="462">
        <f t="shared" si="60"/>
        <v>0</v>
      </c>
      <c r="CA238" s="462">
        <f t="shared" si="61"/>
        <v>0</v>
      </c>
      <c r="CB238" s="462">
        <f t="shared" si="62"/>
        <v>0</v>
      </c>
      <c r="CC238" s="462">
        <f>IF(AT238&lt;&gt;0,SSHICHG*Y238,0)</f>
        <v>0</v>
      </c>
      <c r="CD238" s="462">
        <f>IF(AND(AT238&lt;&gt;0,AN238&lt;&gt;"NE"),VLOOKUP(AN238,Retirement_Rates,5,FALSE)*Y238,0)</f>
        <v>0</v>
      </c>
      <c r="CE238" s="462">
        <f>IF(AND(AT238&lt;&gt;0,AJ238&lt;&gt;"PF"),LifeCHG*Y238,0)</f>
        <v>0</v>
      </c>
      <c r="CF238" s="462">
        <f>IF(AND(AT238&lt;&gt;0,AM238="Y"),UICHG*Y238,0)</f>
        <v>-252.55776</v>
      </c>
      <c r="CG238" s="462">
        <f>IF(AND(AT238&lt;&gt;0,N238&lt;&gt;"NR"),DHRCHG*Y238,0)</f>
        <v>0</v>
      </c>
      <c r="CH238" s="462">
        <f>IF(AT238&lt;&gt;0,WCCHG*Y238,0)</f>
        <v>118.54752000000009</v>
      </c>
      <c r="CI238" s="462">
        <f>IF(OR(AND(AT238&lt;&gt;0,AJ238&lt;&gt;"PF",AN238&lt;&gt;"NE",AG238&lt;&gt;"A"),AND(AL238="E",OR(AT238=1,AT238=3))),SickCHG*Y238,0)</f>
        <v>0</v>
      </c>
      <c r="CJ238" s="462">
        <f t="shared" si="63"/>
        <v>-134.0102399999999</v>
      </c>
      <c r="CK238" s="462" t="str">
        <f t="shared" si="64"/>
        <v/>
      </c>
      <c r="CL238" s="462" t="str">
        <f t="shared" si="65"/>
        <v/>
      </c>
      <c r="CM238" s="462" t="str">
        <f t="shared" si="66"/>
        <v/>
      </c>
      <c r="CN238" s="462" t="str">
        <f t="shared" si="67"/>
        <v>0001-00</v>
      </c>
    </row>
    <row r="239" spans="1:92" ht="15" thickBot="1" x14ac:dyDescent="0.35">
      <c r="A239" s="376" t="s">
        <v>161</v>
      </c>
      <c r="B239" s="376" t="s">
        <v>162</v>
      </c>
      <c r="C239" s="376" t="s">
        <v>830</v>
      </c>
      <c r="D239" s="376" t="s">
        <v>250</v>
      </c>
      <c r="E239" s="376" t="s">
        <v>165</v>
      </c>
      <c r="F239" s="377" t="s">
        <v>166</v>
      </c>
      <c r="G239" s="376" t="s">
        <v>762</v>
      </c>
      <c r="H239" s="378"/>
      <c r="I239" s="378"/>
      <c r="J239" s="376" t="s">
        <v>168</v>
      </c>
      <c r="K239" s="376" t="s">
        <v>407</v>
      </c>
      <c r="L239" s="376" t="s">
        <v>247</v>
      </c>
      <c r="M239" s="376" t="s">
        <v>170</v>
      </c>
      <c r="N239" s="376" t="s">
        <v>202</v>
      </c>
      <c r="O239" s="379">
        <v>1</v>
      </c>
      <c r="P239" s="460">
        <v>0</v>
      </c>
      <c r="Q239" s="460">
        <v>0</v>
      </c>
      <c r="R239" s="380">
        <v>80</v>
      </c>
      <c r="S239" s="460">
        <v>0</v>
      </c>
      <c r="T239" s="380">
        <v>52247.72</v>
      </c>
      <c r="U239" s="380">
        <v>0</v>
      </c>
      <c r="V239" s="380">
        <v>21271.48</v>
      </c>
      <c r="W239" s="380">
        <v>0</v>
      </c>
      <c r="X239" s="380">
        <v>0</v>
      </c>
      <c r="Y239" s="380">
        <v>0</v>
      </c>
      <c r="Z239" s="380">
        <v>0</v>
      </c>
      <c r="AA239" s="376" t="s">
        <v>831</v>
      </c>
      <c r="AB239" s="376" t="s">
        <v>832</v>
      </c>
      <c r="AC239" s="376" t="s">
        <v>800</v>
      </c>
      <c r="AD239" s="376" t="s">
        <v>190</v>
      </c>
      <c r="AE239" s="376" t="s">
        <v>407</v>
      </c>
      <c r="AF239" s="376" t="s">
        <v>299</v>
      </c>
      <c r="AG239" s="376" t="s">
        <v>177</v>
      </c>
      <c r="AH239" s="381">
        <v>29.9</v>
      </c>
      <c r="AI239" s="381">
        <v>17156.099999999999</v>
      </c>
      <c r="AJ239" s="376" t="s">
        <v>178</v>
      </c>
      <c r="AK239" s="376" t="s">
        <v>179</v>
      </c>
      <c r="AL239" s="376" t="s">
        <v>180</v>
      </c>
      <c r="AM239" s="376" t="s">
        <v>181</v>
      </c>
      <c r="AN239" s="376" t="s">
        <v>68</v>
      </c>
      <c r="AO239" s="379">
        <v>80</v>
      </c>
      <c r="AP239" s="460">
        <v>1</v>
      </c>
      <c r="AQ239" s="460">
        <v>0</v>
      </c>
      <c r="AR239" s="458" t="s">
        <v>182</v>
      </c>
      <c r="AS239" s="462">
        <f t="shared" si="51"/>
        <v>0</v>
      </c>
      <c r="AT239">
        <f t="shared" si="52"/>
        <v>0</v>
      </c>
      <c r="AU239" s="462" t="str">
        <f>IF(AT239=0,"",IF(AND(AT239=1,M239="F",SUMIF(C2:C698,C239,AS2:AS698)&lt;=1),SUMIF(C2:C698,C239,AS2:AS698),IF(AND(AT239=1,M239="F",SUMIF(C2:C698,C239,AS2:AS698)&gt;1),1,"")))</f>
        <v/>
      </c>
      <c r="AV239" s="462" t="str">
        <f>IF(AT239=0,"",IF(AND(AT239=3,M239="F",SUMIF(C2:C698,C239,AS2:AS698)&lt;=1),SUMIF(C2:C698,C239,AS2:AS698),IF(AND(AT239=3,M239="F",SUMIF(C2:C698,C239,AS2:AS698)&gt;1),1,"")))</f>
        <v/>
      </c>
      <c r="AW239" s="462">
        <f>SUMIF(C2:C698,C239,O2:O698)</f>
        <v>3</v>
      </c>
      <c r="AX239" s="462">
        <f>IF(AND(M239="F",AS239&lt;&gt;0),SUMIF(C2:C698,C239,W2:W698),0)</f>
        <v>0</v>
      </c>
      <c r="AY239" s="462" t="str">
        <f t="shared" si="53"/>
        <v/>
      </c>
      <c r="AZ239" s="462" t="str">
        <f t="shared" si="54"/>
        <v/>
      </c>
      <c r="BA239" s="462">
        <f t="shared" si="55"/>
        <v>0</v>
      </c>
      <c r="BB239" s="462">
        <f>IF(AND(AT239=1,AK239="E",AU239&gt;=0.75,AW239=1),Health,IF(AND(AT239=1,AK239="E",AU239&gt;=0.75),Health*P239,IF(AND(AT239=1,AK239="E",AU239&gt;=0.5,AW239=1),PTHealth,IF(AND(AT239=1,AK239="E",AU239&gt;=0.5),PTHealth*P239,0))))</f>
        <v>0</v>
      </c>
      <c r="BC239" s="462">
        <f>IF(AND(AT239=3,AK239="E",AV239&gt;=0.75,AW239=1),Health,IF(AND(AT239=3,AK239="E",AV239&gt;=0.75),Health*P239,IF(AND(AT239=3,AK239="E",AV239&gt;=0.5,AW239=1),PTHealth,IF(AND(AT239=3,AK239="E",AV239&gt;=0.5),PTHealth*P239,0))))</f>
        <v>0</v>
      </c>
      <c r="BD239" s="462">
        <f>IF(AND(AT239&lt;&gt;0,AX239&gt;=MAXSSDI),SSDI*MAXSSDI*P239,IF(AT239&lt;&gt;0,SSDI*W239,0))</f>
        <v>0</v>
      </c>
      <c r="BE239" s="462">
        <f>IF(AT239&lt;&gt;0,SSHI*W239,0)</f>
        <v>0</v>
      </c>
      <c r="BF239" s="462">
        <f>IF(AND(AT239&lt;&gt;0,AN239&lt;&gt;"NE"),VLOOKUP(AN239,Retirement_Rates,3,FALSE)*W239,0)</f>
        <v>0</v>
      </c>
      <c r="BG239" s="462">
        <f>IF(AND(AT239&lt;&gt;0,AJ239&lt;&gt;"PF"),Life*W239,0)</f>
        <v>0</v>
      </c>
      <c r="BH239" s="462">
        <f>IF(AND(AT239&lt;&gt;0,AM239="Y"),UI*W239,0)</f>
        <v>0</v>
      </c>
      <c r="BI239" s="462">
        <f>IF(AND(AT239&lt;&gt;0,N239&lt;&gt;"NR"),DHR*W239,0)</f>
        <v>0</v>
      </c>
      <c r="BJ239" s="462">
        <f>IF(AT239&lt;&gt;0,WC*W239,0)</f>
        <v>0</v>
      </c>
      <c r="BK239" s="462">
        <f>IF(OR(AND(AT239&lt;&gt;0,AJ239&lt;&gt;"PF",AN239&lt;&gt;"NE",AG239&lt;&gt;"A"),AND(AL239="E",OR(AT239=1,AT239=3))),Sick*W239,0)</f>
        <v>0</v>
      </c>
      <c r="BL239" s="462">
        <f t="shared" si="56"/>
        <v>0</v>
      </c>
      <c r="BM239" s="462">
        <f t="shared" si="57"/>
        <v>0</v>
      </c>
      <c r="BN239" s="462">
        <f>IF(AND(AT239=1,AK239="E",AU239&gt;=0.75,AW239=1),HealthBY,IF(AND(AT239=1,AK239="E",AU239&gt;=0.75),HealthBY*P239,IF(AND(AT239=1,AK239="E",AU239&gt;=0.5,AW239=1),PTHealthBY,IF(AND(AT239=1,AK239="E",AU239&gt;=0.5),PTHealthBY*P239,0))))</f>
        <v>0</v>
      </c>
      <c r="BO239" s="462">
        <f>IF(AND(AT239=3,AK239="E",AV239&gt;=0.75,AW239=1),HealthBY,IF(AND(AT239=3,AK239="E",AV239&gt;=0.75),HealthBY*P239,IF(AND(AT239=3,AK239="E",AV239&gt;=0.5,AW239=1),PTHealthBY,IF(AND(AT239=3,AK239="E",AV239&gt;=0.5),PTHealthBY*P239,0))))</f>
        <v>0</v>
      </c>
      <c r="BP239" s="462">
        <f>IF(AND(AT239&lt;&gt;0,(AX239+BA239)&gt;=MAXSSDIBY),SSDIBY*MAXSSDIBY*P239,IF(AT239&lt;&gt;0,SSDIBY*W239,0))</f>
        <v>0</v>
      </c>
      <c r="BQ239" s="462">
        <f>IF(AT239&lt;&gt;0,SSHIBY*W239,0)</f>
        <v>0</v>
      </c>
      <c r="BR239" s="462">
        <f>IF(AND(AT239&lt;&gt;0,AN239&lt;&gt;"NE"),VLOOKUP(AN239,Retirement_Rates,4,FALSE)*W239,0)</f>
        <v>0</v>
      </c>
      <c r="BS239" s="462">
        <f>IF(AND(AT239&lt;&gt;0,AJ239&lt;&gt;"PF"),LifeBY*W239,0)</f>
        <v>0</v>
      </c>
      <c r="BT239" s="462">
        <f>IF(AND(AT239&lt;&gt;0,AM239="Y"),UIBY*W239,0)</f>
        <v>0</v>
      </c>
      <c r="BU239" s="462">
        <f>IF(AND(AT239&lt;&gt;0,N239&lt;&gt;"NR"),DHRBY*W239,0)</f>
        <v>0</v>
      </c>
      <c r="BV239" s="462">
        <f>IF(AT239&lt;&gt;0,WCBY*W239,0)</f>
        <v>0</v>
      </c>
      <c r="BW239" s="462">
        <f>IF(OR(AND(AT239&lt;&gt;0,AJ239&lt;&gt;"PF",AN239&lt;&gt;"NE",AG239&lt;&gt;"A"),AND(AL239="E",OR(AT239=1,AT239=3))),SickBY*W239,0)</f>
        <v>0</v>
      </c>
      <c r="BX239" s="462">
        <f t="shared" si="58"/>
        <v>0</v>
      </c>
      <c r="BY239" s="462">
        <f t="shared" si="59"/>
        <v>0</v>
      </c>
      <c r="BZ239" s="462">
        <f t="shared" si="60"/>
        <v>0</v>
      </c>
      <c r="CA239" s="462">
        <f t="shared" si="61"/>
        <v>0</v>
      </c>
      <c r="CB239" s="462">
        <f t="shared" si="62"/>
        <v>0</v>
      </c>
      <c r="CC239" s="462">
        <f>IF(AT239&lt;&gt;0,SSHICHG*Y239,0)</f>
        <v>0</v>
      </c>
      <c r="CD239" s="462">
        <f>IF(AND(AT239&lt;&gt;0,AN239&lt;&gt;"NE"),VLOOKUP(AN239,Retirement_Rates,5,FALSE)*Y239,0)</f>
        <v>0</v>
      </c>
      <c r="CE239" s="462">
        <f>IF(AND(AT239&lt;&gt;0,AJ239&lt;&gt;"PF"),LifeCHG*Y239,0)</f>
        <v>0</v>
      </c>
      <c r="CF239" s="462">
        <f>IF(AND(AT239&lt;&gt;0,AM239="Y"),UICHG*Y239,0)</f>
        <v>0</v>
      </c>
      <c r="CG239" s="462">
        <f>IF(AND(AT239&lt;&gt;0,N239&lt;&gt;"NR"),DHRCHG*Y239,0)</f>
        <v>0</v>
      </c>
      <c r="CH239" s="462">
        <f>IF(AT239&lt;&gt;0,WCCHG*Y239,0)</f>
        <v>0</v>
      </c>
      <c r="CI239" s="462">
        <f>IF(OR(AND(AT239&lt;&gt;0,AJ239&lt;&gt;"PF",AN239&lt;&gt;"NE",AG239&lt;&gt;"A"),AND(AL239="E",OR(AT239=1,AT239=3))),SickCHG*Y239,0)</f>
        <v>0</v>
      </c>
      <c r="CJ239" s="462">
        <f t="shared" si="63"/>
        <v>0</v>
      </c>
      <c r="CK239" s="462" t="str">
        <f t="shared" si="64"/>
        <v/>
      </c>
      <c r="CL239" s="462" t="str">
        <f t="shared" si="65"/>
        <v/>
      </c>
      <c r="CM239" s="462" t="str">
        <f t="shared" si="66"/>
        <v/>
      </c>
      <c r="CN239" s="462" t="str">
        <f t="shared" si="67"/>
        <v>0001-00</v>
      </c>
    </row>
    <row r="240" spans="1:92" ht="15" thickBot="1" x14ac:dyDescent="0.35">
      <c r="A240" s="376" t="s">
        <v>161</v>
      </c>
      <c r="B240" s="376" t="s">
        <v>162</v>
      </c>
      <c r="C240" s="376" t="s">
        <v>833</v>
      </c>
      <c r="D240" s="376" t="s">
        <v>791</v>
      </c>
      <c r="E240" s="376" t="s">
        <v>165</v>
      </c>
      <c r="F240" s="377" t="s">
        <v>166</v>
      </c>
      <c r="G240" s="376" t="s">
        <v>762</v>
      </c>
      <c r="H240" s="378"/>
      <c r="I240" s="378"/>
      <c r="J240" s="376" t="s">
        <v>168</v>
      </c>
      <c r="K240" s="376" t="s">
        <v>792</v>
      </c>
      <c r="L240" s="376" t="s">
        <v>200</v>
      </c>
      <c r="M240" s="376" t="s">
        <v>170</v>
      </c>
      <c r="N240" s="376" t="s">
        <v>202</v>
      </c>
      <c r="O240" s="379">
        <v>1</v>
      </c>
      <c r="P240" s="460">
        <v>1</v>
      </c>
      <c r="Q240" s="460">
        <v>1</v>
      </c>
      <c r="R240" s="380">
        <v>80</v>
      </c>
      <c r="S240" s="460">
        <v>1</v>
      </c>
      <c r="T240" s="380">
        <v>35557.61</v>
      </c>
      <c r="U240" s="380">
        <v>0</v>
      </c>
      <c r="V240" s="380">
        <v>19467.48</v>
      </c>
      <c r="W240" s="380">
        <v>36753.599999999999</v>
      </c>
      <c r="X240" s="380">
        <v>19969.88</v>
      </c>
      <c r="Y240" s="380">
        <v>36753.599999999999</v>
      </c>
      <c r="Z240" s="380">
        <v>19874.32</v>
      </c>
      <c r="AA240" s="376" t="s">
        <v>834</v>
      </c>
      <c r="AB240" s="376" t="s">
        <v>835</v>
      </c>
      <c r="AC240" s="376" t="s">
        <v>836</v>
      </c>
      <c r="AD240" s="376" t="s">
        <v>215</v>
      </c>
      <c r="AE240" s="376" t="s">
        <v>796</v>
      </c>
      <c r="AF240" s="376" t="s">
        <v>279</v>
      </c>
      <c r="AG240" s="376" t="s">
        <v>177</v>
      </c>
      <c r="AH240" s="381">
        <v>17.670000000000002</v>
      </c>
      <c r="AI240" s="381">
        <v>6028.9</v>
      </c>
      <c r="AJ240" s="376" t="s">
        <v>178</v>
      </c>
      <c r="AK240" s="376" t="s">
        <v>179</v>
      </c>
      <c r="AL240" s="376" t="s">
        <v>180</v>
      </c>
      <c r="AM240" s="376" t="s">
        <v>181</v>
      </c>
      <c r="AN240" s="376" t="s">
        <v>68</v>
      </c>
      <c r="AO240" s="379">
        <v>80</v>
      </c>
      <c r="AP240" s="460">
        <v>1</v>
      </c>
      <c r="AQ240" s="460">
        <v>1</v>
      </c>
      <c r="AR240" s="458">
        <v>3</v>
      </c>
      <c r="AS240" s="462">
        <f t="shared" si="51"/>
        <v>1</v>
      </c>
      <c r="AT240">
        <f t="shared" si="52"/>
        <v>1</v>
      </c>
      <c r="AU240" s="462">
        <f>IF(AT240=0,"",IF(AND(AT240=1,M240="F",SUMIF(C2:C698,C240,AS2:AS698)&lt;=1),SUMIF(C2:C698,C240,AS2:AS698),IF(AND(AT240=1,M240="F",SUMIF(C2:C698,C240,AS2:AS698)&gt;1),1,"")))</f>
        <v>1</v>
      </c>
      <c r="AV240" s="462" t="str">
        <f>IF(AT240=0,"",IF(AND(AT240=3,M240="F",SUMIF(C2:C698,C240,AS2:AS698)&lt;=1),SUMIF(C2:C698,C240,AS2:AS698),IF(AND(AT240=3,M240="F",SUMIF(C2:C698,C240,AS2:AS698)&gt;1),1,"")))</f>
        <v/>
      </c>
      <c r="AW240" s="462">
        <f>SUMIF(C2:C698,C240,O2:O698)</f>
        <v>1</v>
      </c>
      <c r="AX240" s="462">
        <f>IF(AND(M240="F",AS240&lt;&gt;0),SUMIF(C2:C698,C240,W2:W698),0)</f>
        <v>36753.599999999999</v>
      </c>
      <c r="AY240" s="462">
        <f t="shared" si="53"/>
        <v>36753.599999999999</v>
      </c>
      <c r="AZ240" s="462" t="str">
        <f t="shared" si="54"/>
        <v/>
      </c>
      <c r="BA240" s="462">
        <f t="shared" si="55"/>
        <v>0</v>
      </c>
      <c r="BB240" s="462">
        <f>IF(AND(AT240=1,AK240="E",AU240&gt;=0.75,AW240=1),Health,IF(AND(AT240=1,AK240="E",AU240&gt;=0.75),Health*P240,IF(AND(AT240=1,AK240="E",AU240&gt;=0.5,AW240=1),PTHealth,IF(AND(AT240=1,AK240="E",AU240&gt;=0.5),PTHealth*P240,0))))</f>
        <v>11650</v>
      </c>
      <c r="BC240" s="462">
        <f>IF(AND(AT240=3,AK240="E",AV240&gt;=0.75,AW240=1),Health,IF(AND(AT240=3,AK240="E",AV240&gt;=0.75),Health*P240,IF(AND(AT240=3,AK240="E",AV240&gt;=0.5,AW240=1),PTHealth,IF(AND(AT240=3,AK240="E",AV240&gt;=0.5),PTHealth*P240,0))))</f>
        <v>0</v>
      </c>
      <c r="BD240" s="462">
        <f>IF(AND(AT240&lt;&gt;0,AX240&gt;=MAXSSDI),SSDI*MAXSSDI*P240,IF(AT240&lt;&gt;0,SSDI*W240,0))</f>
        <v>2278.7231999999999</v>
      </c>
      <c r="BE240" s="462">
        <f>IF(AT240&lt;&gt;0,SSHI*W240,0)</f>
        <v>532.92719999999997</v>
      </c>
      <c r="BF240" s="462">
        <f>IF(AND(AT240&lt;&gt;0,AN240&lt;&gt;"NE"),VLOOKUP(AN240,Retirement_Rates,3,FALSE)*W240,0)</f>
        <v>4388.3798399999996</v>
      </c>
      <c r="BG240" s="462">
        <f>IF(AND(AT240&lt;&gt;0,AJ240&lt;&gt;"PF"),Life*W240,0)</f>
        <v>264.99345599999998</v>
      </c>
      <c r="BH240" s="462">
        <f>IF(AND(AT240&lt;&gt;0,AM240="Y"),UI*W240,0)</f>
        <v>180.09263999999999</v>
      </c>
      <c r="BI240" s="462">
        <f>IF(AND(AT240&lt;&gt;0,N240&lt;&gt;"NR"),DHR*W240,0)</f>
        <v>112.46601599999998</v>
      </c>
      <c r="BJ240" s="462">
        <f>IF(AT240&lt;&gt;0,WC*W240,0)</f>
        <v>562.33007999999995</v>
      </c>
      <c r="BK240" s="462">
        <f>IF(OR(AND(AT240&lt;&gt;0,AJ240&lt;&gt;"PF",AN240&lt;&gt;"NE",AG240&lt;&gt;"A"),AND(AL240="E",OR(AT240=1,AT240=3))),Sick*W240,0)</f>
        <v>0</v>
      </c>
      <c r="BL240" s="462">
        <f t="shared" si="56"/>
        <v>8319.912432000001</v>
      </c>
      <c r="BM240" s="462">
        <f t="shared" si="57"/>
        <v>0</v>
      </c>
      <c r="BN240" s="462">
        <f>IF(AND(AT240=1,AK240="E",AU240&gt;=0.75,AW240=1),HealthBY,IF(AND(AT240=1,AK240="E",AU240&gt;=0.75),HealthBY*P240,IF(AND(AT240=1,AK240="E",AU240&gt;=0.5,AW240=1),PTHealthBY,IF(AND(AT240=1,AK240="E",AU240&gt;=0.5),PTHealthBY*P240,0))))</f>
        <v>11650</v>
      </c>
      <c r="BO240" s="462">
        <f>IF(AND(AT240=3,AK240="E",AV240&gt;=0.75,AW240=1),HealthBY,IF(AND(AT240=3,AK240="E",AV240&gt;=0.75),HealthBY*P240,IF(AND(AT240=3,AK240="E",AV240&gt;=0.5,AW240=1),PTHealthBY,IF(AND(AT240=3,AK240="E",AV240&gt;=0.5),PTHealthBY*P240,0))))</f>
        <v>0</v>
      </c>
      <c r="BP240" s="462">
        <f>IF(AND(AT240&lt;&gt;0,(AX240+BA240)&gt;=MAXSSDIBY),SSDIBY*MAXSSDIBY*P240,IF(AT240&lt;&gt;0,SSDIBY*W240,0))</f>
        <v>2278.7231999999999</v>
      </c>
      <c r="BQ240" s="462">
        <f>IF(AT240&lt;&gt;0,SSHIBY*W240,0)</f>
        <v>532.92719999999997</v>
      </c>
      <c r="BR240" s="462">
        <f>IF(AND(AT240&lt;&gt;0,AN240&lt;&gt;"NE"),VLOOKUP(AN240,Retirement_Rates,4,FALSE)*W240,0)</f>
        <v>4388.3798399999996</v>
      </c>
      <c r="BS240" s="462">
        <f>IF(AND(AT240&lt;&gt;0,AJ240&lt;&gt;"PF"),LifeBY*W240,0)</f>
        <v>264.99345599999998</v>
      </c>
      <c r="BT240" s="462">
        <f>IF(AND(AT240&lt;&gt;0,AM240="Y"),UIBY*W240,0)</f>
        <v>0</v>
      </c>
      <c r="BU240" s="462">
        <f>IF(AND(AT240&lt;&gt;0,N240&lt;&gt;"NR"),DHRBY*W240,0)</f>
        <v>112.46601599999998</v>
      </c>
      <c r="BV240" s="462">
        <f>IF(AT240&lt;&gt;0,WCBY*W240,0)</f>
        <v>646.86336000000006</v>
      </c>
      <c r="BW240" s="462">
        <f>IF(OR(AND(AT240&lt;&gt;0,AJ240&lt;&gt;"PF",AN240&lt;&gt;"NE",AG240&lt;&gt;"A"),AND(AL240="E",OR(AT240=1,AT240=3))),SickBY*W240,0)</f>
        <v>0</v>
      </c>
      <c r="BX240" s="462">
        <f t="shared" si="58"/>
        <v>8224.3530719999999</v>
      </c>
      <c r="BY240" s="462">
        <f t="shared" si="59"/>
        <v>0</v>
      </c>
      <c r="BZ240" s="462">
        <f t="shared" si="60"/>
        <v>0</v>
      </c>
      <c r="CA240" s="462">
        <f t="shared" si="61"/>
        <v>0</v>
      </c>
      <c r="CB240" s="462">
        <f t="shared" si="62"/>
        <v>0</v>
      </c>
      <c r="CC240" s="462">
        <f>IF(AT240&lt;&gt;0,SSHICHG*Y240,0)</f>
        <v>0</v>
      </c>
      <c r="CD240" s="462">
        <f>IF(AND(AT240&lt;&gt;0,AN240&lt;&gt;"NE"),VLOOKUP(AN240,Retirement_Rates,5,FALSE)*Y240,0)</f>
        <v>0</v>
      </c>
      <c r="CE240" s="462">
        <f>IF(AND(AT240&lt;&gt;0,AJ240&lt;&gt;"PF"),LifeCHG*Y240,0)</f>
        <v>0</v>
      </c>
      <c r="CF240" s="462">
        <f>IF(AND(AT240&lt;&gt;0,AM240="Y"),UICHG*Y240,0)</f>
        <v>-180.09263999999999</v>
      </c>
      <c r="CG240" s="462">
        <f>IF(AND(AT240&lt;&gt;0,N240&lt;&gt;"NR"),DHRCHG*Y240,0)</f>
        <v>0</v>
      </c>
      <c r="CH240" s="462">
        <f>IF(AT240&lt;&gt;0,WCCHG*Y240,0)</f>
        <v>84.533280000000062</v>
      </c>
      <c r="CI240" s="462">
        <f>IF(OR(AND(AT240&lt;&gt;0,AJ240&lt;&gt;"PF",AN240&lt;&gt;"NE",AG240&lt;&gt;"A"),AND(AL240="E",OR(AT240=1,AT240=3))),SickCHG*Y240,0)</f>
        <v>0</v>
      </c>
      <c r="CJ240" s="462">
        <f t="shared" si="63"/>
        <v>-95.559359999999927</v>
      </c>
      <c r="CK240" s="462" t="str">
        <f t="shared" si="64"/>
        <v/>
      </c>
      <c r="CL240" s="462" t="str">
        <f t="shared" si="65"/>
        <v/>
      </c>
      <c r="CM240" s="462" t="str">
        <f t="shared" si="66"/>
        <v/>
      </c>
      <c r="CN240" s="462" t="str">
        <f t="shared" si="67"/>
        <v>0001-00</v>
      </c>
    </row>
    <row r="241" spans="1:92" ht="15" thickBot="1" x14ac:dyDescent="0.35">
      <c r="A241" s="376" t="s">
        <v>161</v>
      </c>
      <c r="B241" s="376" t="s">
        <v>162</v>
      </c>
      <c r="C241" s="376" t="s">
        <v>837</v>
      </c>
      <c r="D241" s="376" t="s">
        <v>761</v>
      </c>
      <c r="E241" s="376" t="s">
        <v>165</v>
      </c>
      <c r="F241" s="377" t="s">
        <v>166</v>
      </c>
      <c r="G241" s="376" t="s">
        <v>762</v>
      </c>
      <c r="H241" s="378"/>
      <c r="I241" s="378"/>
      <c r="J241" s="376" t="s">
        <v>168</v>
      </c>
      <c r="K241" s="376" t="s">
        <v>763</v>
      </c>
      <c r="L241" s="376" t="s">
        <v>166</v>
      </c>
      <c r="M241" s="376" t="s">
        <v>201</v>
      </c>
      <c r="N241" s="376" t="s">
        <v>291</v>
      </c>
      <c r="O241" s="379">
        <v>0</v>
      </c>
      <c r="P241" s="460">
        <v>1</v>
      </c>
      <c r="Q241" s="460">
        <v>0</v>
      </c>
      <c r="R241" s="380">
        <v>0</v>
      </c>
      <c r="S241" s="460">
        <v>0</v>
      </c>
      <c r="T241" s="380">
        <v>0</v>
      </c>
      <c r="U241" s="380">
        <v>0</v>
      </c>
      <c r="V241" s="380">
        <v>0</v>
      </c>
      <c r="W241" s="380">
        <v>0</v>
      </c>
      <c r="X241" s="380">
        <v>0</v>
      </c>
      <c r="Y241" s="380">
        <v>0</v>
      </c>
      <c r="Z241" s="380">
        <v>0</v>
      </c>
      <c r="AA241" s="378"/>
      <c r="AB241" s="376" t="s">
        <v>45</v>
      </c>
      <c r="AC241" s="376" t="s">
        <v>45</v>
      </c>
      <c r="AD241" s="378"/>
      <c r="AE241" s="378"/>
      <c r="AF241" s="378"/>
      <c r="AG241" s="378"/>
      <c r="AH241" s="379">
        <v>0</v>
      </c>
      <c r="AI241" s="379">
        <v>0</v>
      </c>
      <c r="AJ241" s="378"/>
      <c r="AK241" s="378"/>
      <c r="AL241" s="376" t="s">
        <v>180</v>
      </c>
      <c r="AM241" s="378"/>
      <c r="AN241" s="378"/>
      <c r="AO241" s="379">
        <v>0</v>
      </c>
      <c r="AP241" s="460">
        <v>0</v>
      </c>
      <c r="AQ241" s="460">
        <v>0</v>
      </c>
      <c r="AR241" s="459"/>
      <c r="AS241" s="462">
        <f t="shared" si="51"/>
        <v>0</v>
      </c>
      <c r="AT241">
        <f t="shared" si="52"/>
        <v>0</v>
      </c>
      <c r="AU241" s="462" t="str">
        <f>IF(AT241=0,"",IF(AND(AT241=1,M241="F",SUMIF(C2:C698,C241,AS2:AS698)&lt;=1),SUMIF(C2:C698,C241,AS2:AS698),IF(AND(AT241=1,M241="F",SUMIF(C2:C698,C241,AS2:AS698)&gt;1),1,"")))</f>
        <v/>
      </c>
      <c r="AV241" s="462" t="str">
        <f>IF(AT241=0,"",IF(AND(AT241=3,M241="F",SUMIF(C2:C698,C241,AS2:AS698)&lt;=1),SUMIF(C2:C698,C241,AS2:AS698),IF(AND(AT241=3,M241="F",SUMIF(C2:C698,C241,AS2:AS698)&gt;1),1,"")))</f>
        <v/>
      </c>
      <c r="AW241" s="462">
        <f>SUMIF(C2:C698,C241,O2:O698)</f>
        <v>0</v>
      </c>
      <c r="AX241" s="462">
        <f>IF(AND(M241="F",AS241&lt;&gt;0),SUMIF(C2:C698,C241,W2:W698),0)</f>
        <v>0</v>
      </c>
      <c r="AY241" s="462" t="str">
        <f t="shared" si="53"/>
        <v/>
      </c>
      <c r="AZ241" s="462" t="str">
        <f t="shared" si="54"/>
        <v/>
      </c>
      <c r="BA241" s="462">
        <f t="shared" si="55"/>
        <v>0</v>
      </c>
      <c r="BB241" s="462">
        <f>IF(AND(AT241=1,AK241="E",AU241&gt;=0.75,AW241=1),Health,IF(AND(AT241=1,AK241="E",AU241&gt;=0.75),Health*P241,IF(AND(AT241=1,AK241="E",AU241&gt;=0.5,AW241=1),PTHealth,IF(AND(AT241=1,AK241="E",AU241&gt;=0.5),PTHealth*P241,0))))</f>
        <v>0</v>
      </c>
      <c r="BC241" s="462">
        <f>IF(AND(AT241=3,AK241="E",AV241&gt;=0.75,AW241=1),Health,IF(AND(AT241=3,AK241="E",AV241&gt;=0.75),Health*P241,IF(AND(AT241=3,AK241="E",AV241&gt;=0.5,AW241=1),PTHealth,IF(AND(AT241=3,AK241="E",AV241&gt;=0.5),PTHealth*P241,0))))</f>
        <v>0</v>
      </c>
      <c r="BD241" s="462">
        <f>IF(AND(AT241&lt;&gt;0,AX241&gt;=MAXSSDI),SSDI*MAXSSDI*P241,IF(AT241&lt;&gt;0,SSDI*W241,0))</f>
        <v>0</v>
      </c>
      <c r="BE241" s="462">
        <f>IF(AT241&lt;&gt;0,SSHI*W241,0)</f>
        <v>0</v>
      </c>
      <c r="BF241" s="462">
        <f>IF(AND(AT241&lt;&gt;0,AN241&lt;&gt;"NE"),VLOOKUP(AN241,Retirement_Rates,3,FALSE)*W241,0)</f>
        <v>0</v>
      </c>
      <c r="BG241" s="462">
        <f>IF(AND(AT241&lt;&gt;0,AJ241&lt;&gt;"PF"),Life*W241,0)</f>
        <v>0</v>
      </c>
      <c r="BH241" s="462">
        <f>IF(AND(AT241&lt;&gt;0,AM241="Y"),UI*W241,0)</f>
        <v>0</v>
      </c>
      <c r="BI241" s="462">
        <f>IF(AND(AT241&lt;&gt;0,N241&lt;&gt;"NR"),DHR*W241,0)</f>
        <v>0</v>
      </c>
      <c r="BJ241" s="462">
        <f>IF(AT241&lt;&gt;0,WC*W241,0)</f>
        <v>0</v>
      </c>
      <c r="BK241" s="462">
        <f>IF(OR(AND(AT241&lt;&gt;0,AJ241&lt;&gt;"PF",AN241&lt;&gt;"NE",AG241&lt;&gt;"A"),AND(AL241="E",OR(AT241=1,AT241=3))),Sick*W241,0)</f>
        <v>0</v>
      </c>
      <c r="BL241" s="462">
        <f t="shared" si="56"/>
        <v>0</v>
      </c>
      <c r="BM241" s="462">
        <f t="shared" si="57"/>
        <v>0</v>
      </c>
      <c r="BN241" s="462">
        <f>IF(AND(AT241=1,AK241="E",AU241&gt;=0.75,AW241=1),HealthBY,IF(AND(AT241=1,AK241="E",AU241&gt;=0.75),HealthBY*P241,IF(AND(AT241=1,AK241="E",AU241&gt;=0.5,AW241=1),PTHealthBY,IF(AND(AT241=1,AK241="E",AU241&gt;=0.5),PTHealthBY*P241,0))))</f>
        <v>0</v>
      </c>
      <c r="BO241" s="462">
        <f>IF(AND(AT241=3,AK241="E",AV241&gt;=0.75,AW241=1),HealthBY,IF(AND(AT241=3,AK241="E",AV241&gt;=0.75),HealthBY*P241,IF(AND(AT241=3,AK241="E",AV241&gt;=0.5,AW241=1),PTHealthBY,IF(AND(AT241=3,AK241="E",AV241&gt;=0.5),PTHealthBY*P241,0))))</f>
        <v>0</v>
      </c>
      <c r="BP241" s="462">
        <f>IF(AND(AT241&lt;&gt;0,(AX241+BA241)&gt;=MAXSSDIBY),SSDIBY*MAXSSDIBY*P241,IF(AT241&lt;&gt;0,SSDIBY*W241,0))</f>
        <v>0</v>
      </c>
      <c r="BQ241" s="462">
        <f>IF(AT241&lt;&gt;0,SSHIBY*W241,0)</f>
        <v>0</v>
      </c>
      <c r="BR241" s="462">
        <f>IF(AND(AT241&lt;&gt;0,AN241&lt;&gt;"NE"),VLOOKUP(AN241,Retirement_Rates,4,FALSE)*W241,0)</f>
        <v>0</v>
      </c>
      <c r="BS241" s="462">
        <f>IF(AND(AT241&lt;&gt;0,AJ241&lt;&gt;"PF"),LifeBY*W241,0)</f>
        <v>0</v>
      </c>
      <c r="BT241" s="462">
        <f>IF(AND(AT241&lt;&gt;0,AM241="Y"),UIBY*W241,0)</f>
        <v>0</v>
      </c>
      <c r="BU241" s="462">
        <f>IF(AND(AT241&lt;&gt;0,N241&lt;&gt;"NR"),DHRBY*W241,0)</f>
        <v>0</v>
      </c>
      <c r="BV241" s="462">
        <f>IF(AT241&lt;&gt;0,WCBY*W241,0)</f>
        <v>0</v>
      </c>
      <c r="BW241" s="462">
        <f>IF(OR(AND(AT241&lt;&gt;0,AJ241&lt;&gt;"PF",AN241&lt;&gt;"NE",AG241&lt;&gt;"A"),AND(AL241="E",OR(AT241=1,AT241=3))),SickBY*W241,0)</f>
        <v>0</v>
      </c>
      <c r="BX241" s="462">
        <f t="shared" si="58"/>
        <v>0</v>
      </c>
      <c r="BY241" s="462">
        <f t="shared" si="59"/>
        <v>0</v>
      </c>
      <c r="BZ241" s="462">
        <f t="shared" si="60"/>
        <v>0</v>
      </c>
      <c r="CA241" s="462">
        <f t="shared" si="61"/>
        <v>0</v>
      </c>
      <c r="CB241" s="462">
        <f t="shared" si="62"/>
        <v>0</v>
      </c>
      <c r="CC241" s="462">
        <f>IF(AT241&lt;&gt;0,SSHICHG*Y241,0)</f>
        <v>0</v>
      </c>
      <c r="CD241" s="462">
        <f>IF(AND(AT241&lt;&gt;0,AN241&lt;&gt;"NE"),VLOOKUP(AN241,Retirement_Rates,5,FALSE)*Y241,0)</f>
        <v>0</v>
      </c>
      <c r="CE241" s="462">
        <f>IF(AND(AT241&lt;&gt;0,AJ241&lt;&gt;"PF"),LifeCHG*Y241,0)</f>
        <v>0</v>
      </c>
      <c r="CF241" s="462">
        <f>IF(AND(AT241&lt;&gt;0,AM241="Y"),UICHG*Y241,0)</f>
        <v>0</v>
      </c>
      <c r="CG241" s="462">
        <f>IF(AND(AT241&lt;&gt;0,N241&lt;&gt;"NR"),DHRCHG*Y241,0)</f>
        <v>0</v>
      </c>
      <c r="CH241" s="462">
        <f>IF(AT241&lt;&gt;0,WCCHG*Y241,0)</f>
        <v>0</v>
      </c>
      <c r="CI241" s="462">
        <f>IF(OR(AND(AT241&lt;&gt;0,AJ241&lt;&gt;"PF",AN241&lt;&gt;"NE",AG241&lt;&gt;"A"),AND(AL241="E",OR(AT241=1,AT241=3))),SickCHG*Y241,0)</f>
        <v>0</v>
      </c>
      <c r="CJ241" s="462">
        <f t="shared" si="63"/>
        <v>0</v>
      </c>
      <c r="CK241" s="462" t="str">
        <f t="shared" si="64"/>
        <v/>
      </c>
      <c r="CL241" s="462">
        <f t="shared" si="65"/>
        <v>0</v>
      </c>
      <c r="CM241" s="462">
        <f t="shared" si="66"/>
        <v>0</v>
      </c>
      <c r="CN241" s="462" t="str">
        <f t="shared" si="67"/>
        <v>0001-00</v>
      </c>
    </row>
    <row r="242" spans="1:92" ht="15" thickBot="1" x14ac:dyDescent="0.35">
      <c r="A242" s="376" t="s">
        <v>161</v>
      </c>
      <c r="B242" s="376" t="s">
        <v>162</v>
      </c>
      <c r="C242" s="376" t="s">
        <v>838</v>
      </c>
      <c r="D242" s="376" t="s">
        <v>365</v>
      </c>
      <c r="E242" s="376" t="s">
        <v>165</v>
      </c>
      <c r="F242" s="377" t="s">
        <v>166</v>
      </c>
      <c r="G242" s="376" t="s">
        <v>762</v>
      </c>
      <c r="H242" s="378"/>
      <c r="I242" s="378"/>
      <c r="J242" s="376" t="s">
        <v>168</v>
      </c>
      <c r="K242" s="376" t="s">
        <v>366</v>
      </c>
      <c r="L242" s="376" t="s">
        <v>274</v>
      </c>
      <c r="M242" s="376" t="s">
        <v>170</v>
      </c>
      <c r="N242" s="376" t="s">
        <v>202</v>
      </c>
      <c r="O242" s="379">
        <v>1</v>
      </c>
      <c r="P242" s="460">
        <v>0</v>
      </c>
      <c r="Q242" s="460">
        <v>0</v>
      </c>
      <c r="R242" s="380">
        <v>80</v>
      </c>
      <c r="S242" s="460">
        <v>0</v>
      </c>
      <c r="T242" s="380">
        <v>32454.39</v>
      </c>
      <c r="U242" s="380">
        <v>0</v>
      </c>
      <c r="V242" s="380">
        <v>16304.04</v>
      </c>
      <c r="W242" s="380">
        <v>0</v>
      </c>
      <c r="X242" s="380">
        <v>0</v>
      </c>
      <c r="Y242" s="380">
        <v>0</v>
      </c>
      <c r="Z242" s="380">
        <v>0</v>
      </c>
      <c r="AA242" s="376" t="s">
        <v>839</v>
      </c>
      <c r="AB242" s="376" t="s">
        <v>840</v>
      </c>
      <c r="AC242" s="376" t="s">
        <v>401</v>
      </c>
      <c r="AD242" s="376" t="s">
        <v>247</v>
      </c>
      <c r="AE242" s="376" t="s">
        <v>366</v>
      </c>
      <c r="AF242" s="376" t="s">
        <v>279</v>
      </c>
      <c r="AG242" s="376" t="s">
        <v>177</v>
      </c>
      <c r="AH242" s="381">
        <v>19.23</v>
      </c>
      <c r="AI242" s="381">
        <v>43952.3</v>
      </c>
      <c r="AJ242" s="376" t="s">
        <v>178</v>
      </c>
      <c r="AK242" s="376" t="s">
        <v>179</v>
      </c>
      <c r="AL242" s="376" t="s">
        <v>180</v>
      </c>
      <c r="AM242" s="376" t="s">
        <v>181</v>
      </c>
      <c r="AN242" s="376" t="s">
        <v>68</v>
      </c>
      <c r="AO242" s="379">
        <v>80</v>
      </c>
      <c r="AP242" s="460">
        <v>1</v>
      </c>
      <c r="AQ242" s="460">
        <v>0</v>
      </c>
      <c r="AR242" s="458" t="s">
        <v>182</v>
      </c>
      <c r="AS242" s="462">
        <f t="shared" si="51"/>
        <v>0</v>
      </c>
      <c r="AT242">
        <f t="shared" si="52"/>
        <v>0</v>
      </c>
      <c r="AU242" s="462" t="str">
        <f>IF(AT242=0,"",IF(AND(AT242=1,M242="F",SUMIF(C2:C698,C242,AS2:AS698)&lt;=1),SUMIF(C2:C698,C242,AS2:AS698),IF(AND(AT242=1,M242="F",SUMIF(C2:C698,C242,AS2:AS698)&gt;1),1,"")))</f>
        <v/>
      </c>
      <c r="AV242" s="462" t="str">
        <f>IF(AT242=0,"",IF(AND(AT242=3,M242="F",SUMIF(C2:C698,C242,AS2:AS698)&lt;=1),SUMIF(C2:C698,C242,AS2:AS698),IF(AND(AT242=3,M242="F",SUMIF(C2:C698,C242,AS2:AS698)&gt;1),1,"")))</f>
        <v/>
      </c>
      <c r="AW242" s="462">
        <f>SUMIF(C2:C698,C242,O2:O698)</f>
        <v>2</v>
      </c>
      <c r="AX242" s="462">
        <f>IF(AND(M242="F",AS242&lt;&gt;0),SUMIF(C2:C698,C242,W2:W698),0)</f>
        <v>0</v>
      </c>
      <c r="AY242" s="462" t="str">
        <f t="shared" si="53"/>
        <v/>
      </c>
      <c r="AZ242" s="462" t="str">
        <f t="shared" si="54"/>
        <v/>
      </c>
      <c r="BA242" s="462">
        <f t="shared" si="55"/>
        <v>0</v>
      </c>
      <c r="BB242" s="462">
        <f>IF(AND(AT242=1,AK242="E",AU242&gt;=0.75,AW242=1),Health,IF(AND(AT242=1,AK242="E",AU242&gt;=0.75),Health*P242,IF(AND(AT242=1,AK242="E",AU242&gt;=0.5,AW242=1),PTHealth,IF(AND(AT242=1,AK242="E",AU242&gt;=0.5),PTHealth*P242,0))))</f>
        <v>0</v>
      </c>
      <c r="BC242" s="462">
        <f>IF(AND(AT242=3,AK242="E",AV242&gt;=0.75,AW242=1),Health,IF(AND(AT242=3,AK242="E",AV242&gt;=0.75),Health*P242,IF(AND(AT242=3,AK242="E",AV242&gt;=0.5,AW242=1),PTHealth,IF(AND(AT242=3,AK242="E",AV242&gt;=0.5),PTHealth*P242,0))))</f>
        <v>0</v>
      </c>
      <c r="BD242" s="462">
        <f>IF(AND(AT242&lt;&gt;0,AX242&gt;=MAXSSDI),SSDI*MAXSSDI*P242,IF(AT242&lt;&gt;0,SSDI*W242,0))</f>
        <v>0</v>
      </c>
      <c r="BE242" s="462">
        <f>IF(AT242&lt;&gt;0,SSHI*W242,0)</f>
        <v>0</v>
      </c>
      <c r="BF242" s="462">
        <f>IF(AND(AT242&lt;&gt;0,AN242&lt;&gt;"NE"),VLOOKUP(AN242,Retirement_Rates,3,FALSE)*W242,0)</f>
        <v>0</v>
      </c>
      <c r="BG242" s="462">
        <f>IF(AND(AT242&lt;&gt;0,AJ242&lt;&gt;"PF"),Life*W242,0)</f>
        <v>0</v>
      </c>
      <c r="BH242" s="462">
        <f>IF(AND(AT242&lt;&gt;0,AM242="Y"),UI*W242,0)</f>
        <v>0</v>
      </c>
      <c r="BI242" s="462">
        <f>IF(AND(AT242&lt;&gt;0,N242&lt;&gt;"NR"),DHR*W242,0)</f>
        <v>0</v>
      </c>
      <c r="BJ242" s="462">
        <f>IF(AT242&lt;&gt;0,WC*W242,0)</f>
        <v>0</v>
      </c>
      <c r="BK242" s="462">
        <f>IF(OR(AND(AT242&lt;&gt;0,AJ242&lt;&gt;"PF",AN242&lt;&gt;"NE",AG242&lt;&gt;"A"),AND(AL242="E",OR(AT242=1,AT242=3))),Sick*W242,0)</f>
        <v>0</v>
      </c>
      <c r="BL242" s="462">
        <f t="shared" si="56"/>
        <v>0</v>
      </c>
      <c r="BM242" s="462">
        <f t="shared" si="57"/>
        <v>0</v>
      </c>
      <c r="BN242" s="462">
        <f>IF(AND(AT242=1,AK242="E",AU242&gt;=0.75,AW242=1),HealthBY,IF(AND(AT242=1,AK242="E",AU242&gt;=0.75),HealthBY*P242,IF(AND(AT242=1,AK242="E",AU242&gt;=0.5,AW242=1),PTHealthBY,IF(AND(AT242=1,AK242="E",AU242&gt;=0.5),PTHealthBY*P242,0))))</f>
        <v>0</v>
      </c>
      <c r="BO242" s="462">
        <f>IF(AND(AT242=3,AK242="E",AV242&gt;=0.75,AW242=1),HealthBY,IF(AND(AT242=3,AK242="E",AV242&gt;=0.75),HealthBY*P242,IF(AND(AT242=3,AK242="E",AV242&gt;=0.5,AW242=1),PTHealthBY,IF(AND(AT242=3,AK242="E",AV242&gt;=0.5),PTHealthBY*P242,0))))</f>
        <v>0</v>
      </c>
      <c r="BP242" s="462">
        <f>IF(AND(AT242&lt;&gt;0,(AX242+BA242)&gt;=MAXSSDIBY),SSDIBY*MAXSSDIBY*P242,IF(AT242&lt;&gt;0,SSDIBY*W242,0))</f>
        <v>0</v>
      </c>
      <c r="BQ242" s="462">
        <f>IF(AT242&lt;&gt;0,SSHIBY*W242,0)</f>
        <v>0</v>
      </c>
      <c r="BR242" s="462">
        <f>IF(AND(AT242&lt;&gt;0,AN242&lt;&gt;"NE"),VLOOKUP(AN242,Retirement_Rates,4,FALSE)*W242,0)</f>
        <v>0</v>
      </c>
      <c r="BS242" s="462">
        <f>IF(AND(AT242&lt;&gt;0,AJ242&lt;&gt;"PF"),LifeBY*W242,0)</f>
        <v>0</v>
      </c>
      <c r="BT242" s="462">
        <f>IF(AND(AT242&lt;&gt;0,AM242="Y"),UIBY*W242,0)</f>
        <v>0</v>
      </c>
      <c r="BU242" s="462">
        <f>IF(AND(AT242&lt;&gt;0,N242&lt;&gt;"NR"),DHRBY*W242,0)</f>
        <v>0</v>
      </c>
      <c r="BV242" s="462">
        <f>IF(AT242&lt;&gt;0,WCBY*W242,0)</f>
        <v>0</v>
      </c>
      <c r="BW242" s="462">
        <f>IF(OR(AND(AT242&lt;&gt;0,AJ242&lt;&gt;"PF",AN242&lt;&gt;"NE",AG242&lt;&gt;"A"),AND(AL242="E",OR(AT242=1,AT242=3))),SickBY*W242,0)</f>
        <v>0</v>
      </c>
      <c r="BX242" s="462">
        <f t="shared" si="58"/>
        <v>0</v>
      </c>
      <c r="BY242" s="462">
        <f t="shared" si="59"/>
        <v>0</v>
      </c>
      <c r="BZ242" s="462">
        <f t="shared" si="60"/>
        <v>0</v>
      </c>
      <c r="CA242" s="462">
        <f t="shared" si="61"/>
        <v>0</v>
      </c>
      <c r="CB242" s="462">
        <f t="shared" si="62"/>
        <v>0</v>
      </c>
      <c r="CC242" s="462">
        <f>IF(AT242&lt;&gt;0,SSHICHG*Y242,0)</f>
        <v>0</v>
      </c>
      <c r="CD242" s="462">
        <f>IF(AND(AT242&lt;&gt;0,AN242&lt;&gt;"NE"),VLOOKUP(AN242,Retirement_Rates,5,FALSE)*Y242,0)</f>
        <v>0</v>
      </c>
      <c r="CE242" s="462">
        <f>IF(AND(AT242&lt;&gt;0,AJ242&lt;&gt;"PF"),LifeCHG*Y242,0)</f>
        <v>0</v>
      </c>
      <c r="CF242" s="462">
        <f>IF(AND(AT242&lt;&gt;0,AM242="Y"),UICHG*Y242,0)</f>
        <v>0</v>
      </c>
      <c r="CG242" s="462">
        <f>IF(AND(AT242&lt;&gt;0,N242&lt;&gt;"NR"),DHRCHG*Y242,0)</f>
        <v>0</v>
      </c>
      <c r="CH242" s="462">
        <f>IF(AT242&lt;&gt;0,WCCHG*Y242,0)</f>
        <v>0</v>
      </c>
      <c r="CI242" s="462">
        <f>IF(OR(AND(AT242&lt;&gt;0,AJ242&lt;&gt;"PF",AN242&lt;&gt;"NE",AG242&lt;&gt;"A"),AND(AL242="E",OR(AT242=1,AT242=3))),SickCHG*Y242,0)</f>
        <v>0</v>
      </c>
      <c r="CJ242" s="462">
        <f t="shared" si="63"/>
        <v>0</v>
      </c>
      <c r="CK242" s="462" t="str">
        <f t="shared" si="64"/>
        <v/>
      </c>
      <c r="CL242" s="462" t="str">
        <f t="shared" si="65"/>
        <v/>
      </c>
      <c r="CM242" s="462" t="str">
        <f t="shared" si="66"/>
        <v/>
      </c>
      <c r="CN242" s="462" t="str">
        <f t="shared" si="67"/>
        <v>0001-00</v>
      </c>
    </row>
    <row r="243" spans="1:92" ht="15" thickBot="1" x14ac:dyDescent="0.35">
      <c r="A243" s="376" t="s">
        <v>161</v>
      </c>
      <c r="B243" s="376" t="s">
        <v>162</v>
      </c>
      <c r="C243" s="376" t="s">
        <v>841</v>
      </c>
      <c r="D243" s="376" t="s">
        <v>365</v>
      </c>
      <c r="E243" s="376" t="s">
        <v>165</v>
      </c>
      <c r="F243" s="377" t="s">
        <v>166</v>
      </c>
      <c r="G243" s="376" t="s">
        <v>762</v>
      </c>
      <c r="H243" s="378"/>
      <c r="I243" s="378"/>
      <c r="J243" s="376" t="s">
        <v>547</v>
      </c>
      <c r="K243" s="376" t="s">
        <v>366</v>
      </c>
      <c r="L243" s="376" t="s">
        <v>274</v>
      </c>
      <c r="M243" s="376" t="s">
        <v>170</v>
      </c>
      <c r="N243" s="376" t="s">
        <v>202</v>
      </c>
      <c r="O243" s="379">
        <v>1</v>
      </c>
      <c r="P243" s="460">
        <v>0.15</v>
      </c>
      <c r="Q243" s="460">
        <v>0.15</v>
      </c>
      <c r="R243" s="380">
        <v>80</v>
      </c>
      <c r="S243" s="460">
        <v>0.15</v>
      </c>
      <c r="T243" s="380">
        <v>5341.73</v>
      </c>
      <c r="U243" s="380">
        <v>0</v>
      </c>
      <c r="V243" s="380">
        <v>2810.18</v>
      </c>
      <c r="W243" s="380">
        <v>5759.52</v>
      </c>
      <c r="X243" s="380">
        <v>3051.27</v>
      </c>
      <c r="Y243" s="380">
        <v>5759.52</v>
      </c>
      <c r="Z243" s="380">
        <v>3036.3</v>
      </c>
      <c r="AA243" s="376" t="s">
        <v>842</v>
      </c>
      <c r="AB243" s="376" t="s">
        <v>843</v>
      </c>
      <c r="AC243" s="376" t="s">
        <v>844</v>
      </c>
      <c r="AD243" s="376" t="s">
        <v>278</v>
      </c>
      <c r="AE243" s="376" t="s">
        <v>366</v>
      </c>
      <c r="AF243" s="376" t="s">
        <v>279</v>
      </c>
      <c r="AG243" s="376" t="s">
        <v>177</v>
      </c>
      <c r="AH243" s="381">
        <v>18.46</v>
      </c>
      <c r="AI243" s="381">
        <v>28262.7</v>
      </c>
      <c r="AJ243" s="376" t="s">
        <v>178</v>
      </c>
      <c r="AK243" s="376" t="s">
        <v>179</v>
      </c>
      <c r="AL243" s="376" t="s">
        <v>180</v>
      </c>
      <c r="AM243" s="376" t="s">
        <v>181</v>
      </c>
      <c r="AN243" s="376" t="s">
        <v>68</v>
      </c>
      <c r="AO243" s="379">
        <v>80</v>
      </c>
      <c r="AP243" s="460">
        <v>1</v>
      </c>
      <c r="AQ243" s="460">
        <v>0.15</v>
      </c>
      <c r="AR243" s="458" t="s">
        <v>182</v>
      </c>
      <c r="AS243" s="462">
        <f t="shared" si="51"/>
        <v>0.15</v>
      </c>
      <c r="AT243">
        <f t="shared" si="52"/>
        <v>1</v>
      </c>
      <c r="AU243" s="462">
        <f>IF(AT243=0,"",IF(AND(AT243=1,M243="F",SUMIF(C2:C698,C243,AS2:AS698)&lt;=1),SUMIF(C2:C698,C243,AS2:AS698),IF(AND(AT243=1,M243="F",SUMIF(C2:C698,C243,AS2:AS698)&gt;1),1,"")))</f>
        <v>1</v>
      </c>
      <c r="AV243" s="462" t="str">
        <f>IF(AT243=0,"",IF(AND(AT243=3,M243="F",SUMIF(C2:C698,C243,AS2:AS698)&lt;=1),SUMIF(C2:C698,C243,AS2:AS698),IF(AND(AT243=3,M243="F",SUMIF(C2:C698,C243,AS2:AS698)&gt;1),1,"")))</f>
        <v/>
      </c>
      <c r="AW243" s="462">
        <f>SUMIF(C2:C698,C243,O2:O698)</f>
        <v>3</v>
      </c>
      <c r="AX243" s="462">
        <f>IF(AND(M243="F",AS243&lt;&gt;0),SUMIF(C2:C698,C243,W2:W698),0)</f>
        <v>38396.799999999996</v>
      </c>
      <c r="AY243" s="462">
        <f t="shared" si="53"/>
        <v>5759.52</v>
      </c>
      <c r="AZ243" s="462" t="str">
        <f t="shared" si="54"/>
        <v/>
      </c>
      <c r="BA243" s="462">
        <f t="shared" si="55"/>
        <v>0</v>
      </c>
      <c r="BB243" s="462">
        <f>IF(AND(AT243=1,AK243="E",AU243&gt;=0.75,AW243=1),Health,IF(AND(AT243=1,AK243="E",AU243&gt;=0.75),Health*P243,IF(AND(AT243=1,AK243="E",AU243&gt;=0.5,AW243=1),PTHealth,IF(AND(AT243=1,AK243="E",AU243&gt;=0.5),PTHealth*P243,0))))</f>
        <v>1747.5</v>
      </c>
      <c r="BC243" s="462">
        <f>IF(AND(AT243=3,AK243="E",AV243&gt;=0.75,AW243=1),Health,IF(AND(AT243=3,AK243="E",AV243&gt;=0.75),Health*P243,IF(AND(AT243=3,AK243="E",AV243&gt;=0.5,AW243=1),PTHealth,IF(AND(AT243=3,AK243="E",AV243&gt;=0.5),PTHealth*P243,0))))</f>
        <v>0</v>
      </c>
      <c r="BD243" s="462">
        <f>IF(AND(AT243&lt;&gt;0,AX243&gt;=MAXSSDI),SSDI*MAXSSDI*P243,IF(AT243&lt;&gt;0,SSDI*W243,0))</f>
        <v>357.09024000000005</v>
      </c>
      <c r="BE243" s="462">
        <f>IF(AT243&lt;&gt;0,SSHI*W243,0)</f>
        <v>83.513040000000004</v>
      </c>
      <c r="BF243" s="462">
        <f>IF(AND(AT243&lt;&gt;0,AN243&lt;&gt;"NE"),VLOOKUP(AN243,Retirement_Rates,3,FALSE)*W243,0)</f>
        <v>687.68668800000012</v>
      </c>
      <c r="BG243" s="462">
        <f>IF(AND(AT243&lt;&gt;0,AJ243&lt;&gt;"PF"),Life*W243,0)</f>
        <v>41.526139200000003</v>
      </c>
      <c r="BH243" s="462">
        <f>IF(AND(AT243&lt;&gt;0,AM243="Y"),UI*W243,0)</f>
        <v>28.221648000000002</v>
      </c>
      <c r="BI243" s="462">
        <f>IF(AND(AT243&lt;&gt;0,N243&lt;&gt;"NR"),DHR*W243,0)</f>
        <v>17.624131200000001</v>
      </c>
      <c r="BJ243" s="462">
        <f>IF(AT243&lt;&gt;0,WC*W243,0)</f>
        <v>88.120655999999997</v>
      </c>
      <c r="BK243" s="462">
        <f>IF(OR(AND(AT243&lt;&gt;0,AJ243&lt;&gt;"PF",AN243&lt;&gt;"NE",AG243&lt;&gt;"A"),AND(AL243="E",OR(AT243=1,AT243=3))),Sick*W243,0)</f>
        <v>0</v>
      </c>
      <c r="BL243" s="462">
        <f t="shared" si="56"/>
        <v>1303.7825424</v>
      </c>
      <c r="BM243" s="462">
        <f t="shared" si="57"/>
        <v>0</v>
      </c>
      <c r="BN243" s="462">
        <f>IF(AND(AT243=1,AK243="E",AU243&gt;=0.75,AW243=1),HealthBY,IF(AND(AT243=1,AK243="E",AU243&gt;=0.75),HealthBY*P243,IF(AND(AT243=1,AK243="E",AU243&gt;=0.5,AW243=1),PTHealthBY,IF(AND(AT243=1,AK243="E",AU243&gt;=0.5),PTHealthBY*P243,0))))</f>
        <v>1747.5</v>
      </c>
      <c r="BO243" s="462">
        <f>IF(AND(AT243=3,AK243="E",AV243&gt;=0.75,AW243=1),HealthBY,IF(AND(AT243=3,AK243="E",AV243&gt;=0.75),HealthBY*P243,IF(AND(AT243=3,AK243="E",AV243&gt;=0.5,AW243=1),PTHealthBY,IF(AND(AT243=3,AK243="E",AV243&gt;=0.5),PTHealthBY*P243,0))))</f>
        <v>0</v>
      </c>
      <c r="BP243" s="462">
        <f>IF(AND(AT243&lt;&gt;0,(AX243+BA243)&gt;=MAXSSDIBY),SSDIBY*MAXSSDIBY*P243,IF(AT243&lt;&gt;0,SSDIBY*W243,0))</f>
        <v>357.09024000000005</v>
      </c>
      <c r="BQ243" s="462">
        <f>IF(AT243&lt;&gt;0,SSHIBY*W243,0)</f>
        <v>83.513040000000004</v>
      </c>
      <c r="BR243" s="462">
        <f>IF(AND(AT243&lt;&gt;0,AN243&lt;&gt;"NE"),VLOOKUP(AN243,Retirement_Rates,4,FALSE)*W243,0)</f>
        <v>687.68668800000012</v>
      </c>
      <c r="BS243" s="462">
        <f>IF(AND(AT243&lt;&gt;0,AJ243&lt;&gt;"PF"),LifeBY*W243,0)</f>
        <v>41.526139200000003</v>
      </c>
      <c r="BT243" s="462">
        <f>IF(AND(AT243&lt;&gt;0,AM243="Y"),UIBY*W243,0)</f>
        <v>0</v>
      </c>
      <c r="BU243" s="462">
        <f>IF(AND(AT243&lt;&gt;0,N243&lt;&gt;"NR"),DHRBY*W243,0)</f>
        <v>17.624131200000001</v>
      </c>
      <c r="BV243" s="462">
        <f>IF(AT243&lt;&gt;0,WCBY*W243,0)</f>
        <v>101.36755200000002</v>
      </c>
      <c r="BW243" s="462">
        <f>IF(OR(AND(AT243&lt;&gt;0,AJ243&lt;&gt;"PF",AN243&lt;&gt;"NE",AG243&lt;&gt;"A"),AND(AL243="E",OR(AT243=1,AT243=3))),SickBY*W243,0)</f>
        <v>0</v>
      </c>
      <c r="BX243" s="462">
        <f t="shared" si="58"/>
        <v>1288.8077903999999</v>
      </c>
      <c r="BY243" s="462">
        <f t="shared" si="59"/>
        <v>0</v>
      </c>
      <c r="BZ243" s="462">
        <f t="shared" si="60"/>
        <v>0</v>
      </c>
      <c r="CA243" s="462">
        <f t="shared" si="61"/>
        <v>0</v>
      </c>
      <c r="CB243" s="462">
        <f t="shared" si="62"/>
        <v>0</v>
      </c>
      <c r="CC243" s="462">
        <f>IF(AT243&lt;&gt;0,SSHICHG*Y243,0)</f>
        <v>0</v>
      </c>
      <c r="CD243" s="462">
        <f>IF(AND(AT243&lt;&gt;0,AN243&lt;&gt;"NE"),VLOOKUP(AN243,Retirement_Rates,5,FALSE)*Y243,0)</f>
        <v>0</v>
      </c>
      <c r="CE243" s="462">
        <f>IF(AND(AT243&lt;&gt;0,AJ243&lt;&gt;"PF"),LifeCHG*Y243,0)</f>
        <v>0</v>
      </c>
      <c r="CF243" s="462">
        <f>IF(AND(AT243&lt;&gt;0,AM243="Y"),UICHG*Y243,0)</f>
        <v>-28.221648000000002</v>
      </c>
      <c r="CG243" s="462">
        <f>IF(AND(AT243&lt;&gt;0,N243&lt;&gt;"NR"),DHRCHG*Y243,0)</f>
        <v>0</v>
      </c>
      <c r="CH243" s="462">
        <f>IF(AT243&lt;&gt;0,WCCHG*Y243,0)</f>
        <v>13.24689600000001</v>
      </c>
      <c r="CI243" s="462">
        <f>IF(OR(AND(AT243&lt;&gt;0,AJ243&lt;&gt;"PF",AN243&lt;&gt;"NE",AG243&lt;&gt;"A"),AND(AL243="E",OR(AT243=1,AT243=3))),SickCHG*Y243,0)</f>
        <v>0</v>
      </c>
      <c r="CJ243" s="462">
        <f t="shared" si="63"/>
        <v>-14.974751999999992</v>
      </c>
      <c r="CK243" s="462" t="str">
        <f t="shared" si="64"/>
        <v/>
      </c>
      <c r="CL243" s="462" t="str">
        <f t="shared" si="65"/>
        <v/>
      </c>
      <c r="CM243" s="462" t="str">
        <f t="shared" si="66"/>
        <v/>
      </c>
      <c r="CN243" s="462" t="str">
        <f t="shared" si="67"/>
        <v>0001-00</v>
      </c>
    </row>
    <row r="244" spans="1:92" ht="15" thickBot="1" x14ac:dyDescent="0.35">
      <c r="A244" s="376" t="s">
        <v>161</v>
      </c>
      <c r="B244" s="376" t="s">
        <v>162</v>
      </c>
      <c r="C244" s="376" t="s">
        <v>845</v>
      </c>
      <c r="D244" s="376" t="s">
        <v>802</v>
      </c>
      <c r="E244" s="376" t="s">
        <v>165</v>
      </c>
      <c r="F244" s="377" t="s">
        <v>166</v>
      </c>
      <c r="G244" s="376" t="s">
        <v>762</v>
      </c>
      <c r="H244" s="378"/>
      <c r="I244" s="378"/>
      <c r="J244" s="376" t="s">
        <v>168</v>
      </c>
      <c r="K244" s="376" t="s">
        <v>803</v>
      </c>
      <c r="L244" s="376" t="s">
        <v>243</v>
      </c>
      <c r="M244" s="376" t="s">
        <v>170</v>
      </c>
      <c r="N244" s="376" t="s">
        <v>202</v>
      </c>
      <c r="O244" s="379">
        <v>1</v>
      </c>
      <c r="P244" s="460">
        <v>1</v>
      </c>
      <c r="Q244" s="460">
        <v>1</v>
      </c>
      <c r="R244" s="380">
        <v>80</v>
      </c>
      <c r="S244" s="460">
        <v>1</v>
      </c>
      <c r="T244" s="380">
        <v>34922.44</v>
      </c>
      <c r="U244" s="380">
        <v>0</v>
      </c>
      <c r="V244" s="380">
        <v>12500.74</v>
      </c>
      <c r="W244" s="380">
        <v>78083.199999999997</v>
      </c>
      <c r="X244" s="380">
        <v>29325.65</v>
      </c>
      <c r="Y244" s="380">
        <v>78083.199999999997</v>
      </c>
      <c r="Z244" s="380">
        <v>29122.639999999999</v>
      </c>
      <c r="AA244" s="376" t="s">
        <v>846</v>
      </c>
      <c r="AB244" s="376" t="s">
        <v>847</v>
      </c>
      <c r="AC244" s="376" t="s">
        <v>848</v>
      </c>
      <c r="AD244" s="376" t="s">
        <v>220</v>
      </c>
      <c r="AE244" s="376" t="s">
        <v>803</v>
      </c>
      <c r="AF244" s="376" t="s">
        <v>248</v>
      </c>
      <c r="AG244" s="376" t="s">
        <v>177</v>
      </c>
      <c r="AH244" s="381">
        <v>37.54</v>
      </c>
      <c r="AI244" s="379">
        <v>20132</v>
      </c>
      <c r="AJ244" s="376" t="s">
        <v>178</v>
      </c>
      <c r="AK244" s="376" t="s">
        <v>179</v>
      </c>
      <c r="AL244" s="376" t="s">
        <v>180</v>
      </c>
      <c r="AM244" s="376" t="s">
        <v>181</v>
      </c>
      <c r="AN244" s="376" t="s">
        <v>68</v>
      </c>
      <c r="AO244" s="379">
        <v>80</v>
      </c>
      <c r="AP244" s="460">
        <v>1</v>
      </c>
      <c r="AQ244" s="460">
        <v>1</v>
      </c>
      <c r="AR244" s="458" t="s">
        <v>182</v>
      </c>
      <c r="AS244" s="462">
        <f t="shared" si="51"/>
        <v>1</v>
      </c>
      <c r="AT244">
        <f t="shared" si="52"/>
        <v>1</v>
      </c>
      <c r="AU244" s="462">
        <f>IF(AT244=0,"",IF(AND(AT244=1,M244="F",SUMIF(C2:C698,C244,AS2:AS698)&lt;=1),SUMIF(C2:C698,C244,AS2:AS698),IF(AND(AT244=1,M244="F",SUMIF(C2:C698,C244,AS2:AS698)&gt;1),1,"")))</f>
        <v>1</v>
      </c>
      <c r="AV244" s="462" t="str">
        <f>IF(AT244=0,"",IF(AND(AT244=3,M244="F",SUMIF(C2:C698,C244,AS2:AS698)&lt;=1),SUMIF(C2:C698,C244,AS2:AS698),IF(AND(AT244=3,M244="F",SUMIF(C2:C698,C244,AS2:AS698)&gt;1),1,"")))</f>
        <v/>
      </c>
      <c r="AW244" s="462">
        <f>SUMIF(C2:C698,C244,O2:O698)</f>
        <v>2</v>
      </c>
      <c r="AX244" s="462">
        <f>IF(AND(M244="F",AS244&lt;&gt;0),SUMIF(C2:C698,C244,W2:W698),0)</f>
        <v>78083.199999999997</v>
      </c>
      <c r="AY244" s="462">
        <f t="shared" si="53"/>
        <v>78083.199999999997</v>
      </c>
      <c r="AZ244" s="462" t="str">
        <f t="shared" si="54"/>
        <v/>
      </c>
      <c r="BA244" s="462">
        <f t="shared" si="55"/>
        <v>0</v>
      </c>
      <c r="BB244" s="462">
        <f>IF(AND(AT244=1,AK244="E",AU244&gt;=0.75,AW244=1),Health,IF(AND(AT244=1,AK244="E",AU244&gt;=0.75),Health*P244,IF(AND(AT244=1,AK244="E",AU244&gt;=0.5,AW244=1),PTHealth,IF(AND(AT244=1,AK244="E",AU244&gt;=0.5),PTHealth*P244,0))))</f>
        <v>11650</v>
      </c>
      <c r="BC244" s="462">
        <f>IF(AND(AT244=3,AK244="E",AV244&gt;=0.75,AW244=1),Health,IF(AND(AT244=3,AK244="E",AV244&gt;=0.75),Health*P244,IF(AND(AT244=3,AK244="E",AV244&gt;=0.5,AW244=1),PTHealth,IF(AND(AT244=3,AK244="E",AV244&gt;=0.5),PTHealth*P244,0))))</f>
        <v>0</v>
      </c>
      <c r="BD244" s="462">
        <f>IF(AND(AT244&lt;&gt;0,AX244&gt;=MAXSSDI),SSDI*MAXSSDI*P244,IF(AT244&lt;&gt;0,SSDI*W244,0))</f>
        <v>4841.1583999999993</v>
      </c>
      <c r="BE244" s="462">
        <f>IF(AT244&lt;&gt;0,SSHI*W244,0)</f>
        <v>1132.2064</v>
      </c>
      <c r="BF244" s="462">
        <f>IF(AND(AT244&lt;&gt;0,AN244&lt;&gt;"NE"),VLOOKUP(AN244,Retirement_Rates,3,FALSE)*W244,0)</f>
        <v>9323.1340799999998</v>
      </c>
      <c r="BG244" s="462">
        <f>IF(AND(AT244&lt;&gt;0,AJ244&lt;&gt;"PF"),Life*W244,0)</f>
        <v>562.979872</v>
      </c>
      <c r="BH244" s="462">
        <f>IF(AND(AT244&lt;&gt;0,AM244="Y"),UI*W244,0)</f>
        <v>382.60767999999996</v>
      </c>
      <c r="BI244" s="462">
        <f>IF(AND(AT244&lt;&gt;0,N244&lt;&gt;"NR"),DHR*W244,0)</f>
        <v>238.93459199999998</v>
      </c>
      <c r="BJ244" s="462">
        <f>IF(AT244&lt;&gt;0,WC*W244,0)</f>
        <v>1194.6729599999999</v>
      </c>
      <c r="BK244" s="462">
        <f>IF(OR(AND(AT244&lt;&gt;0,AJ244&lt;&gt;"PF",AN244&lt;&gt;"NE",AG244&lt;&gt;"A"),AND(AL244="E",OR(AT244=1,AT244=3))),Sick*W244,0)</f>
        <v>0</v>
      </c>
      <c r="BL244" s="462">
        <f t="shared" si="56"/>
        <v>17675.693983999998</v>
      </c>
      <c r="BM244" s="462">
        <f t="shared" si="57"/>
        <v>0</v>
      </c>
      <c r="BN244" s="462">
        <f>IF(AND(AT244=1,AK244="E",AU244&gt;=0.75,AW244=1),HealthBY,IF(AND(AT244=1,AK244="E",AU244&gt;=0.75),HealthBY*P244,IF(AND(AT244=1,AK244="E",AU244&gt;=0.5,AW244=1),PTHealthBY,IF(AND(AT244=1,AK244="E",AU244&gt;=0.5),PTHealthBY*P244,0))))</f>
        <v>11650</v>
      </c>
      <c r="BO244" s="462">
        <f>IF(AND(AT244=3,AK244="E",AV244&gt;=0.75,AW244=1),HealthBY,IF(AND(AT244=3,AK244="E",AV244&gt;=0.75),HealthBY*P244,IF(AND(AT244=3,AK244="E",AV244&gt;=0.5,AW244=1),PTHealthBY,IF(AND(AT244=3,AK244="E",AV244&gt;=0.5),PTHealthBY*P244,0))))</f>
        <v>0</v>
      </c>
      <c r="BP244" s="462">
        <f>IF(AND(AT244&lt;&gt;0,(AX244+BA244)&gt;=MAXSSDIBY),SSDIBY*MAXSSDIBY*P244,IF(AT244&lt;&gt;0,SSDIBY*W244,0))</f>
        <v>4841.1583999999993</v>
      </c>
      <c r="BQ244" s="462">
        <f>IF(AT244&lt;&gt;0,SSHIBY*W244,0)</f>
        <v>1132.2064</v>
      </c>
      <c r="BR244" s="462">
        <f>IF(AND(AT244&lt;&gt;0,AN244&lt;&gt;"NE"),VLOOKUP(AN244,Retirement_Rates,4,FALSE)*W244,0)</f>
        <v>9323.1340799999998</v>
      </c>
      <c r="BS244" s="462">
        <f>IF(AND(AT244&lt;&gt;0,AJ244&lt;&gt;"PF"),LifeBY*W244,0)</f>
        <v>562.979872</v>
      </c>
      <c r="BT244" s="462">
        <f>IF(AND(AT244&lt;&gt;0,AM244="Y"),UIBY*W244,0)</f>
        <v>0</v>
      </c>
      <c r="BU244" s="462">
        <f>IF(AND(AT244&lt;&gt;0,N244&lt;&gt;"NR"),DHRBY*W244,0)</f>
        <v>238.93459199999998</v>
      </c>
      <c r="BV244" s="462">
        <f>IF(AT244&lt;&gt;0,WCBY*W244,0)</f>
        <v>1374.26432</v>
      </c>
      <c r="BW244" s="462">
        <f>IF(OR(AND(AT244&lt;&gt;0,AJ244&lt;&gt;"PF",AN244&lt;&gt;"NE",AG244&lt;&gt;"A"),AND(AL244="E",OR(AT244=1,AT244=3))),SickBY*W244,0)</f>
        <v>0</v>
      </c>
      <c r="BX244" s="462">
        <f t="shared" si="58"/>
        <v>17472.677663999999</v>
      </c>
      <c r="BY244" s="462">
        <f t="shared" si="59"/>
        <v>0</v>
      </c>
      <c r="BZ244" s="462">
        <f t="shared" si="60"/>
        <v>0</v>
      </c>
      <c r="CA244" s="462">
        <f t="shared" si="61"/>
        <v>0</v>
      </c>
      <c r="CB244" s="462">
        <f t="shared" si="62"/>
        <v>0</v>
      </c>
      <c r="CC244" s="462">
        <f>IF(AT244&lt;&gt;0,SSHICHG*Y244,0)</f>
        <v>0</v>
      </c>
      <c r="CD244" s="462">
        <f>IF(AND(AT244&lt;&gt;0,AN244&lt;&gt;"NE"),VLOOKUP(AN244,Retirement_Rates,5,FALSE)*Y244,0)</f>
        <v>0</v>
      </c>
      <c r="CE244" s="462">
        <f>IF(AND(AT244&lt;&gt;0,AJ244&lt;&gt;"PF"),LifeCHG*Y244,0)</f>
        <v>0</v>
      </c>
      <c r="CF244" s="462">
        <f>IF(AND(AT244&lt;&gt;0,AM244="Y"),UICHG*Y244,0)</f>
        <v>-382.60767999999996</v>
      </c>
      <c r="CG244" s="462">
        <f>IF(AND(AT244&lt;&gt;0,N244&lt;&gt;"NR"),DHRCHG*Y244,0)</f>
        <v>0</v>
      </c>
      <c r="CH244" s="462">
        <f>IF(AT244&lt;&gt;0,WCCHG*Y244,0)</f>
        <v>179.59136000000012</v>
      </c>
      <c r="CI244" s="462">
        <f>IF(OR(AND(AT244&lt;&gt;0,AJ244&lt;&gt;"PF",AN244&lt;&gt;"NE",AG244&lt;&gt;"A"),AND(AL244="E",OR(AT244=1,AT244=3))),SickCHG*Y244,0)</f>
        <v>0</v>
      </c>
      <c r="CJ244" s="462">
        <f t="shared" si="63"/>
        <v>-203.01631999999984</v>
      </c>
      <c r="CK244" s="462" t="str">
        <f t="shared" si="64"/>
        <v/>
      </c>
      <c r="CL244" s="462" t="str">
        <f t="shared" si="65"/>
        <v/>
      </c>
      <c r="CM244" s="462" t="str">
        <f t="shared" si="66"/>
        <v/>
      </c>
      <c r="CN244" s="462" t="str">
        <f t="shared" si="67"/>
        <v>0001-00</v>
      </c>
    </row>
    <row r="245" spans="1:92" ht="15" thickBot="1" x14ac:dyDescent="0.35">
      <c r="A245" s="376" t="s">
        <v>161</v>
      </c>
      <c r="B245" s="376" t="s">
        <v>162</v>
      </c>
      <c r="C245" s="376" t="s">
        <v>849</v>
      </c>
      <c r="D245" s="376" t="s">
        <v>362</v>
      </c>
      <c r="E245" s="376" t="s">
        <v>165</v>
      </c>
      <c r="F245" s="377" t="s">
        <v>166</v>
      </c>
      <c r="G245" s="376" t="s">
        <v>762</v>
      </c>
      <c r="H245" s="378"/>
      <c r="I245" s="378"/>
      <c r="J245" s="376" t="s">
        <v>782</v>
      </c>
      <c r="K245" s="376" t="s">
        <v>363</v>
      </c>
      <c r="L245" s="376" t="s">
        <v>200</v>
      </c>
      <c r="M245" s="376" t="s">
        <v>170</v>
      </c>
      <c r="N245" s="376" t="s">
        <v>202</v>
      </c>
      <c r="O245" s="379">
        <v>1</v>
      </c>
      <c r="P245" s="460">
        <v>0.05</v>
      </c>
      <c r="Q245" s="460">
        <v>0.05</v>
      </c>
      <c r="R245" s="380">
        <v>80</v>
      </c>
      <c r="S245" s="460">
        <v>0.05</v>
      </c>
      <c r="T245" s="380">
        <v>2137.5100000000002</v>
      </c>
      <c r="U245" s="380">
        <v>0</v>
      </c>
      <c r="V245" s="380">
        <v>1053.97</v>
      </c>
      <c r="W245" s="380">
        <v>2340</v>
      </c>
      <c r="X245" s="380">
        <v>1112.2</v>
      </c>
      <c r="Y245" s="380">
        <v>2340</v>
      </c>
      <c r="Z245" s="380">
        <v>1106.1199999999999</v>
      </c>
      <c r="AA245" s="376" t="s">
        <v>850</v>
      </c>
      <c r="AB245" s="376" t="s">
        <v>851</v>
      </c>
      <c r="AC245" s="376" t="s">
        <v>529</v>
      </c>
      <c r="AD245" s="376" t="s">
        <v>278</v>
      </c>
      <c r="AE245" s="376" t="s">
        <v>363</v>
      </c>
      <c r="AF245" s="376" t="s">
        <v>210</v>
      </c>
      <c r="AG245" s="376" t="s">
        <v>177</v>
      </c>
      <c r="AH245" s="381">
        <v>22.5</v>
      </c>
      <c r="AI245" s="381">
        <v>13789.6</v>
      </c>
      <c r="AJ245" s="376" t="s">
        <v>178</v>
      </c>
      <c r="AK245" s="376" t="s">
        <v>179</v>
      </c>
      <c r="AL245" s="376" t="s">
        <v>180</v>
      </c>
      <c r="AM245" s="376" t="s">
        <v>181</v>
      </c>
      <c r="AN245" s="376" t="s">
        <v>68</v>
      </c>
      <c r="AO245" s="379">
        <v>80</v>
      </c>
      <c r="AP245" s="460">
        <v>1</v>
      </c>
      <c r="AQ245" s="460">
        <v>0.05</v>
      </c>
      <c r="AR245" s="458" t="s">
        <v>182</v>
      </c>
      <c r="AS245" s="462">
        <f t="shared" si="51"/>
        <v>0.05</v>
      </c>
      <c r="AT245">
        <f t="shared" si="52"/>
        <v>1</v>
      </c>
      <c r="AU245" s="462">
        <f>IF(AT245=0,"",IF(AND(AT245=1,M245="F",SUMIF(C2:C698,C245,AS2:AS698)&lt;=1),SUMIF(C2:C698,C245,AS2:AS698),IF(AND(AT245=1,M245="F",SUMIF(C2:C698,C245,AS2:AS698)&gt;1),1,"")))</f>
        <v>1</v>
      </c>
      <c r="AV245" s="462" t="str">
        <f>IF(AT245=0,"",IF(AND(AT245=3,M245="F",SUMIF(C2:C698,C245,AS2:AS698)&lt;=1),SUMIF(C2:C698,C245,AS2:AS698),IF(AND(AT245=3,M245="F",SUMIF(C2:C698,C245,AS2:AS698)&gt;1),1,"")))</f>
        <v/>
      </c>
      <c r="AW245" s="462">
        <f>SUMIF(C2:C698,C245,O2:O698)</f>
        <v>7</v>
      </c>
      <c r="AX245" s="462">
        <f>IF(AND(M245="F",AS245&lt;&gt;0),SUMIF(C2:C698,C245,W2:W698),0)</f>
        <v>46800</v>
      </c>
      <c r="AY245" s="462">
        <f t="shared" si="53"/>
        <v>2340</v>
      </c>
      <c r="AZ245" s="462" t="str">
        <f t="shared" si="54"/>
        <v/>
      </c>
      <c r="BA245" s="462">
        <f t="shared" si="55"/>
        <v>0</v>
      </c>
      <c r="BB245" s="462">
        <f>IF(AND(AT245=1,AK245="E",AU245&gt;=0.75,AW245=1),Health,IF(AND(AT245=1,AK245="E",AU245&gt;=0.75),Health*P245,IF(AND(AT245=1,AK245="E",AU245&gt;=0.5,AW245=1),PTHealth,IF(AND(AT245=1,AK245="E",AU245&gt;=0.5),PTHealth*P245,0))))</f>
        <v>582.5</v>
      </c>
      <c r="BC245" s="462">
        <f>IF(AND(AT245=3,AK245="E",AV245&gt;=0.75,AW245=1),Health,IF(AND(AT245=3,AK245="E",AV245&gt;=0.75),Health*P245,IF(AND(AT245=3,AK245="E",AV245&gt;=0.5,AW245=1),PTHealth,IF(AND(AT245=3,AK245="E",AV245&gt;=0.5),PTHealth*P245,0))))</f>
        <v>0</v>
      </c>
      <c r="BD245" s="462">
        <f>IF(AND(AT245&lt;&gt;0,AX245&gt;=MAXSSDI),SSDI*MAXSSDI*P245,IF(AT245&lt;&gt;0,SSDI*W245,0))</f>
        <v>145.08000000000001</v>
      </c>
      <c r="BE245" s="462">
        <f>IF(AT245&lt;&gt;0,SSHI*W245,0)</f>
        <v>33.93</v>
      </c>
      <c r="BF245" s="462">
        <f>IF(AND(AT245&lt;&gt;0,AN245&lt;&gt;"NE"),VLOOKUP(AN245,Retirement_Rates,3,FALSE)*W245,0)</f>
        <v>279.39600000000002</v>
      </c>
      <c r="BG245" s="462">
        <f>IF(AND(AT245&lt;&gt;0,AJ245&lt;&gt;"PF"),Life*W245,0)</f>
        <v>16.871400000000001</v>
      </c>
      <c r="BH245" s="462">
        <f>IF(AND(AT245&lt;&gt;0,AM245="Y"),UI*W245,0)</f>
        <v>11.465999999999999</v>
      </c>
      <c r="BI245" s="462">
        <f>IF(AND(AT245&lt;&gt;0,N245&lt;&gt;"NR"),DHR*W245,0)</f>
        <v>7.1603999999999992</v>
      </c>
      <c r="BJ245" s="462">
        <f>IF(AT245&lt;&gt;0,WC*W245,0)</f>
        <v>35.802</v>
      </c>
      <c r="BK245" s="462">
        <f>IF(OR(AND(AT245&lt;&gt;0,AJ245&lt;&gt;"PF",AN245&lt;&gt;"NE",AG245&lt;&gt;"A"),AND(AL245="E",OR(AT245=1,AT245=3))),Sick*W245,0)</f>
        <v>0</v>
      </c>
      <c r="BL245" s="462">
        <f t="shared" si="56"/>
        <v>529.70580000000007</v>
      </c>
      <c r="BM245" s="462">
        <f t="shared" si="57"/>
        <v>0</v>
      </c>
      <c r="BN245" s="462">
        <f>IF(AND(AT245=1,AK245="E",AU245&gt;=0.75,AW245=1),HealthBY,IF(AND(AT245=1,AK245="E",AU245&gt;=0.75),HealthBY*P245,IF(AND(AT245=1,AK245="E",AU245&gt;=0.5,AW245=1),PTHealthBY,IF(AND(AT245=1,AK245="E",AU245&gt;=0.5),PTHealthBY*P245,0))))</f>
        <v>582.5</v>
      </c>
      <c r="BO245" s="462">
        <f>IF(AND(AT245=3,AK245="E",AV245&gt;=0.75,AW245=1),HealthBY,IF(AND(AT245=3,AK245="E",AV245&gt;=0.75),HealthBY*P245,IF(AND(AT245=3,AK245="E",AV245&gt;=0.5,AW245=1),PTHealthBY,IF(AND(AT245=3,AK245="E",AV245&gt;=0.5),PTHealthBY*P245,0))))</f>
        <v>0</v>
      </c>
      <c r="BP245" s="462">
        <f>IF(AND(AT245&lt;&gt;0,(AX245+BA245)&gt;=MAXSSDIBY),SSDIBY*MAXSSDIBY*P245,IF(AT245&lt;&gt;0,SSDIBY*W245,0))</f>
        <v>145.08000000000001</v>
      </c>
      <c r="BQ245" s="462">
        <f>IF(AT245&lt;&gt;0,SSHIBY*W245,0)</f>
        <v>33.93</v>
      </c>
      <c r="BR245" s="462">
        <f>IF(AND(AT245&lt;&gt;0,AN245&lt;&gt;"NE"),VLOOKUP(AN245,Retirement_Rates,4,FALSE)*W245,0)</f>
        <v>279.39600000000002</v>
      </c>
      <c r="BS245" s="462">
        <f>IF(AND(AT245&lt;&gt;0,AJ245&lt;&gt;"PF"),LifeBY*W245,0)</f>
        <v>16.871400000000001</v>
      </c>
      <c r="BT245" s="462">
        <f>IF(AND(AT245&lt;&gt;0,AM245="Y"),UIBY*W245,0)</f>
        <v>0</v>
      </c>
      <c r="BU245" s="462">
        <f>IF(AND(AT245&lt;&gt;0,N245&lt;&gt;"NR"),DHRBY*W245,0)</f>
        <v>7.1603999999999992</v>
      </c>
      <c r="BV245" s="462">
        <f>IF(AT245&lt;&gt;0,WCBY*W245,0)</f>
        <v>41.184000000000005</v>
      </c>
      <c r="BW245" s="462">
        <f>IF(OR(AND(AT245&lt;&gt;0,AJ245&lt;&gt;"PF",AN245&lt;&gt;"NE",AG245&lt;&gt;"A"),AND(AL245="E",OR(AT245=1,AT245=3))),SickBY*W245,0)</f>
        <v>0</v>
      </c>
      <c r="BX245" s="462">
        <f t="shared" si="58"/>
        <v>523.62180000000001</v>
      </c>
      <c r="BY245" s="462">
        <f t="shared" si="59"/>
        <v>0</v>
      </c>
      <c r="BZ245" s="462">
        <f t="shared" si="60"/>
        <v>0</v>
      </c>
      <c r="CA245" s="462">
        <f t="shared" si="61"/>
        <v>0</v>
      </c>
      <c r="CB245" s="462">
        <f t="shared" si="62"/>
        <v>0</v>
      </c>
      <c r="CC245" s="462">
        <f>IF(AT245&lt;&gt;0,SSHICHG*Y245,0)</f>
        <v>0</v>
      </c>
      <c r="CD245" s="462">
        <f>IF(AND(AT245&lt;&gt;0,AN245&lt;&gt;"NE"),VLOOKUP(AN245,Retirement_Rates,5,FALSE)*Y245,0)</f>
        <v>0</v>
      </c>
      <c r="CE245" s="462">
        <f>IF(AND(AT245&lt;&gt;0,AJ245&lt;&gt;"PF"),LifeCHG*Y245,0)</f>
        <v>0</v>
      </c>
      <c r="CF245" s="462">
        <f>IF(AND(AT245&lt;&gt;0,AM245="Y"),UICHG*Y245,0)</f>
        <v>-11.465999999999999</v>
      </c>
      <c r="CG245" s="462">
        <f>IF(AND(AT245&lt;&gt;0,N245&lt;&gt;"NR"),DHRCHG*Y245,0)</f>
        <v>0</v>
      </c>
      <c r="CH245" s="462">
        <f>IF(AT245&lt;&gt;0,WCCHG*Y245,0)</f>
        <v>5.3820000000000041</v>
      </c>
      <c r="CI245" s="462">
        <f>IF(OR(AND(AT245&lt;&gt;0,AJ245&lt;&gt;"PF",AN245&lt;&gt;"NE",AG245&lt;&gt;"A"),AND(AL245="E",OR(AT245=1,AT245=3))),SickCHG*Y245,0)</f>
        <v>0</v>
      </c>
      <c r="CJ245" s="462">
        <f t="shared" si="63"/>
        <v>-6.0839999999999952</v>
      </c>
      <c r="CK245" s="462" t="str">
        <f t="shared" si="64"/>
        <v/>
      </c>
      <c r="CL245" s="462" t="str">
        <f t="shared" si="65"/>
        <v/>
      </c>
      <c r="CM245" s="462" t="str">
        <f t="shared" si="66"/>
        <v/>
      </c>
      <c r="CN245" s="462" t="str">
        <f t="shared" si="67"/>
        <v>0001-00</v>
      </c>
    </row>
    <row r="246" spans="1:92" ht="15" thickBot="1" x14ac:dyDescent="0.35">
      <c r="A246" s="376" t="s">
        <v>161</v>
      </c>
      <c r="B246" s="376" t="s">
        <v>162</v>
      </c>
      <c r="C246" s="376" t="s">
        <v>852</v>
      </c>
      <c r="D246" s="376" t="s">
        <v>761</v>
      </c>
      <c r="E246" s="376" t="s">
        <v>165</v>
      </c>
      <c r="F246" s="377" t="s">
        <v>166</v>
      </c>
      <c r="G246" s="376" t="s">
        <v>762</v>
      </c>
      <c r="H246" s="378"/>
      <c r="I246" s="378"/>
      <c r="J246" s="376" t="s">
        <v>185</v>
      </c>
      <c r="K246" s="376" t="s">
        <v>763</v>
      </c>
      <c r="L246" s="376" t="s">
        <v>166</v>
      </c>
      <c r="M246" s="376" t="s">
        <v>201</v>
      </c>
      <c r="N246" s="376" t="s">
        <v>291</v>
      </c>
      <c r="O246" s="379">
        <v>0</v>
      </c>
      <c r="P246" s="460">
        <v>1</v>
      </c>
      <c r="Q246" s="460">
        <v>0</v>
      </c>
      <c r="R246" s="380">
        <v>0</v>
      </c>
      <c r="S246" s="460">
        <v>0</v>
      </c>
      <c r="T246" s="380">
        <v>0</v>
      </c>
      <c r="U246" s="380">
        <v>0</v>
      </c>
      <c r="V246" s="380">
        <v>0</v>
      </c>
      <c r="W246" s="380">
        <v>0</v>
      </c>
      <c r="X246" s="380">
        <v>0</v>
      </c>
      <c r="Y246" s="380">
        <v>0</v>
      </c>
      <c r="Z246" s="380">
        <v>0</v>
      </c>
      <c r="AA246" s="378"/>
      <c r="AB246" s="376" t="s">
        <v>45</v>
      </c>
      <c r="AC246" s="376" t="s">
        <v>45</v>
      </c>
      <c r="AD246" s="378"/>
      <c r="AE246" s="378"/>
      <c r="AF246" s="378"/>
      <c r="AG246" s="378"/>
      <c r="AH246" s="379">
        <v>0</v>
      </c>
      <c r="AI246" s="379">
        <v>0</v>
      </c>
      <c r="AJ246" s="378"/>
      <c r="AK246" s="378"/>
      <c r="AL246" s="376" t="s">
        <v>180</v>
      </c>
      <c r="AM246" s="378"/>
      <c r="AN246" s="378"/>
      <c r="AO246" s="379">
        <v>0</v>
      </c>
      <c r="AP246" s="460">
        <v>0</v>
      </c>
      <c r="AQ246" s="460">
        <v>0</v>
      </c>
      <c r="AR246" s="459"/>
      <c r="AS246" s="462">
        <f t="shared" si="51"/>
        <v>0</v>
      </c>
      <c r="AT246">
        <f t="shared" si="52"/>
        <v>0</v>
      </c>
      <c r="AU246" s="462" t="str">
        <f>IF(AT246=0,"",IF(AND(AT246=1,M246="F",SUMIF(C2:C698,C246,AS2:AS698)&lt;=1),SUMIF(C2:C698,C246,AS2:AS698),IF(AND(AT246=1,M246="F",SUMIF(C2:C698,C246,AS2:AS698)&gt;1),1,"")))</f>
        <v/>
      </c>
      <c r="AV246" s="462" t="str">
        <f>IF(AT246=0,"",IF(AND(AT246=3,M246="F",SUMIF(C2:C698,C246,AS2:AS698)&lt;=1),SUMIF(C2:C698,C246,AS2:AS698),IF(AND(AT246=3,M246="F",SUMIF(C2:C698,C246,AS2:AS698)&gt;1),1,"")))</f>
        <v/>
      </c>
      <c r="AW246" s="462">
        <f>SUMIF(C2:C698,C246,O2:O698)</f>
        <v>0</v>
      </c>
      <c r="AX246" s="462">
        <f>IF(AND(M246="F",AS246&lt;&gt;0),SUMIF(C2:C698,C246,W2:W698),0)</f>
        <v>0</v>
      </c>
      <c r="AY246" s="462" t="str">
        <f t="shared" si="53"/>
        <v/>
      </c>
      <c r="AZ246" s="462" t="str">
        <f t="shared" si="54"/>
        <v/>
      </c>
      <c r="BA246" s="462">
        <f t="shared" si="55"/>
        <v>0</v>
      </c>
      <c r="BB246" s="462">
        <f>IF(AND(AT246=1,AK246="E",AU246&gt;=0.75,AW246=1),Health,IF(AND(AT246=1,AK246="E",AU246&gt;=0.75),Health*P246,IF(AND(AT246=1,AK246="E",AU246&gt;=0.5,AW246=1),PTHealth,IF(AND(AT246=1,AK246="E",AU246&gt;=0.5),PTHealth*P246,0))))</f>
        <v>0</v>
      </c>
      <c r="BC246" s="462">
        <f>IF(AND(AT246=3,AK246="E",AV246&gt;=0.75,AW246=1),Health,IF(AND(AT246=3,AK246="E",AV246&gt;=0.75),Health*P246,IF(AND(AT246=3,AK246="E",AV246&gt;=0.5,AW246=1),PTHealth,IF(AND(AT246=3,AK246="E",AV246&gt;=0.5),PTHealth*P246,0))))</f>
        <v>0</v>
      </c>
      <c r="BD246" s="462">
        <f>IF(AND(AT246&lt;&gt;0,AX246&gt;=MAXSSDI),SSDI*MAXSSDI*P246,IF(AT246&lt;&gt;0,SSDI*W246,0))</f>
        <v>0</v>
      </c>
      <c r="BE246" s="462">
        <f>IF(AT246&lt;&gt;0,SSHI*W246,0)</f>
        <v>0</v>
      </c>
      <c r="BF246" s="462">
        <f>IF(AND(AT246&lt;&gt;0,AN246&lt;&gt;"NE"),VLOOKUP(AN246,Retirement_Rates,3,FALSE)*W246,0)</f>
        <v>0</v>
      </c>
      <c r="BG246" s="462">
        <f>IF(AND(AT246&lt;&gt;0,AJ246&lt;&gt;"PF"),Life*W246,0)</f>
        <v>0</v>
      </c>
      <c r="BH246" s="462">
        <f>IF(AND(AT246&lt;&gt;0,AM246="Y"),UI*W246,0)</f>
        <v>0</v>
      </c>
      <c r="BI246" s="462">
        <f>IF(AND(AT246&lt;&gt;0,N246&lt;&gt;"NR"),DHR*W246,0)</f>
        <v>0</v>
      </c>
      <c r="BJ246" s="462">
        <f>IF(AT246&lt;&gt;0,WC*W246,0)</f>
        <v>0</v>
      </c>
      <c r="BK246" s="462">
        <f>IF(OR(AND(AT246&lt;&gt;0,AJ246&lt;&gt;"PF",AN246&lt;&gt;"NE",AG246&lt;&gt;"A"),AND(AL246="E",OR(AT246=1,AT246=3))),Sick*W246,0)</f>
        <v>0</v>
      </c>
      <c r="BL246" s="462">
        <f t="shared" si="56"/>
        <v>0</v>
      </c>
      <c r="BM246" s="462">
        <f t="shared" si="57"/>
        <v>0</v>
      </c>
      <c r="BN246" s="462">
        <f>IF(AND(AT246=1,AK246="E",AU246&gt;=0.75,AW246=1),HealthBY,IF(AND(AT246=1,AK246="E",AU246&gt;=0.75),HealthBY*P246,IF(AND(AT246=1,AK246="E",AU246&gt;=0.5,AW246=1),PTHealthBY,IF(AND(AT246=1,AK246="E",AU246&gt;=0.5),PTHealthBY*P246,0))))</f>
        <v>0</v>
      </c>
      <c r="BO246" s="462">
        <f>IF(AND(AT246=3,AK246="E",AV246&gt;=0.75,AW246=1),HealthBY,IF(AND(AT246=3,AK246="E",AV246&gt;=0.75),HealthBY*P246,IF(AND(AT246=3,AK246="E",AV246&gt;=0.5,AW246=1),PTHealthBY,IF(AND(AT246=3,AK246="E",AV246&gt;=0.5),PTHealthBY*P246,0))))</f>
        <v>0</v>
      </c>
      <c r="BP246" s="462">
        <f>IF(AND(AT246&lt;&gt;0,(AX246+BA246)&gt;=MAXSSDIBY),SSDIBY*MAXSSDIBY*P246,IF(AT246&lt;&gt;0,SSDIBY*W246,0))</f>
        <v>0</v>
      </c>
      <c r="BQ246" s="462">
        <f>IF(AT246&lt;&gt;0,SSHIBY*W246,0)</f>
        <v>0</v>
      </c>
      <c r="BR246" s="462">
        <f>IF(AND(AT246&lt;&gt;0,AN246&lt;&gt;"NE"),VLOOKUP(AN246,Retirement_Rates,4,FALSE)*W246,0)</f>
        <v>0</v>
      </c>
      <c r="BS246" s="462">
        <f>IF(AND(AT246&lt;&gt;0,AJ246&lt;&gt;"PF"),LifeBY*W246,0)</f>
        <v>0</v>
      </c>
      <c r="BT246" s="462">
        <f>IF(AND(AT246&lt;&gt;0,AM246="Y"),UIBY*W246,0)</f>
        <v>0</v>
      </c>
      <c r="BU246" s="462">
        <f>IF(AND(AT246&lt;&gt;0,N246&lt;&gt;"NR"),DHRBY*W246,0)</f>
        <v>0</v>
      </c>
      <c r="BV246" s="462">
        <f>IF(AT246&lt;&gt;0,WCBY*W246,0)</f>
        <v>0</v>
      </c>
      <c r="BW246" s="462">
        <f>IF(OR(AND(AT246&lt;&gt;0,AJ246&lt;&gt;"PF",AN246&lt;&gt;"NE",AG246&lt;&gt;"A"),AND(AL246="E",OR(AT246=1,AT246=3))),SickBY*W246,0)</f>
        <v>0</v>
      </c>
      <c r="BX246" s="462">
        <f t="shared" si="58"/>
        <v>0</v>
      </c>
      <c r="BY246" s="462">
        <f t="shared" si="59"/>
        <v>0</v>
      </c>
      <c r="BZ246" s="462">
        <f t="shared" si="60"/>
        <v>0</v>
      </c>
      <c r="CA246" s="462">
        <f t="shared" si="61"/>
        <v>0</v>
      </c>
      <c r="CB246" s="462">
        <f t="shared" si="62"/>
        <v>0</v>
      </c>
      <c r="CC246" s="462">
        <f>IF(AT246&lt;&gt;0,SSHICHG*Y246,0)</f>
        <v>0</v>
      </c>
      <c r="CD246" s="462">
        <f>IF(AND(AT246&lt;&gt;0,AN246&lt;&gt;"NE"),VLOOKUP(AN246,Retirement_Rates,5,FALSE)*Y246,0)</f>
        <v>0</v>
      </c>
      <c r="CE246" s="462">
        <f>IF(AND(AT246&lt;&gt;0,AJ246&lt;&gt;"PF"),LifeCHG*Y246,0)</f>
        <v>0</v>
      </c>
      <c r="CF246" s="462">
        <f>IF(AND(AT246&lt;&gt;0,AM246="Y"),UICHG*Y246,0)</f>
        <v>0</v>
      </c>
      <c r="CG246" s="462">
        <f>IF(AND(AT246&lt;&gt;0,N246&lt;&gt;"NR"),DHRCHG*Y246,0)</f>
        <v>0</v>
      </c>
      <c r="CH246" s="462">
        <f>IF(AT246&lt;&gt;0,WCCHG*Y246,0)</f>
        <v>0</v>
      </c>
      <c r="CI246" s="462">
        <f>IF(OR(AND(AT246&lt;&gt;0,AJ246&lt;&gt;"PF",AN246&lt;&gt;"NE",AG246&lt;&gt;"A"),AND(AL246="E",OR(AT246=1,AT246=3))),SickCHG*Y246,0)</f>
        <v>0</v>
      </c>
      <c r="CJ246" s="462">
        <f t="shared" si="63"/>
        <v>0</v>
      </c>
      <c r="CK246" s="462" t="str">
        <f t="shared" si="64"/>
        <v/>
      </c>
      <c r="CL246" s="462">
        <f t="shared" si="65"/>
        <v>0</v>
      </c>
      <c r="CM246" s="462">
        <f t="shared" si="66"/>
        <v>0</v>
      </c>
      <c r="CN246" s="462" t="str">
        <f t="shared" si="67"/>
        <v>0001-00</v>
      </c>
    </row>
    <row r="247" spans="1:92" ht="15" thickBot="1" x14ac:dyDescent="0.35">
      <c r="A247" s="376" t="s">
        <v>161</v>
      </c>
      <c r="B247" s="376" t="s">
        <v>162</v>
      </c>
      <c r="C247" s="376" t="s">
        <v>390</v>
      </c>
      <c r="D247" s="376" t="s">
        <v>339</v>
      </c>
      <c r="E247" s="376" t="s">
        <v>165</v>
      </c>
      <c r="F247" s="377" t="s">
        <v>166</v>
      </c>
      <c r="G247" s="376" t="s">
        <v>762</v>
      </c>
      <c r="H247" s="378"/>
      <c r="I247" s="378"/>
      <c r="J247" s="376" t="s">
        <v>185</v>
      </c>
      <c r="K247" s="376" t="s">
        <v>340</v>
      </c>
      <c r="L247" s="376" t="s">
        <v>247</v>
      </c>
      <c r="M247" s="376" t="s">
        <v>170</v>
      </c>
      <c r="N247" s="376" t="s">
        <v>202</v>
      </c>
      <c r="O247" s="379">
        <v>1</v>
      </c>
      <c r="P247" s="460">
        <v>0</v>
      </c>
      <c r="Q247" s="460">
        <v>0</v>
      </c>
      <c r="R247" s="380">
        <v>80</v>
      </c>
      <c r="S247" s="460">
        <v>0</v>
      </c>
      <c r="T247" s="380">
        <v>25160.01</v>
      </c>
      <c r="U247" s="380">
        <v>0</v>
      </c>
      <c r="V247" s="380">
        <v>9223.5400000000009</v>
      </c>
      <c r="W247" s="380">
        <v>0</v>
      </c>
      <c r="X247" s="380">
        <v>0</v>
      </c>
      <c r="Y247" s="380">
        <v>0</v>
      </c>
      <c r="Z247" s="380">
        <v>0</v>
      </c>
      <c r="AA247" s="376" t="s">
        <v>391</v>
      </c>
      <c r="AB247" s="376" t="s">
        <v>392</v>
      </c>
      <c r="AC247" s="376" t="s">
        <v>393</v>
      </c>
      <c r="AD247" s="376" t="s">
        <v>394</v>
      </c>
      <c r="AE247" s="376" t="s">
        <v>340</v>
      </c>
      <c r="AF247" s="376" t="s">
        <v>299</v>
      </c>
      <c r="AG247" s="376" t="s">
        <v>177</v>
      </c>
      <c r="AH247" s="381">
        <v>41.15</v>
      </c>
      <c r="AI247" s="379">
        <v>33121</v>
      </c>
      <c r="AJ247" s="376" t="s">
        <v>178</v>
      </c>
      <c r="AK247" s="376" t="s">
        <v>179</v>
      </c>
      <c r="AL247" s="376" t="s">
        <v>180</v>
      </c>
      <c r="AM247" s="376" t="s">
        <v>181</v>
      </c>
      <c r="AN247" s="376" t="s">
        <v>68</v>
      </c>
      <c r="AO247" s="379">
        <v>80</v>
      </c>
      <c r="AP247" s="460">
        <v>1</v>
      </c>
      <c r="AQ247" s="460">
        <v>0</v>
      </c>
      <c r="AR247" s="458" t="s">
        <v>182</v>
      </c>
      <c r="AS247" s="462">
        <f t="shared" si="51"/>
        <v>0</v>
      </c>
      <c r="AT247">
        <f t="shared" si="52"/>
        <v>0</v>
      </c>
      <c r="AU247" s="462" t="str">
        <f>IF(AT247=0,"",IF(AND(AT247=1,M247="F",SUMIF(C2:C698,C247,AS2:AS698)&lt;=1),SUMIF(C2:C698,C247,AS2:AS698),IF(AND(AT247=1,M247="F",SUMIF(C2:C698,C247,AS2:AS698)&gt;1),1,"")))</f>
        <v/>
      </c>
      <c r="AV247" s="462" t="str">
        <f>IF(AT247=0,"",IF(AND(AT247=3,M247="F",SUMIF(C2:C698,C247,AS2:AS698)&lt;=1),SUMIF(C2:C698,C247,AS2:AS698),IF(AND(AT247=3,M247="F",SUMIF(C2:C698,C247,AS2:AS698)&gt;1),1,"")))</f>
        <v/>
      </c>
      <c r="AW247" s="462">
        <f>SUMIF(C2:C698,C247,O2:O698)</f>
        <v>6</v>
      </c>
      <c r="AX247" s="462">
        <f>IF(AND(M247="F",AS247&lt;&gt;0),SUMIF(C2:C698,C247,W2:W698),0)</f>
        <v>0</v>
      </c>
      <c r="AY247" s="462" t="str">
        <f t="shared" si="53"/>
        <v/>
      </c>
      <c r="AZ247" s="462" t="str">
        <f t="shared" si="54"/>
        <v/>
      </c>
      <c r="BA247" s="462">
        <f t="shared" si="55"/>
        <v>0</v>
      </c>
      <c r="BB247" s="462">
        <f>IF(AND(AT247=1,AK247="E",AU247&gt;=0.75,AW247=1),Health,IF(AND(AT247=1,AK247="E",AU247&gt;=0.75),Health*P247,IF(AND(AT247=1,AK247="E",AU247&gt;=0.5,AW247=1),PTHealth,IF(AND(AT247=1,AK247="E",AU247&gt;=0.5),PTHealth*P247,0))))</f>
        <v>0</v>
      </c>
      <c r="BC247" s="462">
        <f>IF(AND(AT247=3,AK247="E",AV247&gt;=0.75,AW247=1),Health,IF(AND(AT247=3,AK247="E",AV247&gt;=0.75),Health*P247,IF(AND(AT247=3,AK247="E",AV247&gt;=0.5,AW247=1),PTHealth,IF(AND(AT247=3,AK247="E",AV247&gt;=0.5),PTHealth*P247,0))))</f>
        <v>0</v>
      </c>
      <c r="BD247" s="462">
        <f>IF(AND(AT247&lt;&gt;0,AX247&gt;=MAXSSDI),SSDI*MAXSSDI*P247,IF(AT247&lt;&gt;0,SSDI*W247,0))</f>
        <v>0</v>
      </c>
      <c r="BE247" s="462">
        <f>IF(AT247&lt;&gt;0,SSHI*W247,0)</f>
        <v>0</v>
      </c>
      <c r="BF247" s="462">
        <f>IF(AND(AT247&lt;&gt;0,AN247&lt;&gt;"NE"),VLOOKUP(AN247,Retirement_Rates,3,FALSE)*W247,0)</f>
        <v>0</v>
      </c>
      <c r="BG247" s="462">
        <f>IF(AND(AT247&lt;&gt;0,AJ247&lt;&gt;"PF"),Life*W247,0)</f>
        <v>0</v>
      </c>
      <c r="BH247" s="462">
        <f>IF(AND(AT247&lt;&gt;0,AM247="Y"),UI*W247,0)</f>
        <v>0</v>
      </c>
      <c r="BI247" s="462">
        <f>IF(AND(AT247&lt;&gt;0,N247&lt;&gt;"NR"),DHR*W247,0)</f>
        <v>0</v>
      </c>
      <c r="BJ247" s="462">
        <f>IF(AT247&lt;&gt;0,WC*W247,0)</f>
        <v>0</v>
      </c>
      <c r="BK247" s="462">
        <f>IF(OR(AND(AT247&lt;&gt;0,AJ247&lt;&gt;"PF",AN247&lt;&gt;"NE",AG247&lt;&gt;"A"),AND(AL247="E",OR(AT247=1,AT247=3))),Sick*W247,0)</f>
        <v>0</v>
      </c>
      <c r="BL247" s="462">
        <f t="shared" si="56"/>
        <v>0</v>
      </c>
      <c r="BM247" s="462">
        <f t="shared" si="57"/>
        <v>0</v>
      </c>
      <c r="BN247" s="462">
        <f>IF(AND(AT247=1,AK247="E",AU247&gt;=0.75,AW247=1),HealthBY,IF(AND(AT247=1,AK247="E",AU247&gt;=0.75),HealthBY*P247,IF(AND(AT247=1,AK247="E",AU247&gt;=0.5,AW247=1),PTHealthBY,IF(AND(AT247=1,AK247="E",AU247&gt;=0.5),PTHealthBY*P247,0))))</f>
        <v>0</v>
      </c>
      <c r="BO247" s="462">
        <f>IF(AND(AT247=3,AK247="E",AV247&gt;=0.75,AW247=1),HealthBY,IF(AND(AT247=3,AK247="E",AV247&gt;=0.75),HealthBY*P247,IF(AND(AT247=3,AK247="E",AV247&gt;=0.5,AW247=1),PTHealthBY,IF(AND(AT247=3,AK247="E",AV247&gt;=0.5),PTHealthBY*P247,0))))</f>
        <v>0</v>
      </c>
      <c r="BP247" s="462">
        <f>IF(AND(AT247&lt;&gt;0,(AX247+BA247)&gt;=MAXSSDIBY),SSDIBY*MAXSSDIBY*P247,IF(AT247&lt;&gt;0,SSDIBY*W247,0))</f>
        <v>0</v>
      </c>
      <c r="BQ247" s="462">
        <f>IF(AT247&lt;&gt;0,SSHIBY*W247,0)</f>
        <v>0</v>
      </c>
      <c r="BR247" s="462">
        <f>IF(AND(AT247&lt;&gt;0,AN247&lt;&gt;"NE"),VLOOKUP(AN247,Retirement_Rates,4,FALSE)*W247,0)</f>
        <v>0</v>
      </c>
      <c r="BS247" s="462">
        <f>IF(AND(AT247&lt;&gt;0,AJ247&lt;&gt;"PF"),LifeBY*W247,0)</f>
        <v>0</v>
      </c>
      <c r="BT247" s="462">
        <f>IF(AND(AT247&lt;&gt;0,AM247="Y"),UIBY*W247,0)</f>
        <v>0</v>
      </c>
      <c r="BU247" s="462">
        <f>IF(AND(AT247&lt;&gt;0,N247&lt;&gt;"NR"),DHRBY*W247,0)</f>
        <v>0</v>
      </c>
      <c r="BV247" s="462">
        <f>IF(AT247&lt;&gt;0,WCBY*W247,0)</f>
        <v>0</v>
      </c>
      <c r="BW247" s="462">
        <f>IF(OR(AND(AT247&lt;&gt;0,AJ247&lt;&gt;"PF",AN247&lt;&gt;"NE",AG247&lt;&gt;"A"),AND(AL247="E",OR(AT247=1,AT247=3))),SickBY*W247,0)</f>
        <v>0</v>
      </c>
      <c r="BX247" s="462">
        <f t="shared" si="58"/>
        <v>0</v>
      </c>
      <c r="BY247" s="462">
        <f t="shared" si="59"/>
        <v>0</v>
      </c>
      <c r="BZ247" s="462">
        <f t="shared" si="60"/>
        <v>0</v>
      </c>
      <c r="CA247" s="462">
        <f t="shared" si="61"/>
        <v>0</v>
      </c>
      <c r="CB247" s="462">
        <f t="shared" si="62"/>
        <v>0</v>
      </c>
      <c r="CC247" s="462">
        <f>IF(AT247&lt;&gt;0,SSHICHG*Y247,0)</f>
        <v>0</v>
      </c>
      <c r="CD247" s="462">
        <f>IF(AND(AT247&lt;&gt;0,AN247&lt;&gt;"NE"),VLOOKUP(AN247,Retirement_Rates,5,FALSE)*Y247,0)</f>
        <v>0</v>
      </c>
      <c r="CE247" s="462">
        <f>IF(AND(AT247&lt;&gt;0,AJ247&lt;&gt;"PF"),LifeCHG*Y247,0)</f>
        <v>0</v>
      </c>
      <c r="CF247" s="462">
        <f>IF(AND(AT247&lt;&gt;0,AM247="Y"),UICHG*Y247,0)</f>
        <v>0</v>
      </c>
      <c r="CG247" s="462">
        <f>IF(AND(AT247&lt;&gt;0,N247&lt;&gt;"NR"),DHRCHG*Y247,0)</f>
        <v>0</v>
      </c>
      <c r="CH247" s="462">
        <f>IF(AT247&lt;&gt;0,WCCHG*Y247,0)</f>
        <v>0</v>
      </c>
      <c r="CI247" s="462">
        <f>IF(OR(AND(AT247&lt;&gt;0,AJ247&lt;&gt;"PF",AN247&lt;&gt;"NE",AG247&lt;&gt;"A"),AND(AL247="E",OR(AT247=1,AT247=3))),SickCHG*Y247,0)</f>
        <v>0</v>
      </c>
      <c r="CJ247" s="462">
        <f t="shared" si="63"/>
        <v>0</v>
      </c>
      <c r="CK247" s="462" t="str">
        <f t="shared" si="64"/>
        <v/>
      </c>
      <c r="CL247" s="462" t="str">
        <f t="shared" si="65"/>
        <v/>
      </c>
      <c r="CM247" s="462" t="str">
        <f t="shared" si="66"/>
        <v/>
      </c>
      <c r="CN247" s="462" t="str">
        <f t="shared" si="67"/>
        <v>0001-00</v>
      </c>
    </row>
    <row r="248" spans="1:92" ht="15" thickBot="1" x14ac:dyDescent="0.35">
      <c r="A248" s="376" t="s">
        <v>161</v>
      </c>
      <c r="B248" s="376" t="s">
        <v>162</v>
      </c>
      <c r="C248" s="376" t="s">
        <v>853</v>
      </c>
      <c r="D248" s="376" t="s">
        <v>250</v>
      </c>
      <c r="E248" s="376" t="s">
        <v>165</v>
      </c>
      <c r="F248" s="377" t="s">
        <v>166</v>
      </c>
      <c r="G248" s="376" t="s">
        <v>762</v>
      </c>
      <c r="H248" s="378"/>
      <c r="I248" s="378"/>
      <c r="J248" s="376" t="s">
        <v>185</v>
      </c>
      <c r="K248" s="376" t="s">
        <v>251</v>
      </c>
      <c r="L248" s="376" t="s">
        <v>180</v>
      </c>
      <c r="M248" s="376" t="s">
        <v>170</v>
      </c>
      <c r="N248" s="376" t="s">
        <v>202</v>
      </c>
      <c r="O248" s="379">
        <v>1</v>
      </c>
      <c r="P248" s="460">
        <v>0.1</v>
      </c>
      <c r="Q248" s="460">
        <v>0.1</v>
      </c>
      <c r="R248" s="380">
        <v>80</v>
      </c>
      <c r="S248" s="460">
        <v>0.1</v>
      </c>
      <c r="T248" s="380">
        <v>44047.73</v>
      </c>
      <c r="U248" s="380">
        <v>0</v>
      </c>
      <c r="V248" s="380">
        <v>16704.41</v>
      </c>
      <c r="W248" s="380">
        <v>7115.68</v>
      </c>
      <c r="X248" s="380">
        <v>2775.77</v>
      </c>
      <c r="Y248" s="380">
        <v>7115.68</v>
      </c>
      <c r="Z248" s="380">
        <v>2757.27</v>
      </c>
      <c r="AA248" s="376" t="s">
        <v>854</v>
      </c>
      <c r="AB248" s="376" t="s">
        <v>855</v>
      </c>
      <c r="AC248" s="376" t="s">
        <v>682</v>
      </c>
      <c r="AD248" s="376" t="s">
        <v>856</v>
      </c>
      <c r="AE248" s="376" t="s">
        <v>251</v>
      </c>
      <c r="AF248" s="376" t="s">
        <v>256</v>
      </c>
      <c r="AG248" s="376" t="s">
        <v>177</v>
      </c>
      <c r="AH248" s="381">
        <v>34.21</v>
      </c>
      <c r="AI248" s="381">
        <v>65239.6</v>
      </c>
      <c r="AJ248" s="376" t="s">
        <v>178</v>
      </c>
      <c r="AK248" s="376" t="s">
        <v>179</v>
      </c>
      <c r="AL248" s="376" t="s">
        <v>180</v>
      </c>
      <c r="AM248" s="376" t="s">
        <v>181</v>
      </c>
      <c r="AN248" s="376" t="s">
        <v>68</v>
      </c>
      <c r="AO248" s="379">
        <v>80</v>
      </c>
      <c r="AP248" s="460">
        <v>1</v>
      </c>
      <c r="AQ248" s="460">
        <v>0.1</v>
      </c>
      <c r="AR248" s="458" t="s">
        <v>182</v>
      </c>
      <c r="AS248" s="462">
        <f t="shared" si="51"/>
        <v>0.1</v>
      </c>
      <c r="AT248">
        <f t="shared" si="52"/>
        <v>1</v>
      </c>
      <c r="AU248" s="462">
        <f>IF(AT248=0,"",IF(AND(AT248=1,M248="F",SUMIF(C2:C698,C248,AS2:AS698)&lt;=1),SUMIF(C2:C698,C248,AS2:AS698),IF(AND(AT248=1,M248="F",SUMIF(C2:C698,C248,AS2:AS698)&gt;1),1,"")))</f>
        <v>1</v>
      </c>
      <c r="AV248" s="462" t="str">
        <f>IF(AT248=0,"",IF(AND(AT248=3,M248="F",SUMIF(C2:C698,C248,AS2:AS698)&lt;=1),SUMIF(C2:C698,C248,AS2:AS698),IF(AND(AT248=3,M248="F",SUMIF(C2:C698,C248,AS2:AS698)&gt;1),1,"")))</f>
        <v/>
      </c>
      <c r="AW248" s="462">
        <f>SUMIF(C2:C698,C248,O2:O698)</f>
        <v>3</v>
      </c>
      <c r="AX248" s="462">
        <f>IF(AND(M248="F",AS248&lt;&gt;0),SUMIF(C2:C698,C248,W2:W698),0)</f>
        <v>71156.800000000003</v>
      </c>
      <c r="AY248" s="462">
        <f t="shared" si="53"/>
        <v>7115.68</v>
      </c>
      <c r="AZ248" s="462" t="str">
        <f t="shared" si="54"/>
        <v/>
      </c>
      <c r="BA248" s="462">
        <f t="shared" si="55"/>
        <v>0</v>
      </c>
      <c r="BB248" s="462">
        <f>IF(AND(AT248=1,AK248="E",AU248&gt;=0.75,AW248=1),Health,IF(AND(AT248=1,AK248="E",AU248&gt;=0.75),Health*P248,IF(AND(AT248=1,AK248="E",AU248&gt;=0.5,AW248=1),PTHealth,IF(AND(AT248=1,AK248="E",AU248&gt;=0.5),PTHealth*P248,0))))</f>
        <v>1165</v>
      </c>
      <c r="BC248" s="462">
        <f>IF(AND(AT248=3,AK248="E",AV248&gt;=0.75,AW248=1),Health,IF(AND(AT248=3,AK248="E",AV248&gt;=0.75),Health*P248,IF(AND(AT248=3,AK248="E",AV248&gt;=0.5,AW248=1),PTHealth,IF(AND(AT248=3,AK248="E",AV248&gt;=0.5),PTHealth*P248,0))))</f>
        <v>0</v>
      </c>
      <c r="BD248" s="462">
        <f>IF(AND(AT248&lt;&gt;0,AX248&gt;=MAXSSDI),SSDI*MAXSSDI*P248,IF(AT248&lt;&gt;0,SSDI*W248,0))</f>
        <v>441.17216000000002</v>
      </c>
      <c r="BE248" s="462">
        <f>IF(AT248&lt;&gt;0,SSHI*W248,0)</f>
        <v>103.17736000000001</v>
      </c>
      <c r="BF248" s="462">
        <f>IF(AND(AT248&lt;&gt;0,AN248&lt;&gt;"NE"),VLOOKUP(AN248,Retirement_Rates,3,FALSE)*W248,0)</f>
        <v>849.61219200000005</v>
      </c>
      <c r="BG248" s="462">
        <f>IF(AND(AT248&lt;&gt;0,AJ248&lt;&gt;"PF"),Life*W248,0)</f>
        <v>51.304052800000001</v>
      </c>
      <c r="BH248" s="462">
        <f>IF(AND(AT248&lt;&gt;0,AM248="Y"),UI*W248,0)</f>
        <v>34.866832000000002</v>
      </c>
      <c r="BI248" s="462">
        <f>IF(AND(AT248&lt;&gt;0,N248&lt;&gt;"NR"),DHR*W248,0)</f>
        <v>21.7739808</v>
      </c>
      <c r="BJ248" s="462">
        <f>IF(AT248&lt;&gt;0,WC*W248,0)</f>
        <v>108.86990400000001</v>
      </c>
      <c r="BK248" s="462">
        <f>IF(OR(AND(AT248&lt;&gt;0,AJ248&lt;&gt;"PF",AN248&lt;&gt;"NE",AG248&lt;&gt;"A"),AND(AL248="E",OR(AT248=1,AT248=3))),Sick*W248,0)</f>
        <v>0</v>
      </c>
      <c r="BL248" s="462">
        <f t="shared" si="56"/>
        <v>1610.7764815999997</v>
      </c>
      <c r="BM248" s="462">
        <f t="shared" si="57"/>
        <v>0</v>
      </c>
      <c r="BN248" s="462">
        <f>IF(AND(AT248=1,AK248="E",AU248&gt;=0.75,AW248=1),HealthBY,IF(AND(AT248=1,AK248="E",AU248&gt;=0.75),HealthBY*P248,IF(AND(AT248=1,AK248="E",AU248&gt;=0.5,AW248=1),PTHealthBY,IF(AND(AT248=1,AK248="E",AU248&gt;=0.5),PTHealthBY*P248,0))))</f>
        <v>1165</v>
      </c>
      <c r="BO248" s="462">
        <f>IF(AND(AT248=3,AK248="E",AV248&gt;=0.75,AW248=1),HealthBY,IF(AND(AT248=3,AK248="E",AV248&gt;=0.75),HealthBY*P248,IF(AND(AT248=3,AK248="E",AV248&gt;=0.5,AW248=1),PTHealthBY,IF(AND(AT248=3,AK248="E",AV248&gt;=0.5),PTHealthBY*P248,0))))</f>
        <v>0</v>
      </c>
      <c r="BP248" s="462">
        <f>IF(AND(AT248&lt;&gt;0,(AX248+BA248)&gt;=MAXSSDIBY),SSDIBY*MAXSSDIBY*P248,IF(AT248&lt;&gt;0,SSDIBY*W248,0))</f>
        <v>441.17216000000002</v>
      </c>
      <c r="BQ248" s="462">
        <f>IF(AT248&lt;&gt;0,SSHIBY*W248,0)</f>
        <v>103.17736000000001</v>
      </c>
      <c r="BR248" s="462">
        <f>IF(AND(AT248&lt;&gt;0,AN248&lt;&gt;"NE"),VLOOKUP(AN248,Retirement_Rates,4,FALSE)*W248,0)</f>
        <v>849.61219200000005</v>
      </c>
      <c r="BS248" s="462">
        <f>IF(AND(AT248&lt;&gt;0,AJ248&lt;&gt;"PF"),LifeBY*W248,0)</f>
        <v>51.304052800000001</v>
      </c>
      <c r="BT248" s="462">
        <f>IF(AND(AT248&lt;&gt;0,AM248="Y"),UIBY*W248,0)</f>
        <v>0</v>
      </c>
      <c r="BU248" s="462">
        <f>IF(AND(AT248&lt;&gt;0,N248&lt;&gt;"NR"),DHRBY*W248,0)</f>
        <v>21.7739808</v>
      </c>
      <c r="BV248" s="462">
        <f>IF(AT248&lt;&gt;0,WCBY*W248,0)</f>
        <v>125.23596800000001</v>
      </c>
      <c r="BW248" s="462">
        <f>IF(OR(AND(AT248&lt;&gt;0,AJ248&lt;&gt;"PF",AN248&lt;&gt;"NE",AG248&lt;&gt;"A"),AND(AL248="E",OR(AT248=1,AT248=3))),SickBY*W248,0)</f>
        <v>0</v>
      </c>
      <c r="BX248" s="462">
        <f t="shared" si="58"/>
        <v>1592.2757135999998</v>
      </c>
      <c r="BY248" s="462">
        <f t="shared" si="59"/>
        <v>0</v>
      </c>
      <c r="BZ248" s="462">
        <f t="shared" si="60"/>
        <v>0</v>
      </c>
      <c r="CA248" s="462">
        <f t="shared" si="61"/>
        <v>0</v>
      </c>
      <c r="CB248" s="462">
        <f t="shared" si="62"/>
        <v>0</v>
      </c>
      <c r="CC248" s="462">
        <f>IF(AT248&lt;&gt;0,SSHICHG*Y248,0)</f>
        <v>0</v>
      </c>
      <c r="CD248" s="462">
        <f>IF(AND(AT248&lt;&gt;0,AN248&lt;&gt;"NE"),VLOOKUP(AN248,Retirement_Rates,5,FALSE)*Y248,0)</f>
        <v>0</v>
      </c>
      <c r="CE248" s="462">
        <f>IF(AND(AT248&lt;&gt;0,AJ248&lt;&gt;"PF"),LifeCHG*Y248,0)</f>
        <v>0</v>
      </c>
      <c r="CF248" s="462">
        <f>IF(AND(AT248&lt;&gt;0,AM248="Y"),UICHG*Y248,0)</f>
        <v>-34.866832000000002</v>
      </c>
      <c r="CG248" s="462">
        <f>IF(AND(AT248&lt;&gt;0,N248&lt;&gt;"NR"),DHRCHG*Y248,0)</f>
        <v>0</v>
      </c>
      <c r="CH248" s="462">
        <f>IF(AT248&lt;&gt;0,WCCHG*Y248,0)</f>
        <v>16.366064000000012</v>
      </c>
      <c r="CI248" s="462">
        <f>IF(OR(AND(AT248&lt;&gt;0,AJ248&lt;&gt;"PF",AN248&lt;&gt;"NE",AG248&lt;&gt;"A"),AND(AL248="E",OR(AT248=1,AT248=3))),SickCHG*Y248,0)</f>
        <v>0</v>
      </c>
      <c r="CJ248" s="462">
        <f t="shared" si="63"/>
        <v>-18.50076799999999</v>
      </c>
      <c r="CK248" s="462" t="str">
        <f t="shared" si="64"/>
        <v/>
      </c>
      <c r="CL248" s="462" t="str">
        <f t="shared" si="65"/>
        <v/>
      </c>
      <c r="CM248" s="462" t="str">
        <f t="shared" si="66"/>
        <v/>
      </c>
      <c r="CN248" s="462" t="str">
        <f t="shared" si="67"/>
        <v>0001-00</v>
      </c>
    </row>
    <row r="249" spans="1:92" ht="15" thickBot="1" x14ac:dyDescent="0.35">
      <c r="A249" s="376" t="s">
        <v>161</v>
      </c>
      <c r="B249" s="376" t="s">
        <v>162</v>
      </c>
      <c r="C249" s="376" t="s">
        <v>857</v>
      </c>
      <c r="D249" s="376" t="s">
        <v>858</v>
      </c>
      <c r="E249" s="376" t="s">
        <v>165</v>
      </c>
      <c r="F249" s="377" t="s">
        <v>166</v>
      </c>
      <c r="G249" s="376" t="s">
        <v>762</v>
      </c>
      <c r="H249" s="378"/>
      <c r="I249" s="378"/>
      <c r="J249" s="376" t="s">
        <v>168</v>
      </c>
      <c r="K249" s="376" t="s">
        <v>859</v>
      </c>
      <c r="L249" s="376" t="s">
        <v>166</v>
      </c>
      <c r="M249" s="376" t="s">
        <v>170</v>
      </c>
      <c r="N249" s="376" t="s">
        <v>291</v>
      </c>
      <c r="O249" s="379">
        <v>0</v>
      </c>
      <c r="P249" s="460">
        <v>0</v>
      </c>
      <c r="Q249" s="460">
        <v>0</v>
      </c>
      <c r="R249" s="380">
        <v>0</v>
      </c>
      <c r="S249" s="460">
        <v>0</v>
      </c>
      <c r="T249" s="380">
        <v>792.83</v>
      </c>
      <c r="U249" s="380">
        <v>0</v>
      </c>
      <c r="V249" s="380">
        <v>473.58</v>
      </c>
      <c r="W249" s="380">
        <v>0</v>
      </c>
      <c r="X249" s="380">
        <v>0</v>
      </c>
      <c r="Y249" s="380">
        <v>0</v>
      </c>
      <c r="Z249" s="380">
        <v>0</v>
      </c>
      <c r="AA249" s="378"/>
      <c r="AB249" s="376" t="s">
        <v>45</v>
      </c>
      <c r="AC249" s="376" t="s">
        <v>45</v>
      </c>
      <c r="AD249" s="378"/>
      <c r="AE249" s="378"/>
      <c r="AF249" s="378"/>
      <c r="AG249" s="378"/>
      <c r="AH249" s="379">
        <v>0</v>
      </c>
      <c r="AI249" s="379">
        <v>0</v>
      </c>
      <c r="AJ249" s="378"/>
      <c r="AK249" s="378"/>
      <c r="AL249" s="376" t="s">
        <v>180</v>
      </c>
      <c r="AM249" s="378"/>
      <c r="AN249" s="378"/>
      <c r="AO249" s="379">
        <v>0</v>
      </c>
      <c r="AP249" s="460">
        <v>0</v>
      </c>
      <c r="AQ249" s="460">
        <v>0</v>
      </c>
      <c r="AR249" s="459"/>
      <c r="AS249" s="462">
        <f t="shared" si="51"/>
        <v>0</v>
      </c>
      <c r="AT249">
        <f t="shared" si="52"/>
        <v>0</v>
      </c>
      <c r="AU249" s="462" t="str">
        <f>IF(AT249=0,"",IF(AND(AT249=1,M249="F",SUMIF(C2:C698,C249,AS2:AS698)&lt;=1),SUMIF(C2:C698,C249,AS2:AS698),IF(AND(AT249=1,M249="F",SUMIF(C2:C698,C249,AS2:AS698)&gt;1),1,"")))</f>
        <v/>
      </c>
      <c r="AV249" s="462" t="str">
        <f>IF(AT249=0,"",IF(AND(AT249=3,M249="F",SUMIF(C2:C698,C249,AS2:AS698)&lt;=1),SUMIF(C2:C698,C249,AS2:AS698),IF(AND(AT249=3,M249="F",SUMIF(C2:C698,C249,AS2:AS698)&gt;1),1,"")))</f>
        <v/>
      </c>
      <c r="AW249" s="462">
        <f>SUMIF(C2:C698,C249,O2:O698)</f>
        <v>0</v>
      </c>
      <c r="AX249" s="462">
        <f>IF(AND(M249="F",AS249&lt;&gt;0),SUMIF(C2:C698,C249,W2:W698),0)</f>
        <v>0</v>
      </c>
      <c r="AY249" s="462" t="str">
        <f t="shared" si="53"/>
        <v/>
      </c>
      <c r="AZ249" s="462" t="str">
        <f t="shared" si="54"/>
        <v/>
      </c>
      <c r="BA249" s="462">
        <f t="shared" si="55"/>
        <v>0</v>
      </c>
      <c r="BB249" s="462">
        <f>IF(AND(AT249=1,AK249="E",AU249&gt;=0.75,AW249=1),Health,IF(AND(AT249=1,AK249="E",AU249&gt;=0.75),Health*P249,IF(AND(AT249=1,AK249="E",AU249&gt;=0.5,AW249=1),PTHealth,IF(AND(AT249=1,AK249="E",AU249&gt;=0.5),PTHealth*P249,0))))</f>
        <v>0</v>
      </c>
      <c r="BC249" s="462">
        <f>IF(AND(AT249=3,AK249="E",AV249&gt;=0.75,AW249=1),Health,IF(AND(AT249=3,AK249="E",AV249&gt;=0.75),Health*P249,IF(AND(AT249=3,AK249="E",AV249&gt;=0.5,AW249=1),PTHealth,IF(AND(AT249=3,AK249="E",AV249&gt;=0.5),PTHealth*P249,0))))</f>
        <v>0</v>
      </c>
      <c r="BD249" s="462">
        <f>IF(AND(AT249&lt;&gt;0,AX249&gt;=MAXSSDI),SSDI*MAXSSDI*P249,IF(AT249&lt;&gt;0,SSDI*W249,0))</f>
        <v>0</v>
      </c>
      <c r="BE249" s="462">
        <f>IF(AT249&lt;&gt;0,SSHI*W249,0)</f>
        <v>0</v>
      </c>
      <c r="BF249" s="462">
        <f>IF(AND(AT249&lt;&gt;0,AN249&lt;&gt;"NE"),VLOOKUP(AN249,Retirement_Rates,3,FALSE)*W249,0)</f>
        <v>0</v>
      </c>
      <c r="BG249" s="462">
        <f>IF(AND(AT249&lt;&gt;0,AJ249&lt;&gt;"PF"),Life*W249,0)</f>
        <v>0</v>
      </c>
      <c r="BH249" s="462">
        <f>IF(AND(AT249&lt;&gt;0,AM249="Y"),UI*W249,0)</f>
        <v>0</v>
      </c>
      <c r="BI249" s="462">
        <f>IF(AND(AT249&lt;&gt;0,N249&lt;&gt;"NR"),DHR*W249,0)</f>
        <v>0</v>
      </c>
      <c r="BJ249" s="462">
        <f>IF(AT249&lt;&gt;0,WC*W249,0)</f>
        <v>0</v>
      </c>
      <c r="BK249" s="462">
        <f>IF(OR(AND(AT249&lt;&gt;0,AJ249&lt;&gt;"PF",AN249&lt;&gt;"NE",AG249&lt;&gt;"A"),AND(AL249="E",OR(AT249=1,AT249=3))),Sick*W249,0)</f>
        <v>0</v>
      </c>
      <c r="BL249" s="462">
        <f t="shared" si="56"/>
        <v>0</v>
      </c>
      <c r="BM249" s="462">
        <f t="shared" si="57"/>
        <v>0</v>
      </c>
      <c r="BN249" s="462">
        <f>IF(AND(AT249=1,AK249="E",AU249&gt;=0.75,AW249=1),HealthBY,IF(AND(AT249=1,AK249="E",AU249&gt;=0.75),HealthBY*P249,IF(AND(AT249=1,AK249="E",AU249&gt;=0.5,AW249=1),PTHealthBY,IF(AND(AT249=1,AK249="E",AU249&gt;=0.5),PTHealthBY*P249,0))))</f>
        <v>0</v>
      </c>
      <c r="BO249" s="462">
        <f>IF(AND(AT249=3,AK249="E",AV249&gt;=0.75,AW249=1),HealthBY,IF(AND(AT249=3,AK249="E",AV249&gt;=0.75),HealthBY*P249,IF(AND(AT249=3,AK249="E",AV249&gt;=0.5,AW249=1),PTHealthBY,IF(AND(AT249=3,AK249="E",AV249&gt;=0.5),PTHealthBY*P249,0))))</f>
        <v>0</v>
      </c>
      <c r="BP249" s="462">
        <f>IF(AND(AT249&lt;&gt;0,(AX249+BA249)&gt;=MAXSSDIBY),SSDIBY*MAXSSDIBY*P249,IF(AT249&lt;&gt;0,SSDIBY*W249,0))</f>
        <v>0</v>
      </c>
      <c r="BQ249" s="462">
        <f>IF(AT249&lt;&gt;0,SSHIBY*W249,0)</f>
        <v>0</v>
      </c>
      <c r="BR249" s="462">
        <f>IF(AND(AT249&lt;&gt;0,AN249&lt;&gt;"NE"),VLOOKUP(AN249,Retirement_Rates,4,FALSE)*W249,0)</f>
        <v>0</v>
      </c>
      <c r="BS249" s="462">
        <f>IF(AND(AT249&lt;&gt;0,AJ249&lt;&gt;"PF"),LifeBY*W249,0)</f>
        <v>0</v>
      </c>
      <c r="BT249" s="462">
        <f>IF(AND(AT249&lt;&gt;0,AM249="Y"),UIBY*W249,0)</f>
        <v>0</v>
      </c>
      <c r="BU249" s="462">
        <f>IF(AND(AT249&lt;&gt;0,N249&lt;&gt;"NR"),DHRBY*W249,0)</f>
        <v>0</v>
      </c>
      <c r="BV249" s="462">
        <f>IF(AT249&lt;&gt;0,WCBY*W249,0)</f>
        <v>0</v>
      </c>
      <c r="BW249" s="462">
        <f>IF(OR(AND(AT249&lt;&gt;0,AJ249&lt;&gt;"PF",AN249&lt;&gt;"NE",AG249&lt;&gt;"A"),AND(AL249="E",OR(AT249=1,AT249=3))),SickBY*W249,0)</f>
        <v>0</v>
      </c>
      <c r="BX249" s="462">
        <f t="shared" si="58"/>
        <v>0</v>
      </c>
      <c r="BY249" s="462">
        <f t="shared" si="59"/>
        <v>0</v>
      </c>
      <c r="BZ249" s="462">
        <f t="shared" si="60"/>
        <v>0</v>
      </c>
      <c r="CA249" s="462">
        <f t="shared" si="61"/>
        <v>0</v>
      </c>
      <c r="CB249" s="462">
        <f t="shared" si="62"/>
        <v>0</v>
      </c>
      <c r="CC249" s="462">
        <f>IF(AT249&lt;&gt;0,SSHICHG*Y249,0)</f>
        <v>0</v>
      </c>
      <c r="CD249" s="462">
        <f>IF(AND(AT249&lt;&gt;0,AN249&lt;&gt;"NE"),VLOOKUP(AN249,Retirement_Rates,5,FALSE)*Y249,0)</f>
        <v>0</v>
      </c>
      <c r="CE249" s="462">
        <f>IF(AND(AT249&lt;&gt;0,AJ249&lt;&gt;"PF"),LifeCHG*Y249,0)</f>
        <v>0</v>
      </c>
      <c r="CF249" s="462">
        <f>IF(AND(AT249&lt;&gt;0,AM249="Y"),UICHG*Y249,0)</f>
        <v>0</v>
      </c>
      <c r="CG249" s="462">
        <f>IF(AND(AT249&lt;&gt;0,N249&lt;&gt;"NR"),DHRCHG*Y249,0)</f>
        <v>0</v>
      </c>
      <c r="CH249" s="462">
        <f>IF(AT249&lt;&gt;0,WCCHG*Y249,0)</f>
        <v>0</v>
      </c>
      <c r="CI249" s="462">
        <f>IF(OR(AND(AT249&lt;&gt;0,AJ249&lt;&gt;"PF",AN249&lt;&gt;"NE",AG249&lt;&gt;"A"),AND(AL249="E",OR(AT249=1,AT249=3))),SickCHG*Y249,0)</f>
        <v>0</v>
      </c>
      <c r="CJ249" s="462">
        <f t="shared" si="63"/>
        <v>0</v>
      </c>
      <c r="CK249" s="462" t="str">
        <f t="shared" si="64"/>
        <v/>
      </c>
      <c r="CL249" s="462">
        <f t="shared" si="65"/>
        <v>792.83</v>
      </c>
      <c r="CM249" s="462">
        <f t="shared" si="66"/>
        <v>473.58</v>
      </c>
      <c r="CN249" s="462" t="str">
        <f t="shared" si="67"/>
        <v>0001-00</v>
      </c>
    </row>
    <row r="250" spans="1:92" ht="15" thickBot="1" x14ac:dyDescent="0.35">
      <c r="A250" s="376" t="s">
        <v>161</v>
      </c>
      <c r="B250" s="376" t="s">
        <v>162</v>
      </c>
      <c r="C250" s="376" t="s">
        <v>860</v>
      </c>
      <c r="D250" s="376" t="s">
        <v>861</v>
      </c>
      <c r="E250" s="376" t="s">
        <v>165</v>
      </c>
      <c r="F250" s="377" t="s">
        <v>166</v>
      </c>
      <c r="G250" s="376" t="s">
        <v>762</v>
      </c>
      <c r="H250" s="378"/>
      <c r="I250" s="378"/>
      <c r="J250" s="376" t="s">
        <v>168</v>
      </c>
      <c r="K250" s="376" t="s">
        <v>862</v>
      </c>
      <c r="L250" s="376" t="s">
        <v>274</v>
      </c>
      <c r="M250" s="376" t="s">
        <v>201</v>
      </c>
      <c r="N250" s="376" t="s">
        <v>202</v>
      </c>
      <c r="O250" s="379">
        <v>0</v>
      </c>
      <c r="P250" s="460">
        <v>0</v>
      </c>
      <c r="Q250" s="460">
        <v>0</v>
      </c>
      <c r="R250" s="380">
        <v>80</v>
      </c>
      <c r="S250" s="460">
        <v>0</v>
      </c>
      <c r="T250" s="380">
        <v>28659.360000000001</v>
      </c>
      <c r="U250" s="380">
        <v>0</v>
      </c>
      <c r="V250" s="380">
        <v>15764.09</v>
      </c>
      <c r="W250" s="380">
        <v>0</v>
      </c>
      <c r="X250" s="380">
        <v>0</v>
      </c>
      <c r="Y250" s="380">
        <v>0</v>
      </c>
      <c r="Z250" s="380">
        <v>0</v>
      </c>
      <c r="AA250" s="378"/>
      <c r="AB250" s="376" t="s">
        <v>45</v>
      </c>
      <c r="AC250" s="376" t="s">
        <v>45</v>
      </c>
      <c r="AD250" s="378"/>
      <c r="AE250" s="378"/>
      <c r="AF250" s="378"/>
      <c r="AG250" s="378"/>
      <c r="AH250" s="379">
        <v>0</v>
      </c>
      <c r="AI250" s="379">
        <v>0</v>
      </c>
      <c r="AJ250" s="378"/>
      <c r="AK250" s="378"/>
      <c r="AL250" s="376" t="s">
        <v>180</v>
      </c>
      <c r="AM250" s="378"/>
      <c r="AN250" s="378"/>
      <c r="AO250" s="379">
        <v>0</v>
      </c>
      <c r="AP250" s="460">
        <v>0</v>
      </c>
      <c r="AQ250" s="460">
        <v>0</v>
      </c>
      <c r="AR250" s="459"/>
      <c r="AS250" s="462">
        <f t="shared" si="51"/>
        <v>0</v>
      </c>
      <c r="AT250">
        <f t="shared" si="52"/>
        <v>0</v>
      </c>
      <c r="AU250" s="462" t="str">
        <f>IF(AT250=0,"",IF(AND(AT250=1,M250="F",SUMIF(C2:C698,C250,AS2:AS698)&lt;=1),SUMIF(C2:C698,C250,AS2:AS698),IF(AND(AT250=1,M250="F",SUMIF(C2:C698,C250,AS2:AS698)&gt;1),1,"")))</f>
        <v/>
      </c>
      <c r="AV250" s="462" t="str">
        <f>IF(AT250=0,"",IF(AND(AT250=3,M250="F",SUMIF(C2:C698,C250,AS2:AS698)&lt;=1),SUMIF(C2:C698,C250,AS2:AS698),IF(AND(AT250=3,M250="F",SUMIF(C2:C698,C250,AS2:AS698)&gt;1),1,"")))</f>
        <v/>
      </c>
      <c r="AW250" s="462">
        <f>SUMIF(C2:C698,C250,O2:O698)</f>
        <v>0</v>
      </c>
      <c r="AX250" s="462">
        <f>IF(AND(M250="F",AS250&lt;&gt;0),SUMIF(C2:C698,C250,W2:W698),0)</f>
        <v>0</v>
      </c>
      <c r="AY250" s="462" t="str">
        <f t="shared" si="53"/>
        <v/>
      </c>
      <c r="AZ250" s="462" t="str">
        <f t="shared" si="54"/>
        <v/>
      </c>
      <c r="BA250" s="462">
        <f t="shared" si="55"/>
        <v>0</v>
      </c>
      <c r="BB250" s="462">
        <f>IF(AND(AT250=1,AK250="E",AU250&gt;=0.75,AW250=1),Health,IF(AND(AT250=1,AK250="E",AU250&gt;=0.75),Health*P250,IF(AND(AT250=1,AK250="E",AU250&gt;=0.5,AW250=1),PTHealth,IF(AND(AT250=1,AK250="E",AU250&gt;=0.5),PTHealth*P250,0))))</f>
        <v>0</v>
      </c>
      <c r="BC250" s="462">
        <f>IF(AND(AT250=3,AK250="E",AV250&gt;=0.75,AW250=1),Health,IF(AND(AT250=3,AK250="E",AV250&gt;=0.75),Health*P250,IF(AND(AT250=3,AK250="E",AV250&gt;=0.5,AW250=1),PTHealth,IF(AND(AT250=3,AK250="E",AV250&gt;=0.5),PTHealth*P250,0))))</f>
        <v>0</v>
      </c>
      <c r="BD250" s="462">
        <f>IF(AND(AT250&lt;&gt;0,AX250&gt;=MAXSSDI),SSDI*MAXSSDI*P250,IF(AT250&lt;&gt;0,SSDI*W250,0))</f>
        <v>0</v>
      </c>
      <c r="BE250" s="462">
        <f>IF(AT250&lt;&gt;0,SSHI*W250,0)</f>
        <v>0</v>
      </c>
      <c r="BF250" s="462">
        <f>IF(AND(AT250&lt;&gt;0,AN250&lt;&gt;"NE"),VLOOKUP(AN250,Retirement_Rates,3,FALSE)*W250,0)</f>
        <v>0</v>
      </c>
      <c r="BG250" s="462">
        <f>IF(AND(AT250&lt;&gt;0,AJ250&lt;&gt;"PF"),Life*W250,0)</f>
        <v>0</v>
      </c>
      <c r="BH250" s="462">
        <f>IF(AND(AT250&lt;&gt;0,AM250="Y"),UI*W250,0)</f>
        <v>0</v>
      </c>
      <c r="BI250" s="462">
        <f>IF(AND(AT250&lt;&gt;0,N250&lt;&gt;"NR"),DHR*W250,0)</f>
        <v>0</v>
      </c>
      <c r="BJ250" s="462">
        <f>IF(AT250&lt;&gt;0,WC*W250,0)</f>
        <v>0</v>
      </c>
      <c r="BK250" s="462">
        <f>IF(OR(AND(AT250&lt;&gt;0,AJ250&lt;&gt;"PF",AN250&lt;&gt;"NE",AG250&lt;&gt;"A"),AND(AL250="E",OR(AT250=1,AT250=3))),Sick*W250,0)</f>
        <v>0</v>
      </c>
      <c r="BL250" s="462">
        <f t="shared" si="56"/>
        <v>0</v>
      </c>
      <c r="BM250" s="462">
        <f t="shared" si="57"/>
        <v>0</v>
      </c>
      <c r="BN250" s="462">
        <f>IF(AND(AT250=1,AK250="E",AU250&gt;=0.75,AW250=1),HealthBY,IF(AND(AT250=1,AK250="E",AU250&gt;=0.75),HealthBY*P250,IF(AND(AT250=1,AK250="E",AU250&gt;=0.5,AW250=1),PTHealthBY,IF(AND(AT250=1,AK250="E",AU250&gt;=0.5),PTHealthBY*P250,0))))</f>
        <v>0</v>
      </c>
      <c r="BO250" s="462">
        <f>IF(AND(AT250=3,AK250="E",AV250&gt;=0.75,AW250=1),HealthBY,IF(AND(AT250=3,AK250="E",AV250&gt;=0.75),HealthBY*P250,IF(AND(AT250=3,AK250="E",AV250&gt;=0.5,AW250=1),PTHealthBY,IF(AND(AT250=3,AK250="E",AV250&gt;=0.5),PTHealthBY*P250,0))))</f>
        <v>0</v>
      </c>
      <c r="BP250" s="462">
        <f>IF(AND(AT250&lt;&gt;0,(AX250+BA250)&gt;=MAXSSDIBY),SSDIBY*MAXSSDIBY*P250,IF(AT250&lt;&gt;0,SSDIBY*W250,0))</f>
        <v>0</v>
      </c>
      <c r="BQ250" s="462">
        <f>IF(AT250&lt;&gt;0,SSHIBY*W250,0)</f>
        <v>0</v>
      </c>
      <c r="BR250" s="462">
        <f>IF(AND(AT250&lt;&gt;0,AN250&lt;&gt;"NE"),VLOOKUP(AN250,Retirement_Rates,4,FALSE)*W250,0)</f>
        <v>0</v>
      </c>
      <c r="BS250" s="462">
        <f>IF(AND(AT250&lt;&gt;0,AJ250&lt;&gt;"PF"),LifeBY*W250,0)</f>
        <v>0</v>
      </c>
      <c r="BT250" s="462">
        <f>IF(AND(AT250&lt;&gt;0,AM250="Y"),UIBY*W250,0)</f>
        <v>0</v>
      </c>
      <c r="BU250" s="462">
        <f>IF(AND(AT250&lt;&gt;0,N250&lt;&gt;"NR"),DHRBY*W250,0)</f>
        <v>0</v>
      </c>
      <c r="BV250" s="462">
        <f>IF(AT250&lt;&gt;0,WCBY*W250,0)</f>
        <v>0</v>
      </c>
      <c r="BW250" s="462">
        <f>IF(OR(AND(AT250&lt;&gt;0,AJ250&lt;&gt;"PF",AN250&lt;&gt;"NE",AG250&lt;&gt;"A"),AND(AL250="E",OR(AT250=1,AT250=3))),SickBY*W250,0)</f>
        <v>0</v>
      </c>
      <c r="BX250" s="462">
        <f t="shared" si="58"/>
        <v>0</v>
      </c>
      <c r="BY250" s="462">
        <f t="shared" si="59"/>
        <v>0</v>
      </c>
      <c r="BZ250" s="462">
        <f t="shared" si="60"/>
        <v>0</v>
      </c>
      <c r="CA250" s="462">
        <f t="shared" si="61"/>
        <v>0</v>
      </c>
      <c r="CB250" s="462">
        <f t="shared" si="62"/>
        <v>0</v>
      </c>
      <c r="CC250" s="462">
        <f>IF(AT250&lt;&gt;0,SSHICHG*Y250,0)</f>
        <v>0</v>
      </c>
      <c r="CD250" s="462">
        <f>IF(AND(AT250&lt;&gt;0,AN250&lt;&gt;"NE"),VLOOKUP(AN250,Retirement_Rates,5,FALSE)*Y250,0)</f>
        <v>0</v>
      </c>
      <c r="CE250" s="462">
        <f>IF(AND(AT250&lt;&gt;0,AJ250&lt;&gt;"PF"),LifeCHG*Y250,0)</f>
        <v>0</v>
      </c>
      <c r="CF250" s="462">
        <f>IF(AND(AT250&lt;&gt;0,AM250="Y"),UICHG*Y250,0)</f>
        <v>0</v>
      </c>
      <c r="CG250" s="462">
        <f>IF(AND(AT250&lt;&gt;0,N250&lt;&gt;"NR"),DHRCHG*Y250,0)</f>
        <v>0</v>
      </c>
      <c r="CH250" s="462">
        <f>IF(AT250&lt;&gt;0,WCCHG*Y250,0)</f>
        <v>0</v>
      </c>
      <c r="CI250" s="462">
        <f>IF(OR(AND(AT250&lt;&gt;0,AJ250&lt;&gt;"PF",AN250&lt;&gt;"NE",AG250&lt;&gt;"A"),AND(AL250="E",OR(AT250=1,AT250=3))),SickCHG*Y250,0)</f>
        <v>0</v>
      </c>
      <c r="CJ250" s="462">
        <f t="shared" si="63"/>
        <v>0</v>
      </c>
      <c r="CK250" s="462" t="str">
        <f t="shared" si="64"/>
        <v/>
      </c>
      <c r="CL250" s="462" t="str">
        <f t="shared" si="65"/>
        <v/>
      </c>
      <c r="CM250" s="462" t="str">
        <f t="shared" si="66"/>
        <v/>
      </c>
      <c r="CN250" s="462" t="str">
        <f t="shared" si="67"/>
        <v>0001-00</v>
      </c>
    </row>
    <row r="251" spans="1:92" ht="15" thickBot="1" x14ac:dyDescent="0.35">
      <c r="A251" s="376" t="s">
        <v>161</v>
      </c>
      <c r="B251" s="376" t="s">
        <v>162</v>
      </c>
      <c r="C251" s="376" t="s">
        <v>863</v>
      </c>
      <c r="D251" s="376" t="s">
        <v>365</v>
      </c>
      <c r="E251" s="376" t="s">
        <v>165</v>
      </c>
      <c r="F251" s="377" t="s">
        <v>166</v>
      </c>
      <c r="G251" s="376" t="s">
        <v>762</v>
      </c>
      <c r="H251" s="378"/>
      <c r="I251" s="378"/>
      <c r="J251" s="376" t="s">
        <v>168</v>
      </c>
      <c r="K251" s="376" t="s">
        <v>366</v>
      </c>
      <c r="L251" s="376" t="s">
        <v>274</v>
      </c>
      <c r="M251" s="376" t="s">
        <v>170</v>
      </c>
      <c r="N251" s="376" t="s">
        <v>202</v>
      </c>
      <c r="O251" s="379">
        <v>1</v>
      </c>
      <c r="P251" s="460">
        <v>1</v>
      </c>
      <c r="Q251" s="460">
        <v>1</v>
      </c>
      <c r="R251" s="380">
        <v>80</v>
      </c>
      <c r="S251" s="460">
        <v>1</v>
      </c>
      <c r="T251" s="380">
        <v>33962.300000000003</v>
      </c>
      <c r="U251" s="380">
        <v>0</v>
      </c>
      <c r="V251" s="380">
        <v>18048.93</v>
      </c>
      <c r="W251" s="380">
        <v>36400</v>
      </c>
      <c r="X251" s="380">
        <v>19889.86</v>
      </c>
      <c r="Y251" s="380">
        <v>36400</v>
      </c>
      <c r="Z251" s="380">
        <v>19795.22</v>
      </c>
      <c r="AA251" s="376" t="s">
        <v>864</v>
      </c>
      <c r="AB251" s="376" t="s">
        <v>865</v>
      </c>
      <c r="AC251" s="376" t="s">
        <v>866</v>
      </c>
      <c r="AD251" s="376" t="s">
        <v>215</v>
      </c>
      <c r="AE251" s="376" t="s">
        <v>366</v>
      </c>
      <c r="AF251" s="376" t="s">
        <v>279</v>
      </c>
      <c r="AG251" s="376" t="s">
        <v>177</v>
      </c>
      <c r="AH251" s="381">
        <v>17.5</v>
      </c>
      <c r="AI251" s="379">
        <v>2120</v>
      </c>
      <c r="AJ251" s="376" t="s">
        <v>178</v>
      </c>
      <c r="AK251" s="376" t="s">
        <v>179</v>
      </c>
      <c r="AL251" s="376" t="s">
        <v>180</v>
      </c>
      <c r="AM251" s="376" t="s">
        <v>181</v>
      </c>
      <c r="AN251" s="376" t="s">
        <v>68</v>
      </c>
      <c r="AO251" s="379">
        <v>80</v>
      </c>
      <c r="AP251" s="460">
        <v>1</v>
      </c>
      <c r="AQ251" s="460">
        <v>1</v>
      </c>
      <c r="AR251" s="458" t="s">
        <v>182</v>
      </c>
      <c r="AS251" s="462">
        <f t="shared" si="51"/>
        <v>1</v>
      </c>
      <c r="AT251">
        <f t="shared" si="52"/>
        <v>1</v>
      </c>
      <c r="AU251" s="462">
        <f>IF(AT251=0,"",IF(AND(AT251=1,M251="F",SUMIF(C2:C698,C251,AS2:AS698)&lt;=1),SUMIF(C2:C698,C251,AS2:AS698),IF(AND(AT251=1,M251="F",SUMIF(C2:C698,C251,AS2:AS698)&gt;1),1,"")))</f>
        <v>1</v>
      </c>
      <c r="AV251" s="462" t="str">
        <f>IF(AT251=0,"",IF(AND(AT251=3,M251="F",SUMIF(C2:C698,C251,AS2:AS698)&lt;=1),SUMIF(C2:C698,C251,AS2:AS698),IF(AND(AT251=3,M251="F",SUMIF(C2:C698,C251,AS2:AS698)&gt;1),1,"")))</f>
        <v/>
      </c>
      <c r="AW251" s="462">
        <f>SUMIF(C2:C698,C251,O2:O698)</f>
        <v>2</v>
      </c>
      <c r="AX251" s="462">
        <f>IF(AND(M251="F",AS251&lt;&gt;0),SUMIF(C2:C698,C251,W2:W698),0)</f>
        <v>36400</v>
      </c>
      <c r="AY251" s="462">
        <f t="shared" si="53"/>
        <v>36400</v>
      </c>
      <c r="AZ251" s="462" t="str">
        <f t="shared" si="54"/>
        <v/>
      </c>
      <c r="BA251" s="462">
        <f t="shared" si="55"/>
        <v>0</v>
      </c>
      <c r="BB251" s="462">
        <f>IF(AND(AT251=1,AK251="E",AU251&gt;=0.75,AW251=1),Health,IF(AND(AT251=1,AK251="E",AU251&gt;=0.75),Health*P251,IF(AND(AT251=1,AK251="E",AU251&gt;=0.5,AW251=1),PTHealth,IF(AND(AT251=1,AK251="E",AU251&gt;=0.5),PTHealth*P251,0))))</f>
        <v>11650</v>
      </c>
      <c r="BC251" s="462">
        <f>IF(AND(AT251=3,AK251="E",AV251&gt;=0.75,AW251=1),Health,IF(AND(AT251=3,AK251="E",AV251&gt;=0.75),Health*P251,IF(AND(AT251=3,AK251="E",AV251&gt;=0.5,AW251=1),PTHealth,IF(AND(AT251=3,AK251="E",AV251&gt;=0.5),PTHealth*P251,0))))</f>
        <v>0</v>
      </c>
      <c r="BD251" s="462">
        <f>IF(AND(AT251&lt;&gt;0,AX251&gt;=MAXSSDI),SSDI*MAXSSDI*P251,IF(AT251&lt;&gt;0,SSDI*W251,0))</f>
        <v>2256.8000000000002</v>
      </c>
      <c r="BE251" s="462">
        <f>IF(AT251&lt;&gt;0,SSHI*W251,0)</f>
        <v>527.80000000000007</v>
      </c>
      <c r="BF251" s="462">
        <f>IF(AND(AT251&lt;&gt;0,AN251&lt;&gt;"NE"),VLOOKUP(AN251,Retirement_Rates,3,FALSE)*W251,0)</f>
        <v>4346.16</v>
      </c>
      <c r="BG251" s="462">
        <f>IF(AND(AT251&lt;&gt;0,AJ251&lt;&gt;"PF"),Life*W251,0)</f>
        <v>262.44400000000002</v>
      </c>
      <c r="BH251" s="462">
        <f>IF(AND(AT251&lt;&gt;0,AM251="Y"),UI*W251,0)</f>
        <v>178.35999999999999</v>
      </c>
      <c r="BI251" s="462">
        <f>IF(AND(AT251&lt;&gt;0,N251&lt;&gt;"NR"),DHR*W251,0)</f>
        <v>111.38399999999999</v>
      </c>
      <c r="BJ251" s="462">
        <f>IF(AT251&lt;&gt;0,WC*W251,0)</f>
        <v>556.91999999999996</v>
      </c>
      <c r="BK251" s="462">
        <f>IF(OR(AND(AT251&lt;&gt;0,AJ251&lt;&gt;"PF",AN251&lt;&gt;"NE",AG251&lt;&gt;"A"),AND(AL251="E",OR(AT251=1,AT251=3))),Sick*W251,0)</f>
        <v>0</v>
      </c>
      <c r="BL251" s="462">
        <f t="shared" si="56"/>
        <v>8239.8680000000004</v>
      </c>
      <c r="BM251" s="462">
        <f t="shared" si="57"/>
        <v>0</v>
      </c>
      <c r="BN251" s="462">
        <f>IF(AND(AT251=1,AK251="E",AU251&gt;=0.75,AW251=1),HealthBY,IF(AND(AT251=1,AK251="E",AU251&gt;=0.75),HealthBY*P251,IF(AND(AT251=1,AK251="E",AU251&gt;=0.5,AW251=1),PTHealthBY,IF(AND(AT251=1,AK251="E",AU251&gt;=0.5),PTHealthBY*P251,0))))</f>
        <v>11650</v>
      </c>
      <c r="BO251" s="462">
        <f>IF(AND(AT251=3,AK251="E",AV251&gt;=0.75,AW251=1),HealthBY,IF(AND(AT251=3,AK251="E",AV251&gt;=0.75),HealthBY*P251,IF(AND(AT251=3,AK251="E",AV251&gt;=0.5,AW251=1),PTHealthBY,IF(AND(AT251=3,AK251="E",AV251&gt;=0.5),PTHealthBY*P251,0))))</f>
        <v>0</v>
      </c>
      <c r="BP251" s="462">
        <f>IF(AND(AT251&lt;&gt;0,(AX251+BA251)&gt;=MAXSSDIBY),SSDIBY*MAXSSDIBY*P251,IF(AT251&lt;&gt;0,SSDIBY*W251,0))</f>
        <v>2256.8000000000002</v>
      </c>
      <c r="BQ251" s="462">
        <f>IF(AT251&lt;&gt;0,SSHIBY*W251,0)</f>
        <v>527.80000000000007</v>
      </c>
      <c r="BR251" s="462">
        <f>IF(AND(AT251&lt;&gt;0,AN251&lt;&gt;"NE"),VLOOKUP(AN251,Retirement_Rates,4,FALSE)*W251,0)</f>
        <v>4346.16</v>
      </c>
      <c r="BS251" s="462">
        <f>IF(AND(AT251&lt;&gt;0,AJ251&lt;&gt;"PF"),LifeBY*W251,0)</f>
        <v>262.44400000000002</v>
      </c>
      <c r="BT251" s="462">
        <f>IF(AND(AT251&lt;&gt;0,AM251="Y"),UIBY*W251,0)</f>
        <v>0</v>
      </c>
      <c r="BU251" s="462">
        <f>IF(AND(AT251&lt;&gt;0,N251&lt;&gt;"NR"),DHRBY*W251,0)</f>
        <v>111.38399999999999</v>
      </c>
      <c r="BV251" s="462">
        <f>IF(AT251&lt;&gt;0,WCBY*W251,0)</f>
        <v>640.64</v>
      </c>
      <c r="BW251" s="462">
        <f>IF(OR(AND(AT251&lt;&gt;0,AJ251&lt;&gt;"PF",AN251&lt;&gt;"NE",AG251&lt;&gt;"A"),AND(AL251="E",OR(AT251=1,AT251=3))),SickBY*W251,0)</f>
        <v>0</v>
      </c>
      <c r="BX251" s="462">
        <f t="shared" si="58"/>
        <v>8145.228000000001</v>
      </c>
      <c r="BY251" s="462">
        <f t="shared" si="59"/>
        <v>0</v>
      </c>
      <c r="BZ251" s="462">
        <f t="shared" si="60"/>
        <v>0</v>
      </c>
      <c r="CA251" s="462">
        <f t="shared" si="61"/>
        <v>0</v>
      </c>
      <c r="CB251" s="462">
        <f t="shared" si="62"/>
        <v>0</v>
      </c>
      <c r="CC251" s="462">
        <f>IF(AT251&lt;&gt;0,SSHICHG*Y251,0)</f>
        <v>0</v>
      </c>
      <c r="CD251" s="462">
        <f>IF(AND(AT251&lt;&gt;0,AN251&lt;&gt;"NE"),VLOOKUP(AN251,Retirement_Rates,5,FALSE)*Y251,0)</f>
        <v>0</v>
      </c>
      <c r="CE251" s="462">
        <f>IF(AND(AT251&lt;&gt;0,AJ251&lt;&gt;"PF"),LifeCHG*Y251,0)</f>
        <v>0</v>
      </c>
      <c r="CF251" s="462">
        <f>IF(AND(AT251&lt;&gt;0,AM251="Y"),UICHG*Y251,0)</f>
        <v>-178.35999999999999</v>
      </c>
      <c r="CG251" s="462">
        <f>IF(AND(AT251&lt;&gt;0,N251&lt;&gt;"NR"),DHRCHG*Y251,0)</f>
        <v>0</v>
      </c>
      <c r="CH251" s="462">
        <f>IF(AT251&lt;&gt;0,WCCHG*Y251,0)</f>
        <v>83.720000000000056</v>
      </c>
      <c r="CI251" s="462">
        <f>IF(OR(AND(AT251&lt;&gt;0,AJ251&lt;&gt;"PF",AN251&lt;&gt;"NE",AG251&lt;&gt;"A"),AND(AL251="E",OR(AT251=1,AT251=3))),SickCHG*Y251,0)</f>
        <v>0</v>
      </c>
      <c r="CJ251" s="462">
        <f t="shared" si="63"/>
        <v>-94.63999999999993</v>
      </c>
      <c r="CK251" s="462" t="str">
        <f t="shared" si="64"/>
        <v/>
      </c>
      <c r="CL251" s="462" t="str">
        <f t="shared" si="65"/>
        <v/>
      </c>
      <c r="CM251" s="462" t="str">
        <f t="shared" si="66"/>
        <v/>
      </c>
      <c r="CN251" s="462" t="str">
        <f t="shared" si="67"/>
        <v>0001-00</v>
      </c>
    </row>
    <row r="252" spans="1:92" ht="15" thickBot="1" x14ac:dyDescent="0.35">
      <c r="A252" s="376" t="s">
        <v>161</v>
      </c>
      <c r="B252" s="376" t="s">
        <v>162</v>
      </c>
      <c r="C252" s="376" t="s">
        <v>867</v>
      </c>
      <c r="D252" s="376" t="s">
        <v>765</v>
      </c>
      <c r="E252" s="376" t="s">
        <v>165</v>
      </c>
      <c r="F252" s="377" t="s">
        <v>166</v>
      </c>
      <c r="G252" s="376" t="s">
        <v>762</v>
      </c>
      <c r="H252" s="378"/>
      <c r="I252" s="378"/>
      <c r="J252" s="376" t="s">
        <v>168</v>
      </c>
      <c r="K252" s="376" t="s">
        <v>766</v>
      </c>
      <c r="L252" s="376" t="s">
        <v>166</v>
      </c>
      <c r="M252" s="376" t="s">
        <v>201</v>
      </c>
      <c r="N252" s="376" t="s">
        <v>291</v>
      </c>
      <c r="O252" s="379">
        <v>0</v>
      </c>
      <c r="P252" s="460">
        <v>1</v>
      </c>
      <c r="Q252" s="460">
        <v>0</v>
      </c>
      <c r="R252" s="380">
        <v>0</v>
      </c>
      <c r="S252" s="460">
        <v>0</v>
      </c>
      <c r="T252" s="380">
        <v>0</v>
      </c>
      <c r="U252" s="380">
        <v>0</v>
      </c>
      <c r="V252" s="380">
        <v>0</v>
      </c>
      <c r="W252" s="380">
        <v>0</v>
      </c>
      <c r="X252" s="380">
        <v>0</v>
      </c>
      <c r="Y252" s="380">
        <v>0</v>
      </c>
      <c r="Z252" s="380">
        <v>0</v>
      </c>
      <c r="AA252" s="378"/>
      <c r="AB252" s="376" t="s">
        <v>45</v>
      </c>
      <c r="AC252" s="376" t="s">
        <v>45</v>
      </c>
      <c r="AD252" s="378"/>
      <c r="AE252" s="378"/>
      <c r="AF252" s="378"/>
      <c r="AG252" s="378"/>
      <c r="AH252" s="379">
        <v>0</v>
      </c>
      <c r="AI252" s="379">
        <v>0</v>
      </c>
      <c r="AJ252" s="378"/>
      <c r="AK252" s="378"/>
      <c r="AL252" s="376" t="s">
        <v>180</v>
      </c>
      <c r="AM252" s="378"/>
      <c r="AN252" s="378"/>
      <c r="AO252" s="379">
        <v>0</v>
      </c>
      <c r="AP252" s="460">
        <v>0</v>
      </c>
      <c r="AQ252" s="460">
        <v>0</v>
      </c>
      <c r="AR252" s="459"/>
      <c r="AS252" s="462">
        <f t="shared" si="51"/>
        <v>0</v>
      </c>
      <c r="AT252">
        <f t="shared" si="52"/>
        <v>0</v>
      </c>
      <c r="AU252" s="462" t="str">
        <f>IF(AT252=0,"",IF(AND(AT252=1,M252="F",SUMIF(C2:C698,C252,AS2:AS698)&lt;=1),SUMIF(C2:C698,C252,AS2:AS698),IF(AND(AT252=1,M252="F",SUMIF(C2:C698,C252,AS2:AS698)&gt;1),1,"")))</f>
        <v/>
      </c>
      <c r="AV252" s="462" t="str">
        <f>IF(AT252=0,"",IF(AND(AT252=3,M252="F",SUMIF(C2:C698,C252,AS2:AS698)&lt;=1),SUMIF(C2:C698,C252,AS2:AS698),IF(AND(AT252=3,M252="F",SUMIF(C2:C698,C252,AS2:AS698)&gt;1),1,"")))</f>
        <v/>
      </c>
      <c r="AW252" s="462">
        <f>SUMIF(C2:C698,C252,O2:O698)</f>
        <v>0</v>
      </c>
      <c r="AX252" s="462">
        <f>IF(AND(M252="F",AS252&lt;&gt;0),SUMIF(C2:C698,C252,W2:W698),0)</f>
        <v>0</v>
      </c>
      <c r="AY252" s="462" t="str">
        <f t="shared" si="53"/>
        <v/>
      </c>
      <c r="AZ252" s="462" t="str">
        <f t="shared" si="54"/>
        <v/>
      </c>
      <c r="BA252" s="462">
        <f t="shared" si="55"/>
        <v>0</v>
      </c>
      <c r="BB252" s="462">
        <f>IF(AND(AT252=1,AK252="E",AU252&gt;=0.75,AW252=1),Health,IF(AND(AT252=1,AK252="E",AU252&gt;=0.75),Health*P252,IF(AND(AT252=1,AK252="E",AU252&gt;=0.5,AW252=1),PTHealth,IF(AND(AT252=1,AK252="E",AU252&gt;=0.5),PTHealth*P252,0))))</f>
        <v>0</v>
      </c>
      <c r="BC252" s="462">
        <f>IF(AND(AT252=3,AK252="E",AV252&gt;=0.75,AW252=1),Health,IF(AND(AT252=3,AK252="E",AV252&gt;=0.75),Health*P252,IF(AND(AT252=3,AK252="E",AV252&gt;=0.5,AW252=1),PTHealth,IF(AND(AT252=3,AK252="E",AV252&gt;=0.5),PTHealth*P252,0))))</f>
        <v>0</v>
      </c>
      <c r="BD252" s="462">
        <f>IF(AND(AT252&lt;&gt;0,AX252&gt;=MAXSSDI),SSDI*MAXSSDI*P252,IF(AT252&lt;&gt;0,SSDI*W252,0))</f>
        <v>0</v>
      </c>
      <c r="BE252" s="462">
        <f>IF(AT252&lt;&gt;0,SSHI*W252,0)</f>
        <v>0</v>
      </c>
      <c r="BF252" s="462">
        <f>IF(AND(AT252&lt;&gt;0,AN252&lt;&gt;"NE"),VLOOKUP(AN252,Retirement_Rates,3,FALSE)*W252,0)</f>
        <v>0</v>
      </c>
      <c r="BG252" s="462">
        <f>IF(AND(AT252&lt;&gt;0,AJ252&lt;&gt;"PF"),Life*W252,0)</f>
        <v>0</v>
      </c>
      <c r="BH252" s="462">
        <f>IF(AND(AT252&lt;&gt;0,AM252="Y"),UI*W252,0)</f>
        <v>0</v>
      </c>
      <c r="BI252" s="462">
        <f>IF(AND(AT252&lt;&gt;0,N252&lt;&gt;"NR"),DHR*W252,0)</f>
        <v>0</v>
      </c>
      <c r="BJ252" s="462">
        <f>IF(AT252&lt;&gt;0,WC*W252,0)</f>
        <v>0</v>
      </c>
      <c r="BK252" s="462">
        <f>IF(OR(AND(AT252&lt;&gt;0,AJ252&lt;&gt;"PF",AN252&lt;&gt;"NE",AG252&lt;&gt;"A"),AND(AL252="E",OR(AT252=1,AT252=3))),Sick*W252,0)</f>
        <v>0</v>
      </c>
      <c r="BL252" s="462">
        <f t="shared" si="56"/>
        <v>0</v>
      </c>
      <c r="BM252" s="462">
        <f t="shared" si="57"/>
        <v>0</v>
      </c>
      <c r="BN252" s="462">
        <f>IF(AND(AT252=1,AK252="E",AU252&gt;=0.75,AW252=1),HealthBY,IF(AND(AT252=1,AK252="E",AU252&gt;=0.75),HealthBY*P252,IF(AND(AT252=1,AK252="E",AU252&gt;=0.5,AW252=1),PTHealthBY,IF(AND(AT252=1,AK252="E",AU252&gt;=0.5),PTHealthBY*P252,0))))</f>
        <v>0</v>
      </c>
      <c r="BO252" s="462">
        <f>IF(AND(AT252=3,AK252="E",AV252&gt;=0.75,AW252=1),HealthBY,IF(AND(AT252=3,AK252="E",AV252&gt;=0.75),HealthBY*P252,IF(AND(AT252=3,AK252="E",AV252&gt;=0.5,AW252=1),PTHealthBY,IF(AND(AT252=3,AK252="E",AV252&gt;=0.5),PTHealthBY*P252,0))))</f>
        <v>0</v>
      </c>
      <c r="BP252" s="462">
        <f>IF(AND(AT252&lt;&gt;0,(AX252+BA252)&gt;=MAXSSDIBY),SSDIBY*MAXSSDIBY*P252,IF(AT252&lt;&gt;0,SSDIBY*W252,0))</f>
        <v>0</v>
      </c>
      <c r="BQ252" s="462">
        <f>IF(AT252&lt;&gt;0,SSHIBY*W252,0)</f>
        <v>0</v>
      </c>
      <c r="BR252" s="462">
        <f>IF(AND(AT252&lt;&gt;0,AN252&lt;&gt;"NE"),VLOOKUP(AN252,Retirement_Rates,4,FALSE)*W252,0)</f>
        <v>0</v>
      </c>
      <c r="BS252" s="462">
        <f>IF(AND(AT252&lt;&gt;0,AJ252&lt;&gt;"PF"),LifeBY*W252,0)</f>
        <v>0</v>
      </c>
      <c r="BT252" s="462">
        <f>IF(AND(AT252&lt;&gt;0,AM252="Y"),UIBY*W252,0)</f>
        <v>0</v>
      </c>
      <c r="BU252" s="462">
        <f>IF(AND(AT252&lt;&gt;0,N252&lt;&gt;"NR"),DHRBY*W252,0)</f>
        <v>0</v>
      </c>
      <c r="BV252" s="462">
        <f>IF(AT252&lt;&gt;0,WCBY*W252,0)</f>
        <v>0</v>
      </c>
      <c r="BW252" s="462">
        <f>IF(OR(AND(AT252&lt;&gt;0,AJ252&lt;&gt;"PF",AN252&lt;&gt;"NE",AG252&lt;&gt;"A"),AND(AL252="E",OR(AT252=1,AT252=3))),SickBY*W252,0)</f>
        <v>0</v>
      </c>
      <c r="BX252" s="462">
        <f t="shared" si="58"/>
        <v>0</v>
      </c>
      <c r="BY252" s="462">
        <f t="shared" si="59"/>
        <v>0</v>
      </c>
      <c r="BZ252" s="462">
        <f t="shared" si="60"/>
        <v>0</v>
      </c>
      <c r="CA252" s="462">
        <f t="shared" si="61"/>
        <v>0</v>
      </c>
      <c r="CB252" s="462">
        <f t="shared" si="62"/>
        <v>0</v>
      </c>
      <c r="CC252" s="462">
        <f>IF(AT252&lt;&gt;0,SSHICHG*Y252,0)</f>
        <v>0</v>
      </c>
      <c r="CD252" s="462">
        <f>IF(AND(AT252&lt;&gt;0,AN252&lt;&gt;"NE"),VLOOKUP(AN252,Retirement_Rates,5,FALSE)*Y252,0)</f>
        <v>0</v>
      </c>
      <c r="CE252" s="462">
        <f>IF(AND(AT252&lt;&gt;0,AJ252&lt;&gt;"PF"),LifeCHG*Y252,0)</f>
        <v>0</v>
      </c>
      <c r="CF252" s="462">
        <f>IF(AND(AT252&lt;&gt;0,AM252="Y"),UICHG*Y252,0)</f>
        <v>0</v>
      </c>
      <c r="CG252" s="462">
        <f>IF(AND(AT252&lt;&gt;0,N252&lt;&gt;"NR"),DHRCHG*Y252,0)</f>
        <v>0</v>
      </c>
      <c r="CH252" s="462">
        <f>IF(AT252&lt;&gt;0,WCCHG*Y252,0)</f>
        <v>0</v>
      </c>
      <c r="CI252" s="462">
        <f>IF(OR(AND(AT252&lt;&gt;0,AJ252&lt;&gt;"PF",AN252&lt;&gt;"NE",AG252&lt;&gt;"A"),AND(AL252="E",OR(AT252=1,AT252=3))),SickCHG*Y252,0)</f>
        <v>0</v>
      </c>
      <c r="CJ252" s="462">
        <f t="shared" si="63"/>
        <v>0</v>
      </c>
      <c r="CK252" s="462" t="str">
        <f t="shared" si="64"/>
        <v/>
      </c>
      <c r="CL252" s="462">
        <f t="shared" si="65"/>
        <v>0</v>
      </c>
      <c r="CM252" s="462">
        <f t="shared" si="66"/>
        <v>0</v>
      </c>
      <c r="CN252" s="462" t="str">
        <f t="shared" si="67"/>
        <v>0001-00</v>
      </c>
    </row>
    <row r="253" spans="1:92" ht="15" thickBot="1" x14ac:dyDescent="0.35">
      <c r="A253" s="376" t="s">
        <v>161</v>
      </c>
      <c r="B253" s="376" t="s">
        <v>162</v>
      </c>
      <c r="C253" s="376" t="s">
        <v>868</v>
      </c>
      <c r="D253" s="376" t="s">
        <v>802</v>
      </c>
      <c r="E253" s="376" t="s">
        <v>165</v>
      </c>
      <c r="F253" s="377" t="s">
        <v>166</v>
      </c>
      <c r="G253" s="376" t="s">
        <v>762</v>
      </c>
      <c r="H253" s="378"/>
      <c r="I253" s="378"/>
      <c r="J253" s="376" t="s">
        <v>185</v>
      </c>
      <c r="K253" s="376" t="s">
        <v>803</v>
      </c>
      <c r="L253" s="376" t="s">
        <v>243</v>
      </c>
      <c r="M253" s="376" t="s">
        <v>170</v>
      </c>
      <c r="N253" s="376" t="s">
        <v>202</v>
      </c>
      <c r="O253" s="379">
        <v>1</v>
      </c>
      <c r="P253" s="460">
        <v>0.5</v>
      </c>
      <c r="Q253" s="460">
        <v>0.5</v>
      </c>
      <c r="R253" s="380">
        <v>80</v>
      </c>
      <c r="S253" s="460">
        <v>0.5</v>
      </c>
      <c r="T253" s="380">
        <v>37615.760000000002</v>
      </c>
      <c r="U253" s="380">
        <v>0</v>
      </c>
      <c r="V253" s="380">
        <v>13510.18</v>
      </c>
      <c r="W253" s="380">
        <v>39041.599999999999</v>
      </c>
      <c r="X253" s="380">
        <v>14662.82</v>
      </c>
      <c r="Y253" s="380">
        <v>39041.599999999999</v>
      </c>
      <c r="Z253" s="380">
        <v>14561.32</v>
      </c>
      <c r="AA253" s="376" t="s">
        <v>869</v>
      </c>
      <c r="AB253" s="376" t="s">
        <v>870</v>
      </c>
      <c r="AC253" s="376" t="s">
        <v>871</v>
      </c>
      <c r="AD253" s="376" t="s">
        <v>224</v>
      </c>
      <c r="AE253" s="376" t="s">
        <v>803</v>
      </c>
      <c r="AF253" s="376" t="s">
        <v>248</v>
      </c>
      <c r="AG253" s="376" t="s">
        <v>177</v>
      </c>
      <c r="AH253" s="381">
        <v>37.54</v>
      </c>
      <c r="AI253" s="381">
        <v>7970.9</v>
      </c>
      <c r="AJ253" s="376" t="s">
        <v>178</v>
      </c>
      <c r="AK253" s="376" t="s">
        <v>179</v>
      </c>
      <c r="AL253" s="376" t="s">
        <v>180</v>
      </c>
      <c r="AM253" s="376" t="s">
        <v>181</v>
      </c>
      <c r="AN253" s="376" t="s">
        <v>68</v>
      </c>
      <c r="AO253" s="379">
        <v>80</v>
      </c>
      <c r="AP253" s="460">
        <v>1</v>
      </c>
      <c r="AQ253" s="460">
        <v>0.5</v>
      </c>
      <c r="AR253" s="458" t="s">
        <v>182</v>
      </c>
      <c r="AS253" s="462">
        <f t="shared" si="51"/>
        <v>0.5</v>
      </c>
      <c r="AT253">
        <f t="shared" si="52"/>
        <v>1</v>
      </c>
      <c r="AU253" s="462">
        <f>IF(AT253=0,"",IF(AND(AT253=1,M253="F",SUMIF(C2:C698,C253,AS2:AS698)&lt;=1),SUMIF(C2:C698,C253,AS2:AS698),IF(AND(AT253=1,M253="F",SUMIF(C2:C698,C253,AS2:AS698)&gt;1),1,"")))</f>
        <v>1</v>
      </c>
      <c r="AV253" s="462" t="str">
        <f>IF(AT253=0,"",IF(AND(AT253=3,M253="F",SUMIF(C2:C698,C253,AS2:AS698)&lt;=1),SUMIF(C2:C698,C253,AS2:AS698),IF(AND(AT253=3,M253="F",SUMIF(C2:C698,C253,AS2:AS698)&gt;1),1,"")))</f>
        <v/>
      </c>
      <c r="AW253" s="462">
        <f>SUMIF(C2:C698,C253,O2:O698)</f>
        <v>2</v>
      </c>
      <c r="AX253" s="462">
        <f>IF(AND(M253="F",AS253&lt;&gt;0),SUMIF(C2:C698,C253,W2:W698),0)</f>
        <v>78083.199999999997</v>
      </c>
      <c r="AY253" s="462">
        <f t="shared" si="53"/>
        <v>39041.599999999999</v>
      </c>
      <c r="AZ253" s="462" t="str">
        <f t="shared" si="54"/>
        <v/>
      </c>
      <c r="BA253" s="462">
        <f t="shared" si="55"/>
        <v>0</v>
      </c>
      <c r="BB253" s="462">
        <f>IF(AND(AT253=1,AK253="E",AU253&gt;=0.75,AW253=1),Health,IF(AND(AT253=1,AK253="E",AU253&gt;=0.75),Health*P253,IF(AND(AT253=1,AK253="E",AU253&gt;=0.5,AW253=1),PTHealth,IF(AND(AT253=1,AK253="E",AU253&gt;=0.5),PTHealth*P253,0))))</f>
        <v>5825</v>
      </c>
      <c r="BC253" s="462">
        <f>IF(AND(AT253=3,AK253="E",AV253&gt;=0.75,AW253=1),Health,IF(AND(AT253=3,AK253="E",AV253&gt;=0.75),Health*P253,IF(AND(AT253=3,AK253="E",AV253&gt;=0.5,AW253=1),PTHealth,IF(AND(AT253=3,AK253="E",AV253&gt;=0.5),PTHealth*P253,0))))</f>
        <v>0</v>
      </c>
      <c r="BD253" s="462">
        <f>IF(AND(AT253&lt;&gt;0,AX253&gt;=MAXSSDI),SSDI*MAXSSDI*P253,IF(AT253&lt;&gt;0,SSDI*W253,0))</f>
        <v>2420.5791999999997</v>
      </c>
      <c r="BE253" s="462">
        <f>IF(AT253&lt;&gt;0,SSHI*W253,0)</f>
        <v>566.10320000000002</v>
      </c>
      <c r="BF253" s="462">
        <f>IF(AND(AT253&lt;&gt;0,AN253&lt;&gt;"NE"),VLOOKUP(AN253,Retirement_Rates,3,FALSE)*W253,0)</f>
        <v>4661.5670399999999</v>
      </c>
      <c r="BG253" s="462">
        <f>IF(AND(AT253&lt;&gt;0,AJ253&lt;&gt;"PF"),Life*W253,0)</f>
        <v>281.489936</v>
      </c>
      <c r="BH253" s="462">
        <f>IF(AND(AT253&lt;&gt;0,AM253="Y"),UI*W253,0)</f>
        <v>191.30383999999998</v>
      </c>
      <c r="BI253" s="462">
        <f>IF(AND(AT253&lt;&gt;0,N253&lt;&gt;"NR"),DHR*W253,0)</f>
        <v>119.46729599999999</v>
      </c>
      <c r="BJ253" s="462">
        <f>IF(AT253&lt;&gt;0,WC*W253,0)</f>
        <v>597.33647999999994</v>
      </c>
      <c r="BK253" s="462">
        <f>IF(OR(AND(AT253&lt;&gt;0,AJ253&lt;&gt;"PF",AN253&lt;&gt;"NE",AG253&lt;&gt;"A"),AND(AL253="E",OR(AT253=1,AT253=3))),Sick*W253,0)</f>
        <v>0</v>
      </c>
      <c r="BL253" s="462">
        <f t="shared" si="56"/>
        <v>8837.8469919999989</v>
      </c>
      <c r="BM253" s="462">
        <f t="shared" si="57"/>
        <v>0</v>
      </c>
      <c r="BN253" s="462">
        <f>IF(AND(AT253=1,AK253="E",AU253&gt;=0.75,AW253=1),HealthBY,IF(AND(AT253=1,AK253="E",AU253&gt;=0.75),HealthBY*P253,IF(AND(AT253=1,AK253="E",AU253&gt;=0.5,AW253=1),PTHealthBY,IF(AND(AT253=1,AK253="E",AU253&gt;=0.5),PTHealthBY*P253,0))))</f>
        <v>5825</v>
      </c>
      <c r="BO253" s="462">
        <f>IF(AND(AT253=3,AK253="E",AV253&gt;=0.75,AW253=1),HealthBY,IF(AND(AT253=3,AK253="E",AV253&gt;=0.75),HealthBY*P253,IF(AND(AT253=3,AK253="E",AV253&gt;=0.5,AW253=1),PTHealthBY,IF(AND(AT253=3,AK253="E",AV253&gt;=0.5),PTHealthBY*P253,0))))</f>
        <v>0</v>
      </c>
      <c r="BP253" s="462">
        <f>IF(AND(AT253&lt;&gt;0,(AX253+BA253)&gt;=MAXSSDIBY),SSDIBY*MAXSSDIBY*P253,IF(AT253&lt;&gt;0,SSDIBY*W253,0))</f>
        <v>2420.5791999999997</v>
      </c>
      <c r="BQ253" s="462">
        <f>IF(AT253&lt;&gt;0,SSHIBY*W253,0)</f>
        <v>566.10320000000002</v>
      </c>
      <c r="BR253" s="462">
        <f>IF(AND(AT253&lt;&gt;0,AN253&lt;&gt;"NE"),VLOOKUP(AN253,Retirement_Rates,4,FALSE)*W253,0)</f>
        <v>4661.5670399999999</v>
      </c>
      <c r="BS253" s="462">
        <f>IF(AND(AT253&lt;&gt;0,AJ253&lt;&gt;"PF"),LifeBY*W253,0)</f>
        <v>281.489936</v>
      </c>
      <c r="BT253" s="462">
        <f>IF(AND(AT253&lt;&gt;0,AM253="Y"),UIBY*W253,0)</f>
        <v>0</v>
      </c>
      <c r="BU253" s="462">
        <f>IF(AND(AT253&lt;&gt;0,N253&lt;&gt;"NR"),DHRBY*W253,0)</f>
        <v>119.46729599999999</v>
      </c>
      <c r="BV253" s="462">
        <f>IF(AT253&lt;&gt;0,WCBY*W253,0)</f>
        <v>687.13216</v>
      </c>
      <c r="BW253" s="462">
        <f>IF(OR(AND(AT253&lt;&gt;0,AJ253&lt;&gt;"PF",AN253&lt;&gt;"NE",AG253&lt;&gt;"A"),AND(AL253="E",OR(AT253=1,AT253=3))),SickBY*W253,0)</f>
        <v>0</v>
      </c>
      <c r="BX253" s="462">
        <f t="shared" si="58"/>
        <v>8736.3388319999995</v>
      </c>
      <c r="BY253" s="462">
        <f t="shared" si="59"/>
        <v>0</v>
      </c>
      <c r="BZ253" s="462">
        <f t="shared" si="60"/>
        <v>0</v>
      </c>
      <c r="CA253" s="462">
        <f t="shared" si="61"/>
        <v>0</v>
      </c>
      <c r="CB253" s="462">
        <f t="shared" si="62"/>
        <v>0</v>
      </c>
      <c r="CC253" s="462">
        <f>IF(AT253&lt;&gt;0,SSHICHG*Y253,0)</f>
        <v>0</v>
      </c>
      <c r="CD253" s="462">
        <f>IF(AND(AT253&lt;&gt;0,AN253&lt;&gt;"NE"),VLOOKUP(AN253,Retirement_Rates,5,FALSE)*Y253,0)</f>
        <v>0</v>
      </c>
      <c r="CE253" s="462">
        <f>IF(AND(AT253&lt;&gt;0,AJ253&lt;&gt;"PF"),LifeCHG*Y253,0)</f>
        <v>0</v>
      </c>
      <c r="CF253" s="462">
        <f>IF(AND(AT253&lt;&gt;0,AM253="Y"),UICHG*Y253,0)</f>
        <v>-191.30383999999998</v>
      </c>
      <c r="CG253" s="462">
        <f>IF(AND(AT253&lt;&gt;0,N253&lt;&gt;"NR"),DHRCHG*Y253,0)</f>
        <v>0</v>
      </c>
      <c r="CH253" s="462">
        <f>IF(AT253&lt;&gt;0,WCCHG*Y253,0)</f>
        <v>89.795680000000061</v>
      </c>
      <c r="CI253" s="462">
        <f>IF(OR(AND(AT253&lt;&gt;0,AJ253&lt;&gt;"PF",AN253&lt;&gt;"NE",AG253&lt;&gt;"A"),AND(AL253="E",OR(AT253=1,AT253=3))),SickCHG*Y253,0)</f>
        <v>0</v>
      </c>
      <c r="CJ253" s="462">
        <f t="shared" si="63"/>
        <v>-101.50815999999992</v>
      </c>
      <c r="CK253" s="462" t="str">
        <f t="shared" si="64"/>
        <v/>
      </c>
      <c r="CL253" s="462" t="str">
        <f t="shared" si="65"/>
        <v/>
      </c>
      <c r="CM253" s="462" t="str">
        <f t="shared" si="66"/>
        <v/>
      </c>
      <c r="CN253" s="462" t="str">
        <f t="shared" si="67"/>
        <v>0001-00</v>
      </c>
    </row>
    <row r="254" spans="1:92" ht="15" thickBot="1" x14ac:dyDescent="0.35">
      <c r="A254" s="376" t="s">
        <v>161</v>
      </c>
      <c r="B254" s="376" t="s">
        <v>162</v>
      </c>
      <c r="C254" s="376" t="s">
        <v>711</v>
      </c>
      <c r="D254" s="376" t="s">
        <v>250</v>
      </c>
      <c r="E254" s="376" t="s">
        <v>165</v>
      </c>
      <c r="F254" s="377" t="s">
        <v>166</v>
      </c>
      <c r="G254" s="376" t="s">
        <v>762</v>
      </c>
      <c r="H254" s="378"/>
      <c r="I254" s="378"/>
      <c r="J254" s="376" t="s">
        <v>185</v>
      </c>
      <c r="K254" s="376" t="s">
        <v>407</v>
      </c>
      <c r="L254" s="376" t="s">
        <v>247</v>
      </c>
      <c r="M254" s="376" t="s">
        <v>170</v>
      </c>
      <c r="N254" s="376" t="s">
        <v>202</v>
      </c>
      <c r="O254" s="379">
        <v>1</v>
      </c>
      <c r="P254" s="460">
        <v>0</v>
      </c>
      <c r="Q254" s="460">
        <v>0</v>
      </c>
      <c r="R254" s="380">
        <v>80</v>
      </c>
      <c r="S254" s="460">
        <v>0</v>
      </c>
      <c r="T254" s="380">
        <v>10497.46</v>
      </c>
      <c r="U254" s="380">
        <v>0</v>
      </c>
      <c r="V254" s="380">
        <v>3942.71</v>
      </c>
      <c r="W254" s="380">
        <v>0</v>
      </c>
      <c r="X254" s="380">
        <v>0</v>
      </c>
      <c r="Y254" s="380">
        <v>0</v>
      </c>
      <c r="Z254" s="380">
        <v>0</v>
      </c>
      <c r="AA254" s="376" t="s">
        <v>712</v>
      </c>
      <c r="AB254" s="376" t="s">
        <v>713</v>
      </c>
      <c r="AC254" s="376" t="s">
        <v>714</v>
      </c>
      <c r="AD254" s="376" t="s">
        <v>278</v>
      </c>
      <c r="AE254" s="376" t="s">
        <v>407</v>
      </c>
      <c r="AF254" s="376" t="s">
        <v>299</v>
      </c>
      <c r="AG254" s="376" t="s">
        <v>177</v>
      </c>
      <c r="AH254" s="381">
        <v>28.16</v>
      </c>
      <c r="AI254" s="381">
        <v>4619.7</v>
      </c>
      <c r="AJ254" s="376" t="s">
        <v>178</v>
      </c>
      <c r="AK254" s="376" t="s">
        <v>179</v>
      </c>
      <c r="AL254" s="376" t="s">
        <v>180</v>
      </c>
      <c r="AM254" s="376" t="s">
        <v>181</v>
      </c>
      <c r="AN254" s="376" t="s">
        <v>68</v>
      </c>
      <c r="AO254" s="379">
        <v>80</v>
      </c>
      <c r="AP254" s="460">
        <v>1</v>
      </c>
      <c r="AQ254" s="460">
        <v>0</v>
      </c>
      <c r="AR254" s="458" t="s">
        <v>182</v>
      </c>
      <c r="AS254" s="462">
        <f t="shared" si="51"/>
        <v>0</v>
      </c>
      <c r="AT254">
        <f t="shared" si="52"/>
        <v>0</v>
      </c>
      <c r="AU254" s="462" t="str">
        <f>IF(AT254=0,"",IF(AND(AT254=1,M254="F",SUMIF(C2:C698,C254,AS2:AS698)&lt;=1),SUMIF(C2:C698,C254,AS2:AS698),IF(AND(AT254=1,M254="F",SUMIF(C2:C698,C254,AS2:AS698)&gt;1),1,"")))</f>
        <v/>
      </c>
      <c r="AV254" s="462" t="str">
        <f>IF(AT254=0,"",IF(AND(AT254=3,M254="F",SUMIF(C2:C698,C254,AS2:AS698)&lt;=1),SUMIF(C2:C698,C254,AS2:AS698),IF(AND(AT254=3,M254="F",SUMIF(C2:C698,C254,AS2:AS698)&gt;1),1,"")))</f>
        <v/>
      </c>
      <c r="AW254" s="462">
        <f>SUMIF(C2:C698,C254,O2:O698)</f>
        <v>4</v>
      </c>
      <c r="AX254" s="462">
        <f>IF(AND(M254="F",AS254&lt;&gt;0),SUMIF(C2:C698,C254,W2:W698),0)</f>
        <v>0</v>
      </c>
      <c r="AY254" s="462" t="str">
        <f t="shared" si="53"/>
        <v/>
      </c>
      <c r="AZ254" s="462" t="str">
        <f t="shared" si="54"/>
        <v/>
      </c>
      <c r="BA254" s="462">
        <f t="shared" si="55"/>
        <v>0</v>
      </c>
      <c r="BB254" s="462">
        <f>IF(AND(AT254=1,AK254="E",AU254&gt;=0.75,AW254=1),Health,IF(AND(AT254=1,AK254="E",AU254&gt;=0.75),Health*P254,IF(AND(AT254=1,AK254="E",AU254&gt;=0.5,AW254=1),PTHealth,IF(AND(AT254=1,AK254="E",AU254&gt;=0.5),PTHealth*P254,0))))</f>
        <v>0</v>
      </c>
      <c r="BC254" s="462">
        <f>IF(AND(AT254=3,AK254="E",AV254&gt;=0.75,AW254=1),Health,IF(AND(AT254=3,AK254="E",AV254&gt;=0.75),Health*P254,IF(AND(AT254=3,AK254="E",AV254&gt;=0.5,AW254=1),PTHealth,IF(AND(AT254=3,AK254="E",AV254&gt;=0.5),PTHealth*P254,0))))</f>
        <v>0</v>
      </c>
      <c r="BD254" s="462">
        <f>IF(AND(AT254&lt;&gt;0,AX254&gt;=MAXSSDI),SSDI*MAXSSDI*P254,IF(AT254&lt;&gt;0,SSDI*W254,0))</f>
        <v>0</v>
      </c>
      <c r="BE254" s="462">
        <f>IF(AT254&lt;&gt;0,SSHI*W254,0)</f>
        <v>0</v>
      </c>
      <c r="BF254" s="462">
        <f>IF(AND(AT254&lt;&gt;0,AN254&lt;&gt;"NE"),VLOOKUP(AN254,Retirement_Rates,3,FALSE)*W254,0)</f>
        <v>0</v>
      </c>
      <c r="BG254" s="462">
        <f>IF(AND(AT254&lt;&gt;0,AJ254&lt;&gt;"PF"),Life*W254,0)</f>
        <v>0</v>
      </c>
      <c r="BH254" s="462">
        <f>IF(AND(AT254&lt;&gt;0,AM254="Y"),UI*W254,0)</f>
        <v>0</v>
      </c>
      <c r="BI254" s="462">
        <f>IF(AND(AT254&lt;&gt;0,N254&lt;&gt;"NR"),DHR*W254,0)</f>
        <v>0</v>
      </c>
      <c r="BJ254" s="462">
        <f>IF(AT254&lt;&gt;0,WC*W254,0)</f>
        <v>0</v>
      </c>
      <c r="BK254" s="462">
        <f>IF(OR(AND(AT254&lt;&gt;0,AJ254&lt;&gt;"PF",AN254&lt;&gt;"NE",AG254&lt;&gt;"A"),AND(AL254="E",OR(AT254=1,AT254=3))),Sick*W254,0)</f>
        <v>0</v>
      </c>
      <c r="BL254" s="462">
        <f t="shared" si="56"/>
        <v>0</v>
      </c>
      <c r="BM254" s="462">
        <f t="shared" si="57"/>
        <v>0</v>
      </c>
      <c r="BN254" s="462">
        <f>IF(AND(AT254=1,AK254="E",AU254&gt;=0.75,AW254=1),HealthBY,IF(AND(AT254=1,AK254="E",AU254&gt;=0.75),HealthBY*P254,IF(AND(AT254=1,AK254="E",AU254&gt;=0.5,AW254=1),PTHealthBY,IF(AND(AT254=1,AK254="E",AU254&gt;=0.5),PTHealthBY*P254,0))))</f>
        <v>0</v>
      </c>
      <c r="BO254" s="462">
        <f>IF(AND(AT254=3,AK254="E",AV254&gt;=0.75,AW254=1),HealthBY,IF(AND(AT254=3,AK254="E",AV254&gt;=0.75),HealthBY*P254,IF(AND(AT254=3,AK254="E",AV254&gt;=0.5,AW254=1),PTHealthBY,IF(AND(AT254=3,AK254="E",AV254&gt;=0.5),PTHealthBY*P254,0))))</f>
        <v>0</v>
      </c>
      <c r="BP254" s="462">
        <f>IF(AND(AT254&lt;&gt;0,(AX254+BA254)&gt;=MAXSSDIBY),SSDIBY*MAXSSDIBY*P254,IF(AT254&lt;&gt;0,SSDIBY*W254,0))</f>
        <v>0</v>
      </c>
      <c r="BQ254" s="462">
        <f>IF(AT254&lt;&gt;0,SSHIBY*W254,0)</f>
        <v>0</v>
      </c>
      <c r="BR254" s="462">
        <f>IF(AND(AT254&lt;&gt;0,AN254&lt;&gt;"NE"),VLOOKUP(AN254,Retirement_Rates,4,FALSE)*W254,0)</f>
        <v>0</v>
      </c>
      <c r="BS254" s="462">
        <f>IF(AND(AT254&lt;&gt;0,AJ254&lt;&gt;"PF"),LifeBY*W254,0)</f>
        <v>0</v>
      </c>
      <c r="BT254" s="462">
        <f>IF(AND(AT254&lt;&gt;0,AM254="Y"),UIBY*W254,0)</f>
        <v>0</v>
      </c>
      <c r="BU254" s="462">
        <f>IF(AND(AT254&lt;&gt;0,N254&lt;&gt;"NR"),DHRBY*W254,0)</f>
        <v>0</v>
      </c>
      <c r="BV254" s="462">
        <f>IF(AT254&lt;&gt;0,WCBY*W254,0)</f>
        <v>0</v>
      </c>
      <c r="BW254" s="462">
        <f>IF(OR(AND(AT254&lt;&gt;0,AJ254&lt;&gt;"PF",AN254&lt;&gt;"NE",AG254&lt;&gt;"A"),AND(AL254="E",OR(AT254=1,AT254=3))),SickBY*W254,0)</f>
        <v>0</v>
      </c>
      <c r="BX254" s="462">
        <f t="shared" si="58"/>
        <v>0</v>
      </c>
      <c r="BY254" s="462">
        <f t="shared" si="59"/>
        <v>0</v>
      </c>
      <c r="BZ254" s="462">
        <f t="shared" si="60"/>
        <v>0</v>
      </c>
      <c r="CA254" s="462">
        <f t="shared" si="61"/>
        <v>0</v>
      </c>
      <c r="CB254" s="462">
        <f t="shared" si="62"/>
        <v>0</v>
      </c>
      <c r="CC254" s="462">
        <f>IF(AT254&lt;&gt;0,SSHICHG*Y254,0)</f>
        <v>0</v>
      </c>
      <c r="CD254" s="462">
        <f>IF(AND(AT254&lt;&gt;0,AN254&lt;&gt;"NE"),VLOOKUP(AN254,Retirement_Rates,5,FALSE)*Y254,0)</f>
        <v>0</v>
      </c>
      <c r="CE254" s="462">
        <f>IF(AND(AT254&lt;&gt;0,AJ254&lt;&gt;"PF"),LifeCHG*Y254,0)</f>
        <v>0</v>
      </c>
      <c r="CF254" s="462">
        <f>IF(AND(AT254&lt;&gt;0,AM254="Y"),UICHG*Y254,0)</f>
        <v>0</v>
      </c>
      <c r="CG254" s="462">
        <f>IF(AND(AT254&lt;&gt;0,N254&lt;&gt;"NR"),DHRCHG*Y254,0)</f>
        <v>0</v>
      </c>
      <c r="CH254" s="462">
        <f>IF(AT254&lt;&gt;0,WCCHG*Y254,0)</f>
        <v>0</v>
      </c>
      <c r="CI254" s="462">
        <f>IF(OR(AND(AT254&lt;&gt;0,AJ254&lt;&gt;"PF",AN254&lt;&gt;"NE",AG254&lt;&gt;"A"),AND(AL254="E",OR(AT254=1,AT254=3))),SickCHG*Y254,0)</f>
        <v>0</v>
      </c>
      <c r="CJ254" s="462">
        <f t="shared" si="63"/>
        <v>0</v>
      </c>
      <c r="CK254" s="462" t="str">
        <f t="shared" si="64"/>
        <v/>
      </c>
      <c r="CL254" s="462" t="str">
        <f t="shared" si="65"/>
        <v/>
      </c>
      <c r="CM254" s="462" t="str">
        <f t="shared" si="66"/>
        <v/>
      </c>
      <c r="CN254" s="462" t="str">
        <f t="shared" si="67"/>
        <v>0001-00</v>
      </c>
    </row>
    <row r="255" spans="1:92" ht="15" thickBot="1" x14ac:dyDescent="0.35">
      <c r="A255" s="376" t="s">
        <v>161</v>
      </c>
      <c r="B255" s="376" t="s">
        <v>162</v>
      </c>
      <c r="C255" s="376" t="s">
        <v>872</v>
      </c>
      <c r="D255" s="376" t="s">
        <v>362</v>
      </c>
      <c r="E255" s="376" t="s">
        <v>165</v>
      </c>
      <c r="F255" s="377" t="s">
        <v>166</v>
      </c>
      <c r="G255" s="376" t="s">
        <v>762</v>
      </c>
      <c r="H255" s="378"/>
      <c r="I255" s="378"/>
      <c r="J255" s="376" t="s">
        <v>168</v>
      </c>
      <c r="K255" s="376" t="s">
        <v>363</v>
      </c>
      <c r="L255" s="376" t="s">
        <v>200</v>
      </c>
      <c r="M255" s="376" t="s">
        <v>201</v>
      </c>
      <c r="N255" s="376" t="s">
        <v>202</v>
      </c>
      <c r="O255" s="379">
        <v>0</v>
      </c>
      <c r="P255" s="460">
        <v>0</v>
      </c>
      <c r="Q255" s="460">
        <v>0</v>
      </c>
      <c r="R255" s="380">
        <v>80</v>
      </c>
      <c r="S255" s="460">
        <v>0</v>
      </c>
      <c r="T255" s="380">
        <v>1073.52</v>
      </c>
      <c r="U255" s="380">
        <v>0</v>
      </c>
      <c r="V255" s="380">
        <v>545.82000000000005</v>
      </c>
      <c r="W255" s="380">
        <v>0</v>
      </c>
      <c r="X255" s="380">
        <v>0</v>
      </c>
      <c r="Y255" s="380">
        <v>0</v>
      </c>
      <c r="Z255" s="380">
        <v>0</v>
      </c>
      <c r="AA255" s="378"/>
      <c r="AB255" s="376" t="s">
        <v>45</v>
      </c>
      <c r="AC255" s="376" t="s">
        <v>45</v>
      </c>
      <c r="AD255" s="378"/>
      <c r="AE255" s="378"/>
      <c r="AF255" s="378"/>
      <c r="AG255" s="378"/>
      <c r="AH255" s="379">
        <v>0</v>
      </c>
      <c r="AI255" s="379">
        <v>0</v>
      </c>
      <c r="AJ255" s="378"/>
      <c r="AK255" s="378"/>
      <c r="AL255" s="376" t="s">
        <v>180</v>
      </c>
      <c r="AM255" s="378"/>
      <c r="AN255" s="378"/>
      <c r="AO255" s="379">
        <v>0</v>
      </c>
      <c r="AP255" s="460">
        <v>0</v>
      </c>
      <c r="AQ255" s="460">
        <v>0</v>
      </c>
      <c r="AR255" s="459"/>
      <c r="AS255" s="462">
        <f t="shared" si="51"/>
        <v>0</v>
      </c>
      <c r="AT255">
        <f t="shared" si="52"/>
        <v>0</v>
      </c>
      <c r="AU255" s="462" t="str">
        <f>IF(AT255=0,"",IF(AND(AT255=1,M255="F",SUMIF(C2:C698,C255,AS2:AS698)&lt;=1),SUMIF(C2:C698,C255,AS2:AS698),IF(AND(AT255=1,M255="F",SUMIF(C2:C698,C255,AS2:AS698)&gt;1),1,"")))</f>
        <v/>
      </c>
      <c r="AV255" s="462" t="str">
        <f>IF(AT255=0,"",IF(AND(AT255=3,M255="F",SUMIF(C2:C698,C255,AS2:AS698)&lt;=1),SUMIF(C2:C698,C255,AS2:AS698),IF(AND(AT255=3,M255="F",SUMIF(C2:C698,C255,AS2:AS698)&gt;1),1,"")))</f>
        <v/>
      </c>
      <c r="AW255" s="462">
        <f>SUMIF(C2:C698,C255,O2:O698)</f>
        <v>0</v>
      </c>
      <c r="AX255" s="462">
        <f>IF(AND(M255="F",AS255&lt;&gt;0),SUMIF(C2:C698,C255,W2:W698),0)</f>
        <v>0</v>
      </c>
      <c r="AY255" s="462" t="str">
        <f t="shared" si="53"/>
        <v/>
      </c>
      <c r="AZ255" s="462" t="str">
        <f t="shared" si="54"/>
        <v/>
      </c>
      <c r="BA255" s="462">
        <f t="shared" si="55"/>
        <v>0</v>
      </c>
      <c r="BB255" s="462">
        <f>IF(AND(AT255=1,AK255="E",AU255&gt;=0.75,AW255=1),Health,IF(AND(AT255=1,AK255="E",AU255&gt;=0.75),Health*P255,IF(AND(AT255=1,AK255="E",AU255&gt;=0.5,AW255=1),PTHealth,IF(AND(AT255=1,AK255="E",AU255&gt;=0.5),PTHealth*P255,0))))</f>
        <v>0</v>
      </c>
      <c r="BC255" s="462">
        <f>IF(AND(AT255=3,AK255="E",AV255&gt;=0.75,AW255=1),Health,IF(AND(AT255=3,AK255="E",AV255&gt;=0.75),Health*P255,IF(AND(AT255=3,AK255="E",AV255&gt;=0.5,AW255=1),PTHealth,IF(AND(AT255=3,AK255="E",AV255&gt;=0.5),PTHealth*P255,0))))</f>
        <v>0</v>
      </c>
      <c r="BD255" s="462">
        <f>IF(AND(AT255&lt;&gt;0,AX255&gt;=MAXSSDI),SSDI*MAXSSDI*P255,IF(AT255&lt;&gt;0,SSDI*W255,0))</f>
        <v>0</v>
      </c>
      <c r="BE255" s="462">
        <f>IF(AT255&lt;&gt;0,SSHI*W255,0)</f>
        <v>0</v>
      </c>
      <c r="BF255" s="462">
        <f>IF(AND(AT255&lt;&gt;0,AN255&lt;&gt;"NE"),VLOOKUP(AN255,Retirement_Rates,3,FALSE)*W255,0)</f>
        <v>0</v>
      </c>
      <c r="BG255" s="462">
        <f>IF(AND(AT255&lt;&gt;0,AJ255&lt;&gt;"PF"),Life*W255,0)</f>
        <v>0</v>
      </c>
      <c r="BH255" s="462">
        <f>IF(AND(AT255&lt;&gt;0,AM255="Y"),UI*W255,0)</f>
        <v>0</v>
      </c>
      <c r="BI255" s="462">
        <f>IF(AND(AT255&lt;&gt;0,N255&lt;&gt;"NR"),DHR*W255,0)</f>
        <v>0</v>
      </c>
      <c r="BJ255" s="462">
        <f>IF(AT255&lt;&gt;0,WC*W255,0)</f>
        <v>0</v>
      </c>
      <c r="BK255" s="462">
        <f>IF(OR(AND(AT255&lt;&gt;0,AJ255&lt;&gt;"PF",AN255&lt;&gt;"NE",AG255&lt;&gt;"A"),AND(AL255="E",OR(AT255=1,AT255=3))),Sick*W255,0)</f>
        <v>0</v>
      </c>
      <c r="BL255" s="462">
        <f t="shared" si="56"/>
        <v>0</v>
      </c>
      <c r="BM255" s="462">
        <f t="shared" si="57"/>
        <v>0</v>
      </c>
      <c r="BN255" s="462">
        <f>IF(AND(AT255=1,AK255="E",AU255&gt;=0.75,AW255=1),HealthBY,IF(AND(AT255=1,AK255="E",AU255&gt;=0.75),HealthBY*P255,IF(AND(AT255=1,AK255="E",AU255&gt;=0.5,AW255=1),PTHealthBY,IF(AND(AT255=1,AK255="E",AU255&gt;=0.5),PTHealthBY*P255,0))))</f>
        <v>0</v>
      </c>
      <c r="BO255" s="462">
        <f>IF(AND(AT255=3,AK255="E",AV255&gt;=0.75,AW255=1),HealthBY,IF(AND(AT255=3,AK255="E",AV255&gt;=0.75),HealthBY*P255,IF(AND(AT255=3,AK255="E",AV255&gt;=0.5,AW255=1),PTHealthBY,IF(AND(AT255=3,AK255="E",AV255&gt;=0.5),PTHealthBY*P255,0))))</f>
        <v>0</v>
      </c>
      <c r="BP255" s="462">
        <f>IF(AND(AT255&lt;&gt;0,(AX255+BA255)&gt;=MAXSSDIBY),SSDIBY*MAXSSDIBY*P255,IF(AT255&lt;&gt;0,SSDIBY*W255,0))</f>
        <v>0</v>
      </c>
      <c r="BQ255" s="462">
        <f>IF(AT255&lt;&gt;0,SSHIBY*W255,0)</f>
        <v>0</v>
      </c>
      <c r="BR255" s="462">
        <f>IF(AND(AT255&lt;&gt;0,AN255&lt;&gt;"NE"),VLOOKUP(AN255,Retirement_Rates,4,FALSE)*W255,0)</f>
        <v>0</v>
      </c>
      <c r="BS255" s="462">
        <f>IF(AND(AT255&lt;&gt;0,AJ255&lt;&gt;"PF"),LifeBY*W255,0)</f>
        <v>0</v>
      </c>
      <c r="BT255" s="462">
        <f>IF(AND(AT255&lt;&gt;0,AM255="Y"),UIBY*W255,0)</f>
        <v>0</v>
      </c>
      <c r="BU255" s="462">
        <f>IF(AND(AT255&lt;&gt;0,N255&lt;&gt;"NR"),DHRBY*W255,0)</f>
        <v>0</v>
      </c>
      <c r="BV255" s="462">
        <f>IF(AT255&lt;&gt;0,WCBY*W255,0)</f>
        <v>0</v>
      </c>
      <c r="BW255" s="462">
        <f>IF(OR(AND(AT255&lt;&gt;0,AJ255&lt;&gt;"PF",AN255&lt;&gt;"NE",AG255&lt;&gt;"A"),AND(AL255="E",OR(AT255=1,AT255=3))),SickBY*W255,0)</f>
        <v>0</v>
      </c>
      <c r="BX255" s="462">
        <f t="shared" si="58"/>
        <v>0</v>
      </c>
      <c r="BY255" s="462">
        <f t="shared" si="59"/>
        <v>0</v>
      </c>
      <c r="BZ255" s="462">
        <f t="shared" si="60"/>
        <v>0</v>
      </c>
      <c r="CA255" s="462">
        <f t="shared" si="61"/>
        <v>0</v>
      </c>
      <c r="CB255" s="462">
        <f t="shared" si="62"/>
        <v>0</v>
      </c>
      <c r="CC255" s="462">
        <f>IF(AT255&lt;&gt;0,SSHICHG*Y255,0)</f>
        <v>0</v>
      </c>
      <c r="CD255" s="462">
        <f>IF(AND(AT255&lt;&gt;0,AN255&lt;&gt;"NE"),VLOOKUP(AN255,Retirement_Rates,5,FALSE)*Y255,0)</f>
        <v>0</v>
      </c>
      <c r="CE255" s="462">
        <f>IF(AND(AT255&lt;&gt;0,AJ255&lt;&gt;"PF"),LifeCHG*Y255,0)</f>
        <v>0</v>
      </c>
      <c r="CF255" s="462">
        <f>IF(AND(AT255&lt;&gt;0,AM255="Y"),UICHG*Y255,0)</f>
        <v>0</v>
      </c>
      <c r="CG255" s="462">
        <f>IF(AND(AT255&lt;&gt;0,N255&lt;&gt;"NR"),DHRCHG*Y255,0)</f>
        <v>0</v>
      </c>
      <c r="CH255" s="462">
        <f>IF(AT255&lt;&gt;0,WCCHG*Y255,0)</f>
        <v>0</v>
      </c>
      <c r="CI255" s="462">
        <f>IF(OR(AND(AT255&lt;&gt;0,AJ255&lt;&gt;"PF",AN255&lt;&gt;"NE",AG255&lt;&gt;"A"),AND(AL255="E",OR(AT255=1,AT255=3))),SickCHG*Y255,0)</f>
        <v>0</v>
      </c>
      <c r="CJ255" s="462">
        <f t="shared" si="63"/>
        <v>0</v>
      </c>
      <c r="CK255" s="462" t="str">
        <f t="shared" si="64"/>
        <v/>
      </c>
      <c r="CL255" s="462" t="str">
        <f t="shared" si="65"/>
        <v/>
      </c>
      <c r="CM255" s="462" t="str">
        <f t="shared" si="66"/>
        <v/>
      </c>
      <c r="CN255" s="462" t="str">
        <f t="shared" si="67"/>
        <v>0001-00</v>
      </c>
    </row>
    <row r="256" spans="1:92" ht="15" thickBot="1" x14ac:dyDescent="0.35">
      <c r="A256" s="376" t="s">
        <v>161</v>
      </c>
      <c r="B256" s="376" t="s">
        <v>162</v>
      </c>
      <c r="C256" s="376" t="s">
        <v>873</v>
      </c>
      <c r="D256" s="376" t="s">
        <v>761</v>
      </c>
      <c r="E256" s="376" t="s">
        <v>165</v>
      </c>
      <c r="F256" s="377" t="s">
        <v>166</v>
      </c>
      <c r="G256" s="376" t="s">
        <v>762</v>
      </c>
      <c r="H256" s="378"/>
      <c r="I256" s="378"/>
      <c r="J256" s="376" t="s">
        <v>168</v>
      </c>
      <c r="K256" s="376" t="s">
        <v>763</v>
      </c>
      <c r="L256" s="376" t="s">
        <v>166</v>
      </c>
      <c r="M256" s="376" t="s">
        <v>201</v>
      </c>
      <c r="N256" s="376" t="s">
        <v>291</v>
      </c>
      <c r="O256" s="379">
        <v>0</v>
      </c>
      <c r="P256" s="460">
        <v>1</v>
      </c>
      <c r="Q256" s="460">
        <v>0</v>
      </c>
      <c r="R256" s="380">
        <v>0</v>
      </c>
      <c r="S256" s="460">
        <v>0</v>
      </c>
      <c r="T256" s="380">
        <v>0</v>
      </c>
      <c r="U256" s="380">
        <v>0</v>
      </c>
      <c r="V256" s="380">
        <v>0</v>
      </c>
      <c r="W256" s="380">
        <v>0</v>
      </c>
      <c r="X256" s="380">
        <v>0</v>
      </c>
      <c r="Y256" s="380">
        <v>0</v>
      </c>
      <c r="Z256" s="380">
        <v>0</v>
      </c>
      <c r="AA256" s="378"/>
      <c r="AB256" s="376" t="s">
        <v>45</v>
      </c>
      <c r="AC256" s="376" t="s">
        <v>45</v>
      </c>
      <c r="AD256" s="378"/>
      <c r="AE256" s="378"/>
      <c r="AF256" s="378"/>
      <c r="AG256" s="378"/>
      <c r="AH256" s="379">
        <v>0</v>
      </c>
      <c r="AI256" s="379">
        <v>0</v>
      </c>
      <c r="AJ256" s="378"/>
      <c r="AK256" s="378"/>
      <c r="AL256" s="376" t="s">
        <v>180</v>
      </c>
      <c r="AM256" s="378"/>
      <c r="AN256" s="378"/>
      <c r="AO256" s="379">
        <v>0</v>
      </c>
      <c r="AP256" s="460">
        <v>0</v>
      </c>
      <c r="AQ256" s="460">
        <v>0</v>
      </c>
      <c r="AR256" s="459"/>
      <c r="AS256" s="462">
        <f t="shared" si="51"/>
        <v>0</v>
      </c>
      <c r="AT256">
        <f t="shared" si="52"/>
        <v>0</v>
      </c>
      <c r="AU256" s="462" t="str">
        <f>IF(AT256=0,"",IF(AND(AT256=1,M256="F",SUMIF(C2:C698,C256,AS2:AS698)&lt;=1),SUMIF(C2:C698,C256,AS2:AS698),IF(AND(AT256=1,M256="F",SUMIF(C2:C698,C256,AS2:AS698)&gt;1),1,"")))</f>
        <v/>
      </c>
      <c r="AV256" s="462" t="str">
        <f>IF(AT256=0,"",IF(AND(AT256=3,M256="F",SUMIF(C2:C698,C256,AS2:AS698)&lt;=1),SUMIF(C2:C698,C256,AS2:AS698),IF(AND(AT256=3,M256="F",SUMIF(C2:C698,C256,AS2:AS698)&gt;1),1,"")))</f>
        <v/>
      </c>
      <c r="AW256" s="462">
        <f>SUMIF(C2:C698,C256,O2:O698)</f>
        <v>0</v>
      </c>
      <c r="AX256" s="462">
        <f>IF(AND(M256="F",AS256&lt;&gt;0),SUMIF(C2:C698,C256,W2:W698),0)</f>
        <v>0</v>
      </c>
      <c r="AY256" s="462" t="str">
        <f t="shared" si="53"/>
        <v/>
      </c>
      <c r="AZ256" s="462" t="str">
        <f t="shared" si="54"/>
        <v/>
      </c>
      <c r="BA256" s="462">
        <f t="shared" si="55"/>
        <v>0</v>
      </c>
      <c r="BB256" s="462">
        <f>IF(AND(AT256=1,AK256="E",AU256&gt;=0.75,AW256=1),Health,IF(AND(AT256=1,AK256="E",AU256&gt;=0.75),Health*P256,IF(AND(AT256=1,AK256="E",AU256&gt;=0.5,AW256=1),PTHealth,IF(AND(AT256=1,AK256="E",AU256&gt;=0.5),PTHealth*P256,0))))</f>
        <v>0</v>
      </c>
      <c r="BC256" s="462">
        <f>IF(AND(AT256=3,AK256="E",AV256&gt;=0.75,AW256=1),Health,IF(AND(AT256=3,AK256="E",AV256&gt;=0.75),Health*P256,IF(AND(AT256=3,AK256="E",AV256&gt;=0.5,AW256=1),PTHealth,IF(AND(AT256=3,AK256="E",AV256&gt;=0.5),PTHealth*P256,0))))</f>
        <v>0</v>
      </c>
      <c r="BD256" s="462">
        <f>IF(AND(AT256&lt;&gt;0,AX256&gt;=MAXSSDI),SSDI*MAXSSDI*P256,IF(AT256&lt;&gt;0,SSDI*W256,0))</f>
        <v>0</v>
      </c>
      <c r="BE256" s="462">
        <f>IF(AT256&lt;&gt;0,SSHI*W256,0)</f>
        <v>0</v>
      </c>
      <c r="BF256" s="462">
        <f>IF(AND(AT256&lt;&gt;0,AN256&lt;&gt;"NE"),VLOOKUP(AN256,Retirement_Rates,3,FALSE)*W256,0)</f>
        <v>0</v>
      </c>
      <c r="BG256" s="462">
        <f>IF(AND(AT256&lt;&gt;0,AJ256&lt;&gt;"PF"),Life*W256,0)</f>
        <v>0</v>
      </c>
      <c r="BH256" s="462">
        <f>IF(AND(AT256&lt;&gt;0,AM256="Y"),UI*W256,0)</f>
        <v>0</v>
      </c>
      <c r="BI256" s="462">
        <f>IF(AND(AT256&lt;&gt;0,N256&lt;&gt;"NR"),DHR*W256,0)</f>
        <v>0</v>
      </c>
      <c r="BJ256" s="462">
        <f>IF(AT256&lt;&gt;0,WC*W256,0)</f>
        <v>0</v>
      </c>
      <c r="BK256" s="462">
        <f>IF(OR(AND(AT256&lt;&gt;0,AJ256&lt;&gt;"PF",AN256&lt;&gt;"NE",AG256&lt;&gt;"A"),AND(AL256="E",OR(AT256=1,AT256=3))),Sick*W256,0)</f>
        <v>0</v>
      </c>
      <c r="BL256" s="462">
        <f t="shared" si="56"/>
        <v>0</v>
      </c>
      <c r="BM256" s="462">
        <f t="shared" si="57"/>
        <v>0</v>
      </c>
      <c r="BN256" s="462">
        <f>IF(AND(AT256=1,AK256="E",AU256&gt;=0.75,AW256=1),HealthBY,IF(AND(AT256=1,AK256="E",AU256&gt;=0.75),HealthBY*P256,IF(AND(AT256=1,AK256="E",AU256&gt;=0.5,AW256=1),PTHealthBY,IF(AND(AT256=1,AK256="E",AU256&gt;=0.5),PTHealthBY*P256,0))))</f>
        <v>0</v>
      </c>
      <c r="BO256" s="462">
        <f>IF(AND(AT256=3,AK256="E",AV256&gt;=0.75,AW256=1),HealthBY,IF(AND(AT256=3,AK256="E",AV256&gt;=0.75),HealthBY*P256,IF(AND(AT256=3,AK256="E",AV256&gt;=0.5,AW256=1),PTHealthBY,IF(AND(AT256=3,AK256="E",AV256&gt;=0.5),PTHealthBY*P256,0))))</f>
        <v>0</v>
      </c>
      <c r="BP256" s="462">
        <f>IF(AND(AT256&lt;&gt;0,(AX256+BA256)&gt;=MAXSSDIBY),SSDIBY*MAXSSDIBY*P256,IF(AT256&lt;&gt;0,SSDIBY*W256,0))</f>
        <v>0</v>
      </c>
      <c r="BQ256" s="462">
        <f>IF(AT256&lt;&gt;0,SSHIBY*W256,0)</f>
        <v>0</v>
      </c>
      <c r="BR256" s="462">
        <f>IF(AND(AT256&lt;&gt;0,AN256&lt;&gt;"NE"),VLOOKUP(AN256,Retirement_Rates,4,FALSE)*W256,0)</f>
        <v>0</v>
      </c>
      <c r="BS256" s="462">
        <f>IF(AND(AT256&lt;&gt;0,AJ256&lt;&gt;"PF"),LifeBY*W256,0)</f>
        <v>0</v>
      </c>
      <c r="BT256" s="462">
        <f>IF(AND(AT256&lt;&gt;0,AM256="Y"),UIBY*W256,0)</f>
        <v>0</v>
      </c>
      <c r="BU256" s="462">
        <f>IF(AND(AT256&lt;&gt;0,N256&lt;&gt;"NR"),DHRBY*W256,0)</f>
        <v>0</v>
      </c>
      <c r="BV256" s="462">
        <f>IF(AT256&lt;&gt;0,WCBY*W256,0)</f>
        <v>0</v>
      </c>
      <c r="BW256" s="462">
        <f>IF(OR(AND(AT256&lt;&gt;0,AJ256&lt;&gt;"PF",AN256&lt;&gt;"NE",AG256&lt;&gt;"A"),AND(AL256="E",OR(AT256=1,AT256=3))),SickBY*W256,0)</f>
        <v>0</v>
      </c>
      <c r="BX256" s="462">
        <f t="shared" si="58"/>
        <v>0</v>
      </c>
      <c r="BY256" s="462">
        <f t="shared" si="59"/>
        <v>0</v>
      </c>
      <c r="BZ256" s="462">
        <f t="shared" si="60"/>
        <v>0</v>
      </c>
      <c r="CA256" s="462">
        <f t="shared" si="61"/>
        <v>0</v>
      </c>
      <c r="CB256" s="462">
        <f t="shared" si="62"/>
        <v>0</v>
      </c>
      <c r="CC256" s="462">
        <f>IF(AT256&lt;&gt;0,SSHICHG*Y256,0)</f>
        <v>0</v>
      </c>
      <c r="CD256" s="462">
        <f>IF(AND(AT256&lt;&gt;0,AN256&lt;&gt;"NE"),VLOOKUP(AN256,Retirement_Rates,5,FALSE)*Y256,0)</f>
        <v>0</v>
      </c>
      <c r="CE256" s="462">
        <f>IF(AND(AT256&lt;&gt;0,AJ256&lt;&gt;"PF"),LifeCHG*Y256,0)</f>
        <v>0</v>
      </c>
      <c r="CF256" s="462">
        <f>IF(AND(AT256&lt;&gt;0,AM256="Y"),UICHG*Y256,0)</f>
        <v>0</v>
      </c>
      <c r="CG256" s="462">
        <f>IF(AND(AT256&lt;&gt;0,N256&lt;&gt;"NR"),DHRCHG*Y256,0)</f>
        <v>0</v>
      </c>
      <c r="CH256" s="462">
        <f>IF(AT256&lt;&gt;0,WCCHG*Y256,0)</f>
        <v>0</v>
      </c>
      <c r="CI256" s="462">
        <f>IF(OR(AND(AT256&lt;&gt;0,AJ256&lt;&gt;"PF",AN256&lt;&gt;"NE",AG256&lt;&gt;"A"),AND(AL256="E",OR(AT256=1,AT256=3))),SickCHG*Y256,0)</f>
        <v>0</v>
      </c>
      <c r="CJ256" s="462">
        <f t="shared" si="63"/>
        <v>0</v>
      </c>
      <c r="CK256" s="462" t="str">
        <f t="shared" si="64"/>
        <v/>
      </c>
      <c r="CL256" s="462">
        <f t="shared" si="65"/>
        <v>0</v>
      </c>
      <c r="CM256" s="462">
        <f t="shared" si="66"/>
        <v>0</v>
      </c>
      <c r="CN256" s="462" t="str">
        <f t="shared" si="67"/>
        <v>0001-00</v>
      </c>
    </row>
    <row r="257" spans="1:92" ht="15" thickBot="1" x14ac:dyDescent="0.35">
      <c r="A257" s="376" t="s">
        <v>161</v>
      </c>
      <c r="B257" s="376" t="s">
        <v>162</v>
      </c>
      <c r="C257" s="376" t="s">
        <v>874</v>
      </c>
      <c r="D257" s="376" t="s">
        <v>761</v>
      </c>
      <c r="E257" s="376" t="s">
        <v>165</v>
      </c>
      <c r="F257" s="377" t="s">
        <v>166</v>
      </c>
      <c r="G257" s="376" t="s">
        <v>762</v>
      </c>
      <c r="H257" s="378"/>
      <c r="I257" s="378"/>
      <c r="J257" s="376" t="s">
        <v>168</v>
      </c>
      <c r="K257" s="376" t="s">
        <v>763</v>
      </c>
      <c r="L257" s="376" t="s">
        <v>166</v>
      </c>
      <c r="M257" s="376" t="s">
        <v>170</v>
      </c>
      <c r="N257" s="376" t="s">
        <v>291</v>
      </c>
      <c r="O257" s="379">
        <v>0</v>
      </c>
      <c r="P257" s="460">
        <v>0</v>
      </c>
      <c r="Q257" s="460">
        <v>0</v>
      </c>
      <c r="R257" s="380">
        <v>0</v>
      </c>
      <c r="S257" s="460">
        <v>0</v>
      </c>
      <c r="T257" s="380">
        <v>19198.8</v>
      </c>
      <c r="U257" s="380">
        <v>0</v>
      </c>
      <c r="V257" s="380">
        <v>9874.4500000000007</v>
      </c>
      <c r="W257" s="380">
        <v>0</v>
      </c>
      <c r="X257" s="380">
        <v>0</v>
      </c>
      <c r="Y257" s="380">
        <v>0</v>
      </c>
      <c r="Z257" s="380">
        <v>0</v>
      </c>
      <c r="AA257" s="378"/>
      <c r="AB257" s="376" t="s">
        <v>45</v>
      </c>
      <c r="AC257" s="376" t="s">
        <v>45</v>
      </c>
      <c r="AD257" s="378"/>
      <c r="AE257" s="378"/>
      <c r="AF257" s="378"/>
      <c r="AG257" s="378"/>
      <c r="AH257" s="379">
        <v>0</v>
      </c>
      <c r="AI257" s="379">
        <v>0</v>
      </c>
      <c r="AJ257" s="378"/>
      <c r="AK257" s="378"/>
      <c r="AL257" s="376" t="s">
        <v>180</v>
      </c>
      <c r="AM257" s="378"/>
      <c r="AN257" s="378"/>
      <c r="AO257" s="379">
        <v>0</v>
      </c>
      <c r="AP257" s="460">
        <v>0</v>
      </c>
      <c r="AQ257" s="460">
        <v>0</v>
      </c>
      <c r="AR257" s="459"/>
      <c r="AS257" s="462">
        <f t="shared" si="51"/>
        <v>0</v>
      </c>
      <c r="AT257">
        <f t="shared" si="52"/>
        <v>0</v>
      </c>
      <c r="AU257" s="462" t="str">
        <f>IF(AT257=0,"",IF(AND(AT257=1,M257="F",SUMIF(C2:C698,C257,AS2:AS698)&lt;=1),SUMIF(C2:C698,C257,AS2:AS698),IF(AND(AT257=1,M257="F",SUMIF(C2:C698,C257,AS2:AS698)&gt;1),1,"")))</f>
        <v/>
      </c>
      <c r="AV257" s="462" t="str">
        <f>IF(AT257=0,"",IF(AND(AT257=3,M257="F",SUMIF(C2:C698,C257,AS2:AS698)&lt;=1),SUMIF(C2:C698,C257,AS2:AS698),IF(AND(AT257=3,M257="F",SUMIF(C2:C698,C257,AS2:AS698)&gt;1),1,"")))</f>
        <v/>
      </c>
      <c r="AW257" s="462">
        <f>SUMIF(C2:C698,C257,O2:O698)</f>
        <v>0</v>
      </c>
      <c r="AX257" s="462">
        <f>IF(AND(M257="F",AS257&lt;&gt;0),SUMIF(C2:C698,C257,W2:W698),0)</f>
        <v>0</v>
      </c>
      <c r="AY257" s="462" t="str">
        <f t="shared" si="53"/>
        <v/>
      </c>
      <c r="AZ257" s="462" t="str">
        <f t="shared" si="54"/>
        <v/>
      </c>
      <c r="BA257" s="462">
        <f t="shared" si="55"/>
        <v>0</v>
      </c>
      <c r="BB257" s="462">
        <f>IF(AND(AT257=1,AK257="E",AU257&gt;=0.75,AW257=1),Health,IF(AND(AT257=1,AK257="E",AU257&gt;=0.75),Health*P257,IF(AND(AT257=1,AK257="E",AU257&gt;=0.5,AW257=1),PTHealth,IF(AND(AT257=1,AK257="E",AU257&gt;=0.5),PTHealth*P257,0))))</f>
        <v>0</v>
      </c>
      <c r="BC257" s="462">
        <f>IF(AND(AT257=3,AK257="E",AV257&gt;=0.75,AW257=1),Health,IF(AND(AT257=3,AK257="E",AV257&gt;=0.75),Health*P257,IF(AND(AT257=3,AK257="E",AV257&gt;=0.5,AW257=1),PTHealth,IF(AND(AT257=3,AK257="E",AV257&gt;=0.5),PTHealth*P257,0))))</f>
        <v>0</v>
      </c>
      <c r="BD257" s="462">
        <f>IF(AND(AT257&lt;&gt;0,AX257&gt;=MAXSSDI),SSDI*MAXSSDI*P257,IF(AT257&lt;&gt;0,SSDI*W257,0))</f>
        <v>0</v>
      </c>
      <c r="BE257" s="462">
        <f>IF(AT257&lt;&gt;0,SSHI*W257,0)</f>
        <v>0</v>
      </c>
      <c r="BF257" s="462">
        <f>IF(AND(AT257&lt;&gt;0,AN257&lt;&gt;"NE"),VLOOKUP(AN257,Retirement_Rates,3,FALSE)*W257,0)</f>
        <v>0</v>
      </c>
      <c r="BG257" s="462">
        <f>IF(AND(AT257&lt;&gt;0,AJ257&lt;&gt;"PF"),Life*W257,0)</f>
        <v>0</v>
      </c>
      <c r="BH257" s="462">
        <f>IF(AND(AT257&lt;&gt;0,AM257="Y"),UI*W257,0)</f>
        <v>0</v>
      </c>
      <c r="BI257" s="462">
        <f>IF(AND(AT257&lt;&gt;0,N257&lt;&gt;"NR"),DHR*W257,0)</f>
        <v>0</v>
      </c>
      <c r="BJ257" s="462">
        <f>IF(AT257&lt;&gt;0,WC*W257,0)</f>
        <v>0</v>
      </c>
      <c r="BK257" s="462">
        <f>IF(OR(AND(AT257&lt;&gt;0,AJ257&lt;&gt;"PF",AN257&lt;&gt;"NE",AG257&lt;&gt;"A"),AND(AL257="E",OR(AT257=1,AT257=3))),Sick*W257,0)</f>
        <v>0</v>
      </c>
      <c r="BL257" s="462">
        <f t="shared" si="56"/>
        <v>0</v>
      </c>
      <c r="BM257" s="462">
        <f t="shared" si="57"/>
        <v>0</v>
      </c>
      <c r="BN257" s="462">
        <f>IF(AND(AT257=1,AK257="E",AU257&gt;=0.75,AW257=1),HealthBY,IF(AND(AT257=1,AK257="E",AU257&gt;=0.75),HealthBY*P257,IF(AND(AT257=1,AK257="E",AU257&gt;=0.5,AW257=1),PTHealthBY,IF(AND(AT257=1,AK257="E",AU257&gt;=0.5),PTHealthBY*P257,0))))</f>
        <v>0</v>
      </c>
      <c r="BO257" s="462">
        <f>IF(AND(AT257=3,AK257="E",AV257&gt;=0.75,AW257=1),HealthBY,IF(AND(AT257=3,AK257="E",AV257&gt;=0.75),HealthBY*P257,IF(AND(AT257=3,AK257="E",AV257&gt;=0.5,AW257=1),PTHealthBY,IF(AND(AT257=3,AK257="E",AV257&gt;=0.5),PTHealthBY*P257,0))))</f>
        <v>0</v>
      </c>
      <c r="BP257" s="462">
        <f>IF(AND(AT257&lt;&gt;0,(AX257+BA257)&gt;=MAXSSDIBY),SSDIBY*MAXSSDIBY*P257,IF(AT257&lt;&gt;0,SSDIBY*W257,0))</f>
        <v>0</v>
      </c>
      <c r="BQ257" s="462">
        <f>IF(AT257&lt;&gt;0,SSHIBY*W257,0)</f>
        <v>0</v>
      </c>
      <c r="BR257" s="462">
        <f>IF(AND(AT257&lt;&gt;0,AN257&lt;&gt;"NE"),VLOOKUP(AN257,Retirement_Rates,4,FALSE)*W257,0)</f>
        <v>0</v>
      </c>
      <c r="BS257" s="462">
        <f>IF(AND(AT257&lt;&gt;0,AJ257&lt;&gt;"PF"),LifeBY*W257,0)</f>
        <v>0</v>
      </c>
      <c r="BT257" s="462">
        <f>IF(AND(AT257&lt;&gt;0,AM257="Y"),UIBY*W257,0)</f>
        <v>0</v>
      </c>
      <c r="BU257" s="462">
        <f>IF(AND(AT257&lt;&gt;0,N257&lt;&gt;"NR"),DHRBY*W257,0)</f>
        <v>0</v>
      </c>
      <c r="BV257" s="462">
        <f>IF(AT257&lt;&gt;0,WCBY*W257,0)</f>
        <v>0</v>
      </c>
      <c r="BW257" s="462">
        <f>IF(OR(AND(AT257&lt;&gt;0,AJ257&lt;&gt;"PF",AN257&lt;&gt;"NE",AG257&lt;&gt;"A"),AND(AL257="E",OR(AT257=1,AT257=3))),SickBY*W257,0)</f>
        <v>0</v>
      </c>
      <c r="BX257" s="462">
        <f t="shared" si="58"/>
        <v>0</v>
      </c>
      <c r="BY257" s="462">
        <f t="shared" si="59"/>
        <v>0</v>
      </c>
      <c r="BZ257" s="462">
        <f t="shared" si="60"/>
        <v>0</v>
      </c>
      <c r="CA257" s="462">
        <f t="shared" si="61"/>
        <v>0</v>
      </c>
      <c r="CB257" s="462">
        <f t="shared" si="62"/>
        <v>0</v>
      </c>
      <c r="CC257" s="462">
        <f>IF(AT257&lt;&gt;0,SSHICHG*Y257,0)</f>
        <v>0</v>
      </c>
      <c r="CD257" s="462">
        <f>IF(AND(AT257&lt;&gt;0,AN257&lt;&gt;"NE"),VLOOKUP(AN257,Retirement_Rates,5,FALSE)*Y257,0)</f>
        <v>0</v>
      </c>
      <c r="CE257" s="462">
        <f>IF(AND(AT257&lt;&gt;0,AJ257&lt;&gt;"PF"),LifeCHG*Y257,0)</f>
        <v>0</v>
      </c>
      <c r="CF257" s="462">
        <f>IF(AND(AT257&lt;&gt;0,AM257="Y"),UICHG*Y257,0)</f>
        <v>0</v>
      </c>
      <c r="CG257" s="462">
        <f>IF(AND(AT257&lt;&gt;0,N257&lt;&gt;"NR"),DHRCHG*Y257,0)</f>
        <v>0</v>
      </c>
      <c r="CH257" s="462">
        <f>IF(AT257&lt;&gt;0,WCCHG*Y257,0)</f>
        <v>0</v>
      </c>
      <c r="CI257" s="462">
        <f>IF(OR(AND(AT257&lt;&gt;0,AJ257&lt;&gt;"PF",AN257&lt;&gt;"NE",AG257&lt;&gt;"A"),AND(AL257="E",OR(AT257=1,AT257=3))),SickCHG*Y257,0)</f>
        <v>0</v>
      </c>
      <c r="CJ257" s="462">
        <f t="shared" si="63"/>
        <v>0</v>
      </c>
      <c r="CK257" s="462" t="str">
        <f t="shared" si="64"/>
        <v/>
      </c>
      <c r="CL257" s="462">
        <f t="shared" si="65"/>
        <v>19198.8</v>
      </c>
      <c r="CM257" s="462">
        <f t="shared" si="66"/>
        <v>9874.4500000000007</v>
      </c>
      <c r="CN257" s="462" t="str">
        <f t="shared" si="67"/>
        <v>0001-00</v>
      </c>
    </row>
    <row r="258" spans="1:92" ht="15" thickBot="1" x14ac:dyDescent="0.35">
      <c r="A258" s="376" t="s">
        <v>161</v>
      </c>
      <c r="B258" s="376" t="s">
        <v>162</v>
      </c>
      <c r="C258" s="376" t="s">
        <v>463</v>
      </c>
      <c r="D258" s="376" t="s">
        <v>250</v>
      </c>
      <c r="E258" s="376" t="s">
        <v>165</v>
      </c>
      <c r="F258" s="377" t="s">
        <v>166</v>
      </c>
      <c r="G258" s="376" t="s">
        <v>762</v>
      </c>
      <c r="H258" s="378"/>
      <c r="I258" s="378"/>
      <c r="J258" s="376" t="s">
        <v>168</v>
      </c>
      <c r="K258" s="376" t="s">
        <v>407</v>
      </c>
      <c r="L258" s="376" t="s">
        <v>247</v>
      </c>
      <c r="M258" s="376" t="s">
        <v>170</v>
      </c>
      <c r="N258" s="376" t="s">
        <v>202</v>
      </c>
      <c r="O258" s="379">
        <v>1</v>
      </c>
      <c r="P258" s="460">
        <v>0</v>
      </c>
      <c r="Q258" s="460">
        <v>0</v>
      </c>
      <c r="R258" s="380">
        <v>80</v>
      </c>
      <c r="S258" s="460">
        <v>0</v>
      </c>
      <c r="T258" s="380">
        <v>225.28</v>
      </c>
      <c r="U258" s="380">
        <v>0</v>
      </c>
      <c r="V258" s="380">
        <v>93.64</v>
      </c>
      <c r="W258" s="380">
        <v>0</v>
      </c>
      <c r="X258" s="380">
        <v>0</v>
      </c>
      <c r="Y258" s="380">
        <v>0</v>
      </c>
      <c r="Z258" s="380">
        <v>0</v>
      </c>
      <c r="AA258" s="376" t="s">
        <v>464</v>
      </c>
      <c r="AB258" s="376" t="s">
        <v>269</v>
      </c>
      <c r="AC258" s="376" t="s">
        <v>465</v>
      </c>
      <c r="AD258" s="376" t="s">
        <v>224</v>
      </c>
      <c r="AE258" s="376" t="s">
        <v>407</v>
      </c>
      <c r="AF258" s="376" t="s">
        <v>299</v>
      </c>
      <c r="AG258" s="376" t="s">
        <v>177</v>
      </c>
      <c r="AH258" s="381">
        <v>28.16</v>
      </c>
      <c r="AI258" s="381">
        <v>17926.2</v>
      </c>
      <c r="AJ258" s="376" t="s">
        <v>178</v>
      </c>
      <c r="AK258" s="376" t="s">
        <v>179</v>
      </c>
      <c r="AL258" s="376" t="s">
        <v>180</v>
      </c>
      <c r="AM258" s="376" t="s">
        <v>181</v>
      </c>
      <c r="AN258" s="376" t="s">
        <v>68</v>
      </c>
      <c r="AO258" s="379">
        <v>80</v>
      </c>
      <c r="AP258" s="460">
        <v>1</v>
      </c>
      <c r="AQ258" s="460">
        <v>0</v>
      </c>
      <c r="AR258" s="458" t="s">
        <v>182</v>
      </c>
      <c r="AS258" s="462">
        <f t="shared" si="51"/>
        <v>0</v>
      </c>
      <c r="AT258">
        <f t="shared" si="52"/>
        <v>0</v>
      </c>
      <c r="AU258" s="462" t="str">
        <f>IF(AT258=0,"",IF(AND(AT258=1,M258="F",SUMIF(C2:C698,C258,AS2:AS698)&lt;=1),SUMIF(C2:C698,C258,AS2:AS698),IF(AND(AT258=1,M258="F",SUMIF(C2:C698,C258,AS2:AS698)&gt;1),1,"")))</f>
        <v/>
      </c>
      <c r="AV258" s="462" t="str">
        <f>IF(AT258=0,"",IF(AND(AT258=3,M258="F",SUMIF(C2:C698,C258,AS2:AS698)&lt;=1),SUMIF(C2:C698,C258,AS2:AS698),IF(AND(AT258=3,M258="F",SUMIF(C2:C698,C258,AS2:AS698)&gt;1),1,"")))</f>
        <v/>
      </c>
      <c r="AW258" s="462">
        <f>SUMIF(C2:C698,C258,O2:O698)</f>
        <v>4</v>
      </c>
      <c r="AX258" s="462">
        <f>IF(AND(M258="F",AS258&lt;&gt;0),SUMIF(C2:C698,C258,W2:W698),0)</f>
        <v>0</v>
      </c>
      <c r="AY258" s="462" t="str">
        <f t="shared" si="53"/>
        <v/>
      </c>
      <c r="AZ258" s="462" t="str">
        <f t="shared" si="54"/>
        <v/>
      </c>
      <c r="BA258" s="462">
        <f t="shared" si="55"/>
        <v>0</v>
      </c>
      <c r="BB258" s="462">
        <f>IF(AND(AT258=1,AK258="E",AU258&gt;=0.75,AW258=1),Health,IF(AND(AT258=1,AK258="E",AU258&gt;=0.75),Health*P258,IF(AND(AT258=1,AK258="E",AU258&gt;=0.5,AW258=1),PTHealth,IF(AND(AT258=1,AK258="E",AU258&gt;=0.5),PTHealth*P258,0))))</f>
        <v>0</v>
      </c>
      <c r="BC258" s="462">
        <f>IF(AND(AT258=3,AK258="E",AV258&gt;=0.75,AW258=1),Health,IF(AND(AT258=3,AK258="E",AV258&gt;=0.75),Health*P258,IF(AND(AT258=3,AK258="E",AV258&gt;=0.5,AW258=1),PTHealth,IF(AND(AT258=3,AK258="E",AV258&gt;=0.5),PTHealth*P258,0))))</f>
        <v>0</v>
      </c>
      <c r="BD258" s="462">
        <f>IF(AND(AT258&lt;&gt;0,AX258&gt;=MAXSSDI),SSDI*MAXSSDI*P258,IF(AT258&lt;&gt;0,SSDI*W258,0))</f>
        <v>0</v>
      </c>
      <c r="BE258" s="462">
        <f>IF(AT258&lt;&gt;0,SSHI*W258,0)</f>
        <v>0</v>
      </c>
      <c r="BF258" s="462">
        <f>IF(AND(AT258&lt;&gt;0,AN258&lt;&gt;"NE"),VLOOKUP(AN258,Retirement_Rates,3,FALSE)*W258,0)</f>
        <v>0</v>
      </c>
      <c r="BG258" s="462">
        <f>IF(AND(AT258&lt;&gt;0,AJ258&lt;&gt;"PF"),Life*W258,0)</f>
        <v>0</v>
      </c>
      <c r="BH258" s="462">
        <f>IF(AND(AT258&lt;&gt;0,AM258="Y"),UI*W258,0)</f>
        <v>0</v>
      </c>
      <c r="BI258" s="462">
        <f>IF(AND(AT258&lt;&gt;0,N258&lt;&gt;"NR"),DHR*W258,0)</f>
        <v>0</v>
      </c>
      <c r="BJ258" s="462">
        <f>IF(AT258&lt;&gt;0,WC*W258,0)</f>
        <v>0</v>
      </c>
      <c r="BK258" s="462">
        <f>IF(OR(AND(AT258&lt;&gt;0,AJ258&lt;&gt;"PF",AN258&lt;&gt;"NE",AG258&lt;&gt;"A"),AND(AL258="E",OR(AT258=1,AT258=3))),Sick*W258,0)</f>
        <v>0</v>
      </c>
      <c r="BL258" s="462">
        <f t="shared" si="56"/>
        <v>0</v>
      </c>
      <c r="BM258" s="462">
        <f t="shared" si="57"/>
        <v>0</v>
      </c>
      <c r="BN258" s="462">
        <f>IF(AND(AT258=1,AK258="E",AU258&gt;=0.75,AW258=1),HealthBY,IF(AND(AT258=1,AK258="E",AU258&gt;=0.75),HealthBY*P258,IF(AND(AT258=1,AK258="E",AU258&gt;=0.5,AW258=1),PTHealthBY,IF(AND(AT258=1,AK258="E",AU258&gt;=0.5),PTHealthBY*P258,0))))</f>
        <v>0</v>
      </c>
      <c r="BO258" s="462">
        <f>IF(AND(AT258=3,AK258="E",AV258&gt;=0.75,AW258=1),HealthBY,IF(AND(AT258=3,AK258="E",AV258&gt;=0.75),HealthBY*P258,IF(AND(AT258=3,AK258="E",AV258&gt;=0.5,AW258=1),PTHealthBY,IF(AND(AT258=3,AK258="E",AV258&gt;=0.5),PTHealthBY*P258,0))))</f>
        <v>0</v>
      </c>
      <c r="BP258" s="462">
        <f>IF(AND(AT258&lt;&gt;0,(AX258+BA258)&gt;=MAXSSDIBY),SSDIBY*MAXSSDIBY*P258,IF(AT258&lt;&gt;0,SSDIBY*W258,0))</f>
        <v>0</v>
      </c>
      <c r="BQ258" s="462">
        <f>IF(AT258&lt;&gt;0,SSHIBY*W258,0)</f>
        <v>0</v>
      </c>
      <c r="BR258" s="462">
        <f>IF(AND(AT258&lt;&gt;0,AN258&lt;&gt;"NE"),VLOOKUP(AN258,Retirement_Rates,4,FALSE)*W258,0)</f>
        <v>0</v>
      </c>
      <c r="BS258" s="462">
        <f>IF(AND(AT258&lt;&gt;0,AJ258&lt;&gt;"PF"),LifeBY*W258,0)</f>
        <v>0</v>
      </c>
      <c r="BT258" s="462">
        <f>IF(AND(AT258&lt;&gt;0,AM258="Y"),UIBY*W258,0)</f>
        <v>0</v>
      </c>
      <c r="BU258" s="462">
        <f>IF(AND(AT258&lt;&gt;0,N258&lt;&gt;"NR"),DHRBY*W258,0)</f>
        <v>0</v>
      </c>
      <c r="BV258" s="462">
        <f>IF(AT258&lt;&gt;0,WCBY*W258,0)</f>
        <v>0</v>
      </c>
      <c r="BW258" s="462">
        <f>IF(OR(AND(AT258&lt;&gt;0,AJ258&lt;&gt;"PF",AN258&lt;&gt;"NE",AG258&lt;&gt;"A"),AND(AL258="E",OR(AT258=1,AT258=3))),SickBY*W258,0)</f>
        <v>0</v>
      </c>
      <c r="BX258" s="462">
        <f t="shared" si="58"/>
        <v>0</v>
      </c>
      <c r="BY258" s="462">
        <f t="shared" si="59"/>
        <v>0</v>
      </c>
      <c r="BZ258" s="462">
        <f t="shared" si="60"/>
        <v>0</v>
      </c>
      <c r="CA258" s="462">
        <f t="shared" si="61"/>
        <v>0</v>
      </c>
      <c r="CB258" s="462">
        <f t="shared" si="62"/>
        <v>0</v>
      </c>
      <c r="CC258" s="462">
        <f>IF(AT258&lt;&gt;0,SSHICHG*Y258,0)</f>
        <v>0</v>
      </c>
      <c r="CD258" s="462">
        <f>IF(AND(AT258&lt;&gt;0,AN258&lt;&gt;"NE"),VLOOKUP(AN258,Retirement_Rates,5,FALSE)*Y258,0)</f>
        <v>0</v>
      </c>
      <c r="CE258" s="462">
        <f>IF(AND(AT258&lt;&gt;0,AJ258&lt;&gt;"PF"),LifeCHG*Y258,0)</f>
        <v>0</v>
      </c>
      <c r="CF258" s="462">
        <f>IF(AND(AT258&lt;&gt;0,AM258="Y"),UICHG*Y258,0)</f>
        <v>0</v>
      </c>
      <c r="CG258" s="462">
        <f>IF(AND(AT258&lt;&gt;0,N258&lt;&gt;"NR"),DHRCHG*Y258,0)</f>
        <v>0</v>
      </c>
      <c r="CH258" s="462">
        <f>IF(AT258&lt;&gt;0,WCCHG*Y258,0)</f>
        <v>0</v>
      </c>
      <c r="CI258" s="462">
        <f>IF(OR(AND(AT258&lt;&gt;0,AJ258&lt;&gt;"PF",AN258&lt;&gt;"NE",AG258&lt;&gt;"A"),AND(AL258="E",OR(AT258=1,AT258=3))),SickCHG*Y258,0)</f>
        <v>0</v>
      </c>
      <c r="CJ258" s="462">
        <f t="shared" si="63"/>
        <v>0</v>
      </c>
      <c r="CK258" s="462" t="str">
        <f t="shared" si="64"/>
        <v/>
      </c>
      <c r="CL258" s="462" t="str">
        <f t="shared" si="65"/>
        <v/>
      </c>
      <c r="CM258" s="462" t="str">
        <f t="shared" si="66"/>
        <v/>
      </c>
      <c r="CN258" s="462" t="str">
        <f t="shared" si="67"/>
        <v>0001-00</v>
      </c>
    </row>
    <row r="259" spans="1:92" ht="15" thickBot="1" x14ac:dyDescent="0.35">
      <c r="A259" s="376" t="s">
        <v>161</v>
      </c>
      <c r="B259" s="376" t="s">
        <v>162</v>
      </c>
      <c r="C259" s="376" t="s">
        <v>875</v>
      </c>
      <c r="D259" s="376" t="s">
        <v>761</v>
      </c>
      <c r="E259" s="376" t="s">
        <v>165</v>
      </c>
      <c r="F259" s="377" t="s">
        <v>166</v>
      </c>
      <c r="G259" s="376" t="s">
        <v>762</v>
      </c>
      <c r="H259" s="378"/>
      <c r="I259" s="378"/>
      <c r="J259" s="376" t="s">
        <v>168</v>
      </c>
      <c r="K259" s="376" t="s">
        <v>763</v>
      </c>
      <c r="L259" s="376" t="s">
        <v>166</v>
      </c>
      <c r="M259" s="376" t="s">
        <v>201</v>
      </c>
      <c r="N259" s="376" t="s">
        <v>291</v>
      </c>
      <c r="O259" s="379">
        <v>0</v>
      </c>
      <c r="P259" s="460">
        <v>1</v>
      </c>
      <c r="Q259" s="460">
        <v>0</v>
      </c>
      <c r="R259" s="380">
        <v>0</v>
      </c>
      <c r="S259" s="460">
        <v>0</v>
      </c>
      <c r="T259" s="380">
        <v>0</v>
      </c>
      <c r="U259" s="380">
        <v>0</v>
      </c>
      <c r="V259" s="380">
        <v>0</v>
      </c>
      <c r="W259" s="380">
        <v>0</v>
      </c>
      <c r="X259" s="380">
        <v>0</v>
      </c>
      <c r="Y259" s="380">
        <v>0</v>
      </c>
      <c r="Z259" s="380">
        <v>0</v>
      </c>
      <c r="AA259" s="378"/>
      <c r="AB259" s="376" t="s">
        <v>45</v>
      </c>
      <c r="AC259" s="376" t="s">
        <v>45</v>
      </c>
      <c r="AD259" s="378"/>
      <c r="AE259" s="378"/>
      <c r="AF259" s="378"/>
      <c r="AG259" s="378"/>
      <c r="AH259" s="379">
        <v>0</v>
      </c>
      <c r="AI259" s="379">
        <v>0</v>
      </c>
      <c r="AJ259" s="378"/>
      <c r="AK259" s="378"/>
      <c r="AL259" s="376" t="s">
        <v>180</v>
      </c>
      <c r="AM259" s="378"/>
      <c r="AN259" s="378"/>
      <c r="AO259" s="379">
        <v>0</v>
      </c>
      <c r="AP259" s="460">
        <v>0</v>
      </c>
      <c r="AQ259" s="460">
        <v>0</v>
      </c>
      <c r="AR259" s="459"/>
      <c r="AS259" s="462">
        <f t="shared" ref="AS259:AS322" si="68">IF(((AO259/80)*AP259*P259)&gt;1,AQ259,((AO259/80)*AP259*P259))</f>
        <v>0</v>
      </c>
      <c r="AT259">
        <f t="shared" ref="AT259:AT322" si="69">IF(AND(M259="F",N259&lt;&gt;"NG",AS259&lt;&gt;0,AND(AR259&lt;&gt;6,AR259&lt;&gt;36,AR259&lt;&gt;56),AG259&lt;&gt;"A",OR(AG259="H",AJ259="FS")),1,IF(AND(M259="F",N259&lt;&gt;"NG",AS259&lt;&gt;0,AG259="A"),3,0))</f>
        <v>0</v>
      </c>
      <c r="AU259" s="462" t="str">
        <f>IF(AT259=0,"",IF(AND(AT259=1,M259="F",SUMIF(C2:C698,C259,AS2:AS698)&lt;=1),SUMIF(C2:C698,C259,AS2:AS698),IF(AND(AT259=1,M259="F",SUMIF(C2:C698,C259,AS2:AS698)&gt;1),1,"")))</f>
        <v/>
      </c>
      <c r="AV259" s="462" t="str">
        <f>IF(AT259=0,"",IF(AND(AT259=3,M259="F",SUMIF(C2:C698,C259,AS2:AS698)&lt;=1),SUMIF(C2:C698,C259,AS2:AS698),IF(AND(AT259=3,M259="F",SUMIF(C2:C698,C259,AS2:AS698)&gt;1),1,"")))</f>
        <v/>
      </c>
      <c r="AW259" s="462">
        <f>SUMIF(C2:C698,C259,O2:O698)</f>
        <v>0</v>
      </c>
      <c r="AX259" s="462">
        <f>IF(AND(M259="F",AS259&lt;&gt;0),SUMIF(C2:C698,C259,W2:W698),0)</f>
        <v>0</v>
      </c>
      <c r="AY259" s="462" t="str">
        <f t="shared" ref="AY259:AY322" si="70">IF(AT259=1,W259,"")</f>
        <v/>
      </c>
      <c r="AZ259" s="462" t="str">
        <f t="shared" ref="AZ259:AZ322" si="71">IF(AT259=3,W259,"")</f>
        <v/>
      </c>
      <c r="BA259" s="462">
        <f t="shared" ref="BA259:BA322" si="72">IF(AT259=1,Y259-W259,0)</f>
        <v>0</v>
      </c>
      <c r="BB259" s="462">
        <f>IF(AND(AT259=1,AK259="E",AU259&gt;=0.75,AW259=1),Health,IF(AND(AT259=1,AK259="E",AU259&gt;=0.75),Health*P259,IF(AND(AT259=1,AK259="E",AU259&gt;=0.5,AW259=1),PTHealth,IF(AND(AT259=1,AK259="E",AU259&gt;=0.5),PTHealth*P259,0))))</f>
        <v>0</v>
      </c>
      <c r="BC259" s="462">
        <f>IF(AND(AT259=3,AK259="E",AV259&gt;=0.75,AW259=1),Health,IF(AND(AT259=3,AK259="E",AV259&gt;=0.75),Health*P259,IF(AND(AT259=3,AK259="E",AV259&gt;=0.5,AW259=1),PTHealth,IF(AND(AT259=3,AK259="E",AV259&gt;=0.5),PTHealth*P259,0))))</f>
        <v>0</v>
      </c>
      <c r="BD259" s="462">
        <f>IF(AND(AT259&lt;&gt;0,AX259&gt;=MAXSSDI),SSDI*MAXSSDI*P259,IF(AT259&lt;&gt;0,SSDI*W259,0))</f>
        <v>0</v>
      </c>
      <c r="BE259" s="462">
        <f>IF(AT259&lt;&gt;0,SSHI*W259,0)</f>
        <v>0</v>
      </c>
      <c r="BF259" s="462">
        <f>IF(AND(AT259&lt;&gt;0,AN259&lt;&gt;"NE"),VLOOKUP(AN259,Retirement_Rates,3,FALSE)*W259,0)</f>
        <v>0</v>
      </c>
      <c r="BG259" s="462">
        <f>IF(AND(AT259&lt;&gt;0,AJ259&lt;&gt;"PF"),Life*W259,0)</f>
        <v>0</v>
      </c>
      <c r="BH259" s="462">
        <f>IF(AND(AT259&lt;&gt;0,AM259="Y"),UI*W259,0)</f>
        <v>0</v>
      </c>
      <c r="BI259" s="462">
        <f>IF(AND(AT259&lt;&gt;0,N259&lt;&gt;"NR"),DHR*W259,0)</f>
        <v>0</v>
      </c>
      <c r="BJ259" s="462">
        <f>IF(AT259&lt;&gt;0,WC*W259,0)</f>
        <v>0</v>
      </c>
      <c r="BK259" s="462">
        <f>IF(OR(AND(AT259&lt;&gt;0,AJ259&lt;&gt;"PF",AN259&lt;&gt;"NE",AG259&lt;&gt;"A"),AND(AL259="E",OR(AT259=1,AT259=3))),Sick*W259,0)</f>
        <v>0</v>
      </c>
      <c r="BL259" s="462">
        <f t="shared" ref="BL259:BL322" si="73">IF(AT259=1,SUM(BD259:BK259),0)</f>
        <v>0</v>
      </c>
      <c r="BM259" s="462">
        <f t="shared" ref="BM259:BM322" si="74">IF(AT259=3,SUM(BD259:BK259),0)</f>
        <v>0</v>
      </c>
      <c r="BN259" s="462">
        <f>IF(AND(AT259=1,AK259="E",AU259&gt;=0.75,AW259=1),HealthBY,IF(AND(AT259=1,AK259="E",AU259&gt;=0.75),HealthBY*P259,IF(AND(AT259=1,AK259="E",AU259&gt;=0.5,AW259=1),PTHealthBY,IF(AND(AT259=1,AK259="E",AU259&gt;=0.5),PTHealthBY*P259,0))))</f>
        <v>0</v>
      </c>
      <c r="BO259" s="462">
        <f>IF(AND(AT259=3,AK259="E",AV259&gt;=0.75,AW259=1),HealthBY,IF(AND(AT259=3,AK259="E",AV259&gt;=0.75),HealthBY*P259,IF(AND(AT259=3,AK259="E",AV259&gt;=0.5,AW259=1),PTHealthBY,IF(AND(AT259=3,AK259="E",AV259&gt;=0.5),PTHealthBY*P259,0))))</f>
        <v>0</v>
      </c>
      <c r="BP259" s="462">
        <f>IF(AND(AT259&lt;&gt;0,(AX259+BA259)&gt;=MAXSSDIBY),SSDIBY*MAXSSDIBY*P259,IF(AT259&lt;&gt;0,SSDIBY*W259,0))</f>
        <v>0</v>
      </c>
      <c r="BQ259" s="462">
        <f>IF(AT259&lt;&gt;0,SSHIBY*W259,0)</f>
        <v>0</v>
      </c>
      <c r="BR259" s="462">
        <f>IF(AND(AT259&lt;&gt;0,AN259&lt;&gt;"NE"),VLOOKUP(AN259,Retirement_Rates,4,FALSE)*W259,0)</f>
        <v>0</v>
      </c>
      <c r="BS259" s="462">
        <f>IF(AND(AT259&lt;&gt;0,AJ259&lt;&gt;"PF"),LifeBY*W259,0)</f>
        <v>0</v>
      </c>
      <c r="BT259" s="462">
        <f>IF(AND(AT259&lt;&gt;0,AM259="Y"),UIBY*W259,0)</f>
        <v>0</v>
      </c>
      <c r="BU259" s="462">
        <f>IF(AND(AT259&lt;&gt;0,N259&lt;&gt;"NR"),DHRBY*W259,0)</f>
        <v>0</v>
      </c>
      <c r="BV259" s="462">
        <f>IF(AT259&lt;&gt;0,WCBY*W259,0)</f>
        <v>0</v>
      </c>
      <c r="BW259" s="462">
        <f>IF(OR(AND(AT259&lt;&gt;0,AJ259&lt;&gt;"PF",AN259&lt;&gt;"NE",AG259&lt;&gt;"A"),AND(AL259="E",OR(AT259=1,AT259=3))),SickBY*W259,0)</f>
        <v>0</v>
      </c>
      <c r="BX259" s="462">
        <f t="shared" ref="BX259:BX322" si="75">IF(AT259=1,SUM(BP259:BW259),0)</f>
        <v>0</v>
      </c>
      <c r="BY259" s="462">
        <f t="shared" ref="BY259:BY322" si="76">IF(AT259=3,SUM(BP259:BW259),0)</f>
        <v>0</v>
      </c>
      <c r="BZ259" s="462">
        <f t="shared" ref="BZ259:BZ322" si="77">IF(AT259=1,BN259-BB259,0)</f>
        <v>0</v>
      </c>
      <c r="CA259" s="462">
        <f t="shared" ref="CA259:CA322" si="78">IF(AT259=3,BO259-BC259,0)</f>
        <v>0</v>
      </c>
      <c r="CB259" s="462">
        <f t="shared" ref="CB259:CB322" si="79">BP259-BD259</f>
        <v>0</v>
      </c>
      <c r="CC259" s="462">
        <f>IF(AT259&lt;&gt;0,SSHICHG*Y259,0)</f>
        <v>0</v>
      </c>
      <c r="CD259" s="462">
        <f>IF(AND(AT259&lt;&gt;0,AN259&lt;&gt;"NE"),VLOOKUP(AN259,Retirement_Rates,5,FALSE)*Y259,0)</f>
        <v>0</v>
      </c>
      <c r="CE259" s="462">
        <f>IF(AND(AT259&lt;&gt;0,AJ259&lt;&gt;"PF"),LifeCHG*Y259,0)</f>
        <v>0</v>
      </c>
      <c r="CF259" s="462">
        <f>IF(AND(AT259&lt;&gt;0,AM259="Y"),UICHG*Y259,0)</f>
        <v>0</v>
      </c>
      <c r="CG259" s="462">
        <f>IF(AND(AT259&lt;&gt;0,N259&lt;&gt;"NR"),DHRCHG*Y259,0)</f>
        <v>0</v>
      </c>
      <c r="CH259" s="462">
        <f>IF(AT259&lt;&gt;0,WCCHG*Y259,0)</f>
        <v>0</v>
      </c>
      <c r="CI259" s="462">
        <f>IF(OR(AND(AT259&lt;&gt;0,AJ259&lt;&gt;"PF",AN259&lt;&gt;"NE",AG259&lt;&gt;"A"),AND(AL259="E",OR(AT259=1,AT259=3))),SickCHG*Y259,0)</f>
        <v>0</v>
      </c>
      <c r="CJ259" s="462">
        <f t="shared" ref="CJ259:CJ322" si="80">IF(AT259=1,SUM(CB259:CI259),0)</f>
        <v>0</v>
      </c>
      <c r="CK259" s="462" t="str">
        <f t="shared" ref="CK259:CK322" si="81">IF(AT259=3,SUM(CB259:CI259),"")</f>
        <v/>
      </c>
      <c r="CL259" s="462">
        <f t="shared" ref="CL259:CL322" si="82">IF(OR(N259="NG",AG259="D"),(T259+U259),"")</f>
        <v>0</v>
      </c>
      <c r="CM259" s="462">
        <f t="shared" ref="CM259:CM322" si="83">IF(OR(N259="NG",AG259="D"),V259,"")</f>
        <v>0</v>
      </c>
      <c r="CN259" s="462" t="str">
        <f t="shared" ref="CN259:CN322" si="84">E259 &amp; "-" &amp; F259</f>
        <v>0001-00</v>
      </c>
    </row>
    <row r="260" spans="1:92" ht="15" thickBot="1" x14ac:dyDescent="0.35">
      <c r="A260" s="376" t="s">
        <v>161</v>
      </c>
      <c r="B260" s="376" t="s">
        <v>162</v>
      </c>
      <c r="C260" s="376" t="s">
        <v>876</v>
      </c>
      <c r="D260" s="376" t="s">
        <v>362</v>
      </c>
      <c r="E260" s="376" t="s">
        <v>165</v>
      </c>
      <c r="F260" s="377" t="s">
        <v>166</v>
      </c>
      <c r="G260" s="376" t="s">
        <v>762</v>
      </c>
      <c r="H260" s="378"/>
      <c r="I260" s="378"/>
      <c r="J260" s="376" t="s">
        <v>877</v>
      </c>
      <c r="K260" s="376" t="s">
        <v>363</v>
      </c>
      <c r="L260" s="376" t="s">
        <v>200</v>
      </c>
      <c r="M260" s="376" t="s">
        <v>170</v>
      </c>
      <c r="N260" s="376" t="s">
        <v>202</v>
      </c>
      <c r="O260" s="379">
        <v>1</v>
      </c>
      <c r="P260" s="460">
        <v>0.15</v>
      </c>
      <c r="Q260" s="460">
        <v>0.15</v>
      </c>
      <c r="R260" s="380">
        <v>80</v>
      </c>
      <c r="S260" s="460">
        <v>0.15</v>
      </c>
      <c r="T260" s="380">
        <v>4029.43</v>
      </c>
      <c r="U260" s="380">
        <v>0</v>
      </c>
      <c r="V260" s="380">
        <v>1790.81</v>
      </c>
      <c r="W260" s="380">
        <v>7615.92</v>
      </c>
      <c r="X260" s="380">
        <v>3471.51</v>
      </c>
      <c r="Y260" s="380">
        <v>7615.92</v>
      </c>
      <c r="Z260" s="380">
        <v>3451.71</v>
      </c>
      <c r="AA260" s="376" t="s">
        <v>878</v>
      </c>
      <c r="AB260" s="376" t="s">
        <v>879</v>
      </c>
      <c r="AC260" s="376" t="s">
        <v>880</v>
      </c>
      <c r="AD260" s="376" t="s">
        <v>881</v>
      </c>
      <c r="AE260" s="376" t="s">
        <v>363</v>
      </c>
      <c r="AF260" s="376" t="s">
        <v>210</v>
      </c>
      <c r="AG260" s="376" t="s">
        <v>177</v>
      </c>
      <c r="AH260" s="381">
        <v>24.41</v>
      </c>
      <c r="AI260" s="379">
        <v>38438</v>
      </c>
      <c r="AJ260" s="376" t="s">
        <v>178</v>
      </c>
      <c r="AK260" s="376" t="s">
        <v>179</v>
      </c>
      <c r="AL260" s="376" t="s">
        <v>180</v>
      </c>
      <c r="AM260" s="376" t="s">
        <v>181</v>
      </c>
      <c r="AN260" s="376" t="s">
        <v>68</v>
      </c>
      <c r="AO260" s="379">
        <v>80</v>
      </c>
      <c r="AP260" s="460">
        <v>1</v>
      </c>
      <c r="AQ260" s="460">
        <v>0.15</v>
      </c>
      <c r="AR260" s="458" t="s">
        <v>182</v>
      </c>
      <c r="AS260" s="462">
        <f t="shared" si="68"/>
        <v>0.15</v>
      </c>
      <c r="AT260">
        <f t="shared" si="69"/>
        <v>1</v>
      </c>
      <c r="AU260" s="462">
        <f>IF(AT260=0,"",IF(AND(AT260=1,M260="F",SUMIF(C2:C698,C260,AS2:AS698)&lt;=1),SUMIF(C2:C698,C260,AS2:AS698),IF(AND(AT260=1,M260="F",SUMIF(C2:C698,C260,AS2:AS698)&gt;1),1,"")))</f>
        <v>1</v>
      </c>
      <c r="AV260" s="462" t="str">
        <f>IF(AT260=0,"",IF(AND(AT260=3,M260="F",SUMIF(C2:C698,C260,AS2:AS698)&lt;=1),SUMIF(C2:C698,C260,AS2:AS698),IF(AND(AT260=3,M260="F",SUMIF(C2:C698,C260,AS2:AS698)&gt;1),1,"")))</f>
        <v/>
      </c>
      <c r="AW260" s="462">
        <f>SUMIF(C2:C698,C260,O2:O698)</f>
        <v>8</v>
      </c>
      <c r="AX260" s="462">
        <f>IF(AND(M260="F",AS260&lt;&gt;0),SUMIF(C2:C698,C260,W2:W698),0)</f>
        <v>50772.800000000003</v>
      </c>
      <c r="AY260" s="462">
        <f t="shared" si="70"/>
        <v>7615.92</v>
      </c>
      <c r="AZ260" s="462" t="str">
        <f t="shared" si="71"/>
        <v/>
      </c>
      <c r="BA260" s="462">
        <f t="shared" si="72"/>
        <v>0</v>
      </c>
      <c r="BB260" s="462">
        <f>IF(AND(AT260=1,AK260="E",AU260&gt;=0.75,AW260=1),Health,IF(AND(AT260=1,AK260="E",AU260&gt;=0.75),Health*P260,IF(AND(AT260=1,AK260="E",AU260&gt;=0.5,AW260=1),PTHealth,IF(AND(AT260=1,AK260="E",AU260&gt;=0.5),PTHealth*P260,0))))</f>
        <v>1747.5</v>
      </c>
      <c r="BC260" s="462">
        <f>IF(AND(AT260=3,AK260="E",AV260&gt;=0.75,AW260=1),Health,IF(AND(AT260=3,AK260="E",AV260&gt;=0.75),Health*P260,IF(AND(AT260=3,AK260="E",AV260&gt;=0.5,AW260=1),PTHealth,IF(AND(AT260=3,AK260="E",AV260&gt;=0.5),PTHealth*P260,0))))</f>
        <v>0</v>
      </c>
      <c r="BD260" s="462">
        <f>IF(AND(AT260&lt;&gt;0,AX260&gt;=MAXSSDI),SSDI*MAXSSDI*P260,IF(AT260&lt;&gt;0,SSDI*W260,0))</f>
        <v>472.18704000000002</v>
      </c>
      <c r="BE260" s="462">
        <f>IF(AT260&lt;&gt;0,SSHI*W260,0)</f>
        <v>110.43084</v>
      </c>
      <c r="BF260" s="462">
        <f>IF(AND(AT260&lt;&gt;0,AN260&lt;&gt;"NE"),VLOOKUP(AN260,Retirement_Rates,3,FALSE)*W260,0)</f>
        <v>909.34084800000005</v>
      </c>
      <c r="BG260" s="462">
        <f>IF(AND(AT260&lt;&gt;0,AJ260&lt;&gt;"PF"),Life*W260,0)</f>
        <v>54.910783200000004</v>
      </c>
      <c r="BH260" s="462">
        <f>IF(AND(AT260&lt;&gt;0,AM260="Y"),UI*W260,0)</f>
        <v>37.318007999999999</v>
      </c>
      <c r="BI260" s="462">
        <f>IF(AND(AT260&lt;&gt;0,N260&lt;&gt;"NR"),DHR*W260,0)</f>
        <v>23.304715199999997</v>
      </c>
      <c r="BJ260" s="462">
        <f>IF(AT260&lt;&gt;0,WC*W260,0)</f>
        <v>116.52357599999999</v>
      </c>
      <c r="BK260" s="462">
        <f>IF(OR(AND(AT260&lt;&gt;0,AJ260&lt;&gt;"PF",AN260&lt;&gt;"NE",AG260&lt;&gt;"A"),AND(AL260="E",OR(AT260=1,AT260=3))),Sick*W260,0)</f>
        <v>0</v>
      </c>
      <c r="BL260" s="462">
        <f t="shared" si="73"/>
        <v>1724.0158104</v>
      </c>
      <c r="BM260" s="462">
        <f t="shared" si="74"/>
        <v>0</v>
      </c>
      <c r="BN260" s="462">
        <f>IF(AND(AT260=1,AK260="E",AU260&gt;=0.75,AW260=1),HealthBY,IF(AND(AT260=1,AK260="E",AU260&gt;=0.75),HealthBY*P260,IF(AND(AT260=1,AK260="E",AU260&gt;=0.5,AW260=1),PTHealthBY,IF(AND(AT260=1,AK260="E",AU260&gt;=0.5),PTHealthBY*P260,0))))</f>
        <v>1747.5</v>
      </c>
      <c r="BO260" s="462">
        <f>IF(AND(AT260=3,AK260="E",AV260&gt;=0.75,AW260=1),HealthBY,IF(AND(AT260=3,AK260="E",AV260&gt;=0.75),HealthBY*P260,IF(AND(AT260=3,AK260="E",AV260&gt;=0.5,AW260=1),PTHealthBY,IF(AND(AT260=3,AK260="E",AV260&gt;=0.5),PTHealthBY*P260,0))))</f>
        <v>0</v>
      </c>
      <c r="BP260" s="462">
        <f>IF(AND(AT260&lt;&gt;0,(AX260+BA260)&gt;=MAXSSDIBY),SSDIBY*MAXSSDIBY*P260,IF(AT260&lt;&gt;0,SSDIBY*W260,0))</f>
        <v>472.18704000000002</v>
      </c>
      <c r="BQ260" s="462">
        <f>IF(AT260&lt;&gt;0,SSHIBY*W260,0)</f>
        <v>110.43084</v>
      </c>
      <c r="BR260" s="462">
        <f>IF(AND(AT260&lt;&gt;0,AN260&lt;&gt;"NE"),VLOOKUP(AN260,Retirement_Rates,4,FALSE)*W260,0)</f>
        <v>909.34084800000005</v>
      </c>
      <c r="BS260" s="462">
        <f>IF(AND(AT260&lt;&gt;0,AJ260&lt;&gt;"PF"),LifeBY*W260,0)</f>
        <v>54.910783200000004</v>
      </c>
      <c r="BT260" s="462">
        <f>IF(AND(AT260&lt;&gt;0,AM260="Y"),UIBY*W260,0)</f>
        <v>0</v>
      </c>
      <c r="BU260" s="462">
        <f>IF(AND(AT260&lt;&gt;0,N260&lt;&gt;"NR"),DHRBY*W260,0)</f>
        <v>23.304715199999997</v>
      </c>
      <c r="BV260" s="462">
        <f>IF(AT260&lt;&gt;0,WCBY*W260,0)</f>
        <v>134.04019200000002</v>
      </c>
      <c r="BW260" s="462">
        <f>IF(OR(AND(AT260&lt;&gt;0,AJ260&lt;&gt;"PF",AN260&lt;&gt;"NE",AG260&lt;&gt;"A"),AND(AL260="E",OR(AT260=1,AT260=3))),SickBY*W260,0)</f>
        <v>0</v>
      </c>
      <c r="BX260" s="462">
        <f t="shared" si="75"/>
        <v>1704.2144183999999</v>
      </c>
      <c r="BY260" s="462">
        <f t="shared" si="76"/>
        <v>0</v>
      </c>
      <c r="BZ260" s="462">
        <f t="shared" si="77"/>
        <v>0</v>
      </c>
      <c r="CA260" s="462">
        <f t="shared" si="78"/>
        <v>0</v>
      </c>
      <c r="CB260" s="462">
        <f t="shared" si="79"/>
        <v>0</v>
      </c>
      <c r="CC260" s="462">
        <f>IF(AT260&lt;&gt;0,SSHICHG*Y260,0)</f>
        <v>0</v>
      </c>
      <c r="CD260" s="462">
        <f>IF(AND(AT260&lt;&gt;0,AN260&lt;&gt;"NE"),VLOOKUP(AN260,Retirement_Rates,5,FALSE)*Y260,0)</f>
        <v>0</v>
      </c>
      <c r="CE260" s="462">
        <f>IF(AND(AT260&lt;&gt;0,AJ260&lt;&gt;"PF"),LifeCHG*Y260,0)</f>
        <v>0</v>
      </c>
      <c r="CF260" s="462">
        <f>IF(AND(AT260&lt;&gt;0,AM260="Y"),UICHG*Y260,0)</f>
        <v>-37.318007999999999</v>
      </c>
      <c r="CG260" s="462">
        <f>IF(AND(AT260&lt;&gt;0,N260&lt;&gt;"NR"),DHRCHG*Y260,0)</f>
        <v>0</v>
      </c>
      <c r="CH260" s="462">
        <f>IF(AT260&lt;&gt;0,WCCHG*Y260,0)</f>
        <v>17.516616000000013</v>
      </c>
      <c r="CI260" s="462">
        <f>IF(OR(AND(AT260&lt;&gt;0,AJ260&lt;&gt;"PF",AN260&lt;&gt;"NE",AG260&lt;&gt;"A"),AND(AL260="E",OR(AT260=1,AT260=3))),SickCHG*Y260,0)</f>
        <v>0</v>
      </c>
      <c r="CJ260" s="462">
        <f t="shared" si="80"/>
        <v>-19.801391999999986</v>
      </c>
      <c r="CK260" s="462" t="str">
        <f t="shared" si="81"/>
        <v/>
      </c>
      <c r="CL260" s="462" t="str">
        <f t="shared" si="82"/>
        <v/>
      </c>
      <c r="CM260" s="462" t="str">
        <f t="shared" si="83"/>
        <v/>
      </c>
      <c r="CN260" s="462" t="str">
        <f t="shared" si="84"/>
        <v>0001-00</v>
      </c>
    </row>
    <row r="261" spans="1:92" ht="15" thickBot="1" x14ac:dyDescent="0.35">
      <c r="A261" s="376" t="s">
        <v>161</v>
      </c>
      <c r="B261" s="376" t="s">
        <v>162</v>
      </c>
      <c r="C261" s="376" t="s">
        <v>882</v>
      </c>
      <c r="D261" s="376" t="s">
        <v>647</v>
      </c>
      <c r="E261" s="376" t="s">
        <v>165</v>
      </c>
      <c r="F261" s="377" t="s">
        <v>166</v>
      </c>
      <c r="G261" s="376" t="s">
        <v>762</v>
      </c>
      <c r="H261" s="378"/>
      <c r="I261" s="378"/>
      <c r="J261" s="376" t="s">
        <v>185</v>
      </c>
      <c r="K261" s="376" t="s">
        <v>648</v>
      </c>
      <c r="L261" s="376" t="s">
        <v>166</v>
      </c>
      <c r="M261" s="376" t="s">
        <v>170</v>
      </c>
      <c r="N261" s="376" t="s">
        <v>291</v>
      </c>
      <c r="O261" s="379">
        <v>0</v>
      </c>
      <c r="P261" s="460">
        <v>0</v>
      </c>
      <c r="Q261" s="460">
        <v>0</v>
      </c>
      <c r="R261" s="380">
        <v>0</v>
      </c>
      <c r="S261" s="460">
        <v>0</v>
      </c>
      <c r="T261" s="380">
        <v>267.54000000000002</v>
      </c>
      <c r="U261" s="380">
        <v>0</v>
      </c>
      <c r="V261" s="380">
        <v>183.33</v>
      </c>
      <c r="W261" s="380">
        <v>0</v>
      </c>
      <c r="X261" s="380">
        <v>0</v>
      </c>
      <c r="Y261" s="380">
        <v>0</v>
      </c>
      <c r="Z261" s="380">
        <v>0</v>
      </c>
      <c r="AA261" s="378"/>
      <c r="AB261" s="376" t="s">
        <v>45</v>
      </c>
      <c r="AC261" s="376" t="s">
        <v>45</v>
      </c>
      <c r="AD261" s="378"/>
      <c r="AE261" s="378"/>
      <c r="AF261" s="378"/>
      <c r="AG261" s="378"/>
      <c r="AH261" s="379">
        <v>0</v>
      </c>
      <c r="AI261" s="379">
        <v>0</v>
      </c>
      <c r="AJ261" s="378"/>
      <c r="AK261" s="378"/>
      <c r="AL261" s="376" t="s">
        <v>180</v>
      </c>
      <c r="AM261" s="378"/>
      <c r="AN261" s="378"/>
      <c r="AO261" s="379">
        <v>0</v>
      </c>
      <c r="AP261" s="460">
        <v>0</v>
      </c>
      <c r="AQ261" s="460">
        <v>0</v>
      </c>
      <c r="AR261" s="459"/>
      <c r="AS261" s="462">
        <f t="shared" si="68"/>
        <v>0</v>
      </c>
      <c r="AT261">
        <f t="shared" si="69"/>
        <v>0</v>
      </c>
      <c r="AU261" s="462" t="str">
        <f>IF(AT261=0,"",IF(AND(AT261=1,M261="F",SUMIF(C2:C698,C261,AS2:AS698)&lt;=1),SUMIF(C2:C698,C261,AS2:AS698),IF(AND(AT261=1,M261="F",SUMIF(C2:C698,C261,AS2:AS698)&gt;1),1,"")))</f>
        <v/>
      </c>
      <c r="AV261" s="462" t="str">
        <f>IF(AT261=0,"",IF(AND(AT261=3,M261="F",SUMIF(C2:C698,C261,AS2:AS698)&lt;=1),SUMIF(C2:C698,C261,AS2:AS698),IF(AND(AT261=3,M261="F",SUMIF(C2:C698,C261,AS2:AS698)&gt;1),1,"")))</f>
        <v/>
      </c>
      <c r="AW261" s="462">
        <f>SUMIF(C2:C698,C261,O2:O698)</f>
        <v>0</v>
      </c>
      <c r="AX261" s="462">
        <f>IF(AND(M261="F",AS261&lt;&gt;0),SUMIF(C2:C698,C261,W2:W698),0)</f>
        <v>0</v>
      </c>
      <c r="AY261" s="462" t="str">
        <f t="shared" si="70"/>
        <v/>
      </c>
      <c r="AZ261" s="462" t="str">
        <f t="shared" si="71"/>
        <v/>
      </c>
      <c r="BA261" s="462">
        <f t="shared" si="72"/>
        <v>0</v>
      </c>
      <c r="BB261" s="462">
        <f>IF(AND(AT261=1,AK261="E",AU261&gt;=0.75,AW261=1),Health,IF(AND(AT261=1,AK261="E",AU261&gt;=0.75),Health*P261,IF(AND(AT261=1,AK261="E",AU261&gt;=0.5,AW261=1),PTHealth,IF(AND(AT261=1,AK261="E",AU261&gt;=0.5),PTHealth*P261,0))))</f>
        <v>0</v>
      </c>
      <c r="BC261" s="462">
        <f>IF(AND(AT261=3,AK261="E",AV261&gt;=0.75,AW261=1),Health,IF(AND(AT261=3,AK261="E",AV261&gt;=0.75),Health*P261,IF(AND(AT261=3,AK261="E",AV261&gt;=0.5,AW261=1),PTHealth,IF(AND(AT261=3,AK261="E",AV261&gt;=0.5),PTHealth*P261,0))))</f>
        <v>0</v>
      </c>
      <c r="BD261" s="462">
        <f>IF(AND(AT261&lt;&gt;0,AX261&gt;=MAXSSDI),SSDI*MAXSSDI*P261,IF(AT261&lt;&gt;0,SSDI*W261,0))</f>
        <v>0</v>
      </c>
      <c r="BE261" s="462">
        <f>IF(AT261&lt;&gt;0,SSHI*W261,0)</f>
        <v>0</v>
      </c>
      <c r="BF261" s="462">
        <f>IF(AND(AT261&lt;&gt;0,AN261&lt;&gt;"NE"),VLOOKUP(AN261,Retirement_Rates,3,FALSE)*W261,0)</f>
        <v>0</v>
      </c>
      <c r="BG261" s="462">
        <f>IF(AND(AT261&lt;&gt;0,AJ261&lt;&gt;"PF"),Life*W261,0)</f>
        <v>0</v>
      </c>
      <c r="BH261" s="462">
        <f>IF(AND(AT261&lt;&gt;0,AM261="Y"),UI*W261,0)</f>
        <v>0</v>
      </c>
      <c r="BI261" s="462">
        <f>IF(AND(AT261&lt;&gt;0,N261&lt;&gt;"NR"),DHR*W261,0)</f>
        <v>0</v>
      </c>
      <c r="BJ261" s="462">
        <f>IF(AT261&lt;&gt;0,WC*W261,0)</f>
        <v>0</v>
      </c>
      <c r="BK261" s="462">
        <f>IF(OR(AND(AT261&lt;&gt;0,AJ261&lt;&gt;"PF",AN261&lt;&gt;"NE",AG261&lt;&gt;"A"),AND(AL261="E",OR(AT261=1,AT261=3))),Sick*W261,0)</f>
        <v>0</v>
      </c>
      <c r="BL261" s="462">
        <f t="shared" si="73"/>
        <v>0</v>
      </c>
      <c r="BM261" s="462">
        <f t="shared" si="74"/>
        <v>0</v>
      </c>
      <c r="BN261" s="462">
        <f>IF(AND(AT261=1,AK261="E",AU261&gt;=0.75,AW261=1),HealthBY,IF(AND(AT261=1,AK261="E",AU261&gt;=0.75),HealthBY*P261,IF(AND(AT261=1,AK261="E",AU261&gt;=0.5,AW261=1),PTHealthBY,IF(AND(AT261=1,AK261="E",AU261&gt;=0.5),PTHealthBY*P261,0))))</f>
        <v>0</v>
      </c>
      <c r="BO261" s="462">
        <f>IF(AND(AT261=3,AK261="E",AV261&gt;=0.75,AW261=1),HealthBY,IF(AND(AT261=3,AK261="E",AV261&gt;=0.75),HealthBY*P261,IF(AND(AT261=3,AK261="E",AV261&gt;=0.5,AW261=1),PTHealthBY,IF(AND(AT261=3,AK261="E",AV261&gt;=0.5),PTHealthBY*P261,0))))</f>
        <v>0</v>
      </c>
      <c r="BP261" s="462">
        <f>IF(AND(AT261&lt;&gt;0,(AX261+BA261)&gt;=MAXSSDIBY),SSDIBY*MAXSSDIBY*P261,IF(AT261&lt;&gt;0,SSDIBY*W261,0))</f>
        <v>0</v>
      </c>
      <c r="BQ261" s="462">
        <f>IF(AT261&lt;&gt;0,SSHIBY*W261,0)</f>
        <v>0</v>
      </c>
      <c r="BR261" s="462">
        <f>IF(AND(AT261&lt;&gt;0,AN261&lt;&gt;"NE"),VLOOKUP(AN261,Retirement_Rates,4,FALSE)*W261,0)</f>
        <v>0</v>
      </c>
      <c r="BS261" s="462">
        <f>IF(AND(AT261&lt;&gt;0,AJ261&lt;&gt;"PF"),LifeBY*W261,0)</f>
        <v>0</v>
      </c>
      <c r="BT261" s="462">
        <f>IF(AND(AT261&lt;&gt;0,AM261="Y"),UIBY*W261,0)</f>
        <v>0</v>
      </c>
      <c r="BU261" s="462">
        <f>IF(AND(AT261&lt;&gt;0,N261&lt;&gt;"NR"),DHRBY*W261,0)</f>
        <v>0</v>
      </c>
      <c r="BV261" s="462">
        <f>IF(AT261&lt;&gt;0,WCBY*W261,0)</f>
        <v>0</v>
      </c>
      <c r="BW261" s="462">
        <f>IF(OR(AND(AT261&lt;&gt;0,AJ261&lt;&gt;"PF",AN261&lt;&gt;"NE",AG261&lt;&gt;"A"),AND(AL261="E",OR(AT261=1,AT261=3))),SickBY*W261,0)</f>
        <v>0</v>
      </c>
      <c r="BX261" s="462">
        <f t="shared" si="75"/>
        <v>0</v>
      </c>
      <c r="BY261" s="462">
        <f t="shared" si="76"/>
        <v>0</v>
      </c>
      <c r="BZ261" s="462">
        <f t="shared" si="77"/>
        <v>0</v>
      </c>
      <c r="CA261" s="462">
        <f t="shared" si="78"/>
        <v>0</v>
      </c>
      <c r="CB261" s="462">
        <f t="shared" si="79"/>
        <v>0</v>
      </c>
      <c r="CC261" s="462">
        <f>IF(AT261&lt;&gt;0,SSHICHG*Y261,0)</f>
        <v>0</v>
      </c>
      <c r="CD261" s="462">
        <f>IF(AND(AT261&lt;&gt;0,AN261&lt;&gt;"NE"),VLOOKUP(AN261,Retirement_Rates,5,FALSE)*Y261,0)</f>
        <v>0</v>
      </c>
      <c r="CE261" s="462">
        <f>IF(AND(AT261&lt;&gt;0,AJ261&lt;&gt;"PF"),LifeCHG*Y261,0)</f>
        <v>0</v>
      </c>
      <c r="CF261" s="462">
        <f>IF(AND(AT261&lt;&gt;0,AM261="Y"),UICHG*Y261,0)</f>
        <v>0</v>
      </c>
      <c r="CG261" s="462">
        <f>IF(AND(AT261&lt;&gt;0,N261&lt;&gt;"NR"),DHRCHG*Y261,0)</f>
        <v>0</v>
      </c>
      <c r="CH261" s="462">
        <f>IF(AT261&lt;&gt;0,WCCHG*Y261,0)</f>
        <v>0</v>
      </c>
      <c r="CI261" s="462">
        <f>IF(OR(AND(AT261&lt;&gt;0,AJ261&lt;&gt;"PF",AN261&lt;&gt;"NE",AG261&lt;&gt;"A"),AND(AL261="E",OR(AT261=1,AT261=3))),SickCHG*Y261,0)</f>
        <v>0</v>
      </c>
      <c r="CJ261" s="462">
        <f t="shared" si="80"/>
        <v>0</v>
      </c>
      <c r="CK261" s="462" t="str">
        <f t="shared" si="81"/>
        <v/>
      </c>
      <c r="CL261" s="462">
        <f t="shared" si="82"/>
        <v>267.54000000000002</v>
      </c>
      <c r="CM261" s="462">
        <f t="shared" si="83"/>
        <v>183.33</v>
      </c>
      <c r="CN261" s="462" t="str">
        <f t="shared" si="84"/>
        <v>0001-00</v>
      </c>
    </row>
    <row r="262" spans="1:92" ht="15" thickBot="1" x14ac:dyDescent="0.35">
      <c r="A262" s="376" t="s">
        <v>161</v>
      </c>
      <c r="B262" s="376" t="s">
        <v>162</v>
      </c>
      <c r="C262" s="376" t="s">
        <v>883</v>
      </c>
      <c r="D262" s="376" t="s">
        <v>365</v>
      </c>
      <c r="E262" s="376" t="s">
        <v>165</v>
      </c>
      <c r="F262" s="377" t="s">
        <v>166</v>
      </c>
      <c r="G262" s="376" t="s">
        <v>762</v>
      </c>
      <c r="H262" s="378"/>
      <c r="I262" s="378"/>
      <c r="J262" s="376" t="s">
        <v>768</v>
      </c>
      <c r="K262" s="376" t="s">
        <v>366</v>
      </c>
      <c r="L262" s="376" t="s">
        <v>274</v>
      </c>
      <c r="M262" s="376" t="s">
        <v>170</v>
      </c>
      <c r="N262" s="376" t="s">
        <v>202</v>
      </c>
      <c r="O262" s="379">
        <v>1</v>
      </c>
      <c r="P262" s="460">
        <v>0.25</v>
      </c>
      <c r="Q262" s="460">
        <v>0.25</v>
      </c>
      <c r="R262" s="380">
        <v>80</v>
      </c>
      <c r="S262" s="460">
        <v>0.25</v>
      </c>
      <c r="T262" s="380">
        <v>11370.53</v>
      </c>
      <c r="U262" s="380">
        <v>0</v>
      </c>
      <c r="V262" s="380">
        <v>5876.07</v>
      </c>
      <c r="W262" s="380">
        <v>9599.2000000000007</v>
      </c>
      <c r="X262" s="380">
        <v>5085.46</v>
      </c>
      <c r="Y262" s="380">
        <v>9599.2000000000007</v>
      </c>
      <c r="Z262" s="380">
        <v>5060.5</v>
      </c>
      <c r="AA262" s="376" t="s">
        <v>884</v>
      </c>
      <c r="AB262" s="376" t="s">
        <v>885</v>
      </c>
      <c r="AC262" s="376" t="s">
        <v>886</v>
      </c>
      <c r="AD262" s="376" t="s">
        <v>225</v>
      </c>
      <c r="AE262" s="376" t="s">
        <v>366</v>
      </c>
      <c r="AF262" s="376" t="s">
        <v>279</v>
      </c>
      <c r="AG262" s="376" t="s">
        <v>177</v>
      </c>
      <c r="AH262" s="381">
        <v>18.46</v>
      </c>
      <c r="AI262" s="381">
        <v>27087.200000000001</v>
      </c>
      <c r="AJ262" s="376" t="s">
        <v>178</v>
      </c>
      <c r="AK262" s="376" t="s">
        <v>179</v>
      </c>
      <c r="AL262" s="376" t="s">
        <v>180</v>
      </c>
      <c r="AM262" s="376" t="s">
        <v>181</v>
      </c>
      <c r="AN262" s="376" t="s">
        <v>68</v>
      </c>
      <c r="AO262" s="379">
        <v>80</v>
      </c>
      <c r="AP262" s="460">
        <v>1</v>
      </c>
      <c r="AQ262" s="460">
        <v>0.25</v>
      </c>
      <c r="AR262" s="458" t="s">
        <v>182</v>
      </c>
      <c r="AS262" s="462">
        <f t="shared" si="68"/>
        <v>0.25</v>
      </c>
      <c r="AT262">
        <f t="shared" si="69"/>
        <v>1</v>
      </c>
      <c r="AU262" s="462">
        <f>IF(AT262=0,"",IF(AND(AT262=1,M262="F",SUMIF(C2:C698,C262,AS2:AS698)&lt;=1),SUMIF(C2:C698,C262,AS2:AS698),IF(AND(AT262=1,M262="F",SUMIF(C2:C698,C262,AS2:AS698)&gt;1),1,"")))</f>
        <v>1</v>
      </c>
      <c r="AV262" s="462" t="str">
        <f>IF(AT262=0,"",IF(AND(AT262=3,M262="F",SUMIF(C2:C698,C262,AS2:AS698)&lt;=1),SUMIF(C2:C698,C262,AS2:AS698),IF(AND(AT262=3,M262="F",SUMIF(C2:C698,C262,AS2:AS698)&gt;1),1,"")))</f>
        <v/>
      </c>
      <c r="AW262" s="462">
        <f>SUMIF(C2:C698,C262,O2:O698)</f>
        <v>4</v>
      </c>
      <c r="AX262" s="462">
        <f>IF(AND(M262="F",AS262&lt;&gt;0),SUMIF(C2:C698,C262,W2:W698),0)</f>
        <v>38396.800000000003</v>
      </c>
      <c r="AY262" s="462">
        <f t="shared" si="70"/>
        <v>9599.2000000000007</v>
      </c>
      <c r="AZ262" s="462" t="str">
        <f t="shared" si="71"/>
        <v/>
      </c>
      <c r="BA262" s="462">
        <f t="shared" si="72"/>
        <v>0</v>
      </c>
      <c r="BB262" s="462">
        <f>IF(AND(AT262=1,AK262="E",AU262&gt;=0.75,AW262=1),Health,IF(AND(AT262=1,AK262="E",AU262&gt;=0.75),Health*P262,IF(AND(AT262=1,AK262="E",AU262&gt;=0.5,AW262=1),PTHealth,IF(AND(AT262=1,AK262="E",AU262&gt;=0.5),PTHealth*P262,0))))</f>
        <v>2912.5</v>
      </c>
      <c r="BC262" s="462">
        <f>IF(AND(AT262=3,AK262="E",AV262&gt;=0.75,AW262=1),Health,IF(AND(AT262=3,AK262="E",AV262&gt;=0.75),Health*P262,IF(AND(AT262=3,AK262="E",AV262&gt;=0.5,AW262=1),PTHealth,IF(AND(AT262=3,AK262="E",AV262&gt;=0.5),PTHealth*P262,0))))</f>
        <v>0</v>
      </c>
      <c r="BD262" s="462">
        <f>IF(AND(AT262&lt;&gt;0,AX262&gt;=MAXSSDI),SSDI*MAXSSDI*P262,IF(AT262&lt;&gt;0,SSDI*W262,0))</f>
        <v>595.15039999999999</v>
      </c>
      <c r="BE262" s="462">
        <f>IF(AT262&lt;&gt;0,SSHI*W262,0)</f>
        <v>139.18840000000003</v>
      </c>
      <c r="BF262" s="462">
        <f>IF(AND(AT262&lt;&gt;0,AN262&lt;&gt;"NE"),VLOOKUP(AN262,Retirement_Rates,3,FALSE)*W262,0)</f>
        <v>1146.1444800000002</v>
      </c>
      <c r="BG262" s="462">
        <f>IF(AND(AT262&lt;&gt;0,AJ262&lt;&gt;"PF"),Life*W262,0)</f>
        <v>69.210232000000005</v>
      </c>
      <c r="BH262" s="462">
        <f>IF(AND(AT262&lt;&gt;0,AM262="Y"),UI*W262,0)</f>
        <v>47.036080000000005</v>
      </c>
      <c r="BI262" s="462">
        <f>IF(AND(AT262&lt;&gt;0,N262&lt;&gt;"NR"),DHR*W262,0)</f>
        <v>29.373552</v>
      </c>
      <c r="BJ262" s="462">
        <f>IF(AT262&lt;&gt;0,WC*W262,0)</f>
        <v>146.86776</v>
      </c>
      <c r="BK262" s="462">
        <f>IF(OR(AND(AT262&lt;&gt;0,AJ262&lt;&gt;"PF",AN262&lt;&gt;"NE",AG262&lt;&gt;"A"),AND(AL262="E",OR(AT262=1,AT262=3))),Sick*W262,0)</f>
        <v>0</v>
      </c>
      <c r="BL262" s="462">
        <f t="shared" si="73"/>
        <v>2172.9709040000002</v>
      </c>
      <c r="BM262" s="462">
        <f t="shared" si="74"/>
        <v>0</v>
      </c>
      <c r="BN262" s="462">
        <f>IF(AND(AT262=1,AK262="E",AU262&gt;=0.75,AW262=1),HealthBY,IF(AND(AT262=1,AK262="E",AU262&gt;=0.75),HealthBY*P262,IF(AND(AT262=1,AK262="E",AU262&gt;=0.5,AW262=1),PTHealthBY,IF(AND(AT262=1,AK262="E",AU262&gt;=0.5),PTHealthBY*P262,0))))</f>
        <v>2912.5</v>
      </c>
      <c r="BO262" s="462">
        <f>IF(AND(AT262=3,AK262="E",AV262&gt;=0.75,AW262=1),HealthBY,IF(AND(AT262=3,AK262="E",AV262&gt;=0.75),HealthBY*P262,IF(AND(AT262=3,AK262="E",AV262&gt;=0.5,AW262=1),PTHealthBY,IF(AND(AT262=3,AK262="E",AV262&gt;=0.5),PTHealthBY*P262,0))))</f>
        <v>0</v>
      </c>
      <c r="BP262" s="462">
        <f>IF(AND(AT262&lt;&gt;0,(AX262+BA262)&gt;=MAXSSDIBY),SSDIBY*MAXSSDIBY*P262,IF(AT262&lt;&gt;0,SSDIBY*W262,0))</f>
        <v>595.15039999999999</v>
      </c>
      <c r="BQ262" s="462">
        <f>IF(AT262&lt;&gt;0,SSHIBY*W262,0)</f>
        <v>139.18840000000003</v>
      </c>
      <c r="BR262" s="462">
        <f>IF(AND(AT262&lt;&gt;0,AN262&lt;&gt;"NE"),VLOOKUP(AN262,Retirement_Rates,4,FALSE)*W262,0)</f>
        <v>1146.1444800000002</v>
      </c>
      <c r="BS262" s="462">
        <f>IF(AND(AT262&lt;&gt;0,AJ262&lt;&gt;"PF"),LifeBY*W262,0)</f>
        <v>69.210232000000005</v>
      </c>
      <c r="BT262" s="462">
        <f>IF(AND(AT262&lt;&gt;0,AM262="Y"),UIBY*W262,0)</f>
        <v>0</v>
      </c>
      <c r="BU262" s="462">
        <f>IF(AND(AT262&lt;&gt;0,N262&lt;&gt;"NR"),DHRBY*W262,0)</f>
        <v>29.373552</v>
      </c>
      <c r="BV262" s="462">
        <f>IF(AT262&lt;&gt;0,WCBY*W262,0)</f>
        <v>168.94592000000003</v>
      </c>
      <c r="BW262" s="462">
        <f>IF(OR(AND(AT262&lt;&gt;0,AJ262&lt;&gt;"PF",AN262&lt;&gt;"NE",AG262&lt;&gt;"A"),AND(AL262="E",OR(AT262=1,AT262=3))),SickBY*W262,0)</f>
        <v>0</v>
      </c>
      <c r="BX262" s="462">
        <f t="shared" si="75"/>
        <v>2148.012984</v>
      </c>
      <c r="BY262" s="462">
        <f t="shared" si="76"/>
        <v>0</v>
      </c>
      <c r="BZ262" s="462">
        <f t="shared" si="77"/>
        <v>0</v>
      </c>
      <c r="CA262" s="462">
        <f t="shared" si="78"/>
        <v>0</v>
      </c>
      <c r="CB262" s="462">
        <f t="shared" si="79"/>
        <v>0</v>
      </c>
      <c r="CC262" s="462">
        <f>IF(AT262&lt;&gt;0,SSHICHG*Y262,0)</f>
        <v>0</v>
      </c>
      <c r="CD262" s="462">
        <f>IF(AND(AT262&lt;&gt;0,AN262&lt;&gt;"NE"),VLOOKUP(AN262,Retirement_Rates,5,FALSE)*Y262,0)</f>
        <v>0</v>
      </c>
      <c r="CE262" s="462">
        <f>IF(AND(AT262&lt;&gt;0,AJ262&lt;&gt;"PF"),LifeCHG*Y262,0)</f>
        <v>0</v>
      </c>
      <c r="CF262" s="462">
        <f>IF(AND(AT262&lt;&gt;0,AM262="Y"),UICHG*Y262,0)</f>
        <v>-47.036080000000005</v>
      </c>
      <c r="CG262" s="462">
        <f>IF(AND(AT262&lt;&gt;0,N262&lt;&gt;"NR"),DHRCHG*Y262,0)</f>
        <v>0</v>
      </c>
      <c r="CH262" s="462">
        <f>IF(AT262&lt;&gt;0,WCCHG*Y262,0)</f>
        <v>22.078160000000018</v>
      </c>
      <c r="CI262" s="462">
        <f>IF(OR(AND(AT262&lt;&gt;0,AJ262&lt;&gt;"PF",AN262&lt;&gt;"NE",AG262&lt;&gt;"A"),AND(AL262="E",OR(AT262=1,AT262=3))),SickCHG*Y262,0)</f>
        <v>0</v>
      </c>
      <c r="CJ262" s="462">
        <f t="shared" si="80"/>
        <v>-24.957919999999987</v>
      </c>
      <c r="CK262" s="462" t="str">
        <f t="shared" si="81"/>
        <v/>
      </c>
      <c r="CL262" s="462" t="str">
        <f t="shared" si="82"/>
        <v/>
      </c>
      <c r="CM262" s="462" t="str">
        <f t="shared" si="83"/>
        <v/>
      </c>
      <c r="CN262" s="462" t="str">
        <f t="shared" si="84"/>
        <v>0001-00</v>
      </c>
    </row>
    <row r="263" spans="1:92" ht="15" thickBot="1" x14ac:dyDescent="0.35">
      <c r="A263" s="376" t="s">
        <v>161</v>
      </c>
      <c r="B263" s="376" t="s">
        <v>162</v>
      </c>
      <c r="C263" s="376" t="s">
        <v>887</v>
      </c>
      <c r="D263" s="376" t="s">
        <v>761</v>
      </c>
      <c r="E263" s="376" t="s">
        <v>165</v>
      </c>
      <c r="F263" s="377" t="s">
        <v>166</v>
      </c>
      <c r="G263" s="376" t="s">
        <v>762</v>
      </c>
      <c r="H263" s="378"/>
      <c r="I263" s="378"/>
      <c r="J263" s="376" t="s">
        <v>168</v>
      </c>
      <c r="K263" s="376" t="s">
        <v>763</v>
      </c>
      <c r="L263" s="376" t="s">
        <v>166</v>
      </c>
      <c r="M263" s="376" t="s">
        <v>201</v>
      </c>
      <c r="N263" s="376" t="s">
        <v>291</v>
      </c>
      <c r="O263" s="379">
        <v>0</v>
      </c>
      <c r="P263" s="460">
        <v>1</v>
      </c>
      <c r="Q263" s="460">
        <v>0</v>
      </c>
      <c r="R263" s="380">
        <v>0</v>
      </c>
      <c r="S263" s="460">
        <v>0</v>
      </c>
      <c r="T263" s="380">
        <v>0</v>
      </c>
      <c r="U263" s="380">
        <v>0</v>
      </c>
      <c r="V263" s="380">
        <v>0</v>
      </c>
      <c r="W263" s="380">
        <v>0</v>
      </c>
      <c r="X263" s="380">
        <v>0</v>
      </c>
      <c r="Y263" s="380">
        <v>0</v>
      </c>
      <c r="Z263" s="380">
        <v>0</v>
      </c>
      <c r="AA263" s="378"/>
      <c r="AB263" s="376" t="s">
        <v>45</v>
      </c>
      <c r="AC263" s="376" t="s">
        <v>45</v>
      </c>
      <c r="AD263" s="378"/>
      <c r="AE263" s="378"/>
      <c r="AF263" s="378"/>
      <c r="AG263" s="378"/>
      <c r="AH263" s="379">
        <v>0</v>
      </c>
      <c r="AI263" s="379">
        <v>0</v>
      </c>
      <c r="AJ263" s="378"/>
      <c r="AK263" s="378"/>
      <c r="AL263" s="376" t="s">
        <v>180</v>
      </c>
      <c r="AM263" s="378"/>
      <c r="AN263" s="378"/>
      <c r="AO263" s="379">
        <v>0</v>
      </c>
      <c r="AP263" s="460">
        <v>0</v>
      </c>
      <c r="AQ263" s="460">
        <v>0</v>
      </c>
      <c r="AR263" s="459"/>
      <c r="AS263" s="462">
        <f t="shared" si="68"/>
        <v>0</v>
      </c>
      <c r="AT263">
        <f t="shared" si="69"/>
        <v>0</v>
      </c>
      <c r="AU263" s="462" t="str">
        <f>IF(AT263=0,"",IF(AND(AT263=1,M263="F",SUMIF(C2:C698,C263,AS2:AS698)&lt;=1),SUMIF(C2:C698,C263,AS2:AS698),IF(AND(AT263=1,M263="F",SUMIF(C2:C698,C263,AS2:AS698)&gt;1),1,"")))</f>
        <v/>
      </c>
      <c r="AV263" s="462" t="str">
        <f>IF(AT263=0,"",IF(AND(AT263=3,M263="F",SUMIF(C2:C698,C263,AS2:AS698)&lt;=1),SUMIF(C2:C698,C263,AS2:AS698),IF(AND(AT263=3,M263="F",SUMIF(C2:C698,C263,AS2:AS698)&gt;1),1,"")))</f>
        <v/>
      </c>
      <c r="AW263" s="462">
        <f>SUMIF(C2:C698,C263,O2:O698)</f>
        <v>0</v>
      </c>
      <c r="AX263" s="462">
        <f>IF(AND(M263="F",AS263&lt;&gt;0),SUMIF(C2:C698,C263,W2:W698),0)</f>
        <v>0</v>
      </c>
      <c r="AY263" s="462" t="str">
        <f t="shared" si="70"/>
        <v/>
      </c>
      <c r="AZ263" s="462" t="str">
        <f t="shared" si="71"/>
        <v/>
      </c>
      <c r="BA263" s="462">
        <f t="shared" si="72"/>
        <v>0</v>
      </c>
      <c r="BB263" s="462">
        <f>IF(AND(AT263=1,AK263="E",AU263&gt;=0.75,AW263=1),Health,IF(AND(AT263=1,AK263="E",AU263&gt;=0.75),Health*P263,IF(AND(AT263=1,AK263="E",AU263&gt;=0.5,AW263=1),PTHealth,IF(AND(AT263=1,AK263="E",AU263&gt;=0.5),PTHealth*P263,0))))</f>
        <v>0</v>
      </c>
      <c r="BC263" s="462">
        <f>IF(AND(AT263=3,AK263="E",AV263&gt;=0.75,AW263=1),Health,IF(AND(AT263=3,AK263="E",AV263&gt;=0.75),Health*P263,IF(AND(AT263=3,AK263="E",AV263&gt;=0.5,AW263=1),PTHealth,IF(AND(AT263=3,AK263="E",AV263&gt;=0.5),PTHealth*P263,0))))</f>
        <v>0</v>
      </c>
      <c r="BD263" s="462">
        <f>IF(AND(AT263&lt;&gt;0,AX263&gt;=MAXSSDI),SSDI*MAXSSDI*P263,IF(AT263&lt;&gt;0,SSDI*W263,0))</f>
        <v>0</v>
      </c>
      <c r="BE263" s="462">
        <f>IF(AT263&lt;&gt;0,SSHI*W263,0)</f>
        <v>0</v>
      </c>
      <c r="BF263" s="462">
        <f>IF(AND(AT263&lt;&gt;0,AN263&lt;&gt;"NE"),VLOOKUP(AN263,Retirement_Rates,3,FALSE)*W263,0)</f>
        <v>0</v>
      </c>
      <c r="BG263" s="462">
        <f>IF(AND(AT263&lt;&gt;0,AJ263&lt;&gt;"PF"),Life*W263,0)</f>
        <v>0</v>
      </c>
      <c r="BH263" s="462">
        <f>IF(AND(AT263&lt;&gt;0,AM263="Y"),UI*W263,0)</f>
        <v>0</v>
      </c>
      <c r="BI263" s="462">
        <f>IF(AND(AT263&lt;&gt;0,N263&lt;&gt;"NR"),DHR*W263,0)</f>
        <v>0</v>
      </c>
      <c r="BJ263" s="462">
        <f>IF(AT263&lt;&gt;0,WC*W263,0)</f>
        <v>0</v>
      </c>
      <c r="BK263" s="462">
        <f>IF(OR(AND(AT263&lt;&gt;0,AJ263&lt;&gt;"PF",AN263&lt;&gt;"NE",AG263&lt;&gt;"A"),AND(AL263="E",OR(AT263=1,AT263=3))),Sick*W263,0)</f>
        <v>0</v>
      </c>
      <c r="BL263" s="462">
        <f t="shared" si="73"/>
        <v>0</v>
      </c>
      <c r="BM263" s="462">
        <f t="shared" si="74"/>
        <v>0</v>
      </c>
      <c r="BN263" s="462">
        <f>IF(AND(AT263=1,AK263="E",AU263&gt;=0.75,AW263=1),HealthBY,IF(AND(AT263=1,AK263="E",AU263&gt;=0.75),HealthBY*P263,IF(AND(AT263=1,AK263="E",AU263&gt;=0.5,AW263=1),PTHealthBY,IF(AND(AT263=1,AK263="E",AU263&gt;=0.5),PTHealthBY*P263,0))))</f>
        <v>0</v>
      </c>
      <c r="BO263" s="462">
        <f>IF(AND(AT263=3,AK263="E",AV263&gt;=0.75,AW263=1),HealthBY,IF(AND(AT263=3,AK263="E",AV263&gt;=0.75),HealthBY*P263,IF(AND(AT263=3,AK263="E",AV263&gt;=0.5,AW263=1),PTHealthBY,IF(AND(AT263=3,AK263="E",AV263&gt;=0.5),PTHealthBY*P263,0))))</f>
        <v>0</v>
      </c>
      <c r="BP263" s="462">
        <f>IF(AND(AT263&lt;&gt;0,(AX263+BA263)&gt;=MAXSSDIBY),SSDIBY*MAXSSDIBY*P263,IF(AT263&lt;&gt;0,SSDIBY*W263,0))</f>
        <v>0</v>
      </c>
      <c r="BQ263" s="462">
        <f>IF(AT263&lt;&gt;0,SSHIBY*W263,0)</f>
        <v>0</v>
      </c>
      <c r="BR263" s="462">
        <f>IF(AND(AT263&lt;&gt;0,AN263&lt;&gt;"NE"),VLOOKUP(AN263,Retirement_Rates,4,FALSE)*W263,0)</f>
        <v>0</v>
      </c>
      <c r="BS263" s="462">
        <f>IF(AND(AT263&lt;&gt;0,AJ263&lt;&gt;"PF"),LifeBY*W263,0)</f>
        <v>0</v>
      </c>
      <c r="BT263" s="462">
        <f>IF(AND(AT263&lt;&gt;0,AM263="Y"),UIBY*W263,0)</f>
        <v>0</v>
      </c>
      <c r="BU263" s="462">
        <f>IF(AND(AT263&lt;&gt;0,N263&lt;&gt;"NR"),DHRBY*W263,0)</f>
        <v>0</v>
      </c>
      <c r="BV263" s="462">
        <f>IF(AT263&lt;&gt;0,WCBY*W263,0)</f>
        <v>0</v>
      </c>
      <c r="BW263" s="462">
        <f>IF(OR(AND(AT263&lt;&gt;0,AJ263&lt;&gt;"PF",AN263&lt;&gt;"NE",AG263&lt;&gt;"A"),AND(AL263="E",OR(AT263=1,AT263=3))),SickBY*W263,0)</f>
        <v>0</v>
      </c>
      <c r="BX263" s="462">
        <f t="shared" si="75"/>
        <v>0</v>
      </c>
      <c r="BY263" s="462">
        <f t="shared" si="76"/>
        <v>0</v>
      </c>
      <c r="BZ263" s="462">
        <f t="shared" si="77"/>
        <v>0</v>
      </c>
      <c r="CA263" s="462">
        <f t="shared" si="78"/>
        <v>0</v>
      </c>
      <c r="CB263" s="462">
        <f t="shared" si="79"/>
        <v>0</v>
      </c>
      <c r="CC263" s="462">
        <f>IF(AT263&lt;&gt;0,SSHICHG*Y263,0)</f>
        <v>0</v>
      </c>
      <c r="CD263" s="462">
        <f>IF(AND(AT263&lt;&gt;0,AN263&lt;&gt;"NE"),VLOOKUP(AN263,Retirement_Rates,5,FALSE)*Y263,0)</f>
        <v>0</v>
      </c>
      <c r="CE263" s="462">
        <f>IF(AND(AT263&lt;&gt;0,AJ263&lt;&gt;"PF"),LifeCHG*Y263,0)</f>
        <v>0</v>
      </c>
      <c r="CF263" s="462">
        <f>IF(AND(AT263&lt;&gt;0,AM263="Y"),UICHG*Y263,0)</f>
        <v>0</v>
      </c>
      <c r="CG263" s="462">
        <f>IF(AND(AT263&lt;&gt;0,N263&lt;&gt;"NR"),DHRCHG*Y263,0)</f>
        <v>0</v>
      </c>
      <c r="CH263" s="462">
        <f>IF(AT263&lt;&gt;0,WCCHG*Y263,0)</f>
        <v>0</v>
      </c>
      <c r="CI263" s="462">
        <f>IF(OR(AND(AT263&lt;&gt;0,AJ263&lt;&gt;"PF",AN263&lt;&gt;"NE",AG263&lt;&gt;"A"),AND(AL263="E",OR(AT263=1,AT263=3))),SickCHG*Y263,0)</f>
        <v>0</v>
      </c>
      <c r="CJ263" s="462">
        <f t="shared" si="80"/>
        <v>0</v>
      </c>
      <c r="CK263" s="462" t="str">
        <f t="shared" si="81"/>
        <v/>
      </c>
      <c r="CL263" s="462">
        <f t="shared" si="82"/>
        <v>0</v>
      </c>
      <c r="CM263" s="462">
        <f t="shared" si="83"/>
        <v>0</v>
      </c>
      <c r="CN263" s="462" t="str">
        <f t="shared" si="84"/>
        <v>0001-00</v>
      </c>
    </row>
    <row r="264" spans="1:92" ht="15" thickBot="1" x14ac:dyDescent="0.35">
      <c r="A264" s="376" t="s">
        <v>161</v>
      </c>
      <c r="B264" s="376" t="s">
        <v>162</v>
      </c>
      <c r="C264" s="376" t="s">
        <v>888</v>
      </c>
      <c r="D264" s="376" t="s">
        <v>287</v>
      </c>
      <c r="E264" s="376" t="s">
        <v>165</v>
      </c>
      <c r="F264" s="377" t="s">
        <v>166</v>
      </c>
      <c r="G264" s="376" t="s">
        <v>762</v>
      </c>
      <c r="H264" s="378"/>
      <c r="I264" s="378"/>
      <c r="J264" s="376" t="s">
        <v>168</v>
      </c>
      <c r="K264" s="376" t="s">
        <v>290</v>
      </c>
      <c r="L264" s="376" t="s">
        <v>166</v>
      </c>
      <c r="M264" s="376" t="s">
        <v>201</v>
      </c>
      <c r="N264" s="376" t="s">
        <v>291</v>
      </c>
      <c r="O264" s="379">
        <v>0</v>
      </c>
      <c r="P264" s="460">
        <v>1</v>
      </c>
      <c r="Q264" s="460">
        <v>0</v>
      </c>
      <c r="R264" s="380">
        <v>0</v>
      </c>
      <c r="S264" s="460">
        <v>0</v>
      </c>
      <c r="T264" s="380">
        <v>0</v>
      </c>
      <c r="U264" s="380">
        <v>0</v>
      </c>
      <c r="V264" s="380">
        <v>0</v>
      </c>
      <c r="W264" s="380">
        <v>0</v>
      </c>
      <c r="X264" s="380">
        <v>0</v>
      </c>
      <c r="Y264" s="380">
        <v>0</v>
      </c>
      <c r="Z264" s="380">
        <v>0</v>
      </c>
      <c r="AA264" s="378"/>
      <c r="AB264" s="376" t="s">
        <v>45</v>
      </c>
      <c r="AC264" s="376" t="s">
        <v>45</v>
      </c>
      <c r="AD264" s="378"/>
      <c r="AE264" s="378"/>
      <c r="AF264" s="378"/>
      <c r="AG264" s="378"/>
      <c r="AH264" s="379">
        <v>0</v>
      </c>
      <c r="AI264" s="379">
        <v>0</v>
      </c>
      <c r="AJ264" s="378"/>
      <c r="AK264" s="378"/>
      <c r="AL264" s="376" t="s">
        <v>180</v>
      </c>
      <c r="AM264" s="378"/>
      <c r="AN264" s="378"/>
      <c r="AO264" s="379">
        <v>0</v>
      </c>
      <c r="AP264" s="460">
        <v>0</v>
      </c>
      <c r="AQ264" s="460">
        <v>0</v>
      </c>
      <c r="AR264" s="459"/>
      <c r="AS264" s="462">
        <f t="shared" si="68"/>
        <v>0</v>
      </c>
      <c r="AT264">
        <f t="shared" si="69"/>
        <v>0</v>
      </c>
      <c r="AU264" s="462" t="str">
        <f>IF(AT264=0,"",IF(AND(AT264=1,M264="F",SUMIF(C2:C698,C264,AS2:AS698)&lt;=1),SUMIF(C2:C698,C264,AS2:AS698),IF(AND(AT264=1,M264="F",SUMIF(C2:C698,C264,AS2:AS698)&gt;1),1,"")))</f>
        <v/>
      </c>
      <c r="AV264" s="462" t="str">
        <f>IF(AT264=0,"",IF(AND(AT264=3,M264="F",SUMIF(C2:C698,C264,AS2:AS698)&lt;=1),SUMIF(C2:C698,C264,AS2:AS698),IF(AND(AT264=3,M264="F",SUMIF(C2:C698,C264,AS2:AS698)&gt;1),1,"")))</f>
        <v/>
      </c>
      <c r="AW264" s="462">
        <f>SUMIF(C2:C698,C264,O2:O698)</f>
        <v>0</v>
      </c>
      <c r="AX264" s="462">
        <f>IF(AND(M264="F",AS264&lt;&gt;0),SUMIF(C2:C698,C264,W2:W698),0)</f>
        <v>0</v>
      </c>
      <c r="AY264" s="462" t="str">
        <f t="shared" si="70"/>
        <v/>
      </c>
      <c r="AZ264" s="462" t="str">
        <f t="shared" si="71"/>
        <v/>
      </c>
      <c r="BA264" s="462">
        <f t="shared" si="72"/>
        <v>0</v>
      </c>
      <c r="BB264" s="462">
        <f>IF(AND(AT264=1,AK264="E",AU264&gt;=0.75,AW264=1),Health,IF(AND(AT264=1,AK264="E",AU264&gt;=0.75),Health*P264,IF(AND(AT264=1,AK264="E",AU264&gt;=0.5,AW264=1),PTHealth,IF(AND(AT264=1,AK264="E",AU264&gt;=0.5),PTHealth*P264,0))))</f>
        <v>0</v>
      </c>
      <c r="BC264" s="462">
        <f>IF(AND(AT264=3,AK264="E",AV264&gt;=0.75,AW264=1),Health,IF(AND(AT264=3,AK264="E",AV264&gt;=0.75),Health*P264,IF(AND(AT264=3,AK264="E",AV264&gt;=0.5,AW264=1),PTHealth,IF(AND(AT264=3,AK264="E",AV264&gt;=0.5),PTHealth*P264,0))))</f>
        <v>0</v>
      </c>
      <c r="BD264" s="462">
        <f>IF(AND(AT264&lt;&gt;0,AX264&gt;=MAXSSDI),SSDI*MAXSSDI*P264,IF(AT264&lt;&gt;0,SSDI*W264,0))</f>
        <v>0</v>
      </c>
      <c r="BE264" s="462">
        <f>IF(AT264&lt;&gt;0,SSHI*W264,0)</f>
        <v>0</v>
      </c>
      <c r="BF264" s="462">
        <f>IF(AND(AT264&lt;&gt;0,AN264&lt;&gt;"NE"),VLOOKUP(AN264,Retirement_Rates,3,FALSE)*W264,0)</f>
        <v>0</v>
      </c>
      <c r="BG264" s="462">
        <f>IF(AND(AT264&lt;&gt;0,AJ264&lt;&gt;"PF"),Life*W264,0)</f>
        <v>0</v>
      </c>
      <c r="BH264" s="462">
        <f>IF(AND(AT264&lt;&gt;0,AM264="Y"),UI*W264,0)</f>
        <v>0</v>
      </c>
      <c r="BI264" s="462">
        <f>IF(AND(AT264&lt;&gt;0,N264&lt;&gt;"NR"),DHR*W264,0)</f>
        <v>0</v>
      </c>
      <c r="BJ264" s="462">
        <f>IF(AT264&lt;&gt;0,WC*W264,0)</f>
        <v>0</v>
      </c>
      <c r="BK264" s="462">
        <f>IF(OR(AND(AT264&lt;&gt;0,AJ264&lt;&gt;"PF",AN264&lt;&gt;"NE",AG264&lt;&gt;"A"),AND(AL264="E",OR(AT264=1,AT264=3))),Sick*W264,0)</f>
        <v>0</v>
      </c>
      <c r="BL264" s="462">
        <f t="shared" si="73"/>
        <v>0</v>
      </c>
      <c r="BM264" s="462">
        <f t="shared" si="74"/>
        <v>0</v>
      </c>
      <c r="BN264" s="462">
        <f>IF(AND(AT264=1,AK264="E",AU264&gt;=0.75,AW264=1),HealthBY,IF(AND(AT264=1,AK264="E",AU264&gt;=0.75),HealthBY*P264,IF(AND(AT264=1,AK264="E",AU264&gt;=0.5,AW264=1),PTHealthBY,IF(AND(AT264=1,AK264="E",AU264&gt;=0.5),PTHealthBY*P264,0))))</f>
        <v>0</v>
      </c>
      <c r="BO264" s="462">
        <f>IF(AND(AT264=3,AK264="E",AV264&gt;=0.75,AW264=1),HealthBY,IF(AND(AT264=3,AK264="E",AV264&gt;=0.75),HealthBY*P264,IF(AND(AT264=3,AK264="E",AV264&gt;=0.5,AW264=1),PTHealthBY,IF(AND(AT264=3,AK264="E",AV264&gt;=0.5),PTHealthBY*P264,0))))</f>
        <v>0</v>
      </c>
      <c r="BP264" s="462">
        <f>IF(AND(AT264&lt;&gt;0,(AX264+BA264)&gt;=MAXSSDIBY),SSDIBY*MAXSSDIBY*P264,IF(AT264&lt;&gt;0,SSDIBY*W264,0))</f>
        <v>0</v>
      </c>
      <c r="BQ264" s="462">
        <f>IF(AT264&lt;&gt;0,SSHIBY*W264,0)</f>
        <v>0</v>
      </c>
      <c r="BR264" s="462">
        <f>IF(AND(AT264&lt;&gt;0,AN264&lt;&gt;"NE"),VLOOKUP(AN264,Retirement_Rates,4,FALSE)*W264,0)</f>
        <v>0</v>
      </c>
      <c r="BS264" s="462">
        <f>IF(AND(AT264&lt;&gt;0,AJ264&lt;&gt;"PF"),LifeBY*W264,0)</f>
        <v>0</v>
      </c>
      <c r="BT264" s="462">
        <f>IF(AND(AT264&lt;&gt;0,AM264="Y"),UIBY*W264,0)</f>
        <v>0</v>
      </c>
      <c r="BU264" s="462">
        <f>IF(AND(AT264&lt;&gt;0,N264&lt;&gt;"NR"),DHRBY*W264,0)</f>
        <v>0</v>
      </c>
      <c r="BV264" s="462">
        <f>IF(AT264&lt;&gt;0,WCBY*W264,0)</f>
        <v>0</v>
      </c>
      <c r="BW264" s="462">
        <f>IF(OR(AND(AT264&lt;&gt;0,AJ264&lt;&gt;"PF",AN264&lt;&gt;"NE",AG264&lt;&gt;"A"),AND(AL264="E",OR(AT264=1,AT264=3))),SickBY*W264,0)</f>
        <v>0</v>
      </c>
      <c r="BX264" s="462">
        <f t="shared" si="75"/>
        <v>0</v>
      </c>
      <c r="BY264" s="462">
        <f t="shared" si="76"/>
        <v>0</v>
      </c>
      <c r="BZ264" s="462">
        <f t="shared" si="77"/>
        <v>0</v>
      </c>
      <c r="CA264" s="462">
        <f t="shared" si="78"/>
        <v>0</v>
      </c>
      <c r="CB264" s="462">
        <f t="shared" si="79"/>
        <v>0</v>
      </c>
      <c r="CC264" s="462">
        <f>IF(AT264&lt;&gt;0,SSHICHG*Y264,0)</f>
        <v>0</v>
      </c>
      <c r="CD264" s="462">
        <f>IF(AND(AT264&lt;&gt;0,AN264&lt;&gt;"NE"),VLOOKUP(AN264,Retirement_Rates,5,FALSE)*Y264,0)</f>
        <v>0</v>
      </c>
      <c r="CE264" s="462">
        <f>IF(AND(AT264&lt;&gt;0,AJ264&lt;&gt;"PF"),LifeCHG*Y264,0)</f>
        <v>0</v>
      </c>
      <c r="CF264" s="462">
        <f>IF(AND(AT264&lt;&gt;0,AM264="Y"),UICHG*Y264,0)</f>
        <v>0</v>
      </c>
      <c r="CG264" s="462">
        <f>IF(AND(AT264&lt;&gt;0,N264&lt;&gt;"NR"),DHRCHG*Y264,0)</f>
        <v>0</v>
      </c>
      <c r="CH264" s="462">
        <f>IF(AT264&lt;&gt;0,WCCHG*Y264,0)</f>
        <v>0</v>
      </c>
      <c r="CI264" s="462">
        <f>IF(OR(AND(AT264&lt;&gt;0,AJ264&lt;&gt;"PF",AN264&lt;&gt;"NE",AG264&lt;&gt;"A"),AND(AL264="E",OR(AT264=1,AT264=3))),SickCHG*Y264,0)</f>
        <v>0</v>
      </c>
      <c r="CJ264" s="462">
        <f t="shared" si="80"/>
        <v>0</v>
      </c>
      <c r="CK264" s="462" t="str">
        <f t="shared" si="81"/>
        <v/>
      </c>
      <c r="CL264" s="462">
        <f t="shared" si="82"/>
        <v>0</v>
      </c>
      <c r="CM264" s="462">
        <f t="shared" si="83"/>
        <v>0</v>
      </c>
      <c r="CN264" s="462" t="str">
        <f t="shared" si="84"/>
        <v>0001-00</v>
      </c>
    </row>
    <row r="265" spans="1:92" ht="15" thickBot="1" x14ac:dyDescent="0.35">
      <c r="A265" s="376" t="s">
        <v>161</v>
      </c>
      <c r="B265" s="376" t="s">
        <v>162</v>
      </c>
      <c r="C265" s="376" t="s">
        <v>889</v>
      </c>
      <c r="D265" s="376" t="s">
        <v>362</v>
      </c>
      <c r="E265" s="376" t="s">
        <v>165</v>
      </c>
      <c r="F265" s="377" t="s">
        <v>166</v>
      </c>
      <c r="G265" s="376" t="s">
        <v>762</v>
      </c>
      <c r="H265" s="378"/>
      <c r="I265" s="378"/>
      <c r="J265" s="376" t="s">
        <v>768</v>
      </c>
      <c r="K265" s="376" t="s">
        <v>363</v>
      </c>
      <c r="L265" s="376" t="s">
        <v>200</v>
      </c>
      <c r="M265" s="376" t="s">
        <v>170</v>
      </c>
      <c r="N265" s="376" t="s">
        <v>202</v>
      </c>
      <c r="O265" s="379">
        <v>1</v>
      </c>
      <c r="P265" s="460">
        <v>0</v>
      </c>
      <c r="Q265" s="460">
        <v>0</v>
      </c>
      <c r="R265" s="380">
        <v>80</v>
      </c>
      <c r="S265" s="460">
        <v>0</v>
      </c>
      <c r="T265" s="380">
        <v>21185.23</v>
      </c>
      <c r="U265" s="380">
        <v>0</v>
      </c>
      <c r="V265" s="380">
        <v>10006.530000000001</v>
      </c>
      <c r="W265" s="380">
        <v>0</v>
      </c>
      <c r="X265" s="380">
        <v>0</v>
      </c>
      <c r="Y265" s="380">
        <v>0</v>
      </c>
      <c r="Z265" s="380">
        <v>0</v>
      </c>
      <c r="AA265" s="376" t="s">
        <v>890</v>
      </c>
      <c r="AB265" s="376" t="s">
        <v>891</v>
      </c>
      <c r="AC265" s="376" t="s">
        <v>892</v>
      </c>
      <c r="AD265" s="376" t="s">
        <v>179</v>
      </c>
      <c r="AE265" s="376" t="s">
        <v>363</v>
      </c>
      <c r="AF265" s="376" t="s">
        <v>210</v>
      </c>
      <c r="AG265" s="376" t="s">
        <v>177</v>
      </c>
      <c r="AH265" s="381">
        <v>22.5</v>
      </c>
      <c r="AI265" s="379">
        <v>13048</v>
      </c>
      <c r="AJ265" s="376" t="s">
        <v>178</v>
      </c>
      <c r="AK265" s="376" t="s">
        <v>179</v>
      </c>
      <c r="AL265" s="376" t="s">
        <v>180</v>
      </c>
      <c r="AM265" s="376" t="s">
        <v>181</v>
      </c>
      <c r="AN265" s="376" t="s">
        <v>68</v>
      </c>
      <c r="AO265" s="379">
        <v>80</v>
      </c>
      <c r="AP265" s="460">
        <v>1</v>
      </c>
      <c r="AQ265" s="460">
        <v>0</v>
      </c>
      <c r="AR265" s="458" t="s">
        <v>182</v>
      </c>
      <c r="AS265" s="462">
        <f t="shared" si="68"/>
        <v>0</v>
      </c>
      <c r="AT265">
        <f t="shared" si="69"/>
        <v>0</v>
      </c>
      <c r="AU265" s="462" t="str">
        <f>IF(AT265=0,"",IF(AND(AT265=1,M265="F",SUMIF(C2:C698,C265,AS2:AS698)&lt;=1),SUMIF(C2:C698,C265,AS2:AS698),IF(AND(AT265=1,M265="F",SUMIF(C2:C698,C265,AS2:AS698)&gt;1),1,"")))</f>
        <v/>
      </c>
      <c r="AV265" s="462" t="str">
        <f>IF(AT265=0,"",IF(AND(AT265=3,M265="F",SUMIF(C2:C698,C265,AS2:AS698)&lt;=1),SUMIF(C2:C698,C265,AS2:AS698),IF(AND(AT265=3,M265="F",SUMIF(C2:C698,C265,AS2:AS698)&gt;1),1,"")))</f>
        <v/>
      </c>
      <c r="AW265" s="462">
        <f>SUMIF(C2:C698,C265,O2:O698)</f>
        <v>7</v>
      </c>
      <c r="AX265" s="462">
        <f>IF(AND(M265="F",AS265&lt;&gt;0),SUMIF(C2:C698,C265,W2:W698),0)</f>
        <v>0</v>
      </c>
      <c r="AY265" s="462" t="str">
        <f t="shared" si="70"/>
        <v/>
      </c>
      <c r="AZ265" s="462" t="str">
        <f t="shared" si="71"/>
        <v/>
      </c>
      <c r="BA265" s="462">
        <f t="shared" si="72"/>
        <v>0</v>
      </c>
      <c r="BB265" s="462">
        <f>IF(AND(AT265=1,AK265="E",AU265&gt;=0.75,AW265=1),Health,IF(AND(AT265=1,AK265="E",AU265&gt;=0.75),Health*P265,IF(AND(AT265=1,AK265="E",AU265&gt;=0.5,AW265=1),PTHealth,IF(AND(AT265=1,AK265="E",AU265&gt;=0.5),PTHealth*P265,0))))</f>
        <v>0</v>
      </c>
      <c r="BC265" s="462">
        <f>IF(AND(AT265=3,AK265="E",AV265&gt;=0.75,AW265=1),Health,IF(AND(AT265=3,AK265="E",AV265&gt;=0.75),Health*P265,IF(AND(AT265=3,AK265="E",AV265&gt;=0.5,AW265=1),PTHealth,IF(AND(AT265=3,AK265="E",AV265&gt;=0.5),PTHealth*P265,0))))</f>
        <v>0</v>
      </c>
      <c r="BD265" s="462">
        <f>IF(AND(AT265&lt;&gt;0,AX265&gt;=MAXSSDI),SSDI*MAXSSDI*P265,IF(AT265&lt;&gt;0,SSDI*W265,0))</f>
        <v>0</v>
      </c>
      <c r="BE265" s="462">
        <f>IF(AT265&lt;&gt;0,SSHI*W265,0)</f>
        <v>0</v>
      </c>
      <c r="BF265" s="462">
        <f>IF(AND(AT265&lt;&gt;0,AN265&lt;&gt;"NE"),VLOOKUP(AN265,Retirement_Rates,3,FALSE)*W265,0)</f>
        <v>0</v>
      </c>
      <c r="BG265" s="462">
        <f>IF(AND(AT265&lt;&gt;0,AJ265&lt;&gt;"PF"),Life*W265,0)</f>
        <v>0</v>
      </c>
      <c r="BH265" s="462">
        <f>IF(AND(AT265&lt;&gt;0,AM265="Y"),UI*W265,0)</f>
        <v>0</v>
      </c>
      <c r="BI265" s="462">
        <f>IF(AND(AT265&lt;&gt;0,N265&lt;&gt;"NR"),DHR*W265,0)</f>
        <v>0</v>
      </c>
      <c r="BJ265" s="462">
        <f>IF(AT265&lt;&gt;0,WC*W265,0)</f>
        <v>0</v>
      </c>
      <c r="BK265" s="462">
        <f>IF(OR(AND(AT265&lt;&gt;0,AJ265&lt;&gt;"PF",AN265&lt;&gt;"NE",AG265&lt;&gt;"A"),AND(AL265="E",OR(AT265=1,AT265=3))),Sick*W265,0)</f>
        <v>0</v>
      </c>
      <c r="BL265" s="462">
        <f t="shared" si="73"/>
        <v>0</v>
      </c>
      <c r="BM265" s="462">
        <f t="shared" si="74"/>
        <v>0</v>
      </c>
      <c r="BN265" s="462">
        <f>IF(AND(AT265=1,AK265="E",AU265&gt;=0.75,AW265=1),HealthBY,IF(AND(AT265=1,AK265="E",AU265&gt;=0.75),HealthBY*P265,IF(AND(AT265=1,AK265="E",AU265&gt;=0.5,AW265=1),PTHealthBY,IF(AND(AT265=1,AK265="E",AU265&gt;=0.5),PTHealthBY*P265,0))))</f>
        <v>0</v>
      </c>
      <c r="BO265" s="462">
        <f>IF(AND(AT265=3,AK265="E",AV265&gt;=0.75,AW265=1),HealthBY,IF(AND(AT265=3,AK265="E",AV265&gt;=0.75),HealthBY*P265,IF(AND(AT265=3,AK265="E",AV265&gt;=0.5,AW265=1),PTHealthBY,IF(AND(AT265=3,AK265="E",AV265&gt;=0.5),PTHealthBY*P265,0))))</f>
        <v>0</v>
      </c>
      <c r="BP265" s="462">
        <f>IF(AND(AT265&lt;&gt;0,(AX265+BA265)&gt;=MAXSSDIBY),SSDIBY*MAXSSDIBY*P265,IF(AT265&lt;&gt;0,SSDIBY*W265,0))</f>
        <v>0</v>
      </c>
      <c r="BQ265" s="462">
        <f>IF(AT265&lt;&gt;0,SSHIBY*W265,0)</f>
        <v>0</v>
      </c>
      <c r="BR265" s="462">
        <f>IF(AND(AT265&lt;&gt;0,AN265&lt;&gt;"NE"),VLOOKUP(AN265,Retirement_Rates,4,FALSE)*W265,0)</f>
        <v>0</v>
      </c>
      <c r="BS265" s="462">
        <f>IF(AND(AT265&lt;&gt;0,AJ265&lt;&gt;"PF"),LifeBY*W265,0)</f>
        <v>0</v>
      </c>
      <c r="BT265" s="462">
        <f>IF(AND(AT265&lt;&gt;0,AM265="Y"),UIBY*W265,0)</f>
        <v>0</v>
      </c>
      <c r="BU265" s="462">
        <f>IF(AND(AT265&lt;&gt;0,N265&lt;&gt;"NR"),DHRBY*W265,0)</f>
        <v>0</v>
      </c>
      <c r="BV265" s="462">
        <f>IF(AT265&lt;&gt;0,WCBY*W265,0)</f>
        <v>0</v>
      </c>
      <c r="BW265" s="462">
        <f>IF(OR(AND(AT265&lt;&gt;0,AJ265&lt;&gt;"PF",AN265&lt;&gt;"NE",AG265&lt;&gt;"A"),AND(AL265="E",OR(AT265=1,AT265=3))),SickBY*W265,0)</f>
        <v>0</v>
      </c>
      <c r="BX265" s="462">
        <f t="shared" si="75"/>
        <v>0</v>
      </c>
      <c r="BY265" s="462">
        <f t="shared" si="76"/>
        <v>0</v>
      </c>
      <c r="BZ265" s="462">
        <f t="shared" si="77"/>
        <v>0</v>
      </c>
      <c r="CA265" s="462">
        <f t="shared" si="78"/>
        <v>0</v>
      </c>
      <c r="CB265" s="462">
        <f t="shared" si="79"/>
        <v>0</v>
      </c>
      <c r="CC265" s="462">
        <f>IF(AT265&lt;&gt;0,SSHICHG*Y265,0)</f>
        <v>0</v>
      </c>
      <c r="CD265" s="462">
        <f>IF(AND(AT265&lt;&gt;0,AN265&lt;&gt;"NE"),VLOOKUP(AN265,Retirement_Rates,5,FALSE)*Y265,0)</f>
        <v>0</v>
      </c>
      <c r="CE265" s="462">
        <f>IF(AND(AT265&lt;&gt;0,AJ265&lt;&gt;"PF"),LifeCHG*Y265,0)</f>
        <v>0</v>
      </c>
      <c r="CF265" s="462">
        <f>IF(AND(AT265&lt;&gt;0,AM265="Y"),UICHG*Y265,0)</f>
        <v>0</v>
      </c>
      <c r="CG265" s="462">
        <f>IF(AND(AT265&lt;&gt;0,N265&lt;&gt;"NR"),DHRCHG*Y265,0)</f>
        <v>0</v>
      </c>
      <c r="CH265" s="462">
        <f>IF(AT265&lt;&gt;0,WCCHG*Y265,0)</f>
        <v>0</v>
      </c>
      <c r="CI265" s="462">
        <f>IF(OR(AND(AT265&lt;&gt;0,AJ265&lt;&gt;"PF",AN265&lt;&gt;"NE",AG265&lt;&gt;"A"),AND(AL265="E",OR(AT265=1,AT265=3))),SickCHG*Y265,0)</f>
        <v>0</v>
      </c>
      <c r="CJ265" s="462">
        <f t="shared" si="80"/>
        <v>0</v>
      </c>
      <c r="CK265" s="462" t="str">
        <f t="shared" si="81"/>
        <v/>
      </c>
      <c r="CL265" s="462" t="str">
        <f t="shared" si="82"/>
        <v/>
      </c>
      <c r="CM265" s="462" t="str">
        <f t="shared" si="83"/>
        <v/>
      </c>
      <c r="CN265" s="462" t="str">
        <f t="shared" si="84"/>
        <v>0001-00</v>
      </c>
    </row>
    <row r="266" spans="1:92" ht="15" thickBot="1" x14ac:dyDescent="0.35">
      <c r="A266" s="376" t="s">
        <v>161</v>
      </c>
      <c r="B266" s="376" t="s">
        <v>162</v>
      </c>
      <c r="C266" s="376" t="s">
        <v>893</v>
      </c>
      <c r="D266" s="376" t="s">
        <v>858</v>
      </c>
      <c r="E266" s="376" t="s">
        <v>165</v>
      </c>
      <c r="F266" s="377" t="s">
        <v>166</v>
      </c>
      <c r="G266" s="376" t="s">
        <v>762</v>
      </c>
      <c r="H266" s="378"/>
      <c r="I266" s="378"/>
      <c r="J266" s="376" t="s">
        <v>168</v>
      </c>
      <c r="K266" s="376" t="s">
        <v>859</v>
      </c>
      <c r="L266" s="376" t="s">
        <v>166</v>
      </c>
      <c r="M266" s="376" t="s">
        <v>170</v>
      </c>
      <c r="N266" s="376" t="s">
        <v>291</v>
      </c>
      <c r="O266" s="379">
        <v>0</v>
      </c>
      <c r="P266" s="460">
        <v>0</v>
      </c>
      <c r="Q266" s="460">
        <v>0</v>
      </c>
      <c r="R266" s="380">
        <v>0</v>
      </c>
      <c r="S266" s="460">
        <v>0</v>
      </c>
      <c r="T266" s="380">
        <v>585.75</v>
      </c>
      <c r="U266" s="380">
        <v>0</v>
      </c>
      <c r="V266" s="380">
        <v>351.96</v>
      </c>
      <c r="W266" s="380">
        <v>0</v>
      </c>
      <c r="X266" s="380">
        <v>0</v>
      </c>
      <c r="Y266" s="380">
        <v>0</v>
      </c>
      <c r="Z266" s="380">
        <v>0</v>
      </c>
      <c r="AA266" s="378"/>
      <c r="AB266" s="376" t="s">
        <v>45</v>
      </c>
      <c r="AC266" s="376" t="s">
        <v>45</v>
      </c>
      <c r="AD266" s="378"/>
      <c r="AE266" s="378"/>
      <c r="AF266" s="378"/>
      <c r="AG266" s="378"/>
      <c r="AH266" s="379">
        <v>0</v>
      </c>
      <c r="AI266" s="379">
        <v>0</v>
      </c>
      <c r="AJ266" s="378"/>
      <c r="AK266" s="378"/>
      <c r="AL266" s="376" t="s">
        <v>180</v>
      </c>
      <c r="AM266" s="378"/>
      <c r="AN266" s="378"/>
      <c r="AO266" s="379">
        <v>0</v>
      </c>
      <c r="AP266" s="460">
        <v>0</v>
      </c>
      <c r="AQ266" s="460">
        <v>0</v>
      </c>
      <c r="AR266" s="459"/>
      <c r="AS266" s="462">
        <f t="shared" si="68"/>
        <v>0</v>
      </c>
      <c r="AT266">
        <f t="shared" si="69"/>
        <v>0</v>
      </c>
      <c r="AU266" s="462" t="str">
        <f>IF(AT266=0,"",IF(AND(AT266=1,M266="F",SUMIF(C2:C698,C266,AS2:AS698)&lt;=1),SUMIF(C2:C698,C266,AS2:AS698),IF(AND(AT266=1,M266="F",SUMIF(C2:C698,C266,AS2:AS698)&gt;1),1,"")))</f>
        <v/>
      </c>
      <c r="AV266" s="462" t="str">
        <f>IF(AT266=0,"",IF(AND(AT266=3,M266="F",SUMIF(C2:C698,C266,AS2:AS698)&lt;=1),SUMIF(C2:C698,C266,AS2:AS698),IF(AND(AT266=3,M266="F",SUMIF(C2:C698,C266,AS2:AS698)&gt;1),1,"")))</f>
        <v/>
      </c>
      <c r="AW266" s="462">
        <f>SUMIF(C2:C698,C266,O2:O698)</f>
        <v>0</v>
      </c>
      <c r="AX266" s="462">
        <f>IF(AND(M266="F",AS266&lt;&gt;0),SUMIF(C2:C698,C266,W2:W698),0)</f>
        <v>0</v>
      </c>
      <c r="AY266" s="462" t="str">
        <f t="shared" si="70"/>
        <v/>
      </c>
      <c r="AZ266" s="462" t="str">
        <f t="shared" si="71"/>
        <v/>
      </c>
      <c r="BA266" s="462">
        <f t="shared" si="72"/>
        <v>0</v>
      </c>
      <c r="BB266" s="462">
        <f>IF(AND(AT266=1,AK266="E",AU266&gt;=0.75,AW266=1),Health,IF(AND(AT266=1,AK266="E",AU266&gt;=0.75),Health*P266,IF(AND(AT266=1,AK266="E",AU266&gt;=0.5,AW266=1),PTHealth,IF(AND(AT266=1,AK266="E",AU266&gt;=0.5),PTHealth*P266,0))))</f>
        <v>0</v>
      </c>
      <c r="BC266" s="462">
        <f>IF(AND(AT266=3,AK266="E",AV266&gt;=0.75,AW266=1),Health,IF(AND(AT266=3,AK266="E",AV266&gt;=0.75),Health*P266,IF(AND(AT266=3,AK266="E",AV266&gt;=0.5,AW266=1),PTHealth,IF(AND(AT266=3,AK266="E",AV266&gt;=0.5),PTHealth*P266,0))))</f>
        <v>0</v>
      </c>
      <c r="BD266" s="462">
        <f>IF(AND(AT266&lt;&gt;0,AX266&gt;=MAXSSDI),SSDI*MAXSSDI*P266,IF(AT266&lt;&gt;0,SSDI*W266,0))</f>
        <v>0</v>
      </c>
      <c r="BE266" s="462">
        <f>IF(AT266&lt;&gt;0,SSHI*W266,0)</f>
        <v>0</v>
      </c>
      <c r="BF266" s="462">
        <f>IF(AND(AT266&lt;&gt;0,AN266&lt;&gt;"NE"),VLOOKUP(AN266,Retirement_Rates,3,FALSE)*W266,0)</f>
        <v>0</v>
      </c>
      <c r="BG266" s="462">
        <f>IF(AND(AT266&lt;&gt;0,AJ266&lt;&gt;"PF"),Life*W266,0)</f>
        <v>0</v>
      </c>
      <c r="BH266" s="462">
        <f>IF(AND(AT266&lt;&gt;0,AM266="Y"),UI*W266,0)</f>
        <v>0</v>
      </c>
      <c r="BI266" s="462">
        <f>IF(AND(AT266&lt;&gt;0,N266&lt;&gt;"NR"),DHR*W266,0)</f>
        <v>0</v>
      </c>
      <c r="BJ266" s="462">
        <f>IF(AT266&lt;&gt;0,WC*W266,0)</f>
        <v>0</v>
      </c>
      <c r="BK266" s="462">
        <f>IF(OR(AND(AT266&lt;&gt;0,AJ266&lt;&gt;"PF",AN266&lt;&gt;"NE",AG266&lt;&gt;"A"),AND(AL266="E",OR(AT266=1,AT266=3))),Sick*W266,0)</f>
        <v>0</v>
      </c>
      <c r="BL266" s="462">
        <f t="shared" si="73"/>
        <v>0</v>
      </c>
      <c r="BM266" s="462">
        <f t="shared" si="74"/>
        <v>0</v>
      </c>
      <c r="BN266" s="462">
        <f>IF(AND(AT266=1,AK266="E",AU266&gt;=0.75,AW266=1),HealthBY,IF(AND(AT266=1,AK266="E",AU266&gt;=0.75),HealthBY*P266,IF(AND(AT266=1,AK266="E",AU266&gt;=0.5,AW266=1),PTHealthBY,IF(AND(AT266=1,AK266="E",AU266&gt;=0.5),PTHealthBY*P266,0))))</f>
        <v>0</v>
      </c>
      <c r="BO266" s="462">
        <f>IF(AND(AT266=3,AK266="E",AV266&gt;=0.75,AW266=1),HealthBY,IF(AND(AT266=3,AK266="E",AV266&gt;=0.75),HealthBY*P266,IF(AND(AT266=3,AK266="E",AV266&gt;=0.5,AW266=1),PTHealthBY,IF(AND(AT266=3,AK266="E",AV266&gt;=0.5),PTHealthBY*P266,0))))</f>
        <v>0</v>
      </c>
      <c r="BP266" s="462">
        <f>IF(AND(AT266&lt;&gt;0,(AX266+BA266)&gt;=MAXSSDIBY),SSDIBY*MAXSSDIBY*P266,IF(AT266&lt;&gt;0,SSDIBY*W266,0))</f>
        <v>0</v>
      </c>
      <c r="BQ266" s="462">
        <f>IF(AT266&lt;&gt;0,SSHIBY*W266,0)</f>
        <v>0</v>
      </c>
      <c r="BR266" s="462">
        <f>IF(AND(AT266&lt;&gt;0,AN266&lt;&gt;"NE"),VLOOKUP(AN266,Retirement_Rates,4,FALSE)*W266,0)</f>
        <v>0</v>
      </c>
      <c r="BS266" s="462">
        <f>IF(AND(AT266&lt;&gt;0,AJ266&lt;&gt;"PF"),LifeBY*W266,0)</f>
        <v>0</v>
      </c>
      <c r="BT266" s="462">
        <f>IF(AND(AT266&lt;&gt;0,AM266="Y"),UIBY*W266,0)</f>
        <v>0</v>
      </c>
      <c r="BU266" s="462">
        <f>IF(AND(AT266&lt;&gt;0,N266&lt;&gt;"NR"),DHRBY*W266,0)</f>
        <v>0</v>
      </c>
      <c r="BV266" s="462">
        <f>IF(AT266&lt;&gt;0,WCBY*W266,0)</f>
        <v>0</v>
      </c>
      <c r="BW266" s="462">
        <f>IF(OR(AND(AT266&lt;&gt;0,AJ266&lt;&gt;"PF",AN266&lt;&gt;"NE",AG266&lt;&gt;"A"),AND(AL266="E",OR(AT266=1,AT266=3))),SickBY*W266,0)</f>
        <v>0</v>
      </c>
      <c r="BX266" s="462">
        <f t="shared" si="75"/>
        <v>0</v>
      </c>
      <c r="BY266" s="462">
        <f t="shared" si="76"/>
        <v>0</v>
      </c>
      <c r="BZ266" s="462">
        <f t="shared" si="77"/>
        <v>0</v>
      </c>
      <c r="CA266" s="462">
        <f t="shared" si="78"/>
        <v>0</v>
      </c>
      <c r="CB266" s="462">
        <f t="shared" si="79"/>
        <v>0</v>
      </c>
      <c r="CC266" s="462">
        <f>IF(AT266&lt;&gt;0,SSHICHG*Y266,0)</f>
        <v>0</v>
      </c>
      <c r="CD266" s="462">
        <f>IF(AND(AT266&lt;&gt;0,AN266&lt;&gt;"NE"),VLOOKUP(AN266,Retirement_Rates,5,FALSE)*Y266,0)</f>
        <v>0</v>
      </c>
      <c r="CE266" s="462">
        <f>IF(AND(AT266&lt;&gt;0,AJ266&lt;&gt;"PF"),LifeCHG*Y266,0)</f>
        <v>0</v>
      </c>
      <c r="CF266" s="462">
        <f>IF(AND(AT266&lt;&gt;0,AM266="Y"),UICHG*Y266,0)</f>
        <v>0</v>
      </c>
      <c r="CG266" s="462">
        <f>IF(AND(AT266&lt;&gt;0,N266&lt;&gt;"NR"),DHRCHG*Y266,0)</f>
        <v>0</v>
      </c>
      <c r="CH266" s="462">
        <f>IF(AT266&lt;&gt;0,WCCHG*Y266,0)</f>
        <v>0</v>
      </c>
      <c r="CI266" s="462">
        <f>IF(OR(AND(AT266&lt;&gt;0,AJ266&lt;&gt;"PF",AN266&lt;&gt;"NE",AG266&lt;&gt;"A"),AND(AL266="E",OR(AT266=1,AT266=3))),SickCHG*Y266,0)</f>
        <v>0</v>
      </c>
      <c r="CJ266" s="462">
        <f t="shared" si="80"/>
        <v>0</v>
      </c>
      <c r="CK266" s="462" t="str">
        <f t="shared" si="81"/>
        <v/>
      </c>
      <c r="CL266" s="462">
        <f t="shared" si="82"/>
        <v>585.75</v>
      </c>
      <c r="CM266" s="462">
        <f t="shared" si="83"/>
        <v>351.96</v>
      </c>
      <c r="CN266" s="462" t="str">
        <f t="shared" si="84"/>
        <v>0001-00</v>
      </c>
    </row>
    <row r="267" spans="1:92" ht="15" thickBot="1" x14ac:dyDescent="0.35">
      <c r="A267" s="376" t="s">
        <v>161</v>
      </c>
      <c r="B267" s="376" t="s">
        <v>162</v>
      </c>
      <c r="C267" s="376" t="s">
        <v>894</v>
      </c>
      <c r="D267" s="376" t="s">
        <v>895</v>
      </c>
      <c r="E267" s="376" t="s">
        <v>165</v>
      </c>
      <c r="F267" s="377" t="s">
        <v>166</v>
      </c>
      <c r="G267" s="376" t="s">
        <v>762</v>
      </c>
      <c r="H267" s="378"/>
      <c r="I267" s="378"/>
      <c r="J267" s="376" t="s">
        <v>168</v>
      </c>
      <c r="K267" s="376" t="s">
        <v>896</v>
      </c>
      <c r="L267" s="376" t="s">
        <v>224</v>
      </c>
      <c r="M267" s="376" t="s">
        <v>170</v>
      </c>
      <c r="N267" s="376" t="s">
        <v>202</v>
      </c>
      <c r="O267" s="379">
        <v>1</v>
      </c>
      <c r="P267" s="460">
        <v>1</v>
      </c>
      <c r="Q267" s="460">
        <v>1</v>
      </c>
      <c r="R267" s="380">
        <v>80</v>
      </c>
      <c r="S267" s="460">
        <v>1</v>
      </c>
      <c r="T267" s="380">
        <v>38381.410000000003</v>
      </c>
      <c r="U267" s="380">
        <v>0</v>
      </c>
      <c r="V267" s="380">
        <v>16281.9</v>
      </c>
      <c r="W267" s="380">
        <v>53435.199999999997</v>
      </c>
      <c r="X267" s="380">
        <v>23746.1</v>
      </c>
      <c r="Y267" s="380">
        <v>53435.199999999997</v>
      </c>
      <c r="Z267" s="380">
        <v>23607.17</v>
      </c>
      <c r="AA267" s="376" t="s">
        <v>897</v>
      </c>
      <c r="AB267" s="376" t="s">
        <v>898</v>
      </c>
      <c r="AC267" s="376" t="s">
        <v>899</v>
      </c>
      <c r="AD267" s="376" t="s">
        <v>591</v>
      </c>
      <c r="AE267" s="376" t="s">
        <v>896</v>
      </c>
      <c r="AF267" s="376" t="s">
        <v>232</v>
      </c>
      <c r="AG267" s="376" t="s">
        <v>177</v>
      </c>
      <c r="AH267" s="381">
        <v>25.69</v>
      </c>
      <c r="AI267" s="379">
        <v>45119</v>
      </c>
      <c r="AJ267" s="376" t="s">
        <v>178</v>
      </c>
      <c r="AK267" s="376" t="s">
        <v>179</v>
      </c>
      <c r="AL267" s="376" t="s">
        <v>180</v>
      </c>
      <c r="AM267" s="376" t="s">
        <v>181</v>
      </c>
      <c r="AN267" s="376" t="s">
        <v>68</v>
      </c>
      <c r="AO267" s="379">
        <v>80</v>
      </c>
      <c r="AP267" s="460">
        <v>1</v>
      </c>
      <c r="AQ267" s="460">
        <v>1</v>
      </c>
      <c r="AR267" s="458" t="s">
        <v>182</v>
      </c>
      <c r="AS267" s="462">
        <f t="shared" si="68"/>
        <v>1</v>
      </c>
      <c r="AT267">
        <f t="shared" si="69"/>
        <v>1</v>
      </c>
      <c r="AU267" s="462">
        <f>IF(AT267=0,"",IF(AND(AT267=1,M267="F",SUMIF(C2:C698,C267,AS2:AS698)&lt;=1),SUMIF(C2:C698,C267,AS2:AS698),IF(AND(AT267=1,M267="F",SUMIF(C2:C698,C267,AS2:AS698)&gt;1),1,"")))</f>
        <v>1</v>
      </c>
      <c r="AV267" s="462" t="str">
        <f>IF(AT267=0,"",IF(AND(AT267=3,M267="F",SUMIF(C2:C698,C267,AS2:AS698)&lt;=1),SUMIF(C2:C698,C267,AS2:AS698),IF(AND(AT267=3,M267="F",SUMIF(C2:C698,C267,AS2:AS698)&gt;1),1,"")))</f>
        <v/>
      </c>
      <c r="AW267" s="462">
        <f>SUMIF(C2:C698,C267,O2:O698)</f>
        <v>3</v>
      </c>
      <c r="AX267" s="462">
        <f>IF(AND(M267="F",AS267&lt;&gt;0),SUMIF(C2:C698,C267,W2:W698),0)</f>
        <v>53435.199999999997</v>
      </c>
      <c r="AY267" s="462">
        <f t="shared" si="70"/>
        <v>53435.199999999997</v>
      </c>
      <c r="AZ267" s="462" t="str">
        <f t="shared" si="71"/>
        <v/>
      </c>
      <c r="BA267" s="462">
        <f t="shared" si="72"/>
        <v>0</v>
      </c>
      <c r="BB267" s="462">
        <f>IF(AND(AT267=1,AK267="E",AU267&gt;=0.75,AW267=1),Health,IF(AND(AT267=1,AK267="E",AU267&gt;=0.75),Health*P267,IF(AND(AT267=1,AK267="E",AU267&gt;=0.5,AW267=1),PTHealth,IF(AND(AT267=1,AK267="E",AU267&gt;=0.5),PTHealth*P267,0))))</f>
        <v>11650</v>
      </c>
      <c r="BC267" s="462">
        <f>IF(AND(AT267=3,AK267="E",AV267&gt;=0.75,AW267=1),Health,IF(AND(AT267=3,AK267="E",AV267&gt;=0.75),Health*P267,IF(AND(AT267=3,AK267="E",AV267&gt;=0.5,AW267=1),PTHealth,IF(AND(AT267=3,AK267="E",AV267&gt;=0.5),PTHealth*P267,0))))</f>
        <v>0</v>
      </c>
      <c r="BD267" s="462">
        <f>IF(AND(AT267&lt;&gt;0,AX267&gt;=MAXSSDI),SSDI*MAXSSDI*P267,IF(AT267&lt;&gt;0,SSDI*W267,0))</f>
        <v>3312.9823999999999</v>
      </c>
      <c r="BE267" s="462">
        <f>IF(AT267&lt;&gt;0,SSHI*W267,0)</f>
        <v>774.81039999999996</v>
      </c>
      <c r="BF267" s="462">
        <f>IF(AND(AT267&lt;&gt;0,AN267&lt;&gt;"NE"),VLOOKUP(AN267,Retirement_Rates,3,FALSE)*W267,0)</f>
        <v>6380.1628799999999</v>
      </c>
      <c r="BG267" s="462">
        <f>IF(AND(AT267&lt;&gt;0,AJ267&lt;&gt;"PF"),Life*W267,0)</f>
        <v>385.26779199999999</v>
      </c>
      <c r="BH267" s="462">
        <f>IF(AND(AT267&lt;&gt;0,AM267="Y"),UI*W267,0)</f>
        <v>261.83247999999998</v>
      </c>
      <c r="BI267" s="462">
        <f>IF(AND(AT267&lt;&gt;0,N267&lt;&gt;"NR"),DHR*W267,0)</f>
        <v>163.51171199999999</v>
      </c>
      <c r="BJ267" s="462">
        <f>IF(AT267&lt;&gt;0,WC*W267,0)</f>
        <v>817.55855999999994</v>
      </c>
      <c r="BK267" s="462">
        <f>IF(OR(AND(AT267&lt;&gt;0,AJ267&lt;&gt;"PF",AN267&lt;&gt;"NE",AG267&lt;&gt;"A"),AND(AL267="E",OR(AT267=1,AT267=3))),Sick*W267,0)</f>
        <v>0</v>
      </c>
      <c r="BL267" s="462">
        <f t="shared" si="73"/>
        <v>12096.126223999998</v>
      </c>
      <c r="BM267" s="462">
        <f t="shared" si="74"/>
        <v>0</v>
      </c>
      <c r="BN267" s="462">
        <f>IF(AND(AT267=1,AK267="E",AU267&gt;=0.75,AW267=1),HealthBY,IF(AND(AT267=1,AK267="E",AU267&gt;=0.75),HealthBY*P267,IF(AND(AT267=1,AK267="E",AU267&gt;=0.5,AW267=1),PTHealthBY,IF(AND(AT267=1,AK267="E",AU267&gt;=0.5),PTHealthBY*P267,0))))</f>
        <v>11650</v>
      </c>
      <c r="BO267" s="462">
        <f>IF(AND(AT267=3,AK267="E",AV267&gt;=0.75,AW267=1),HealthBY,IF(AND(AT267=3,AK267="E",AV267&gt;=0.75),HealthBY*P267,IF(AND(AT267=3,AK267="E",AV267&gt;=0.5,AW267=1),PTHealthBY,IF(AND(AT267=3,AK267="E",AV267&gt;=0.5),PTHealthBY*P267,0))))</f>
        <v>0</v>
      </c>
      <c r="BP267" s="462">
        <f>IF(AND(AT267&lt;&gt;0,(AX267+BA267)&gt;=MAXSSDIBY),SSDIBY*MAXSSDIBY*P267,IF(AT267&lt;&gt;0,SSDIBY*W267,0))</f>
        <v>3312.9823999999999</v>
      </c>
      <c r="BQ267" s="462">
        <f>IF(AT267&lt;&gt;0,SSHIBY*W267,0)</f>
        <v>774.81039999999996</v>
      </c>
      <c r="BR267" s="462">
        <f>IF(AND(AT267&lt;&gt;0,AN267&lt;&gt;"NE"),VLOOKUP(AN267,Retirement_Rates,4,FALSE)*W267,0)</f>
        <v>6380.1628799999999</v>
      </c>
      <c r="BS267" s="462">
        <f>IF(AND(AT267&lt;&gt;0,AJ267&lt;&gt;"PF"),LifeBY*W267,0)</f>
        <v>385.26779199999999</v>
      </c>
      <c r="BT267" s="462">
        <f>IF(AND(AT267&lt;&gt;0,AM267="Y"),UIBY*W267,0)</f>
        <v>0</v>
      </c>
      <c r="BU267" s="462">
        <f>IF(AND(AT267&lt;&gt;0,N267&lt;&gt;"NR"),DHRBY*W267,0)</f>
        <v>163.51171199999999</v>
      </c>
      <c r="BV267" s="462">
        <f>IF(AT267&lt;&gt;0,WCBY*W267,0)</f>
        <v>940.45952</v>
      </c>
      <c r="BW267" s="462">
        <f>IF(OR(AND(AT267&lt;&gt;0,AJ267&lt;&gt;"PF",AN267&lt;&gt;"NE",AG267&lt;&gt;"A"),AND(AL267="E",OR(AT267=1,AT267=3))),SickBY*W267,0)</f>
        <v>0</v>
      </c>
      <c r="BX267" s="462">
        <f t="shared" si="75"/>
        <v>11957.194704</v>
      </c>
      <c r="BY267" s="462">
        <f t="shared" si="76"/>
        <v>0</v>
      </c>
      <c r="BZ267" s="462">
        <f t="shared" si="77"/>
        <v>0</v>
      </c>
      <c r="CA267" s="462">
        <f t="shared" si="78"/>
        <v>0</v>
      </c>
      <c r="CB267" s="462">
        <f t="shared" si="79"/>
        <v>0</v>
      </c>
      <c r="CC267" s="462">
        <f>IF(AT267&lt;&gt;0,SSHICHG*Y267,0)</f>
        <v>0</v>
      </c>
      <c r="CD267" s="462">
        <f>IF(AND(AT267&lt;&gt;0,AN267&lt;&gt;"NE"),VLOOKUP(AN267,Retirement_Rates,5,FALSE)*Y267,0)</f>
        <v>0</v>
      </c>
      <c r="CE267" s="462">
        <f>IF(AND(AT267&lt;&gt;0,AJ267&lt;&gt;"PF"),LifeCHG*Y267,0)</f>
        <v>0</v>
      </c>
      <c r="CF267" s="462">
        <f>IF(AND(AT267&lt;&gt;0,AM267="Y"),UICHG*Y267,0)</f>
        <v>-261.83247999999998</v>
      </c>
      <c r="CG267" s="462">
        <f>IF(AND(AT267&lt;&gt;0,N267&lt;&gt;"NR"),DHRCHG*Y267,0)</f>
        <v>0</v>
      </c>
      <c r="CH267" s="462">
        <f>IF(AT267&lt;&gt;0,WCCHG*Y267,0)</f>
        <v>122.90096000000008</v>
      </c>
      <c r="CI267" s="462">
        <f>IF(OR(AND(AT267&lt;&gt;0,AJ267&lt;&gt;"PF",AN267&lt;&gt;"NE",AG267&lt;&gt;"A"),AND(AL267="E",OR(AT267=1,AT267=3))),SickCHG*Y267,0)</f>
        <v>0</v>
      </c>
      <c r="CJ267" s="462">
        <f t="shared" si="80"/>
        <v>-138.93151999999989</v>
      </c>
      <c r="CK267" s="462" t="str">
        <f t="shared" si="81"/>
        <v/>
      </c>
      <c r="CL267" s="462" t="str">
        <f t="shared" si="82"/>
        <v/>
      </c>
      <c r="CM267" s="462" t="str">
        <f t="shared" si="83"/>
        <v/>
      </c>
      <c r="CN267" s="462" t="str">
        <f t="shared" si="84"/>
        <v>0001-00</v>
      </c>
    </row>
    <row r="268" spans="1:92" ht="15" thickBot="1" x14ac:dyDescent="0.35">
      <c r="A268" s="376" t="s">
        <v>161</v>
      </c>
      <c r="B268" s="376" t="s">
        <v>162</v>
      </c>
      <c r="C268" s="376" t="s">
        <v>900</v>
      </c>
      <c r="D268" s="376" t="s">
        <v>765</v>
      </c>
      <c r="E268" s="376" t="s">
        <v>165</v>
      </c>
      <c r="F268" s="377" t="s">
        <v>166</v>
      </c>
      <c r="G268" s="376" t="s">
        <v>762</v>
      </c>
      <c r="H268" s="378"/>
      <c r="I268" s="378"/>
      <c r="J268" s="376" t="s">
        <v>168</v>
      </c>
      <c r="K268" s="376" t="s">
        <v>766</v>
      </c>
      <c r="L268" s="376" t="s">
        <v>166</v>
      </c>
      <c r="M268" s="376" t="s">
        <v>201</v>
      </c>
      <c r="N268" s="376" t="s">
        <v>291</v>
      </c>
      <c r="O268" s="379">
        <v>0</v>
      </c>
      <c r="P268" s="460">
        <v>1</v>
      </c>
      <c r="Q268" s="460">
        <v>0</v>
      </c>
      <c r="R268" s="380">
        <v>0</v>
      </c>
      <c r="S268" s="460">
        <v>0</v>
      </c>
      <c r="T268" s="380">
        <v>0</v>
      </c>
      <c r="U268" s="380">
        <v>0</v>
      </c>
      <c r="V268" s="380">
        <v>0</v>
      </c>
      <c r="W268" s="380">
        <v>0</v>
      </c>
      <c r="X268" s="380">
        <v>0</v>
      </c>
      <c r="Y268" s="380">
        <v>0</v>
      </c>
      <c r="Z268" s="380">
        <v>0</v>
      </c>
      <c r="AA268" s="378"/>
      <c r="AB268" s="376" t="s">
        <v>45</v>
      </c>
      <c r="AC268" s="376" t="s">
        <v>45</v>
      </c>
      <c r="AD268" s="378"/>
      <c r="AE268" s="378"/>
      <c r="AF268" s="378"/>
      <c r="AG268" s="378"/>
      <c r="AH268" s="379">
        <v>0</v>
      </c>
      <c r="AI268" s="379">
        <v>0</v>
      </c>
      <c r="AJ268" s="378"/>
      <c r="AK268" s="378"/>
      <c r="AL268" s="376" t="s">
        <v>180</v>
      </c>
      <c r="AM268" s="378"/>
      <c r="AN268" s="378"/>
      <c r="AO268" s="379">
        <v>0</v>
      </c>
      <c r="AP268" s="460">
        <v>0</v>
      </c>
      <c r="AQ268" s="460">
        <v>0</v>
      </c>
      <c r="AR268" s="459"/>
      <c r="AS268" s="462">
        <f t="shared" si="68"/>
        <v>0</v>
      </c>
      <c r="AT268">
        <f t="shared" si="69"/>
        <v>0</v>
      </c>
      <c r="AU268" s="462" t="str">
        <f>IF(AT268=0,"",IF(AND(AT268=1,M268="F",SUMIF(C2:C698,C268,AS2:AS698)&lt;=1),SUMIF(C2:C698,C268,AS2:AS698),IF(AND(AT268=1,M268="F",SUMIF(C2:C698,C268,AS2:AS698)&gt;1),1,"")))</f>
        <v/>
      </c>
      <c r="AV268" s="462" t="str">
        <f>IF(AT268=0,"",IF(AND(AT268=3,M268="F",SUMIF(C2:C698,C268,AS2:AS698)&lt;=1),SUMIF(C2:C698,C268,AS2:AS698),IF(AND(AT268=3,M268="F",SUMIF(C2:C698,C268,AS2:AS698)&gt;1),1,"")))</f>
        <v/>
      </c>
      <c r="AW268" s="462">
        <f>SUMIF(C2:C698,C268,O2:O698)</f>
        <v>0</v>
      </c>
      <c r="AX268" s="462">
        <f>IF(AND(M268="F",AS268&lt;&gt;0),SUMIF(C2:C698,C268,W2:W698),0)</f>
        <v>0</v>
      </c>
      <c r="AY268" s="462" t="str">
        <f t="shared" si="70"/>
        <v/>
      </c>
      <c r="AZ268" s="462" t="str">
        <f t="shared" si="71"/>
        <v/>
      </c>
      <c r="BA268" s="462">
        <f t="shared" si="72"/>
        <v>0</v>
      </c>
      <c r="BB268" s="462">
        <f>IF(AND(AT268=1,AK268="E",AU268&gt;=0.75,AW268=1),Health,IF(AND(AT268=1,AK268="E",AU268&gt;=0.75),Health*P268,IF(AND(AT268=1,AK268="E",AU268&gt;=0.5,AW268=1),PTHealth,IF(AND(AT268=1,AK268="E",AU268&gt;=0.5),PTHealth*P268,0))))</f>
        <v>0</v>
      </c>
      <c r="BC268" s="462">
        <f>IF(AND(AT268=3,AK268="E",AV268&gt;=0.75,AW268=1),Health,IF(AND(AT268=3,AK268="E",AV268&gt;=0.75),Health*P268,IF(AND(AT268=3,AK268="E",AV268&gt;=0.5,AW268=1),PTHealth,IF(AND(AT268=3,AK268="E",AV268&gt;=0.5),PTHealth*P268,0))))</f>
        <v>0</v>
      </c>
      <c r="BD268" s="462">
        <f>IF(AND(AT268&lt;&gt;0,AX268&gt;=MAXSSDI),SSDI*MAXSSDI*P268,IF(AT268&lt;&gt;0,SSDI*W268,0))</f>
        <v>0</v>
      </c>
      <c r="BE268" s="462">
        <f>IF(AT268&lt;&gt;0,SSHI*W268,0)</f>
        <v>0</v>
      </c>
      <c r="BF268" s="462">
        <f>IF(AND(AT268&lt;&gt;0,AN268&lt;&gt;"NE"),VLOOKUP(AN268,Retirement_Rates,3,FALSE)*W268,0)</f>
        <v>0</v>
      </c>
      <c r="BG268" s="462">
        <f>IF(AND(AT268&lt;&gt;0,AJ268&lt;&gt;"PF"),Life*W268,0)</f>
        <v>0</v>
      </c>
      <c r="BH268" s="462">
        <f>IF(AND(AT268&lt;&gt;0,AM268="Y"),UI*W268,0)</f>
        <v>0</v>
      </c>
      <c r="BI268" s="462">
        <f>IF(AND(AT268&lt;&gt;0,N268&lt;&gt;"NR"),DHR*W268,0)</f>
        <v>0</v>
      </c>
      <c r="BJ268" s="462">
        <f>IF(AT268&lt;&gt;0,WC*W268,0)</f>
        <v>0</v>
      </c>
      <c r="BK268" s="462">
        <f>IF(OR(AND(AT268&lt;&gt;0,AJ268&lt;&gt;"PF",AN268&lt;&gt;"NE",AG268&lt;&gt;"A"),AND(AL268="E",OR(AT268=1,AT268=3))),Sick*W268,0)</f>
        <v>0</v>
      </c>
      <c r="BL268" s="462">
        <f t="shared" si="73"/>
        <v>0</v>
      </c>
      <c r="BM268" s="462">
        <f t="shared" si="74"/>
        <v>0</v>
      </c>
      <c r="BN268" s="462">
        <f>IF(AND(AT268=1,AK268="E",AU268&gt;=0.75,AW268=1),HealthBY,IF(AND(AT268=1,AK268="E",AU268&gt;=0.75),HealthBY*P268,IF(AND(AT268=1,AK268="E",AU268&gt;=0.5,AW268=1),PTHealthBY,IF(AND(AT268=1,AK268="E",AU268&gt;=0.5),PTHealthBY*P268,0))))</f>
        <v>0</v>
      </c>
      <c r="BO268" s="462">
        <f>IF(AND(AT268=3,AK268="E",AV268&gt;=0.75,AW268=1),HealthBY,IF(AND(AT268=3,AK268="E",AV268&gt;=0.75),HealthBY*P268,IF(AND(AT268=3,AK268="E",AV268&gt;=0.5,AW268=1),PTHealthBY,IF(AND(AT268=3,AK268="E",AV268&gt;=0.5),PTHealthBY*P268,0))))</f>
        <v>0</v>
      </c>
      <c r="BP268" s="462">
        <f>IF(AND(AT268&lt;&gt;0,(AX268+BA268)&gt;=MAXSSDIBY),SSDIBY*MAXSSDIBY*P268,IF(AT268&lt;&gt;0,SSDIBY*W268,0))</f>
        <v>0</v>
      </c>
      <c r="BQ268" s="462">
        <f>IF(AT268&lt;&gt;0,SSHIBY*W268,0)</f>
        <v>0</v>
      </c>
      <c r="BR268" s="462">
        <f>IF(AND(AT268&lt;&gt;0,AN268&lt;&gt;"NE"),VLOOKUP(AN268,Retirement_Rates,4,FALSE)*W268,0)</f>
        <v>0</v>
      </c>
      <c r="BS268" s="462">
        <f>IF(AND(AT268&lt;&gt;0,AJ268&lt;&gt;"PF"),LifeBY*W268,0)</f>
        <v>0</v>
      </c>
      <c r="BT268" s="462">
        <f>IF(AND(AT268&lt;&gt;0,AM268="Y"),UIBY*W268,0)</f>
        <v>0</v>
      </c>
      <c r="BU268" s="462">
        <f>IF(AND(AT268&lt;&gt;0,N268&lt;&gt;"NR"),DHRBY*W268,0)</f>
        <v>0</v>
      </c>
      <c r="BV268" s="462">
        <f>IF(AT268&lt;&gt;0,WCBY*W268,0)</f>
        <v>0</v>
      </c>
      <c r="BW268" s="462">
        <f>IF(OR(AND(AT268&lt;&gt;0,AJ268&lt;&gt;"PF",AN268&lt;&gt;"NE",AG268&lt;&gt;"A"),AND(AL268="E",OR(AT268=1,AT268=3))),SickBY*W268,0)</f>
        <v>0</v>
      </c>
      <c r="BX268" s="462">
        <f t="shared" si="75"/>
        <v>0</v>
      </c>
      <c r="BY268" s="462">
        <f t="shared" si="76"/>
        <v>0</v>
      </c>
      <c r="BZ268" s="462">
        <f t="shared" si="77"/>
        <v>0</v>
      </c>
      <c r="CA268" s="462">
        <f t="shared" si="78"/>
        <v>0</v>
      </c>
      <c r="CB268" s="462">
        <f t="shared" si="79"/>
        <v>0</v>
      </c>
      <c r="CC268" s="462">
        <f>IF(AT268&lt;&gt;0,SSHICHG*Y268,0)</f>
        <v>0</v>
      </c>
      <c r="CD268" s="462">
        <f>IF(AND(AT268&lt;&gt;0,AN268&lt;&gt;"NE"),VLOOKUP(AN268,Retirement_Rates,5,FALSE)*Y268,0)</f>
        <v>0</v>
      </c>
      <c r="CE268" s="462">
        <f>IF(AND(AT268&lt;&gt;0,AJ268&lt;&gt;"PF"),LifeCHG*Y268,0)</f>
        <v>0</v>
      </c>
      <c r="CF268" s="462">
        <f>IF(AND(AT268&lt;&gt;0,AM268="Y"),UICHG*Y268,0)</f>
        <v>0</v>
      </c>
      <c r="CG268" s="462">
        <f>IF(AND(AT268&lt;&gt;0,N268&lt;&gt;"NR"),DHRCHG*Y268,0)</f>
        <v>0</v>
      </c>
      <c r="CH268" s="462">
        <f>IF(AT268&lt;&gt;0,WCCHG*Y268,0)</f>
        <v>0</v>
      </c>
      <c r="CI268" s="462">
        <f>IF(OR(AND(AT268&lt;&gt;0,AJ268&lt;&gt;"PF",AN268&lt;&gt;"NE",AG268&lt;&gt;"A"),AND(AL268="E",OR(AT268=1,AT268=3))),SickCHG*Y268,0)</f>
        <v>0</v>
      </c>
      <c r="CJ268" s="462">
        <f t="shared" si="80"/>
        <v>0</v>
      </c>
      <c r="CK268" s="462" t="str">
        <f t="shared" si="81"/>
        <v/>
      </c>
      <c r="CL268" s="462">
        <f t="shared" si="82"/>
        <v>0</v>
      </c>
      <c r="CM268" s="462">
        <f t="shared" si="83"/>
        <v>0</v>
      </c>
      <c r="CN268" s="462" t="str">
        <f t="shared" si="84"/>
        <v>0001-00</v>
      </c>
    </row>
    <row r="269" spans="1:92" ht="15" thickBot="1" x14ac:dyDescent="0.35">
      <c r="A269" s="376" t="s">
        <v>161</v>
      </c>
      <c r="B269" s="376" t="s">
        <v>162</v>
      </c>
      <c r="C269" s="376" t="s">
        <v>901</v>
      </c>
      <c r="D269" s="376" t="s">
        <v>861</v>
      </c>
      <c r="E269" s="376" t="s">
        <v>165</v>
      </c>
      <c r="F269" s="377" t="s">
        <v>166</v>
      </c>
      <c r="G269" s="376" t="s">
        <v>762</v>
      </c>
      <c r="H269" s="378"/>
      <c r="I269" s="378"/>
      <c r="J269" s="376" t="s">
        <v>168</v>
      </c>
      <c r="K269" s="376" t="s">
        <v>862</v>
      </c>
      <c r="L269" s="376" t="s">
        <v>274</v>
      </c>
      <c r="M269" s="376" t="s">
        <v>170</v>
      </c>
      <c r="N269" s="376" t="s">
        <v>202</v>
      </c>
      <c r="O269" s="379">
        <v>1</v>
      </c>
      <c r="P269" s="460">
        <v>1</v>
      </c>
      <c r="Q269" s="460">
        <v>1</v>
      </c>
      <c r="R269" s="380">
        <v>80</v>
      </c>
      <c r="S269" s="460">
        <v>1</v>
      </c>
      <c r="T269" s="380">
        <v>7550</v>
      </c>
      <c r="U269" s="380">
        <v>0</v>
      </c>
      <c r="V269" s="380">
        <v>4614.13</v>
      </c>
      <c r="W269" s="380">
        <v>36400</v>
      </c>
      <c r="X269" s="380">
        <v>19889.86</v>
      </c>
      <c r="Y269" s="380">
        <v>36400</v>
      </c>
      <c r="Z269" s="380">
        <v>19795.22</v>
      </c>
      <c r="AA269" s="376" t="s">
        <v>902</v>
      </c>
      <c r="AB269" s="376" t="s">
        <v>903</v>
      </c>
      <c r="AC269" s="376" t="s">
        <v>319</v>
      </c>
      <c r="AD269" s="376" t="s">
        <v>224</v>
      </c>
      <c r="AE269" s="376" t="s">
        <v>862</v>
      </c>
      <c r="AF269" s="376" t="s">
        <v>279</v>
      </c>
      <c r="AG269" s="376" t="s">
        <v>177</v>
      </c>
      <c r="AH269" s="381">
        <v>17.5</v>
      </c>
      <c r="AI269" s="379">
        <v>1197</v>
      </c>
      <c r="AJ269" s="376" t="s">
        <v>178</v>
      </c>
      <c r="AK269" s="376" t="s">
        <v>179</v>
      </c>
      <c r="AL269" s="376" t="s">
        <v>180</v>
      </c>
      <c r="AM269" s="376" t="s">
        <v>181</v>
      </c>
      <c r="AN269" s="376" t="s">
        <v>68</v>
      </c>
      <c r="AO269" s="379">
        <v>80</v>
      </c>
      <c r="AP269" s="460">
        <v>1</v>
      </c>
      <c r="AQ269" s="460">
        <v>1</v>
      </c>
      <c r="AR269" s="458" t="s">
        <v>182</v>
      </c>
      <c r="AS269" s="462">
        <f t="shared" si="68"/>
        <v>1</v>
      </c>
      <c r="AT269">
        <f t="shared" si="69"/>
        <v>1</v>
      </c>
      <c r="AU269" s="462">
        <f>IF(AT269=0,"",IF(AND(AT269=1,M269="F",SUMIF(C2:C698,C269,AS2:AS698)&lt;=1),SUMIF(C2:C698,C269,AS2:AS698),IF(AND(AT269=1,M269="F",SUMIF(C2:C698,C269,AS2:AS698)&gt;1),1,"")))</f>
        <v>1</v>
      </c>
      <c r="AV269" s="462" t="str">
        <f>IF(AT269=0,"",IF(AND(AT269=3,M269="F",SUMIF(C2:C698,C269,AS2:AS698)&lt;=1),SUMIF(C2:C698,C269,AS2:AS698),IF(AND(AT269=3,M269="F",SUMIF(C2:C698,C269,AS2:AS698)&gt;1),1,"")))</f>
        <v/>
      </c>
      <c r="AW269" s="462">
        <f>SUMIF(C2:C698,C269,O2:O698)</f>
        <v>1</v>
      </c>
      <c r="AX269" s="462">
        <f>IF(AND(M269="F",AS269&lt;&gt;0),SUMIF(C2:C698,C269,W2:W698),0)</f>
        <v>36400</v>
      </c>
      <c r="AY269" s="462">
        <f t="shared" si="70"/>
        <v>36400</v>
      </c>
      <c r="AZ269" s="462" t="str">
        <f t="shared" si="71"/>
        <v/>
      </c>
      <c r="BA269" s="462">
        <f t="shared" si="72"/>
        <v>0</v>
      </c>
      <c r="BB269" s="462">
        <f>IF(AND(AT269=1,AK269="E",AU269&gt;=0.75,AW269=1),Health,IF(AND(AT269=1,AK269="E",AU269&gt;=0.75),Health*P269,IF(AND(AT269=1,AK269="E",AU269&gt;=0.5,AW269=1),PTHealth,IF(AND(AT269=1,AK269="E",AU269&gt;=0.5),PTHealth*P269,0))))</f>
        <v>11650</v>
      </c>
      <c r="BC269" s="462">
        <f>IF(AND(AT269=3,AK269="E",AV269&gt;=0.75,AW269=1),Health,IF(AND(AT269=3,AK269="E",AV269&gt;=0.75),Health*P269,IF(AND(AT269=3,AK269="E",AV269&gt;=0.5,AW269=1),PTHealth,IF(AND(AT269=3,AK269="E",AV269&gt;=0.5),PTHealth*P269,0))))</f>
        <v>0</v>
      </c>
      <c r="BD269" s="462">
        <f>IF(AND(AT269&lt;&gt;0,AX269&gt;=MAXSSDI),SSDI*MAXSSDI*P269,IF(AT269&lt;&gt;0,SSDI*W269,0))</f>
        <v>2256.8000000000002</v>
      </c>
      <c r="BE269" s="462">
        <f>IF(AT269&lt;&gt;0,SSHI*W269,0)</f>
        <v>527.80000000000007</v>
      </c>
      <c r="BF269" s="462">
        <f>IF(AND(AT269&lt;&gt;0,AN269&lt;&gt;"NE"),VLOOKUP(AN269,Retirement_Rates,3,FALSE)*W269,0)</f>
        <v>4346.16</v>
      </c>
      <c r="BG269" s="462">
        <f>IF(AND(AT269&lt;&gt;0,AJ269&lt;&gt;"PF"),Life*W269,0)</f>
        <v>262.44400000000002</v>
      </c>
      <c r="BH269" s="462">
        <f>IF(AND(AT269&lt;&gt;0,AM269="Y"),UI*W269,0)</f>
        <v>178.35999999999999</v>
      </c>
      <c r="BI269" s="462">
        <f>IF(AND(AT269&lt;&gt;0,N269&lt;&gt;"NR"),DHR*W269,0)</f>
        <v>111.38399999999999</v>
      </c>
      <c r="BJ269" s="462">
        <f>IF(AT269&lt;&gt;0,WC*W269,0)</f>
        <v>556.91999999999996</v>
      </c>
      <c r="BK269" s="462">
        <f>IF(OR(AND(AT269&lt;&gt;0,AJ269&lt;&gt;"PF",AN269&lt;&gt;"NE",AG269&lt;&gt;"A"),AND(AL269="E",OR(AT269=1,AT269=3))),Sick*W269,0)</f>
        <v>0</v>
      </c>
      <c r="BL269" s="462">
        <f t="shared" si="73"/>
        <v>8239.8680000000004</v>
      </c>
      <c r="BM269" s="462">
        <f t="shared" si="74"/>
        <v>0</v>
      </c>
      <c r="BN269" s="462">
        <f>IF(AND(AT269=1,AK269="E",AU269&gt;=0.75,AW269=1),HealthBY,IF(AND(AT269=1,AK269="E",AU269&gt;=0.75),HealthBY*P269,IF(AND(AT269=1,AK269="E",AU269&gt;=0.5,AW269=1),PTHealthBY,IF(AND(AT269=1,AK269="E",AU269&gt;=0.5),PTHealthBY*P269,0))))</f>
        <v>11650</v>
      </c>
      <c r="BO269" s="462">
        <f>IF(AND(AT269=3,AK269="E",AV269&gt;=0.75,AW269=1),HealthBY,IF(AND(AT269=3,AK269="E",AV269&gt;=0.75),HealthBY*P269,IF(AND(AT269=3,AK269="E",AV269&gt;=0.5,AW269=1),PTHealthBY,IF(AND(AT269=3,AK269="E",AV269&gt;=0.5),PTHealthBY*P269,0))))</f>
        <v>0</v>
      </c>
      <c r="BP269" s="462">
        <f>IF(AND(AT269&lt;&gt;0,(AX269+BA269)&gt;=MAXSSDIBY),SSDIBY*MAXSSDIBY*P269,IF(AT269&lt;&gt;0,SSDIBY*W269,0))</f>
        <v>2256.8000000000002</v>
      </c>
      <c r="BQ269" s="462">
        <f>IF(AT269&lt;&gt;0,SSHIBY*W269,0)</f>
        <v>527.80000000000007</v>
      </c>
      <c r="BR269" s="462">
        <f>IF(AND(AT269&lt;&gt;0,AN269&lt;&gt;"NE"),VLOOKUP(AN269,Retirement_Rates,4,FALSE)*W269,0)</f>
        <v>4346.16</v>
      </c>
      <c r="BS269" s="462">
        <f>IF(AND(AT269&lt;&gt;0,AJ269&lt;&gt;"PF"),LifeBY*W269,0)</f>
        <v>262.44400000000002</v>
      </c>
      <c r="BT269" s="462">
        <f>IF(AND(AT269&lt;&gt;0,AM269="Y"),UIBY*W269,0)</f>
        <v>0</v>
      </c>
      <c r="BU269" s="462">
        <f>IF(AND(AT269&lt;&gt;0,N269&lt;&gt;"NR"),DHRBY*W269,0)</f>
        <v>111.38399999999999</v>
      </c>
      <c r="BV269" s="462">
        <f>IF(AT269&lt;&gt;0,WCBY*W269,0)</f>
        <v>640.64</v>
      </c>
      <c r="BW269" s="462">
        <f>IF(OR(AND(AT269&lt;&gt;0,AJ269&lt;&gt;"PF",AN269&lt;&gt;"NE",AG269&lt;&gt;"A"),AND(AL269="E",OR(AT269=1,AT269=3))),SickBY*W269,0)</f>
        <v>0</v>
      </c>
      <c r="BX269" s="462">
        <f t="shared" si="75"/>
        <v>8145.228000000001</v>
      </c>
      <c r="BY269" s="462">
        <f t="shared" si="76"/>
        <v>0</v>
      </c>
      <c r="BZ269" s="462">
        <f t="shared" si="77"/>
        <v>0</v>
      </c>
      <c r="CA269" s="462">
        <f t="shared" si="78"/>
        <v>0</v>
      </c>
      <c r="CB269" s="462">
        <f t="shared" si="79"/>
        <v>0</v>
      </c>
      <c r="CC269" s="462">
        <f>IF(AT269&lt;&gt;0,SSHICHG*Y269,0)</f>
        <v>0</v>
      </c>
      <c r="CD269" s="462">
        <f>IF(AND(AT269&lt;&gt;0,AN269&lt;&gt;"NE"),VLOOKUP(AN269,Retirement_Rates,5,FALSE)*Y269,0)</f>
        <v>0</v>
      </c>
      <c r="CE269" s="462">
        <f>IF(AND(AT269&lt;&gt;0,AJ269&lt;&gt;"PF"),LifeCHG*Y269,0)</f>
        <v>0</v>
      </c>
      <c r="CF269" s="462">
        <f>IF(AND(AT269&lt;&gt;0,AM269="Y"),UICHG*Y269,0)</f>
        <v>-178.35999999999999</v>
      </c>
      <c r="CG269" s="462">
        <f>IF(AND(AT269&lt;&gt;0,N269&lt;&gt;"NR"),DHRCHG*Y269,0)</f>
        <v>0</v>
      </c>
      <c r="CH269" s="462">
        <f>IF(AT269&lt;&gt;0,WCCHG*Y269,0)</f>
        <v>83.720000000000056</v>
      </c>
      <c r="CI269" s="462">
        <f>IF(OR(AND(AT269&lt;&gt;0,AJ269&lt;&gt;"PF",AN269&lt;&gt;"NE",AG269&lt;&gt;"A"),AND(AL269="E",OR(AT269=1,AT269=3))),SickCHG*Y269,0)</f>
        <v>0</v>
      </c>
      <c r="CJ269" s="462">
        <f t="shared" si="80"/>
        <v>-94.63999999999993</v>
      </c>
      <c r="CK269" s="462" t="str">
        <f t="shared" si="81"/>
        <v/>
      </c>
      <c r="CL269" s="462" t="str">
        <f t="shared" si="82"/>
        <v/>
      </c>
      <c r="CM269" s="462" t="str">
        <f t="shared" si="83"/>
        <v/>
      </c>
      <c r="CN269" s="462" t="str">
        <f t="shared" si="84"/>
        <v>0001-00</v>
      </c>
    </row>
    <row r="270" spans="1:92" ht="15" thickBot="1" x14ac:dyDescent="0.35">
      <c r="A270" s="376" t="s">
        <v>161</v>
      </c>
      <c r="B270" s="376" t="s">
        <v>162</v>
      </c>
      <c r="C270" s="376" t="s">
        <v>641</v>
      </c>
      <c r="D270" s="376" t="s">
        <v>467</v>
      </c>
      <c r="E270" s="376" t="s">
        <v>165</v>
      </c>
      <c r="F270" s="377" t="s">
        <v>166</v>
      </c>
      <c r="G270" s="376" t="s">
        <v>762</v>
      </c>
      <c r="H270" s="378"/>
      <c r="I270" s="378"/>
      <c r="J270" s="376" t="s">
        <v>168</v>
      </c>
      <c r="K270" s="376" t="s">
        <v>468</v>
      </c>
      <c r="L270" s="376" t="s">
        <v>224</v>
      </c>
      <c r="M270" s="376" t="s">
        <v>170</v>
      </c>
      <c r="N270" s="376" t="s">
        <v>202</v>
      </c>
      <c r="O270" s="379">
        <v>1</v>
      </c>
      <c r="P270" s="460">
        <v>0</v>
      </c>
      <c r="Q270" s="460">
        <v>0</v>
      </c>
      <c r="R270" s="380">
        <v>80</v>
      </c>
      <c r="S270" s="460">
        <v>0</v>
      </c>
      <c r="T270" s="380">
        <v>35.630000000000003</v>
      </c>
      <c r="U270" s="380">
        <v>0</v>
      </c>
      <c r="V270" s="380">
        <v>16.329999999999998</v>
      </c>
      <c r="W270" s="380">
        <v>0</v>
      </c>
      <c r="X270" s="380">
        <v>0</v>
      </c>
      <c r="Y270" s="380">
        <v>0</v>
      </c>
      <c r="Z270" s="380">
        <v>0</v>
      </c>
      <c r="AA270" s="376" t="s">
        <v>642</v>
      </c>
      <c r="AB270" s="376" t="s">
        <v>643</v>
      </c>
      <c r="AC270" s="376" t="s">
        <v>644</v>
      </c>
      <c r="AD270" s="376" t="s">
        <v>263</v>
      </c>
      <c r="AE270" s="376" t="s">
        <v>468</v>
      </c>
      <c r="AF270" s="376" t="s">
        <v>232</v>
      </c>
      <c r="AG270" s="376" t="s">
        <v>177</v>
      </c>
      <c r="AH270" s="379">
        <v>25</v>
      </c>
      <c r="AI270" s="379">
        <v>2240</v>
      </c>
      <c r="AJ270" s="376" t="s">
        <v>178</v>
      </c>
      <c r="AK270" s="376" t="s">
        <v>179</v>
      </c>
      <c r="AL270" s="376" t="s">
        <v>180</v>
      </c>
      <c r="AM270" s="376" t="s">
        <v>181</v>
      </c>
      <c r="AN270" s="376" t="s">
        <v>68</v>
      </c>
      <c r="AO270" s="379">
        <v>80</v>
      </c>
      <c r="AP270" s="460">
        <v>1</v>
      </c>
      <c r="AQ270" s="460">
        <v>0</v>
      </c>
      <c r="AR270" s="458" t="s">
        <v>182</v>
      </c>
      <c r="AS270" s="462">
        <f t="shared" si="68"/>
        <v>0</v>
      </c>
      <c r="AT270">
        <f t="shared" si="69"/>
        <v>0</v>
      </c>
      <c r="AU270" s="462" t="str">
        <f>IF(AT270=0,"",IF(AND(AT270=1,M270="F",SUMIF(C2:C698,C270,AS2:AS698)&lt;=1),SUMIF(C2:C698,C270,AS2:AS698),IF(AND(AT270=1,M270="F",SUMIF(C2:C698,C270,AS2:AS698)&gt;1),1,"")))</f>
        <v/>
      </c>
      <c r="AV270" s="462" t="str">
        <f>IF(AT270=0,"",IF(AND(AT270=3,M270="F",SUMIF(C2:C698,C270,AS2:AS698)&lt;=1),SUMIF(C2:C698,C270,AS2:AS698),IF(AND(AT270=3,M270="F",SUMIF(C2:C698,C270,AS2:AS698)&gt;1),1,"")))</f>
        <v/>
      </c>
      <c r="AW270" s="462">
        <f>SUMIF(C2:C698,C270,O2:O698)</f>
        <v>2</v>
      </c>
      <c r="AX270" s="462">
        <f>IF(AND(M270="F",AS270&lt;&gt;0),SUMIF(C2:C698,C270,W2:W698),0)</f>
        <v>0</v>
      </c>
      <c r="AY270" s="462" t="str">
        <f t="shared" si="70"/>
        <v/>
      </c>
      <c r="AZ270" s="462" t="str">
        <f t="shared" si="71"/>
        <v/>
      </c>
      <c r="BA270" s="462">
        <f t="shared" si="72"/>
        <v>0</v>
      </c>
      <c r="BB270" s="462">
        <f>IF(AND(AT270=1,AK270="E",AU270&gt;=0.75,AW270=1),Health,IF(AND(AT270=1,AK270="E",AU270&gt;=0.75),Health*P270,IF(AND(AT270=1,AK270="E",AU270&gt;=0.5,AW270=1),PTHealth,IF(AND(AT270=1,AK270="E",AU270&gt;=0.5),PTHealth*P270,0))))</f>
        <v>0</v>
      </c>
      <c r="BC270" s="462">
        <f>IF(AND(AT270=3,AK270="E",AV270&gt;=0.75,AW270=1),Health,IF(AND(AT270=3,AK270="E",AV270&gt;=0.75),Health*P270,IF(AND(AT270=3,AK270="E",AV270&gt;=0.5,AW270=1),PTHealth,IF(AND(AT270=3,AK270="E",AV270&gt;=0.5),PTHealth*P270,0))))</f>
        <v>0</v>
      </c>
      <c r="BD270" s="462">
        <f>IF(AND(AT270&lt;&gt;0,AX270&gt;=MAXSSDI),SSDI*MAXSSDI*P270,IF(AT270&lt;&gt;0,SSDI*W270,0))</f>
        <v>0</v>
      </c>
      <c r="BE270" s="462">
        <f>IF(AT270&lt;&gt;0,SSHI*W270,0)</f>
        <v>0</v>
      </c>
      <c r="BF270" s="462">
        <f>IF(AND(AT270&lt;&gt;0,AN270&lt;&gt;"NE"),VLOOKUP(AN270,Retirement_Rates,3,FALSE)*W270,0)</f>
        <v>0</v>
      </c>
      <c r="BG270" s="462">
        <f>IF(AND(AT270&lt;&gt;0,AJ270&lt;&gt;"PF"),Life*W270,0)</f>
        <v>0</v>
      </c>
      <c r="BH270" s="462">
        <f>IF(AND(AT270&lt;&gt;0,AM270="Y"),UI*W270,0)</f>
        <v>0</v>
      </c>
      <c r="BI270" s="462">
        <f>IF(AND(AT270&lt;&gt;0,N270&lt;&gt;"NR"),DHR*W270,0)</f>
        <v>0</v>
      </c>
      <c r="BJ270" s="462">
        <f>IF(AT270&lt;&gt;0,WC*W270,0)</f>
        <v>0</v>
      </c>
      <c r="BK270" s="462">
        <f>IF(OR(AND(AT270&lt;&gt;0,AJ270&lt;&gt;"PF",AN270&lt;&gt;"NE",AG270&lt;&gt;"A"),AND(AL270="E",OR(AT270=1,AT270=3))),Sick*W270,0)</f>
        <v>0</v>
      </c>
      <c r="BL270" s="462">
        <f t="shared" si="73"/>
        <v>0</v>
      </c>
      <c r="BM270" s="462">
        <f t="shared" si="74"/>
        <v>0</v>
      </c>
      <c r="BN270" s="462">
        <f>IF(AND(AT270=1,AK270="E",AU270&gt;=0.75,AW270=1),HealthBY,IF(AND(AT270=1,AK270="E",AU270&gt;=0.75),HealthBY*P270,IF(AND(AT270=1,AK270="E",AU270&gt;=0.5,AW270=1),PTHealthBY,IF(AND(AT270=1,AK270="E",AU270&gt;=0.5),PTHealthBY*P270,0))))</f>
        <v>0</v>
      </c>
      <c r="BO270" s="462">
        <f>IF(AND(AT270=3,AK270="E",AV270&gt;=0.75,AW270=1),HealthBY,IF(AND(AT270=3,AK270="E",AV270&gt;=0.75),HealthBY*P270,IF(AND(AT270=3,AK270="E",AV270&gt;=0.5,AW270=1),PTHealthBY,IF(AND(AT270=3,AK270="E",AV270&gt;=0.5),PTHealthBY*P270,0))))</f>
        <v>0</v>
      </c>
      <c r="BP270" s="462">
        <f>IF(AND(AT270&lt;&gt;0,(AX270+BA270)&gt;=MAXSSDIBY),SSDIBY*MAXSSDIBY*P270,IF(AT270&lt;&gt;0,SSDIBY*W270,0))</f>
        <v>0</v>
      </c>
      <c r="BQ270" s="462">
        <f>IF(AT270&lt;&gt;0,SSHIBY*W270,0)</f>
        <v>0</v>
      </c>
      <c r="BR270" s="462">
        <f>IF(AND(AT270&lt;&gt;0,AN270&lt;&gt;"NE"),VLOOKUP(AN270,Retirement_Rates,4,FALSE)*W270,0)</f>
        <v>0</v>
      </c>
      <c r="BS270" s="462">
        <f>IF(AND(AT270&lt;&gt;0,AJ270&lt;&gt;"PF"),LifeBY*W270,0)</f>
        <v>0</v>
      </c>
      <c r="BT270" s="462">
        <f>IF(AND(AT270&lt;&gt;0,AM270="Y"),UIBY*W270,0)</f>
        <v>0</v>
      </c>
      <c r="BU270" s="462">
        <f>IF(AND(AT270&lt;&gt;0,N270&lt;&gt;"NR"),DHRBY*W270,0)</f>
        <v>0</v>
      </c>
      <c r="BV270" s="462">
        <f>IF(AT270&lt;&gt;0,WCBY*W270,0)</f>
        <v>0</v>
      </c>
      <c r="BW270" s="462">
        <f>IF(OR(AND(AT270&lt;&gt;0,AJ270&lt;&gt;"PF",AN270&lt;&gt;"NE",AG270&lt;&gt;"A"),AND(AL270="E",OR(AT270=1,AT270=3))),SickBY*W270,0)</f>
        <v>0</v>
      </c>
      <c r="BX270" s="462">
        <f t="shared" si="75"/>
        <v>0</v>
      </c>
      <c r="BY270" s="462">
        <f t="shared" si="76"/>
        <v>0</v>
      </c>
      <c r="BZ270" s="462">
        <f t="shared" si="77"/>
        <v>0</v>
      </c>
      <c r="CA270" s="462">
        <f t="shared" si="78"/>
        <v>0</v>
      </c>
      <c r="CB270" s="462">
        <f t="shared" si="79"/>
        <v>0</v>
      </c>
      <c r="CC270" s="462">
        <f>IF(AT270&lt;&gt;0,SSHICHG*Y270,0)</f>
        <v>0</v>
      </c>
      <c r="CD270" s="462">
        <f>IF(AND(AT270&lt;&gt;0,AN270&lt;&gt;"NE"),VLOOKUP(AN270,Retirement_Rates,5,FALSE)*Y270,0)</f>
        <v>0</v>
      </c>
      <c r="CE270" s="462">
        <f>IF(AND(AT270&lt;&gt;0,AJ270&lt;&gt;"PF"),LifeCHG*Y270,0)</f>
        <v>0</v>
      </c>
      <c r="CF270" s="462">
        <f>IF(AND(AT270&lt;&gt;0,AM270="Y"),UICHG*Y270,0)</f>
        <v>0</v>
      </c>
      <c r="CG270" s="462">
        <f>IF(AND(AT270&lt;&gt;0,N270&lt;&gt;"NR"),DHRCHG*Y270,0)</f>
        <v>0</v>
      </c>
      <c r="CH270" s="462">
        <f>IF(AT270&lt;&gt;0,WCCHG*Y270,0)</f>
        <v>0</v>
      </c>
      <c r="CI270" s="462">
        <f>IF(OR(AND(AT270&lt;&gt;0,AJ270&lt;&gt;"PF",AN270&lt;&gt;"NE",AG270&lt;&gt;"A"),AND(AL270="E",OR(AT270=1,AT270=3))),SickCHG*Y270,0)</f>
        <v>0</v>
      </c>
      <c r="CJ270" s="462">
        <f t="shared" si="80"/>
        <v>0</v>
      </c>
      <c r="CK270" s="462" t="str">
        <f t="shared" si="81"/>
        <v/>
      </c>
      <c r="CL270" s="462" t="str">
        <f t="shared" si="82"/>
        <v/>
      </c>
      <c r="CM270" s="462" t="str">
        <f t="shared" si="83"/>
        <v/>
      </c>
      <c r="CN270" s="462" t="str">
        <f t="shared" si="84"/>
        <v>0001-00</v>
      </c>
    </row>
    <row r="271" spans="1:92" ht="15" thickBot="1" x14ac:dyDescent="0.35">
      <c r="A271" s="376" t="s">
        <v>161</v>
      </c>
      <c r="B271" s="376" t="s">
        <v>162</v>
      </c>
      <c r="C271" s="376" t="s">
        <v>510</v>
      </c>
      <c r="D271" s="376" t="s">
        <v>287</v>
      </c>
      <c r="E271" s="376" t="s">
        <v>165</v>
      </c>
      <c r="F271" s="377" t="s">
        <v>166</v>
      </c>
      <c r="G271" s="376" t="s">
        <v>762</v>
      </c>
      <c r="H271" s="378"/>
      <c r="I271" s="378"/>
      <c r="J271" s="376" t="s">
        <v>168</v>
      </c>
      <c r="K271" s="376" t="s">
        <v>290</v>
      </c>
      <c r="L271" s="376" t="s">
        <v>166</v>
      </c>
      <c r="M271" s="376" t="s">
        <v>170</v>
      </c>
      <c r="N271" s="376" t="s">
        <v>291</v>
      </c>
      <c r="O271" s="379">
        <v>0</v>
      </c>
      <c r="P271" s="460">
        <v>0</v>
      </c>
      <c r="Q271" s="460">
        <v>0</v>
      </c>
      <c r="R271" s="380">
        <v>0</v>
      </c>
      <c r="S271" s="460">
        <v>0</v>
      </c>
      <c r="T271" s="380">
        <v>3437.93</v>
      </c>
      <c r="U271" s="380">
        <v>0</v>
      </c>
      <c r="V271" s="380">
        <v>386.32</v>
      </c>
      <c r="W271" s="380">
        <v>0</v>
      </c>
      <c r="X271" s="380">
        <v>0</v>
      </c>
      <c r="Y271" s="380">
        <v>0</v>
      </c>
      <c r="Z271" s="380">
        <v>0</v>
      </c>
      <c r="AA271" s="378"/>
      <c r="AB271" s="376" t="s">
        <v>45</v>
      </c>
      <c r="AC271" s="376" t="s">
        <v>45</v>
      </c>
      <c r="AD271" s="378"/>
      <c r="AE271" s="378"/>
      <c r="AF271" s="378"/>
      <c r="AG271" s="378"/>
      <c r="AH271" s="379">
        <v>0</v>
      </c>
      <c r="AI271" s="379">
        <v>0</v>
      </c>
      <c r="AJ271" s="378"/>
      <c r="AK271" s="378"/>
      <c r="AL271" s="376" t="s">
        <v>180</v>
      </c>
      <c r="AM271" s="378"/>
      <c r="AN271" s="378"/>
      <c r="AO271" s="379">
        <v>0</v>
      </c>
      <c r="AP271" s="460">
        <v>0</v>
      </c>
      <c r="AQ271" s="460">
        <v>0</v>
      </c>
      <c r="AR271" s="459"/>
      <c r="AS271" s="462">
        <f t="shared" si="68"/>
        <v>0</v>
      </c>
      <c r="AT271">
        <f t="shared" si="69"/>
        <v>0</v>
      </c>
      <c r="AU271" s="462" t="str">
        <f>IF(AT271=0,"",IF(AND(AT271=1,M271="F",SUMIF(C2:C698,C271,AS2:AS698)&lt;=1),SUMIF(C2:C698,C271,AS2:AS698),IF(AND(AT271=1,M271="F",SUMIF(C2:C698,C271,AS2:AS698)&gt;1),1,"")))</f>
        <v/>
      </c>
      <c r="AV271" s="462" t="str">
        <f>IF(AT271=0,"",IF(AND(AT271=3,M271="F",SUMIF(C2:C698,C271,AS2:AS698)&lt;=1),SUMIF(C2:C698,C271,AS2:AS698),IF(AND(AT271=3,M271="F",SUMIF(C2:C698,C271,AS2:AS698)&gt;1),1,"")))</f>
        <v/>
      </c>
      <c r="AW271" s="462">
        <f>SUMIF(C2:C698,C271,O2:O698)</f>
        <v>0</v>
      </c>
      <c r="AX271" s="462">
        <f>IF(AND(M271="F",AS271&lt;&gt;0),SUMIF(C2:C698,C271,W2:W698),0)</f>
        <v>0</v>
      </c>
      <c r="AY271" s="462" t="str">
        <f t="shared" si="70"/>
        <v/>
      </c>
      <c r="AZ271" s="462" t="str">
        <f t="shared" si="71"/>
        <v/>
      </c>
      <c r="BA271" s="462">
        <f t="shared" si="72"/>
        <v>0</v>
      </c>
      <c r="BB271" s="462">
        <f>IF(AND(AT271=1,AK271="E",AU271&gt;=0.75,AW271=1),Health,IF(AND(AT271=1,AK271="E",AU271&gt;=0.75),Health*P271,IF(AND(AT271=1,AK271="E",AU271&gt;=0.5,AW271=1),PTHealth,IF(AND(AT271=1,AK271="E",AU271&gt;=0.5),PTHealth*P271,0))))</f>
        <v>0</v>
      </c>
      <c r="BC271" s="462">
        <f>IF(AND(AT271=3,AK271="E",AV271&gt;=0.75,AW271=1),Health,IF(AND(AT271=3,AK271="E",AV271&gt;=0.75),Health*P271,IF(AND(AT271=3,AK271="E",AV271&gt;=0.5,AW271=1),PTHealth,IF(AND(AT271=3,AK271="E",AV271&gt;=0.5),PTHealth*P271,0))))</f>
        <v>0</v>
      </c>
      <c r="BD271" s="462">
        <f>IF(AND(AT271&lt;&gt;0,AX271&gt;=MAXSSDI),SSDI*MAXSSDI*P271,IF(AT271&lt;&gt;0,SSDI*W271,0))</f>
        <v>0</v>
      </c>
      <c r="BE271" s="462">
        <f>IF(AT271&lt;&gt;0,SSHI*W271,0)</f>
        <v>0</v>
      </c>
      <c r="BF271" s="462">
        <f>IF(AND(AT271&lt;&gt;0,AN271&lt;&gt;"NE"),VLOOKUP(AN271,Retirement_Rates,3,FALSE)*W271,0)</f>
        <v>0</v>
      </c>
      <c r="BG271" s="462">
        <f>IF(AND(AT271&lt;&gt;0,AJ271&lt;&gt;"PF"),Life*W271,0)</f>
        <v>0</v>
      </c>
      <c r="BH271" s="462">
        <f>IF(AND(AT271&lt;&gt;0,AM271="Y"),UI*W271,0)</f>
        <v>0</v>
      </c>
      <c r="BI271" s="462">
        <f>IF(AND(AT271&lt;&gt;0,N271&lt;&gt;"NR"),DHR*W271,0)</f>
        <v>0</v>
      </c>
      <c r="BJ271" s="462">
        <f>IF(AT271&lt;&gt;0,WC*W271,0)</f>
        <v>0</v>
      </c>
      <c r="BK271" s="462">
        <f>IF(OR(AND(AT271&lt;&gt;0,AJ271&lt;&gt;"PF",AN271&lt;&gt;"NE",AG271&lt;&gt;"A"),AND(AL271="E",OR(AT271=1,AT271=3))),Sick*W271,0)</f>
        <v>0</v>
      </c>
      <c r="BL271" s="462">
        <f t="shared" si="73"/>
        <v>0</v>
      </c>
      <c r="BM271" s="462">
        <f t="shared" si="74"/>
        <v>0</v>
      </c>
      <c r="BN271" s="462">
        <f>IF(AND(AT271=1,AK271="E",AU271&gt;=0.75,AW271=1),HealthBY,IF(AND(AT271=1,AK271="E",AU271&gt;=0.75),HealthBY*P271,IF(AND(AT271=1,AK271="E",AU271&gt;=0.5,AW271=1),PTHealthBY,IF(AND(AT271=1,AK271="E",AU271&gt;=0.5),PTHealthBY*P271,0))))</f>
        <v>0</v>
      </c>
      <c r="BO271" s="462">
        <f>IF(AND(AT271=3,AK271="E",AV271&gt;=0.75,AW271=1),HealthBY,IF(AND(AT271=3,AK271="E",AV271&gt;=0.75),HealthBY*P271,IF(AND(AT271=3,AK271="E",AV271&gt;=0.5,AW271=1),PTHealthBY,IF(AND(AT271=3,AK271="E",AV271&gt;=0.5),PTHealthBY*P271,0))))</f>
        <v>0</v>
      </c>
      <c r="BP271" s="462">
        <f>IF(AND(AT271&lt;&gt;0,(AX271+BA271)&gt;=MAXSSDIBY),SSDIBY*MAXSSDIBY*P271,IF(AT271&lt;&gt;0,SSDIBY*W271,0))</f>
        <v>0</v>
      </c>
      <c r="BQ271" s="462">
        <f>IF(AT271&lt;&gt;0,SSHIBY*W271,0)</f>
        <v>0</v>
      </c>
      <c r="BR271" s="462">
        <f>IF(AND(AT271&lt;&gt;0,AN271&lt;&gt;"NE"),VLOOKUP(AN271,Retirement_Rates,4,FALSE)*W271,0)</f>
        <v>0</v>
      </c>
      <c r="BS271" s="462">
        <f>IF(AND(AT271&lt;&gt;0,AJ271&lt;&gt;"PF"),LifeBY*W271,0)</f>
        <v>0</v>
      </c>
      <c r="BT271" s="462">
        <f>IF(AND(AT271&lt;&gt;0,AM271="Y"),UIBY*W271,0)</f>
        <v>0</v>
      </c>
      <c r="BU271" s="462">
        <f>IF(AND(AT271&lt;&gt;0,N271&lt;&gt;"NR"),DHRBY*W271,0)</f>
        <v>0</v>
      </c>
      <c r="BV271" s="462">
        <f>IF(AT271&lt;&gt;0,WCBY*W271,0)</f>
        <v>0</v>
      </c>
      <c r="BW271" s="462">
        <f>IF(OR(AND(AT271&lt;&gt;0,AJ271&lt;&gt;"PF",AN271&lt;&gt;"NE",AG271&lt;&gt;"A"),AND(AL271="E",OR(AT271=1,AT271=3))),SickBY*W271,0)</f>
        <v>0</v>
      </c>
      <c r="BX271" s="462">
        <f t="shared" si="75"/>
        <v>0</v>
      </c>
      <c r="BY271" s="462">
        <f t="shared" si="76"/>
        <v>0</v>
      </c>
      <c r="BZ271" s="462">
        <f t="shared" si="77"/>
        <v>0</v>
      </c>
      <c r="CA271" s="462">
        <f t="shared" si="78"/>
        <v>0</v>
      </c>
      <c r="CB271" s="462">
        <f t="shared" si="79"/>
        <v>0</v>
      </c>
      <c r="CC271" s="462">
        <f>IF(AT271&lt;&gt;0,SSHICHG*Y271,0)</f>
        <v>0</v>
      </c>
      <c r="CD271" s="462">
        <f>IF(AND(AT271&lt;&gt;0,AN271&lt;&gt;"NE"),VLOOKUP(AN271,Retirement_Rates,5,FALSE)*Y271,0)</f>
        <v>0</v>
      </c>
      <c r="CE271" s="462">
        <f>IF(AND(AT271&lt;&gt;0,AJ271&lt;&gt;"PF"),LifeCHG*Y271,0)</f>
        <v>0</v>
      </c>
      <c r="CF271" s="462">
        <f>IF(AND(AT271&lt;&gt;0,AM271="Y"),UICHG*Y271,0)</f>
        <v>0</v>
      </c>
      <c r="CG271" s="462">
        <f>IF(AND(AT271&lt;&gt;0,N271&lt;&gt;"NR"),DHRCHG*Y271,0)</f>
        <v>0</v>
      </c>
      <c r="CH271" s="462">
        <f>IF(AT271&lt;&gt;0,WCCHG*Y271,0)</f>
        <v>0</v>
      </c>
      <c r="CI271" s="462">
        <f>IF(OR(AND(AT271&lt;&gt;0,AJ271&lt;&gt;"PF",AN271&lt;&gt;"NE",AG271&lt;&gt;"A"),AND(AL271="E",OR(AT271=1,AT271=3))),SickCHG*Y271,0)</f>
        <v>0</v>
      </c>
      <c r="CJ271" s="462">
        <f t="shared" si="80"/>
        <v>0</v>
      </c>
      <c r="CK271" s="462" t="str">
        <f t="shared" si="81"/>
        <v/>
      </c>
      <c r="CL271" s="462">
        <f t="shared" si="82"/>
        <v>3437.93</v>
      </c>
      <c r="CM271" s="462">
        <f t="shared" si="83"/>
        <v>386.32</v>
      </c>
      <c r="CN271" s="462" t="str">
        <f t="shared" si="84"/>
        <v>0001-00</v>
      </c>
    </row>
    <row r="272" spans="1:92" ht="15" thickBot="1" x14ac:dyDescent="0.35">
      <c r="A272" s="376" t="s">
        <v>161</v>
      </c>
      <c r="B272" s="376" t="s">
        <v>162</v>
      </c>
      <c r="C272" s="376" t="s">
        <v>498</v>
      </c>
      <c r="D272" s="376" t="s">
        <v>418</v>
      </c>
      <c r="E272" s="376" t="s">
        <v>165</v>
      </c>
      <c r="F272" s="377" t="s">
        <v>166</v>
      </c>
      <c r="G272" s="376" t="s">
        <v>762</v>
      </c>
      <c r="H272" s="378"/>
      <c r="I272" s="378"/>
      <c r="J272" s="376" t="s">
        <v>168</v>
      </c>
      <c r="K272" s="376" t="s">
        <v>419</v>
      </c>
      <c r="L272" s="376" t="s">
        <v>177</v>
      </c>
      <c r="M272" s="376" t="s">
        <v>170</v>
      </c>
      <c r="N272" s="376" t="s">
        <v>202</v>
      </c>
      <c r="O272" s="379">
        <v>1</v>
      </c>
      <c r="P272" s="460">
        <v>0</v>
      </c>
      <c r="Q272" s="460">
        <v>0</v>
      </c>
      <c r="R272" s="380">
        <v>80</v>
      </c>
      <c r="S272" s="460">
        <v>0</v>
      </c>
      <c r="T272" s="380">
        <v>37.5</v>
      </c>
      <c r="U272" s="380">
        <v>0</v>
      </c>
      <c r="V272" s="380">
        <v>23.56</v>
      </c>
      <c r="W272" s="380">
        <v>0</v>
      </c>
      <c r="X272" s="380">
        <v>0</v>
      </c>
      <c r="Y272" s="380">
        <v>0</v>
      </c>
      <c r="Z272" s="380">
        <v>0</v>
      </c>
      <c r="AA272" s="376" t="s">
        <v>499</v>
      </c>
      <c r="AB272" s="376" t="s">
        <v>500</v>
      </c>
      <c r="AC272" s="376" t="s">
        <v>501</v>
      </c>
      <c r="AD272" s="376" t="s">
        <v>278</v>
      </c>
      <c r="AE272" s="376" t="s">
        <v>419</v>
      </c>
      <c r="AF272" s="376" t="s">
        <v>436</v>
      </c>
      <c r="AG272" s="376" t="s">
        <v>177</v>
      </c>
      <c r="AH272" s="381">
        <v>15.5</v>
      </c>
      <c r="AI272" s="381">
        <v>1367.3</v>
      </c>
      <c r="AJ272" s="376" t="s">
        <v>178</v>
      </c>
      <c r="AK272" s="376" t="s">
        <v>179</v>
      </c>
      <c r="AL272" s="376" t="s">
        <v>180</v>
      </c>
      <c r="AM272" s="376" t="s">
        <v>181</v>
      </c>
      <c r="AN272" s="376" t="s">
        <v>68</v>
      </c>
      <c r="AO272" s="379">
        <v>80</v>
      </c>
      <c r="AP272" s="460">
        <v>1</v>
      </c>
      <c r="AQ272" s="460">
        <v>0</v>
      </c>
      <c r="AR272" s="458" t="s">
        <v>182</v>
      </c>
      <c r="AS272" s="462">
        <f t="shared" si="68"/>
        <v>0</v>
      </c>
      <c r="AT272">
        <f t="shared" si="69"/>
        <v>0</v>
      </c>
      <c r="AU272" s="462" t="str">
        <f>IF(AT272=0,"",IF(AND(AT272=1,M272="F",SUMIF(C2:C698,C272,AS2:AS698)&lt;=1),SUMIF(C2:C698,C272,AS2:AS698),IF(AND(AT272=1,M272="F",SUMIF(C2:C698,C272,AS2:AS698)&gt;1),1,"")))</f>
        <v/>
      </c>
      <c r="AV272" s="462" t="str">
        <f>IF(AT272=0,"",IF(AND(AT272=3,M272="F",SUMIF(C2:C698,C272,AS2:AS698)&lt;=1),SUMIF(C2:C698,C272,AS2:AS698),IF(AND(AT272=3,M272="F",SUMIF(C2:C698,C272,AS2:AS698)&gt;1),1,"")))</f>
        <v/>
      </c>
      <c r="AW272" s="462">
        <f>SUMIF(C2:C698,C272,O2:O698)</f>
        <v>4</v>
      </c>
      <c r="AX272" s="462">
        <f>IF(AND(M272="F",AS272&lt;&gt;0),SUMIF(C2:C698,C272,W2:W698),0)</f>
        <v>0</v>
      </c>
      <c r="AY272" s="462" t="str">
        <f t="shared" si="70"/>
        <v/>
      </c>
      <c r="AZ272" s="462" t="str">
        <f t="shared" si="71"/>
        <v/>
      </c>
      <c r="BA272" s="462">
        <f t="shared" si="72"/>
        <v>0</v>
      </c>
      <c r="BB272" s="462">
        <f>IF(AND(AT272=1,AK272="E",AU272&gt;=0.75,AW272=1),Health,IF(AND(AT272=1,AK272="E",AU272&gt;=0.75),Health*P272,IF(AND(AT272=1,AK272="E",AU272&gt;=0.5,AW272=1),PTHealth,IF(AND(AT272=1,AK272="E",AU272&gt;=0.5),PTHealth*P272,0))))</f>
        <v>0</v>
      </c>
      <c r="BC272" s="462">
        <f>IF(AND(AT272=3,AK272="E",AV272&gt;=0.75,AW272=1),Health,IF(AND(AT272=3,AK272="E",AV272&gt;=0.75),Health*P272,IF(AND(AT272=3,AK272="E",AV272&gt;=0.5,AW272=1),PTHealth,IF(AND(AT272=3,AK272="E",AV272&gt;=0.5),PTHealth*P272,0))))</f>
        <v>0</v>
      </c>
      <c r="BD272" s="462">
        <f>IF(AND(AT272&lt;&gt;0,AX272&gt;=MAXSSDI),SSDI*MAXSSDI*P272,IF(AT272&lt;&gt;0,SSDI*W272,0))</f>
        <v>0</v>
      </c>
      <c r="BE272" s="462">
        <f>IF(AT272&lt;&gt;0,SSHI*W272,0)</f>
        <v>0</v>
      </c>
      <c r="BF272" s="462">
        <f>IF(AND(AT272&lt;&gt;0,AN272&lt;&gt;"NE"),VLOOKUP(AN272,Retirement_Rates,3,FALSE)*W272,0)</f>
        <v>0</v>
      </c>
      <c r="BG272" s="462">
        <f>IF(AND(AT272&lt;&gt;0,AJ272&lt;&gt;"PF"),Life*W272,0)</f>
        <v>0</v>
      </c>
      <c r="BH272" s="462">
        <f>IF(AND(AT272&lt;&gt;0,AM272="Y"),UI*W272,0)</f>
        <v>0</v>
      </c>
      <c r="BI272" s="462">
        <f>IF(AND(AT272&lt;&gt;0,N272&lt;&gt;"NR"),DHR*W272,0)</f>
        <v>0</v>
      </c>
      <c r="BJ272" s="462">
        <f>IF(AT272&lt;&gt;0,WC*W272,0)</f>
        <v>0</v>
      </c>
      <c r="BK272" s="462">
        <f>IF(OR(AND(AT272&lt;&gt;0,AJ272&lt;&gt;"PF",AN272&lt;&gt;"NE",AG272&lt;&gt;"A"),AND(AL272="E",OR(AT272=1,AT272=3))),Sick*W272,0)</f>
        <v>0</v>
      </c>
      <c r="BL272" s="462">
        <f t="shared" si="73"/>
        <v>0</v>
      </c>
      <c r="BM272" s="462">
        <f t="shared" si="74"/>
        <v>0</v>
      </c>
      <c r="BN272" s="462">
        <f>IF(AND(AT272=1,AK272="E",AU272&gt;=0.75,AW272=1),HealthBY,IF(AND(AT272=1,AK272="E",AU272&gt;=0.75),HealthBY*P272,IF(AND(AT272=1,AK272="E",AU272&gt;=0.5,AW272=1),PTHealthBY,IF(AND(AT272=1,AK272="E",AU272&gt;=0.5),PTHealthBY*P272,0))))</f>
        <v>0</v>
      </c>
      <c r="BO272" s="462">
        <f>IF(AND(AT272=3,AK272="E",AV272&gt;=0.75,AW272=1),HealthBY,IF(AND(AT272=3,AK272="E",AV272&gt;=0.75),HealthBY*P272,IF(AND(AT272=3,AK272="E",AV272&gt;=0.5,AW272=1),PTHealthBY,IF(AND(AT272=3,AK272="E",AV272&gt;=0.5),PTHealthBY*P272,0))))</f>
        <v>0</v>
      </c>
      <c r="BP272" s="462">
        <f>IF(AND(AT272&lt;&gt;0,(AX272+BA272)&gt;=MAXSSDIBY),SSDIBY*MAXSSDIBY*P272,IF(AT272&lt;&gt;0,SSDIBY*W272,0))</f>
        <v>0</v>
      </c>
      <c r="BQ272" s="462">
        <f>IF(AT272&lt;&gt;0,SSHIBY*W272,0)</f>
        <v>0</v>
      </c>
      <c r="BR272" s="462">
        <f>IF(AND(AT272&lt;&gt;0,AN272&lt;&gt;"NE"),VLOOKUP(AN272,Retirement_Rates,4,FALSE)*W272,0)</f>
        <v>0</v>
      </c>
      <c r="BS272" s="462">
        <f>IF(AND(AT272&lt;&gt;0,AJ272&lt;&gt;"PF"),LifeBY*W272,0)</f>
        <v>0</v>
      </c>
      <c r="BT272" s="462">
        <f>IF(AND(AT272&lt;&gt;0,AM272="Y"),UIBY*W272,0)</f>
        <v>0</v>
      </c>
      <c r="BU272" s="462">
        <f>IF(AND(AT272&lt;&gt;0,N272&lt;&gt;"NR"),DHRBY*W272,0)</f>
        <v>0</v>
      </c>
      <c r="BV272" s="462">
        <f>IF(AT272&lt;&gt;0,WCBY*W272,0)</f>
        <v>0</v>
      </c>
      <c r="BW272" s="462">
        <f>IF(OR(AND(AT272&lt;&gt;0,AJ272&lt;&gt;"PF",AN272&lt;&gt;"NE",AG272&lt;&gt;"A"),AND(AL272="E",OR(AT272=1,AT272=3))),SickBY*W272,0)</f>
        <v>0</v>
      </c>
      <c r="BX272" s="462">
        <f t="shared" si="75"/>
        <v>0</v>
      </c>
      <c r="BY272" s="462">
        <f t="shared" si="76"/>
        <v>0</v>
      </c>
      <c r="BZ272" s="462">
        <f t="shared" si="77"/>
        <v>0</v>
      </c>
      <c r="CA272" s="462">
        <f t="shared" si="78"/>
        <v>0</v>
      </c>
      <c r="CB272" s="462">
        <f t="shared" si="79"/>
        <v>0</v>
      </c>
      <c r="CC272" s="462">
        <f>IF(AT272&lt;&gt;0,SSHICHG*Y272,0)</f>
        <v>0</v>
      </c>
      <c r="CD272" s="462">
        <f>IF(AND(AT272&lt;&gt;0,AN272&lt;&gt;"NE"),VLOOKUP(AN272,Retirement_Rates,5,FALSE)*Y272,0)</f>
        <v>0</v>
      </c>
      <c r="CE272" s="462">
        <f>IF(AND(AT272&lt;&gt;0,AJ272&lt;&gt;"PF"),LifeCHG*Y272,0)</f>
        <v>0</v>
      </c>
      <c r="CF272" s="462">
        <f>IF(AND(AT272&lt;&gt;0,AM272="Y"),UICHG*Y272,0)</f>
        <v>0</v>
      </c>
      <c r="CG272" s="462">
        <f>IF(AND(AT272&lt;&gt;0,N272&lt;&gt;"NR"),DHRCHG*Y272,0)</f>
        <v>0</v>
      </c>
      <c r="CH272" s="462">
        <f>IF(AT272&lt;&gt;0,WCCHG*Y272,0)</f>
        <v>0</v>
      </c>
      <c r="CI272" s="462">
        <f>IF(OR(AND(AT272&lt;&gt;0,AJ272&lt;&gt;"PF",AN272&lt;&gt;"NE",AG272&lt;&gt;"A"),AND(AL272="E",OR(AT272=1,AT272=3))),SickCHG*Y272,0)</f>
        <v>0</v>
      </c>
      <c r="CJ272" s="462">
        <f t="shared" si="80"/>
        <v>0</v>
      </c>
      <c r="CK272" s="462" t="str">
        <f t="shared" si="81"/>
        <v/>
      </c>
      <c r="CL272" s="462" t="str">
        <f t="shared" si="82"/>
        <v/>
      </c>
      <c r="CM272" s="462" t="str">
        <f t="shared" si="83"/>
        <v/>
      </c>
      <c r="CN272" s="462" t="str">
        <f t="shared" si="84"/>
        <v>0001-00</v>
      </c>
    </row>
    <row r="273" spans="1:92" ht="15" thickBot="1" x14ac:dyDescent="0.35">
      <c r="A273" s="376" t="s">
        <v>161</v>
      </c>
      <c r="B273" s="376" t="s">
        <v>162</v>
      </c>
      <c r="C273" s="376" t="s">
        <v>502</v>
      </c>
      <c r="D273" s="376" t="s">
        <v>418</v>
      </c>
      <c r="E273" s="376" t="s">
        <v>165</v>
      </c>
      <c r="F273" s="377" t="s">
        <v>166</v>
      </c>
      <c r="G273" s="376" t="s">
        <v>762</v>
      </c>
      <c r="H273" s="378"/>
      <c r="I273" s="378"/>
      <c r="J273" s="376" t="s">
        <v>168</v>
      </c>
      <c r="K273" s="376" t="s">
        <v>419</v>
      </c>
      <c r="L273" s="376" t="s">
        <v>177</v>
      </c>
      <c r="M273" s="376" t="s">
        <v>170</v>
      </c>
      <c r="N273" s="376" t="s">
        <v>202</v>
      </c>
      <c r="O273" s="379">
        <v>1</v>
      </c>
      <c r="P273" s="460">
        <v>0</v>
      </c>
      <c r="Q273" s="460">
        <v>0</v>
      </c>
      <c r="R273" s="380">
        <v>80</v>
      </c>
      <c r="S273" s="460">
        <v>0</v>
      </c>
      <c r="T273" s="380">
        <v>15.27</v>
      </c>
      <c r="U273" s="380">
        <v>0</v>
      </c>
      <c r="V273" s="380">
        <v>9.44</v>
      </c>
      <c r="W273" s="380">
        <v>0</v>
      </c>
      <c r="X273" s="380">
        <v>0</v>
      </c>
      <c r="Y273" s="380">
        <v>0</v>
      </c>
      <c r="Z273" s="380">
        <v>0</v>
      </c>
      <c r="AA273" s="376" t="s">
        <v>503</v>
      </c>
      <c r="AB273" s="376" t="s">
        <v>218</v>
      </c>
      <c r="AC273" s="376" t="s">
        <v>504</v>
      </c>
      <c r="AD273" s="376" t="s">
        <v>215</v>
      </c>
      <c r="AE273" s="376" t="s">
        <v>419</v>
      </c>
      <c r="AF273" s="376" t="s">
        <v>436</v>
      </c>
      <c r="AG273" s="376" t="s">
        <v>177</v>
      </c>
      <c r="AH273" s="381">
        <v>15.93</v>
      </c>
      <c r="AI273" s="381">
        <v>5922.8</v>
      </c>
      <c r="AJ273" s="376" t="s">
        <v>178</v>
      </c>
      <c r="AK273" s="376" t="s">
        <v>179</v>
      </c>
      <c r="AL273" s="376" t="s">
        <v>180</v>
      </c>
      <c r="AM273" s="376" t="s">
        <v>181</v>
      </c>
      <c r="AN273" s="376" t="s">
        <v>68</v>
      </c>
      <c r="AO273" s="379">
        <v>80</v>
      </c>
      <c r="AP273" s="460">
        <v>1</v>
      </c>
      <c r="AQ273" s="460">
        <v>0</v>
      </c>
      <c r="AR273" s="458" t="s">
        <v>182</v>
      </c>
      <c r="AS273" s="462">
        <f t="shared" si="68"/>
        <v>0</v>
      </c>
      <c r="AT273">
        <f t="shared" si="69"/>
        <v>0</v>
      </c>
      <c r="AU273" s="462" t="str">
        <f>IF(AT273=0,"",IF(AND(AT273=1,M273="F",SUMIF(C2:C698,C273,AS2:AS698)&lt;=1),SUMIF(C2:C698,C273,AS2:AS698),IF(AND(AT273=1,M273="F",SUMIF(C2:C698,C273,AS2:AS698)&gt;1),1,"")))</f>
        <v/>
      </c>
      <c r="AV273" s="462" t="str">
        <f>IF(AT273=0,"",IF(AND(AT273=3,M273="F",SUMIF(C2:C698,C273,AS2:AS698)&lt;=1),SUMIF(C2:C698,C273,AS2:AS698),IF(AND(AT273=3,M273="F",SUMIF(C2:C698,C273,AS2:AS698)&gt;1),1,"")))</f>
        <v/>
      </c>
      <c r="AW273" s="462">
        <f>SUMIF(C2:C698,C273,O2:O698)</f>
        <v>4</v>
      </c>
      <c r="AX273" s="462">
        <f>IF(AND(M273="F",AS273&lt;&gt;0),SUMIF(C2:C698,C273,W2:W698),0)</f>
        <v>0</v>
      </c>
      <c r="AY273" s="462" t="str">
        <f t="shared" si="70"/>
        <v/>
      </c>
      <c r="AZ273" s="462" t="str">
        <f t="shared" si="71"/>
        <v/>
      </c>
      <c r="BA273" s="462">
        <f t="shared" si="72"/>
        <v>0</v>
      </c>
      <c r="BB273" s="462">
        <f>IF(AND(AT273=1,AK273="E",AU273&gt;=0.75,AW273=1),Health,IF(AND(AT273=1,AK273="E",AU273&gt;=0.75),Health*P273,IF(AND(AT273=1,AK273="E",AU273&gt;=0.5,AW273=1),PTHealth,IF(AND(AT273=1,AK273="E",AU273&gt;=0.5),PTHealth*P273,0))))</f>
        <v>0</v>
      </c>
      <c r="BC273" s="462">
        <f>IF(AND(AT273=3,AK273="E",AV273&gt;=0.75,AW273=1),Health,IF(AND(AT273=3,AK273="E",AV273&gt;=0.75),Health*P273,IF(AND(AT273=3,AK273="E",AV273&gt;=0.5,AW273=1),PTHealth,IF(AND(AT273=3,AK273="E",AV273&gt;=0.5),PTHealth*P273,0))))</f>
        <v>0</v>
      </c>
      <c r="BD273" s="462">
        <f>IF(AND(AT273&lt;&gt;0,AX273&gt;=MAXSSDI),SSDI*MAXSSDI*P273,IF(AT273&lt;&gt;0,SSDI*W273,0))</f>
        <v>0</v>
      </c>
      <c r="BE273" s="462">
        <f>IF(AT273&lt;&gt;0,SSHI*W273,0)</f>
        <v>0</v>
      </c>
      <c r="BF273" s="462">
        <f>IF(AND(AT273&lt;&gt;0,AN273&lt;&gt;"NE"),VLOOKUP(AN273,Retirement_Rates,3,FALSE)*W273,0)</f>
        <v>0</v>
      </c>
      <c r="BG273" s="462">
        <f>IF(AND(AT273&lt;&gt;0,AJ273&lt;&gt;"PF"),Life*W273,0)</f>
        <v>0</v>
      </c>
      <c r="BH273" s="462">
        <f>IF(AND(AT273&lt;&gt;0,AM273="Y"),UI*W273,0)</f>
        <v>0</v>
      </c>
      <c r="BI273" s="462">
        <f>IF(AND(AT273&lt;&gt;0,N273&lt;&gt;"NR"),DHR*W273,0)</f>
        <v>0</v>
      </c>
      <c r="BJ273" s="462">
        <f>IF(AT273&lt;&gt;0,WC*W273,0)</f>
        <v>0</v>
      </c>
      <c r="BK273" s="462">
        <f>IF(OR(AND(AT273&lt;&gt;0,AJ273&lt;&gt;"PF",AN273&lt;&gt;"NE",AG273&lt;&gt;"A"),AND(AL273="E",OR(AT273=1,AT273=3))),Sick*W273,0)</f>
        <v>0</v>
      </c>
      <c r="BL273" s="462">
        <f t="shared" si="73"/>
        <v>0</v>
      </c>
      <c r="BM273" s="462">
        <f t="shared" si="74"/>
        <v>0</v>
      </c>
      <c r="BN273" s="462">
        <f>IF(AND(AT273=1,AK273="E",AU273&gt;=0.75,AW273=1),HealthBY,IF(AND(AT273=1,AK273="E",AU273&gt;=0.75),HealthBY*P273,IF(AND(AT273=1,AK273="E",AU273&gt;=0.5,AW273=1),PTHealthBY,IF(AND(AT273=1,AK273="E",AU273&gt;=0.5),PTHealthBY*P273,0))))</f>
        <v>0</v>
      </c>
      <c r="BO273" s="462">
        <f>IF(AND(AT273=3,AK273="E",AV273&gt;=0.75,AW273=1),HealthBY,IF(AND(AT273=3,AK273="E",AV273&gt;=0.75),HealthBY*P273,IF(AND(AT273=3,AK273="E",AV273&gt;=0.5,AW273=1),PTHealthBY,IF(AND(AT273=3,AK273="E",AV273&gt;=0.5),PTHealthBY*P273,0))))</f>
        <v>0</v>
      </c>
      <c r="BP273" s="462">
        <f>IF(AND(AT273&lt;&gt;0,(AX273+BA273)&gt;=MAXSSDIBY),SSDIBY*MAXSSDIBY*P273,IF(AT273&lt;&gt;0,SSDIBY*W273,0))</f>
        <v>0</v>
      </c>
      <c r="BQ273" s="462">
        <f>IF(AT273&lt;&gt;0,SSHIBY*W273,0)</f>
        <v>0</v>
      </c>
      <c r="BR273" s="462">
        <f>IF(AND(AT273&lt;&gt;0,AN273&lt;&gt;"NE"),VLOOKUP(AN273,Retirement_Rates,4,FALSE)*W273,0)</f>
        <v>0</v>
      </c>
      <c r="BS273" s="462">
        <f>IF(AND(AT273&lt;&gt;0,AJ273&lt;&gt;"PF"),LifeBY*W273,0)</f>
        <v>0</v>
      </c>
      <c r="BT273" s="462">
        <f>IF(AND(AT273&lt;&gt;0,AM273="Y"),UIBY*W273,0)</f>
        <v>0</v>
      </c>
      <c r="BU273" s="462">
        <f>IF(AND(AT273&lt;&gt;0,N273&lt;&gt;"NR"),DHRBY*W273,0)</f>
        <v>0</v>
      </c>
      <c r="BV273" s="462">
        <f>IF(AT273&lt;&gt;0,WCBY*W273,0)</f>
        <v>0</v>
      </c>
      <c r="BW273" s="462">
        <f>IF(OR(AND(AT273&lt;&gt;0,AJ273&lt;&gt;"PF",AN273&lt;&gt;"NE",AG273&lt;&gt;"A"),AND(AL273="E",OR(AT273=1,AT273=3))),SickBY*W273,0)</f>
        <v>0</v>
      </c>
      <c r="BX273" s="462">
        <f t="shared" si="75"/>
        <v>0</v>
      </c>
      <c r="BY273" s="462">
        <f t="shared" si="76"/>
        <v>0</v>
      </c>
      <c r="BZ273" s="462">
        <f t="shared" si="77"/>
        <v>0</v>
      </c>
      <c r="CA273" s="462">
        <f t="shared" si="78"/>
        <v>0</v>
      </c>
      <c r="CB273" s="462">
        <f t="shared" si="79"/>
        <v>0</v>
      </c>
      <c r="CC273" s="462">
        <f>IF(AT273&lt;&gt;0,SSHICHG*Y273,0)</f>
        <v>0</v>
      </c>
      <c r="CD273" s="462">
        <f>IF(AND(AT273&lt;&gt;0,AN273&lt;&gt;"NE"),VLOOKUP(AN273,Retirement_Rates,5,FALSE)*Y273,0)</f>
        <v>0</v>
      </c>
      <c r="CE273" s="462">
        <f>IF(AND(AT273&lt;&gt;0,AJ273&lt;&gt;"PF"),LifeCHG*Y273,0)</f>
        <v>0</v>
      </c>
      <c r="CF273" s="462">
        <f>IF(AND(AT273&lt;&gt;0,AM273="Y"),UICHG*Y273,0)</f>
        <v>0</v>
      </c>
      <c r="CG273" s="462">
        <f>IF(AND(AT273&lt;&gt;0,N273&lt;&gt;"NR"),DHRCHG*Y273,0)</f>
        <v>0</v>
      </c>
      <c r="CH273" s="462">
        <f>IF(AT273&lt;&gt;0,WCCHG*Y273,0)</f>
        <v>0</v>
      </c>
      <c r="CI273" s="462">
        <f>IF(OR(AND(AT273&lt;&gt;0,AJ273&lt;&gt;"PF",AN273&lt;&gt;"NE",AG273&lt;&gt;"A"),AND(AL273="E",OR(AT273=1,AT273=3))),SickCHG*Y273,0)</f>
        <v>0</v>
      </c>
      <c r="CJ273" s="462">
        <f t="shared" si="80"/>
        <v>0</v>
      </c>
      <c r="CK273" s="462" t="str">
        <f t="shared" si="81"/>
        <v/>
      </c>
      <c r="CL273" s="462" t="str">
        <f t="shared" si="82"/>
        <v/>
      </c>
      <c r="CM273" s="462" t="str">
        <f t="shared" si="83"/>
        <v/>
      </c>
      <c r="CN273" s="462" t="str">
        <f t="shared" si="84"/>
        <v>0001-00</v>
      </c>
    </row>
    <row r="274" spans="1:92" ht="15" thickBot="1" x14ac:dyDescent="0.35">
      <c r="A274" s="376" t="s">
        <v>161</v>
      </c>
      <c r="B274" s="376" t="s">
        <v>162</v>
      </c>
      <c r="C274" s="376" t="s">
        <v>904</v>
      </c>
      <c r="D274" s="376" t="s">
        <v>861</v>
      </c>
      <c r="E274" s="376" t="s">
        <v>165</v>
      </c>
      <c r="F274" s="377" t="s">
        <v>166</v>
      </c>
      <c r="G274" s="376" t="s">
        <v>762</v>
      </c>
      <c r="H274" s="378"/>
      <c r="I274" s="378"/>
      <c r="J274" s="376" t="s">
        <v>168</v>
      </c>
      <c r="K274" s="376" t="s">
        <v>862</v>
      </c>
      <c r="L274" s="376" t="s">
        <v>274</v>
      </c>
      <c r="M274" s="376" t="s">
        <v>170</v>
      </c>
      <c r="N274" s="376" t="s">
        <v>202</v>
      </c>
      <c r="O274" s="379">
        <v>1</v>
      </c>
      <c r="P274" s="460">
        <v>1</v>
      </c>
      <c r="Q274" s="460">
        <v>1</v>
      </c>
      <c r="R274" s="380">
        <v>80</v>
      </c>
      <c r="S274" s="460">
        <v>1</v>
      </c>
      <c r="T274" s="380">
        <v>35056.81</v>
      </c>
      <c r="U274" s="380">
        <v>0</v>
      </c>
      <c r="V274" s="380">
        <v>19339.77</v>
      </c>
      <c r="W274" s="380">
        <v>36400</v>
      </c>
      <c r="X274" s="380">
        <v>19889.86</v>
      </c>
      <c r="Y274" s="380">
        <v>36400</v>
      </c>
      <c r="Z274" s="380">
        <v>19795.22</v>
      </c>
      <c r="AA274" s="376" t="s">
        <v>905</v>
      </c>
      <c r="AB274" s="376" t="s">
        <v>906</v>
      </c>
      <c r="AC274" s="376" t="s">
        <v>907</v>
      </c>
      <c r="AD274" s="376" t="s">
        <v>215</v>
      </c>
      <c r="AE274" s="376" t="s">
        <v>862</v>
      </c>
      <c r="AF274" s="376" t="s">
        <v>279</v>
      </c>
      <c r="AG274" s="376" t="s">
        <v>177</v>
      </c>
      <c r="AH274" s="381">
        <v>17.5</v>
      </c>
      <c r="AI274" s="381">
        <v>5554.7</v>
      </c>
      <c r="AJ274" s="376" t="s">
        <v>178</v>
      </c>
      <c r="AK274" s="376" t="s">
        <v>179</v>
      </c>
      <c r="AL274" s="376" t="s">
        <v>180</v>
      </c>
      <c r="AM274" s="376" t="s">
        <v>181</v>
      </c>
      <c r="AN274" s="376" t="s">
        <v>68</v>
      </c>
      <c r="AO274" s="379">
        <v>80</v>
      </c>
      <c r="AP274" s="460">
        <v>1</v>
      </c>
      <c r="AQ274" s="460">
        <v>1</v>
      </c>
      <c r="AR274" s="458" t="s">
        <v>182</v>
      </c>
      <c r="AS274" s="462">
        <f t="shared" si="68"/>
        <v>1</v>
      </c>
      <c r="AT274">
        <f t="shared" si="69"/>
        <v>1</v>
      </c>
      <c r="AU274" s="462">
        <f>IF(AT274=0,"",IF(AND(AT274=1,M274="F",SUMIF(C2:C698,C274,AS2:AS698)&lt;=1),SUMIF(C2:C698,C274,AS2:AS698),IF(AND(AT274=1,M274="F",SUMIF(C2:C698,C274,AS2:AS698)&gt;1),1,"")))</f>
        <v>1</v>
      </c>
      <c r="AV274" s="462" t="str">
        <f>IF(AT274=0,"",IF(AND(AT274=3,M274="F",SUMIF(C2:C698,C274,AS2:AS698)&lt;=1),SUMIF(C2:C698,C274,AS2:AS698),IF(AND(AT274=3,M274="F",SUMIF(C2:C698,C274,AS2:AS698)&gt;1),1,"")))</f>
        <v/>
      </c>
      <c r="AW274" s="462">
        <f>SUMIF(C2:C698,C274,O2:O698)</f>
        <v>1</v>
      </c>
      <c r="AX274" s="462">
        <f>IF(AND(M274="F",AS274&lt;&gt;0),SUMIF(C2:C698,C274,W2:W698),0)</f>
        <v>36400</v>
      </c>
      <c r="AY274" s="462">
        <f t="shared" si="70"/>
        <v>36400</v>
      </c>
      <c r="AZ274" s="462" t="str">
        <f t="shared" si="71"/>
        <v/>
      </c>
      <c r="BA274" s="462">
        <f t="shared" si="72"/>
        <v>0</v>
      </c>
      <c r="BB274" s="462">
        <f>IF(AND(AT274=1,AK274="E",AU274&gt;=0.75,AW274=1),Health,IF(AND(AT274=1,AK274="E",AU274&gt;=0.75),Health*P274,IF(AND(AT274=1,AK274="E",AU274&gt;=0.5,AW274=1),PTHealth,IF(AND(AT274=1,AK274="E",AU274&gt;=0.5),PTHealth*P274,0))))</f>
        <v>11650</v>
      </c>
      <c r="BC274" s="462">
        <f>IF(AND(AT274=3,AK274="E",AV274&gt;=0.75,AW274=1),Health,IF(AND(AT274=3,AK274="E",AV274&gt;=0.75),Health*P274,IF(AND(AT274=3,AK274="E",AV274&gt;=0.5,AW274=1),PTHealth,IF(AND(AT274=3,AK274="E",AV274&gt;=0.5),PTHealth*P274,0))))</f>
        <v>0</v>
      </c>
      <c r="BD274" s="462">
        <f>IF(AND(AT274&lt;&gt;0,AX274&gt;=MAXSSDI),SSDI*MAXSSDI*P274,IF(AT274&lt;&gt;0,SSDI*W274,0))</f>
        <v>2256.8000000000002</v>
      </c>
      <c r="BE274" s="462">
        <f>IF(AT274&lt;&gt;0,SSHI*W274,0)</f>
        <v>527.80000000000007</v>
      </c>
      <c r="BF274" s="462">
        <f>IF(AND(AT274&lt;&gt;0,AN274&lt;&gt;"NE"),VLOOKUP(AN274,Retirement_Rates,3,FALSE)*W274,0)</f>
        <v>4346.16</v>
      </c>
      <c r="BG274" s="462">
        <f>IF(AND(AT274&lt;&gt;0,AJ274&lt;&gt;"PF"),Life*W274,0)</f>
        <v>262.44400000000002</v>
      </c>
      <c r="BH274" s="462">
        <f>IF(AND(AT274&lt;&gt;0,AM274="Y"),UI*W274,0)</f>
        <v>178.35999999999999</v>
      </c>
      <c r="BI274" s="462">
        <f>IF(AND(AT274&lt;&gt;0,N274&lt;&gt;"NR"),DHR*W274,0)</f>
        <v>111.38399999999999</v>
      </c>
      <c r="BJ274" s="462">
        <f>IF(AT274&lt;&gt;0,WC*W274,0)</f>
        <v>556.91999999999996</v>
      </c>
      <c r="BK274" s="462">
        <f>IF(OR(AND(AT274&lt;&gt;0,AJ274&lt;&gt;"PF",AN274&lt;&gt;"NE",AG274&lt;&gt;"A"),AND(AL274="E",OR(AT274=1,AT274=3))),Sick*W274,0)</f>
        <v>0</v>
      </c>
      <c r="BL274" s="462">
        <f t="shared" si="73"/>
        <v>8239.8680000000004</v>
      </c>
      <c r="BM274" s="462">
        <f t="shared" si="74"/>
        <v>0</v>
      </c>
      <c r="BN274" s="462">
        <f>IF(AND(AT274=1,AK274="E",AU274&gt;=0.75,AW274=1),HealthBY,IF(AND(AT274=1,AK274="E",AU274&gt;=0.75),HealthBY*P274,IF(AND(AT274=1,AK274="E",AU274&gt;=0.5,AW274=1),PTHealthBY,IF(AND(AT274=1,AK274="E",AU274&gt;=0.5),PTHealthBY*P274,0))))</f>
        <v>11650</v>
      </c>
      <c r="BO274" s="462">
        <f>IF(AND(AT274=3,AK274="E",AV274&gt;=0.75,AW274=1),HealthBY,IF(AND(AT274=3,AK274="E",AV274&gt;=0.75),HealthBY*P274,IF(AND(AT274=3,AK274="E",AV274&gt;=0.5,AW274=1),PTHealthBY,IF(AND(AT274=3,AK274="E",AV274&gt;=0.5),PTHealthBY*P274,0))))</f>
        <v>0</v>
      </c>
      <c r="BP274" s="462">
        <f>IF(AND(AT274&lt;&gt;0,(AX274+BA274)&gt;=MAXSSDIBY),SSDIBY*MAXSSDIBY*P274,IF(AT274&lt;&gt;0,SSDIBY*W274,0))</f>
        <v>2256.8000000000002</v>
      </c>
      <c r="BQ274" s="462">
        <f>IF(AT274&lt;&gt;0,SSHIBY*W274,0)</f>
        <v>527.80000000000007</v>
      </c>
      <c r="BR274" s="462">
        <f>IF(AND(AT274&lt;&gt;0,AN274&lt;&gt;"NE"),VLOOKUP(AN274,Retirement_Rates,4,FALSE)*W274,0)</f>
        <v>4346.16</v>
      </c>
      <c r="BS274" s="462">
        <f>IF(AND(AT274&lt;&gt;0,AJ274&lt;&gt;"PF"),LifeBY*W274,0)</f>
        <v>262.44400000000002</v>
      </c>
      <c r="BT274" s="462">
        <f>IF(AND(AT274&lt;&gt;0,AM274="Y"),UIBY*W274,0)</f>
        <v>0</v>
      </c>
      <c r="BU274" s="462">
        <f>IF(AND(AT274&lt;&gt;0,N274&lt;&gt;"NR"),DHRBY*W274,0)</f>
        <v>111.38399999999999</v>
      </c>
      <c r="BV274" s="462">
        <f>IF(AT274&lt;&gt;0,WCBY*W274,0)</f>
        <v>640.64</v>
      </c>
      <c r="BW274" s="462">
        <f>IF(OR(AND(AT274&lt;&gt;0,AJ274&lt;&gt;"PF",AN274&lt;&gt;"NE",AG274&lt;&gt;"A"),AND(AL274="E",OR(AT274=1,AT274=3))),SickBY*W274,0)</f>
        <v>0</v>
      </c>
      <c r="BX274" s="462">
        <f t="shared" si="75"/>
        <v>8145.228000000001</v>
      </c>
      <c r="BY274" s="462">
        <f t="shared" si="76"/>
        <v>0</v>
      </c>
      <c r="BZ274" s="462">
        <f t="shared" si="77"/>
        <v>0</v>
      </c>
      <c r="CA274" s="462">
        <f t="shared" si="78"/>
        <v>0</v>
      </c>
      <c r="CB274" s="462">
        <f t="shared" si="79"/>
        <v>0</v>
      </c>
      <c r="CC274" s="462">
        <f>IF(AT274&lt;&gt;0,SSHICHG*Y274,0)</f>
        <v>0</v>
      </c>
      <c r="CD274" s="462">
        <f>IF(AND(AT274&lt;&gt;0,AN274&lt;&gt;"NE"),VLOOKUP(AN274,Retirement_Rates,5,FALSE)*Y274,0)</f>
        <v>0</v>
      </c>
      <c r="CE274" s="462">
        <f>IF(AND(AT274&lt;&gt;0,AJ274&lt;&gt;"PF"),LifeCHG*Y274,0)</f>
        <v>0</v>
      </c>
      <c r="CF274" s="462">
        <f>IF(AND(AT274&lt;&gt;0,AM274="Y"),UICHG*Y274,0)</f>
        <v>-178.35999999999999</v>
      </c>
      <c r="CG274" s="462">
        <f>IF(AND(AT274&lt;&gt;0,N274&lt;&gt;"NR"),DHRCHG*Y274,0)</f>
        <v>0</v>
      </c>
      <c r="CH274" s="462">
        <f>IF(AT274&lt;&gt;0,WCCHG*Y274,0)</f>
        <v>83.720000000000056</v>
      </c>
      <c r="CI274" s="462">
        <f>IF(OR(AND(AT274&lt;&gt;0,AJ274&lt;&gt;"PF",AN274&lt;&gt;"NE",AG274&lt;&gt;"A"),AND(AL274="E",OR(AT274=1,AT274=3))),SickCHG*Y274,0)</f>
        <v>0</v>
      </c>
      <c r="CJ274" s="462">
        <f t="shared" si="80"/>
        <v>-94.63999999999993</v>
      </c>
      <c r="CK274" s="462" t="str">
        <f t="shared" si="81"/>
        <v/>
      </c>
      <c r="CL274" s="462" t="str">
        <f t="shared" si="82"/>
        <v/>
      </c>
      <c r="CM274" s="462" t="str">
        <f t="shared" si="83"/>
        <v/>
      </c>
      <c r="CN274" s="462" t="str">
        <f t="shared" si="84"/>
        <v>0001-00</v>
      </c>
    </row>
    <row r="275" spans="1:92" ht="15" thickBot="1" x14ac:dyDescent="0.35">
      <c r="A275" s="376" t="s">
        <v>161</v>
      </c>
      <c r="B275" s="376" t="s">
        <v>162</v>
      </c>
      <c r="C275" s="376" t="s">
        <v>908</v>
      </c>
      <c r="D275" s="376" t="s">
        <v>761</v>
      </c>
      <c r="E275" s="376" t="s">
        <v>165</v>
      </c>
      <c r="F275" s="377" t="s">
        <v>166</v>
      </c>
      <c r="G275" s="376" t="s">
        <v>762</v>
      </c>
      <c r="H275" s="378"/>
      <c r="I275" s="378"/>
      <c r="J275" s="376" t="s">
        <v>168</v>
      </c>
      <c r="K275" s="376" t="s">
        <v>763</v>
      </c>
      <c r="L275" s="376" t="s">
        <v>166</v>
      </c>
      <c r="M275" s="376" t="s">
        <v>201</v>
      </c>
      <c r="N275" s="376" t="s">
        <v>291</v>
      </c>
      <c r="O275" s="379">
        <v>0</v>
      </c>
      <c r="P275" s="460">
        <v>1</v>
      </c>
      <c r="Q275" s="460">
        <v>0</v>
      </c>
      <c r="R275" s="380">
        <v>0</v>
      </c>
      <c r="S275" s="460">
        <v>0</v>
      </c>
      <c r="T275" s="380">
        <v>0</v>
      </c>
      <c r="U275" s="380">
        <v>0</v>
      </c>
      <c r="V275" s="380">
        <v>0</v>
      </c>
      <c r="W275" s="380">
        <v>0</v>
      </c>
      <c r="X275" s="380">
        <v>0</v>
      </c>
      <c r="Y275" s="380">
        <v>0</v>
      </c>
      <c r="Z275" s="380">
        <v>0</v>
      </c>
      <c r="AA275" s="378"/>
      <c r="AB275" s="376" t="s">
        <v>45</v>
      </c>
      <c r="AC275" s="376" t="s">
        <v>45</v>
      </c>
      <c r="AD275" s="378"/>
      <c r="AE275" s="378"/>
      <c r="AF275" s="378"/>
      <c r="AG275" s="378"/>
      <c r="AH275" s="379">
        <v>0</v>
      </c>
      <c r="AI275" s="379">
        <v>0</v>
      </c>
      <c r="AJ275" s="378"/>
      <c r="AK275" s="378"/>
      <c r="AL275" s="376" t="s">
        <v>180</v>
      </c>
      <c r="AM275" s="378"/>
      <c r="AN275" s="378"/>
      <c r="AO275" s="379">
        <v>0</v>
      </c>
      <c r="AP275" s="460">
        <v>0</v>
      </c>
      <c r="AQ275" s="460">
        <v>0</v>
      </c>
      <c r="AR275" s="459"/>
      <c r="AS275" s="462">
        <f t="shared" si="68"/>
        <v>0</v>
      </c>
      <c r="AT275">
        <f t="shared" si="69"/>
        <v>0</v>
      </c>
      <c r="AU275" s="462" t="str">
        <f>IF(AT275=0,"",IF(AND(AT275=1,M275="F",SUMIF(C2:C698,C275,AS2:AS698)&lt;=1),SUMIF(C2:C698,C275,AS2:AS698),IF(AND(AT275=1,M275="F",SUMIF(C2:C698,C275,AS2:AS698)&gt;1),1,"")))</f>
        <v/>
      </c>
      <c r="AV275" s="462" t="str">
        <f>IF(AT275=0,"",IF(AND(AT275=3,M275="F",SUMIF(C2:C698,C275,AS2:AS698)&lt;=1),SUMIF(C2:C698,C275,AS2:AS698),IF(AND(AT275=3,M275="F",SUMIF(C2:C698,C275,AS2:AS698)&gt;1),1,"")))</f>
        <v/>
      </c>
      <c r="AW275" s="462">
        <f>SUMIF(C2:C698,C275,O2:O698)</f>
        <v>0</v>
      </c>
      <c r="AX275" s="462">
        <f>IF(AND(M275="F",AS275&lt;&gt;0),SUMIF(C2:C698,C275,W2:W698),0)</f>
        <v>0</v>
      </c>
      <c r="AY275" s="462" t="str">
        <f t="shared" si="70"/>
        <v/>
      </c>
      <c r="AZ275" s="462" t="str">
        <f t="shared" si="71"/>
        <v/>
      </c>
      <c r="BA275" s="462">
        <f t="shared" si="72"/>
        <v>0</v>
      </c>
      <c r="BB275" s="462">
        <f>IF(AND(AT275=1,AK275="E",AU275&gt;=0.75,AW275=1),Health,IF(AND(AT275=1,AK275="E",AU275&gt;=0.75),Health*P275,IF(AND(AT275=1,AK275="E",AU275&gt;=0.5,AW275=1),PTHealth,IF(AND(AT275=1,AK275="E",AU275&gt;=0.5),PTHealth*P275,0))))</f>
        <v>0</v>
      </c>
      <c r="BC275" s="462">
        <f>IF(AND(AT275=3,AK275="E",AV275&gt;=0.75,AW275=1),Health,IF(AND(AT275=3,AK275="E",AV275&gt;=0.75),Health*P275,IF(AND(AT275=3,AK275="E",AV275&gt;=0.5,AW275=1),PTHealth,IF(AND(AT275=3,AK275="E",AV275&gt;=0.5),PTHealth*P275,0))))</f>
        <v>0</v>
      </c>
      <c r="BD275" s="462">
        <f>IF(AND(AT275&lt;&gt;0,AX275&gt;=MAXSSDI),SSDI*MAXSSDI*P275,IF(AT275&lt;&gt;0,SSDI*W275,0))</f>
        <v>0</v>
      </c>
      <c r="BE275" s="462">
        <f>IF(AT275&lt;&gt;0,SSHI*W275,0)</f>
        <v>0</v>
      </c>
      <c r="BF275" s="462">
        <f>IF(AND(AT275&lt;&gt;0,AN275&lt;&gt;"NE"),VLOOKUP(AN275,Retirement_Rates,3,FALSE)*W275,0)</f>
        <v>0</v>
      </c>
      <c r="BG275" s="462">
        <f>IF(AND(AT275&lt;&gt;0,AJ275&lt;&gt;"PF"),Life*W275,0)</f>
        <v>0</v>
      </c>
      <c r="BH275" s="462">
        <f>IF(AND(AT275&lt;&gt;0,AM275="Y"),UI*W275,0)</f>
        <v>0</v>
      </c>
      <c r="BI275" s="462">
        <f>IF(AND(AT275&lt;&gt;0,N275&lt;&gt;"NR"),DHR*W275,0)</f>
        <v>0</v>
      </c>
      <c r="BJ275" s="462">
        <f>IF(AT275&lt;&gt;0,WC*W275,0)</f>
        <v>0</v>
      </c>
      <c r="BK275" s="462">
        <f>IF(OR(AND(AT275&lt;&gt;0,AJ275&lt;&gt;"PF",AN275&lt;&gt;"NE",AG275&lt;&gt;"A"),AND(AL275="E",OR(AT275=1,AT275=3))),Sick*W275,0)</f>
        <v>0</v>
      </c>
      <c r="BL275" s="462">
        <f t="shared" si="73"/>
        <v>0</v>
      </c>
      <c r="BM275" s="462">
        <f t="shared" si="74"/>
        <v>0</v>
      </c>
      <c r="BN275" s="462">
        <f>IF(AND(AT275=1,AK275="E",AU275&gt;=0.75,AW275=1),HealthBY,IF(AND(AT275=1,AK275="E",AU275&gt;=0.75),HealthBY*P275,IF(AND(AT275=1,AK275="E",AU275&gt;=0.5,AW275=1),PTHealthBY,IF(AND(AT275=1,AK275="E",AU275&gt;=0.5),PTHealthBY*P275,0))))</f>
        <v>0</v>
      </c>
      <c r="BO275" s="462">
        <f>IF(AND(AT275=3,AK275="E",AV275&gt;=0.75,AW275=1),HealthBY,IF(AND(AT275=3,AK275="E",AV275&gt;=0.75),HealthBY*P275,IF(AND(AT275=3,AK275="E",AV275&gt;=0.5,AW275=1),PTHealthBY,IF(AND(AT275=3,AK275="E",AV275&gt;=0.5),PTHealthBY*P275,0))))</f>
        <v>0</v>
      </c>
      <c r="BP275" s="462">
        <f>IF(AND(AT275&lt;&gt;0,(AX275+BA275)&gt;=MAXSSDIBY),SSDIBY*MAXSSDIBY*P275,IF(AT275&lt;&gt;0,SSDIBY*W275,0))</f>
        <v>0</v>
      </c>
      <c r="BQ275" s="462">
        <f>IF(AT275&lt;&gt;0,SSHIBY*W275,0)</f>
        <v>0</v>
      </c>
      <c r="BR275" s="462">
        <f>IF(AND(AT275&lt;&gt;0,AN275&lt;&gt;"NE"),VLOOKUP(AN275,Retirement_Rates,4,FALSE)*W275,0)</f>
        <v>0</v>
      </c>
      <c r="BS275" s="462">
        <f>IF(AND(AT275&lt;&gt;0,AJ275&lt;&gt;"PF"),LifeBY*W275,0)</f>
        <v>0</v>
      </c>
      <c r="BT275" s="462">
        <f>IF(AND(AT275&lt;&gt;0,AM275="Y"),UIBY*W275,0)</f>
        <v>0</v>
      </c>
      <c r="BU275" s="462">
        <f>IF(AND(AT275&lt;&gt;0,N275&lt;&gt;"NR"),DHRBY*W275,0)</f>
        <v>0</v>
      </c>
      <c r="BV275" s="462">
        <f>IF(AT275&lt;&gt;0,WCBY*W275,0)</f>
        <v>0</v>
      </c>
      <c r="BW275" s="462">
        <f>IF(OR(AND(AT275&lt;&gt;0,AJ275&lt;&gt;"PF",AN275&lt;&gt;"NE",AG275&lt;&gt;"A"),AND(AL275="E",OR(AT275=1,AT275=3))),SickBY*W275,0)</f>
        <v>0</v>
      </c>
      <c r="BX275" s="462">
        <f t="shared" si="75"/>
        <v>0</v>
      </c>
      <c r="BY275" s="462">
        <f t="shared" si="76"/>
        <v>0</v>
      </c>
      <c r="BZ275" s="462">
        <f t="shared" si="77"/>
        <v>0</v>
      </c>
      <c r="CA275" s="462">
        <f t="shared" si="78"/>
        <v>0</v>
      </c>
      <c r="CB275" s="462">
        <f t="shared" si="79"/>
        <v>0</v>
      </c>
      <c r="CC275" s="462">
        <f>IF(AT275&lt;&gt;0,SSHICHG*Y275,0)</f>
        <v>0</v>
      </c>
      <c r="CD275" s="462">
        <f>IF(AND(AT275&lt;&gt;0,AN275&lt;&gt;"NE"),VLOOKUP(AN275,Retirement_Rates,5,FALSE)*Y275,0)</f>
        <v>0</v>
      </c>
      <c r="CE275" s="462">
        <f>IF(AND(AT275&lt;&gt;0,AJ275&lt;&gt;"PF"),LifeCHG*Y275,0)</f>
        <v>0</v>
      </c>
      <c r="CF275" s="462">
        <f>IF(AND(AT275&lt;&gt;0,AM275="Y"),UICHG*Y275,0)</f>
        <v>0</v>
      </c>
      <c r="CG275" s="462">
        <f>IF(AND(AT275&lt;&gt;0,N275&lt;&gt;"NR"),DHRCHG*Y275,0)</f>
        <v>0</v>
      </c>
      <c r="CH275" s="462">
        <f>IF(AT275&lt;&gt;0,WCCHG*Y275,0)</f>
        <v>0</v>
      </c>
      <c r="CI275" s="462">
        <f>IF(OR(AND(AT275&lt;&gt;0,AJ275&lt;&gt;"PF",AN275&lt;&gt;"NE",AG275&lt;&gt;"A"),AND(AL275="E",OR(AT275=1,AT275=3))),SickCHG*Y275,0)</f>
        <v>0</v>
      </c>
      <c r="CJ275" s="462">
        <f t="shared" si="80"/>
        <v>0</v>
      </c>
      <c r="CK275" s="462" t="str">
        <f t="shared" si="81"/>
        <v/>
      </c>
      <c r="CL275" s="462">
        <f t="shared" si="82"/>
        <v>0</v>
      </c>
      <c r="CM275" s="462">
        <f t="shared" si="83"/>
        <v>0</v>
      </c>
      <c r="CN275" s="462" t="str">
        <f t="shared" si="84"/>
        <v>0001-00</v>
      </c>
    </row>
    <row r="276" spans="1:92" ht="15" thickBot="1" x14ac:dyDescent="0.35">
      <c r="A276" s="376" t="s">
        <v>161</v>
      </c>
      <c r="B276" s="376" t="s">
        <v>162</v>
      </c>
      <c r="C276" s="376" t="s">
        <v>909</v>
      </c>
      <c r="D276" s="376" t="s">
        <v>287</v>
      </c>
      <c r="E276" s="376" t="s">
        <v>165</v>
      </c>
      <c r="F276" s="377" t="s">
        <v>166</v>
      </c>
      <c r="G276" s="376" t="s">
        <v>762</v>
      </c>
      <c r="H276" s="378"/>
      <c r="I276" s="378"/>
      <c r="J276" s="376" t="s">
        <v>168</v>
      </c>
      <c r="K276" s="376" t="s">
        <v>290</v>
      </c>
      <c r="L276" s="376" t="s">
        <v>166</v>
      </c>
      <c r="M276" s="376" t="s">
        <v>201</v>
      </c>
      <c r="N276" s="376" t="s">
        <v>291</v>
      </c>
      <c r="O276" s="379">
        <v>0</v>
      </c>
      <c r="P276" s="460">
        <v>0</v>
      </c>
      <c r="Q276" s="460">
        <v>0</v>
      </c>
      <c r="R276" s="380">
        <v>0</v>
      </c>
      <c r="S276" s="460">
        <v>0</v>
      </c>
      <c r="T276" s="380">
        <v>62.5</v>
      </c>
      <c r="U276" s="380">
        <v>0</v>
      </c>
      <c r="V276" s="380">
        <v>5.94</v>
      </c>
      <c r="W276" s="380">
        <v>0</v>
      </c>
      <c r="X276" s="380">
        <v>0</v>
      </c>
      <c r="Y276" s="380">
        <v>0</v>
      </c>
      <c r="Z276" s="380">
        <v>0</v>
      </c>
      <c r="AA276" s="378"/>
      <c r="AB276" s="376" t="s">
        <v>45</v>
      </c>
      <c r="AC276" s="376" t="s">
        <v>45</v>
      </c>
      <c r="AD276" s="378"/>
      <c r="AE276" s="378"/>
      <c r="AF276" s="378"/>
      <c r="AG276" s="378"/>
      <c r="AH276" s="379">
        <v>0</v>
      </c>
      <c r="AI276" s="379">
        <v>0</v>
      </c>
      <c r="AJ276" s="378"/>
      <c r="AK276" s="378"/>
      <c r="AL276" s="376" t="s">
        <v>180</v>
      </c>
      <c r="AM276" s="378"/>
      <c r="AN276" s="378"/>
      <c r="AO276" s="379">
        <v>0</v>
      </c>
      <c r="AP276" s="460">
        <v>0</v>
      </c>
      <c r="AQ276" s="460">
        <v>0</v>
      </c>
      <c r="AR276" s="459"/>
      <c r="AS276" s="462">
        <f t="shared" si="68"/>
        <v>0</v>
      </c>
      <c r="AT276">
        <f t="shared" si="69"/>
        <v>0</v>
      </c>
      <c r="AU276" s="462" t="str">
        <f>IF(AT276=0,"",IF(AND(AT276=1,M276="F",SUMIF(C2:C698,C276,AS2:AS698)&lt;=1),SUMIF(C2:C698,C276,AS2:AS698),IF(AND(AT276=1,M276="F",SUMIF(C2:C698,C276,AS2:AS698)&gt;1),1,"")))</f>
        <v/>
      </c>
      <c r="AV276" s="462" t="str">
        <f>IF(AT276=0,"",IF(AND(AT276=3,M276="F",SUMIF(C2:C698,C276,AS2:AS698)&lt;=1),SUMIF(C2:C698,C276,AS2:AS698),IF(AND(AT276=3,M276="F",SUMIF(C2:C698,C276,AS2:AS698)&gt;1),1,"")))</f>
        <v/>
      </c>
      <c r="AW276" s="462">
        <f>SUMIF(C2:C698,C276,O2:O698)</f>
        <v>0</v>
      </c>
      <c r="AX276" s="462">
        <f>IF(AND(M276="F",AS276&lt;&gt;0),SUMIF(C2:C698,C276,W2:W698),0)</f>
        <v>0</v>
      </c>
      <c r="AY276" s="462" t="str">
        <f t="shared" si="70"/>
        <v/>
      </c>
      <c r="AZ276" s="462" t="str">
        <f t="shared" si="71"/>
        <v/>
      </c>
      <c r="BA276" s="462">
        <f t="shared" si="72"/>
        <v>0</v>
      </c>
      <c r="BB276" s="462">
        <f>IF(AND(AT276=1,AK276="E",AU276&gt;=0.75,AW276=1),Health,IF(AND(AT276=1,AK276="E",AU276&gt;=0.75),Health*P276,IF(AND(AT276=1,AK276="E",AU276&gt;=0.5,AW276=1),PTHealth,IF(AND(AT276=1,AK276="E",AU276&gt;=0.5),PTHealth*P276,0))))</f>
        <v>0</v>
      </c>
      <c r="BC276" s="462">
        <f>IF(AND(AT276=3,AK276="E",AV276&gt;=0.75,AW276=1),Health,IF(AND(AT276=3,AK276="E",AV276&gt;=0.75),Health*P276,IF(AND(AT276=3,AK276="E",AV276&gt;=0.5,AW276=1),PTHealth,IF(AND(AT276=3,AK276="E",AV276&gt;=0.5),PTHealth*P276,0))))</f>
        <v>0</v>
      </c>
      <c r="BD276" s="462">
        <f>IF(AND(AT276&lt;&gt;0,AX276&gt;=MAXSSDI),SSDI*MAXSSDI*P276,IF(AT276&lt;&gt;0,SSDI*W276,0))</f>
        <v>0</v>
      </c>
      <c r="BE276" s="462">
        <f>IF(AT276&lt;&gt;0,SSHI*W276,0)</f>
        <v>0</v>
      </c>
      <c r="BF276" s="462">
        <f>IF(AND(AT276&lt;&gt;0,AN276&lt;&gt;"NE"),VLOOKUP(AN276,Retirement_Rates,3,FALSE)*W276,0)</f>
        <v>0</v>
      </c>
      <c r="BG276" s="462">
        <f>IF(AND(AT276&lt;&gt;0,AJ276&lt;&gt;"PF"),Life*W276,0)</f>
        <v>0</v>
      </c>
      <c r="BH276" s="462">
        <f>IF(AND(AT276&lt;&gt;0,AM276="Y"),UI*W276,0)</f>
        <v>0</v>
      </c>
      <c r="BI276" s="462">
        <f>IF(AND(AT276&lt;&gt;0,N276&lt;&gt;"NR"),DHR*W276,0)</f>
        <v>0</v>
      </c>
      <c r="BJ276" s="462">
        <f>IF(AT276&lt;&gt;0,WC*W276,0)</f>
        <v>0</v>
      </c>
      <c r="BK276" s="462">
        <f>IF(OR(AND(AT276&lt;&gt;0,AJ276&lt;&gt;"PF",AN276&lt;&gt;"NE",AG276&lt;&gt;"A"),AND(AL276="E",OR(AT276=1,AT276=3))),Sick*W276,0)</f>
        <v>0</v>
      </c>
      <c r="BL276" s="462">
        <f t="shared" si="73"/>
        <v>0</v>
      </c>
      <c r="BM276" s="462">
        <f t="shared" si="74"/>
        <v>0</v>
      </c>
      <c r="BN276" s="462">
        <f>IF(AND(AT276=1,AK276="E",AU276&gt;=0.75,AW276=1),HealthBY,IF(AND(AT276=1,AK276="E",AU276&gt;=0.75),HealthBY*P276,IF(AND(AT276=1,AK276="E",AU276&gt;=0.5,AW276=1),PTHealthBY,IF(AND(AT276=1,AK276="E",AU276&gt;=0.5),PTHealthBY*P276,0))))</f>
        <v>0</v>
      </c>
      <c r="BO276" s="462">
        <f>IF(AND(AT276=3,AK276="E",AV276&gt;=0.75,AW276=1),HealthBY,IF(AND(AT276=3,AK276="E",AV276&gt;=0.75),HealthBY*P276,IF(AND(AT276=3,AK276="E",AV276&gt;=0.5,AW276=1),PTHealthBY,IF(AND(AT276=3,AK276="E",AV276&gt;=0.5),PTHealthBY*P276,0))))</f>
        <v>0</v>
      </c>
      <c r="BP276" s="462">
        <f>IF(AND(AT276&lt;&gt;0,(AX276+BA276)&gt;=MAXSSDIBY),SSDIBY*MAXSSDIBY*P276,IF(AT276&lt;&gt;0,SSDIBY*W276,0))</f>
        <v>0</v>
      </c>
      <c r="BQ276" s="462">
        <f>IF(AT276&lt;&gt;0,SSHIBY*W276,0)</f>
        <v>0</v>
      </c>
      <c r="BR276" s="462">
        <f>IF(AND(AT276&lt;&gt;0,AN276&lt;&gt;"NE"),VLOOKUP(AN276,Retirement_Rates,4,FALSE)*W276,0)</f>
        <v>0</v>
      </c>
      <c r="BS276" s="462">
        <f>IF(AND(AT276&lt;&gt;0,AJ276&lt;&gt;"PF"),LifeBY*W276,0)</f>
        <v>0</v>
      </c>
      <c r="BT276" s="462">
        <f>IF(AND(AT276&lt;&gt;0,AM276="Y"),UIBY*W276,0)</f>
        <v>0</v>
      </c>
      <c r="BU276" s="462">
        <f>IF(AND(AT276&lt;&gt;0,N276&lt;&gt;"NR"),DHRBY*W276,0)</f>
        <v>0</v>
      </c>
      <c r="BV276" s="462">
        <f>IF(AT276&lt;&gt;0,WCBY*W276,0)</f>
        <v>0</v>
      </c>
      <c r="BW276" s="462">
        <f>IF(OR(AND(AT276&lt;&gt;0,AJ276&lt;&gt;"PF",AN276&lt;&gt;"NE",AG276&lt;&gt;"A"),AND(AL276="E",OR(AT276=1,AT276=3))),SickBY*W276,0)</f>
        <v>0</v>
      </c>
      <c r="BX276" s="462">
        <f t="shared" si="75"/>
        <v>0</v>
      </c>
      <c r="BY276" s="462">
        <f t="shared" si="76"/>
        <v>0</v>
      </c>
      <c r="BZ276" s="462">
        <f t="shared" si="77"/>
        <v>0</v>
      </c>
      <c r="CA276" s="462">
        <f t="shared" si="78"/>
        <v>0</v>
      </c>
      <c r="CB276" s="462">
        <f t="shared" si="79"/>
        <v>0</v>
      </c>
      <c r="CC276" s="462">
        <f>IF(AT276&lt;&gt;0,SSHICHG*Y276,0)</f>
        <v>0</v>
      </c>
      <c r="CD276" s="462">
        <f>IF(AND(AT276&lt;&gt;0,AN276&lt;&gt;"NE"),VLOOKUP(AN276,Retirement_Rates,5,FALSE)*Y276,0)</f>
        <v>0</v>
      </c>
      <c r="CE276" s="462">
        <f>IF(AND(AT276&lt;&gt;0,AJ276&lt;&gt;"PF"),LifeCHG*Y276,0)</f>
        <v>0</v>
      </c>
      <c r="CF276" s="462">
        <f>IF(AND(AT276&lt;&gt;0,AM276="Y"),UICHG*Y276,0)</f>
        <v>0</v>
      </c>
      <c r="CG276" s="462">
        <f>IF(AND(AT276&lt;&gt;0,N276&lt;&gt;"NR"),DHRCHG*Y276,0)</f>
        <v>0</v>
      </c>
      <c r="CH276" s="462">
        <f>IF(AT276&lt;&gt;0,WCCHG*Y276,0)</f>
        <v>0</v>
      </c>
      <c r="CI276" s="462">
        <f>IF(OR(AND(AT276&lt;&gt;0,AJ276&lt;&gt;"PF",AN276&lt;&gt;"NE",AG276&lt;&gt;"A"),AND(AL276="E",OR(AT276=1,AT276=3))),SickCHG*Y276,0)</f>
        <v>0</v>
      </c>
      <c r="CJ276" s="462">
        <f t="shared" si="80"/>
        <v>0</v>
      </c>
      <c r="CK276" s="462" t="str">
        <f t="shared" si="81"/>
        <v/>
      </c>
      <c r="CL276" s="462">
        <f t="shared" si="82"/>
        <v>62.5</v>
      </c>
      <c r="CM276" s="462">
        <f t="shared" si="83"/>
        <v>5.94</v>
      </c>
      <c r="CN276" s="462" t="str">
        <f t="shared" si="84"/>
        <v>0001-00</v>
      </c>
    </row>
    <row r="277" spans="1:92" ht="15" thickBot="1" x14ac:dyDescent="0.35">
      <c r="A277" s="376" t="s">
        <v>161</v>
      </c>
      <c r="B277" s="376" t="s">
        <v>162</v>
      </c>
      <c r="C277" s="376" t="s">
        <v>910</v>
      </c>
      <c r="D277" s="376" t="s">
        <v>250</v>
      </c>
      <c r="E277" s="376" t="s">
        <v>165</v>
      </c>
      <c r="F277" s="377" t="s">
        <v>166</v>
      </c>
      <c r="G277" s="376" t="s">
        <v>762</v>
      </c>
      <c r="H277" s="378"/>
      <c r="I277" s="378"/>
      <c r="J277" s="376" t="s">
        <v>168</v>
      </c>
      <c r="K277" s="376" t="s">
        <v>407</v>
      </c>
      <c r="L277" s="376" t="s">
        <v>247</v>
      </c>
      <c r="M277" s="376" t="s">
        <v>170</v>
      </c>
      <c r="N277" s="376" t="s">
        <v>202</v>
      </c>
      <c r="O277" s="379">
        <v>1</v>
      </c>
      <c r="P277" s="460">
        <v>1</v>
      </c>
      <c r="Q277" s="460">
        <v>1</v>
      </c>
      <c r="R277" s="380">
        <v>80</v>
      </c>
      <c r="S277" s="460">
        <v>1</v>
      </c>
      <c r="T277" s="380">
        <v>59928.83</v>
      </c>
      <c r="U277" s="380">
        <v>0</v>
      </c>
      <c r="V277" s="380">
        <v>24534.62</v>
      </c>
      <c r="W277" s="380">
        <v>62192</v>
      </c>
      <c r="X277" s="380">
        <v>25728.37</v>
      </c>
      <c r="Y277" s="380">
        <v>62192</v>
      </c>
      <c r="Z277" s="380">
        <v>25566.67</v>
      </c>
      <c r="AA277" s="376" t="s">
        <v>911</v>
      </c>
      <c r="AB277" s="376" t="s">
        <v>912</v>
      </c>
      <c r="AC277" s="376" t="s">
        <v>913</v>
      </c>
      <c r="AD277" s="376" t="s">
        <v>215</v>
      </c>
      <c r="AE277" s="376" t="s">
        <v>407</v>
      </c>
      <c r="AF277" s="376" t="s">
        <v>299</v>
      </c>
      <c r="AG277" s="376" t="s">
        <v>177</v>
      </c>
      <c r="AH277" s="381">
        <v>29.9</v>
      </c>
      <c r="AI277" s="379">
        <v>8085</v>
      </c>
      <c r="AJ277" s="376" t="s">
        <v>178</v>
      </c>
      <c r="AK277" s="376" t="s">
        <v>179</v>
      </c>
      <c r="AL277" s="376" t="s">
        <v>180</v>
      </c>
      <c r="AM277" s="376" t="s">
        <v>181</v>
      </c>
      <c r="AN277" s="376" t="s">
        <v>68</v>
      </c>
      <c r="AO277" s="379">
        <v>80</v>
      </c>
      <c r="AP277" s="460">
        <v>1</v>
      </c>
      <c r="AQ277" s="460">
        <v>1</v>
      </c>
      <c r="AR277" s="458" t="s">
        <v>182</v>
      </c>
      <c r="AS277" s="462">
        <f t="shared" si="68"/>
        <v>1</v>
      </c>
      <c r="AT277">
        <f t="shared" si="69"/>
        <v>1</v>
      </c>
      <c r="AU277" s="462">
        <f>IF(AT277=0,"",IF(AND(AT277=1,M277="F",SUMIF(C2:C698,C277,AS2:AS698)&lt;=1),SUMIF(C2:C698,C277,AS2:AS698),IF(AND(AT277=1,M277="F",SUMIF(C2:C698,C277,AS2:AS698)&gt;1),1,"")))</f>
        <v>1</v>
      </c>
      <c r="AV277" s="462" t="str">
        <f>IF(AT277=0,"",IF(AND(AT277=3,M277="F",SUMIF(C2:C698,C277,AS2:AS698)&lt;=1),SUMIF(C2:C698,C277,AS2:AS698),IF(AND(AT277=3,M277="F",SUMIF(C2:C698,C277,AS2:AS698)&gt;1),1,"")))</f>
        <v/>
      </c>
      <c r="AW277" s="462">
        <f>SUMIF(C2:C698,C277,O2:O698)</f>
        <v>1</v>
      </c>
      <c r="AX277" s="462">
        <f>IF(AND(M277="F",AS277&lt;&gt;0),SUMIF(C2:C698,C277,W2:W698),0)</f>
        <v>62192</v>
      </c>
      <c r="AY277" s="462">
        <f t="shared" si="70"/>
        <v>62192</v>
      </c>
      <c r="AZ277" s="462" t="str">
        <f t="shared" si="71"/>
        <v/>
      </c>
      <c r="BA277" s="462">
        <f t="shared" si="72"/>
        <v>0</v>
      </c>
      <c r="BB277" s="462">
        <f>IF(AND(AT277=1,AK277="E",AU277&gt;=0.75,AW277=1),Health,IF(AND(AT277=1,AK277="E",AU277&gt;=0.75),Health*P277,IF(AND(AT277=1,AK277="E",AU277&gt;=0.5,AW277=1),PTHealth,IF(AND(AT277=1,AK277="E",AU277&gt;=0.5),PTHealth*P277,0))))</f>
        <v>11650</v>
      </c>
      <c r="BC277" s="462">
        <f>IF(AND(AT277=3,AK277="E",AV277&gt;=0.75,AW277=1),Health,IF(AND(AT277=3,AK277="E",AV277&gt;=0.75),Health*P277,IF(AND(AT277=3,AK277="E",AV277&gt;=0.5,AW277=1),PTHealth,IF(AND(AT277=3,AK277="E",AV277&gt;=0.5),PTHealth*P277,0))))</f>
        <v>0</v>
      </c>
      <c r="BD277" s="462">
        <f>IF(AND(AT277&lt;&gt;0,AX277&gt;=MAXSSDI),SSDI*MAXSSDI*P277,IF(AT277&lt;&gt;0,SSDI*W277,0))</f>
        <v>3855.904</v>
      </c>
      <c r="BE277" s="462">
        <f>IF(AT277&lt;&gt;0,SSHI*W277,0)</f>
        <v>901.78399999999999</v>
      </c>
      <c r="BF277" s="462">
        <f>IF(AND(AT277&lt;&gt;0,AN277&lt;&gt;"NE"),VLOOKUP(AN277,Retirement_Rates,3,FALSE)*W277,0)</f>
        <v>7425.7248</v>
      </c>
      <c r="BG277" s="462">
        <f>IF(AND(AT277&lt;&gt;0,AJ277&lt;&gt;"PF"),Life*W277,0)</f>
        <v>448.40432000000004</v>
      </c>
      <c r="BH277" s="462">
        <f>IF(AND(AT277&lt;&gt;0,AM277="Y"),UI*W277,0)</f>
        <v>304.74079999999998</v>
      </c>
      <c r="BI277" s="462">
        <f>IF(AND(AT277&lt;&gt;0,N277&lt;&gt;"NR"),DHR*W277,0)</f>
        <v>190.30751999999998</v>
      </c>
      <c r="BJ277" s="462">
        <f>IF(AT277&lt;&gt;0,WC*W277,0)</f>
        <v>951.5376</v>
      </c>
      <c r="BK277" s="462">
        <f>IF(OR(AND(AT277&lt;&gt;0,AJ277&lt;&gt;"PF",AN277&lt;&gt;"NE",AG277&lt;&gt;"A"),AND(AL277="E",OR(AT277=1,AT277=3))),Sick*W277,0)</f>
        <v>0</v>
      </c>
      <c r="BL277" s="462">
        <f t="shared" si="73"/>
        <v>14078.403039999999</v>
      </c>
      <c r="BM277" s="462">
        <f t="shared" si="74"/>
        <v>0</v>
      </c>
      <c r="BN277" s="462">
        <f>IF(AND(AT277=1,AK277="E",AU277&gt;=0.75,AW277=1),HealthBY,IF(AND(AT277=1,AK277="E",AU277&gt;=0.75),HealthBY*P277,IF(AND(AT277=1,AK277="E",AU277&gt;=0.5,AW277=1),PTHealthBY,IF(AND(AT277=1,AK277="E",AU277&gt;=0.5),PTHealthBY*P277,0))))</f>
        <v>11650</v>
      </c>
      <c r="BO277" s="462">
        <f>IF(AND(AT277=3,AK277="E",AV277&gt;=0.75,AW277=1),HealthBY,IF(AND(AT277=3,AK277="E",AV277&gt;=0.75),HealthBY*P277,IF(AND(AT277=3,AK277="E",AV277&gt;=0.5,AW277=1),PTHealthBY,IF(AND(AT277=3,AK277="E",AV277&gt;=0.5),PTHealthBY*P277,0))))</f>
        <v>0</v>
      </c>
      <c r="BP277" s="462">
        <f>IF(AND(AT277&lt;&gt;0,(AX277+BA277)&gt;=MAXSSDIBY),SSDIBY*MAXSSDIBY*P277,IF(AT277&lt;&gt;0,SSDIBY*W277,0))</f>
        <v>3855.904</v>
      </c>
      <c r="BQ277" s="462">
        <f>IF(AT277&lt;&gt;0,SSHIBY*W277,0)</f>
        <v>901.78399999999999</v>
      </c>
      <c r="BR277" s="462">
        <f>IF(AND(AT277&lt;&gt;0,AN277&lt;&gt;"NE"),VLOOKUP(AN277,Retirement_Rates,4,FALSE)*W277,0)</f>
        <v>7425.7248</v>
      </c>
      <c r="BS277" s="462">
        <f>IF(AND(AT277&lt;&gt;0,AJ277&lt;&gt;"PF"),LifeBY*W277,0)</f>
        <v>448.40432000000004</v>
      </c>
      <c r="BT277" s="462">
        <f>IF(AND(AT277&lt;&gt;0,AM277="Y"),UIBY*W277,0)</f>
        <v>0</v>
      </c>
      <c r="BU277" s="462">
        <f>IF(AND(AT277&lt;&gt;0,N277&lt;&gt;"NR"),DHRBY*W277,0)</f>
        <v>190.30751999999998</v>
      </c>
      <c r="BV277" s="462">
        <f>IF(AT277&lt;&gt;0,WCBY*W277,0)</f>
        <v>1094.5792000000001</v>
      </c>
      <c r="BW277" s="462">
        <f>IF(OR(AND(AT277&lt;&gt;0,AJ277&lt;&gt;"PF",AN277&lt;&gt;"NE",AG277&lt;&gt;"A"),AND(AL277="E",OR(AT277=1,AT277=3))),SickBY*W277,0)</f>
        <v>0</v>
      </c>
      <c r="BX277" s="462">
        <f t="shared" si="75"/>
        <v>13916.70384</v>
      </c>
      <c r="BY277" s="462">
        <f t="shared" si="76"/>
        <v>0</v>
      </c>
      <c r="BZ277" s="462">
        <f t="shared" si="77"/>
        <v>0</v>
      </c>
      <c r="CA277" s="462">
        <f t="shared" si="78"/>
        <v>0</v>
      </c>
      <c r="CB277" s="462">
        <f t="shared" si="79"/>
        <v>0</v>
      </c>
      <c r="CC277" s="462">
        <f>IF(AT277&lt;&gt;0,SSHICHG*Y277,0)</f>
        <v>0</v>
      </c>
      <c r="CD277" s="462">
        <f>IF(AND(AT277&lt;&gt;0,AN277&lt;&gt;"NE"),VLOOKUP(AN277,Retirement_Rates,5,FALSE)*Y277,0)</f>
        <v>0</v>
      </c>
      <c r="CE277" s="462">
        <f>IF(AND(AT277&lt;&gt;0,AJ277&lt;&gt;"PF"),LifeCHG*Y277,0)</f>
        <v>0</v>
      </c>
      <c r="CF277" s="462">
        <f>IF(AND(AT277&lt;&gt;0,AM277="Y"),UICHG*Y277,0)</f>
        <v>-304.74079999999998</v>
      </c>
      <c r="CG277" s="462">
        <f>IF(AND(AT277&lt;&gt;0,N277&lt;&gt;"NR"),DHRCHG*Y277,0)</f>
        <v>0</v>
      </c>
      <c r="CH277" s="462">
        <f>IF(AT277&lt;&gt;0,WCCHG*Y277,0)</f>
        <v>143.0416000000001</v>
      </c>
      <c r="CI277" s="462">
        <f>IF(OR(AND(AT277&lt;&gt;0,AJ277&lt;&gt;"PF",AN277&lt;&gt;"NE",AG277&lt;&gt;"A"),AND(AL277="E",OR(AT277=1,AT277=3))),SickCHG*Y277,0)</f>
        <v>0</v>
      </c>
      <c r="CJ277" s="462">
        <f t="shared" si="80"/>
        <v>-161.69919999999988</v>
      </c>
      <c r="CK277" s="462" t="str">
        <f t="shared" si="81"/>
        <v/>
      </c>
      <c r="CL277" s="462" t="str">
        <f t="shared" si="82"/>
        <v/>
      </c>
      <c r="CM277" s="462" t="str">
        <f t="shared" si="83"/>
        <v/>
      </c>
      <c r="CN277" s="462" t="str">
        <f t="shared" si="84"/>
        <v>0001-00</v>
      </c>
    </row>
    <row r="278" spans="1:92" ht="15" thickBot="1" x14ac:dyDescent="0.35">
      <c r="A278" s="376" t="s">
        <v>161</v>
      </c>
      <c r="B278" s="376" t="s">
        <v>162</v>
      </c>
      <c r="C278" s="376" t="s">
        <v>914</v>
      </c>
      <c r="D278" s="376" t="s">
        <v>761</v>
      </c>
      <c r="E278" s="376" t="s">
        <v>165</v>
      </c>
      <c r="F278" s="377" t="s">
        <v>166</v>
      </c>
      <c r="G278" s="376" t="s">
        <v>762</v>
      </c>
      <c r="H278" s="378"/>
      <c r="I278" s="378"/>
      <c r="J278" s="376" t="s">
        <v>168</v>
      </c>
      <c r="K278" s="376" t="s">
        <v>763</v>
      </c>
      <c r="L278" s="376" t="s">
        <v>166</v>
      </c>
      <c r="M278" s="376" t="s">
        <v>201</v>
      </c>
      <c r="N278" s="376" t="s">
        <v>291</v>
      </c>
      <c r="O278" s="379">
        <v>0</v>
      </c>
      <c r="P278" s="460">
        <v>1</v>
      </c>
      <c r="Q278" s="460">
        <v>0</v>
      </c>
      <c r="R278" s="380">
        <v>0</v>
      </c>
      <c r="S278" s="460">
        <v>0</v>
      </c>
      <c r="T278" s="380">
        <v>0</v>
      </c>
      <c r="U278" s="380">
        <v>0</v>
      </c>
      <c r="V278" s="380">
        <v>0</v>
      </c>
      <c r="W278" s="380">
        <v>0</v>
      </c>
      <c r="X278" s="380">
        <v>0</v>
      </c>
      <c r="Y278" s="380">
        <v>0</v>
      </c>
      <c r="Z278" s="380">
        <v>0</v>
      </c>
      <c r="AA278" s="378"/>
      <c r="AB278" s="376" t="s">
        <v>45</v>
      </c>
      <c r="AC278" s="376" t="s">
        <v>45</v>
      </c>
      <c r="AD278" s="378"/>
      <c r="AE278" s="378"/>
      <c r="AF278" s="378"/>
      <c r="AG278" s="378"/>
      <c r="AH278" s="379">
        <v>0</v>
      </c>
      <c r="AI278" s="379">
        <v>0</v>
      </c>
      <c r="AJ278" s="378"/>
      <c r="AK278" s="378"/>
      <c r="AL278" s="376" t="s">
        <v>180</v>
      </c>
      <c r="AM278" s="378"/>
      <c r="AN278" s="378"/>
      <c r="AO278" s="379">
        <v>0</v>
      </c>
      <c r="AP278" s="460">
        <v>0</v>
      </c>
      <c r="AQ278" s="460">
        <v>0</v>
      </c>
      <c r="AR278" s="459"/>
      <c r="AS278" s="462">
        <f t="shared" si="68"/>
        <v>0</v>
      </c>
      <c r="AT278">
        <f t="shared" si="69"/>
        <v>0</v>
      </c>
      <c r="AU278" s="462" t="str">
        <f>IF(AT278=0,"",IF(AND(AT278=1,M278="F",SUMIF(C2:C698,C278,AS2:AS698)&lt;=1),SUMIF(C2:C698,C278,AS2:AS698),IF(AND(AT278=1,M278="F",SUMIF(C2:C698,C278,AS2:AS698)&gt;1),1,"")))</f>
        <v/>
      </c>
      <c r="AV278" s="462" t="str">
        <f>IF(AT278=0,"",IF(AND(AT278=3,M278="F",SUMIF(C2:C698,C278,AS2:AS698)&lt;=1),SUMIF(C2:C698,C278,AS2:AS698),IF(AND(AT278=3,M278="F",SUMIF(C2:C698,C278,AS2:AS698)&gt;1),1,"")))</f>
        <v/>
      </c>
      <c r="AW278" s="462">
        <f>SUMIF(C2:C698,C278,O2:O698)</f>
        <v>0</v>
      </c>
      <c r="AX278" s="462">
        <f>IF(AND(M278="F",AS278&lt;&gt;0),SUMIF(C2:C698,C278,W2:W698),0)</f>
        <v>0</v>
      </c>
      <c r="AY278" s="462" t="str">
        <f t="shared" si="70"/>
        <v/>
      </c>
      <c r="AZ278" s="462" t="str">
        <f t="shared" si="71"/>
        <v/>
      </c>
      <c r="BA278" s="462">
        <f t="shared" si="72"/>
        <v>0</v>
      </c>
      <c r="BB278" s="462">
        <f>IF(AND(AT278=1,AK278="E",AU278&gt;=0.75,AW278=1),Health,IF(AND(AT278=1,AK278="E",AU278&gt;=0.75),Health*P278,IF(AND(AT278=1,AK278="E",AU278&gt;=0.5,AW278=1),PTHealth,IF(AND(AT278=1,AK278="E",AU278&gt;=0.5),PTHealth*P278,0))))</f>
        <v>0</v>
      </c>
      <c r="BC278" s="462">
        <f>IF(AND(AT278=3,AK278="E",AV278&gt;=0.75,AW278=1),Health,IF(AND(AT278=3,AK278="E",AV278&gt;=0.75),Health*P278,IF(AND(AT278=3,AK278="E",AV278&gt;=0.5,AW278=1),PTHealth,IF(AND(AT278=3,AK278="E",AV278&gt;=0.5),PTHealth*P278,0))))</f>
        <v>0</v>
      </c>
      <c r="BD278" s="462">
        <f>IF(AND(AT278&lt;&gt;0,AX278&gt;=MAXSSDI),SSDI*MAXSSDI*P278,IF(AT278&lt;&gt;0,SSDI*W278,0))</f>
        <v>0</v>
      </c>
      <c r="BE278" s="462">
        <f>IF(AT278&lt;&gt;0,SSHI*W278,0)</f>
        <v>0</v>
      </c>
      <c r="BF278" s="462">
        <f>IF(AND(AT278&lt;&gt;0,AN278&lt;&gt;"NE"),VLOOKUP(AN278,Retirement_Rates,3,FALSE)*W278,0)</f>
        <v>0</v>
      </c>
      <c r="BG278" s="462">
        <f>IF(AND(AT278&lt;&gt;0,AJ278&lt;&gt;"PF"),Life*W278,0)</f>
        <v>0</v>
      </c>
      <c r="BH278" s="462">
        <f>IF(AND(AT278&lt;&gt;0,AM278="Y"),UI*W278,0)</f>
        <v>0</v>
      </c>
      <c r="BI278" s="462">
        <f>IF(AND(AT278&lt;&gt;0,N278&lt;&gt;"NR"),DHR*W278,0)</f>
        <v>0</v>
      </c>
      <c r="BJ278" s="462">
        <f>IF(AT278&lt;&gt;0,WC*W278,0)</f>
        <v>0</v>
      </c>
      <c r="BK278" s="462">
        <f>IF(OR(AND(AT278&lt;&gt;0,AJ278&lt;&gt;"PF",AN278&lt;&gt;"NE",AG278&lt;&gt;"A"),AND(AL278="E",OR(AT278=1,AT278=3))),Sick*W278,0)</f>
        <v>0</v>
      </c>
      <c r="BL278" s="462">
        <f t="shared" si="73"/>
        <v>0</v>
      </c>
      <c r="BM278" s="462">
        <f t="shared" si="74"/>
        <v>0</v>
      </c>
      <c r="BN278" s="462">
        <f>IF(AND(AT278=1,AK278="E",AU278&gt;=0.75,AW278=1),HealthBY,IF(AND(AT278=1,AK278="E",AU278&gt;=0.75),HealthBY*P278,IF(AND(AT278=1,AK278="E",AU278&gt;=0.5,AW278=1),PTHealthBY,IF(AND(AT278=1,AK278="E",AU278&gt;=0.5),PTHealthBY*P278,0))))</f>
        <v>0</v>
      </c>
      <c r="BO278" s="462">
        <f>IF(AND(AT278=3,AK278="E",AV278&gt;=0.75,AW278=1),HealthBY,IF(AND(AT278=3,AK278="E",AV278&gt;=0.75),HealthBY*P278,IF(AND(AT278=3,AK278="E",AV278&gt;=0.5,AW278=1),PTHealthBY,IF(AND(AT278=3,AK278="E",AV278&gt;=0.5),PTHealthBY*P278,0))))</f>
        <v>0</v>
      </c>
      <c r="BP278" s="462">
        <f>IF(AND(AT278&lt;&gt;0,(AX278+BA278)&gt;=MAXSSDIBY),SSDIBY*MAXSSDIBY*P278,IF(AT278&lt;&gt;0,SSDIBY*W278,0))</f>
        <v>0</v>
      </c>
      <c r="BQ278" s="462">
        <f>IF(AT278&lt;&gt;0,SSHIBY*W278,0)</f>
        <v>0</v>
      </c>
      <c r="BR278" s="462">
        <f>IF(AND(AT278&lt;&gt;0,AN278&lt;&gt;"NE"),VLOOKUP(AN278,Retirement_Rates,4,FALSE)*W278,0)</f>
        <v>0</v>
      </c>
      <c r="BS278" s="462">
        <f>IF(AND(AT278&lt;&gt;0,AJ278&lt;&gt;"PF"),LifeBY*W278,0)</f>
        <v>0</v>
      </c>
      <c r="BT278" s="462">
        <f>IF(AND(AT278&lt;&gt;0,AM278="Y"),UIBY*W278,0)</f>
        <v>0</v>
      </c>
      <c r="BU278" s="462">
        <f>IF(AND(AT278&lt;&gt;0,N278&lt;&gt;"NR"),DHRBY*W278,0)</f>
        <v>0</v>
      </c>
      <c r="BV278" s="462">
        <f>IF(AT278&lt;&gt;0,WCBY*W278,0)</f>
        <v>0</v>
      </c>
      <c r="BW278" s="462">
        <f>IF(OR(AND(AT278&lt;&gt;0,AJ278&lt;&gt;"PF",AN278&lt;&gt;"NE",AG278&lt;&gt;"A"),AND(AL278="E",OR(AT278=1,AT278=3))),SickBY*W278,0)</f>
        <v>0</v>
      </c>
      <c r="BX278" s="462">
        <f t="shared" si="75"/>
        <v>0</v>
      </c>
      <c r="BY278" s="462">
        <f t="shared" si="76"/>
        <v>0</v>
      </c>
      <c r="BZ278" s="462">
        <f t="shared" si="77"/>
        <v>0</v>
      </c>
      <c r="CA278" s="462">
        <f t="shared" si="78"/>
        <v>0</v>
      </c>
      <c r="CB278" s="462">
        <f t="shared" si="79"/>
        <v>0</v>
      </c>
      <c r="CC278" s="462">
        <f>IF(AT278&lt;&gt;0,SSHICHG*Y278,0)</f>
        <v>0</v>
      </c>
      <c r="CD278" s="462">
        <f>IF(AND(AT278&lt;&gt;0,AN278&lt;&gt;"NE"),VLOOKUP(AN278,Retirement_Rates,5,FALSE)*Y278,0)</f>
        <v>0</v>
      </c>
      <c r="CE278" s="462">
        <f>IF(AND(AT278&lt;&gt;0,AJ278&lt;&gt;"PF"),LifeCHG*Y278,0)</f>
        <v>0</v>
      </c>
      <c r="CF278" s="462">
        <f>IF(AND(AT278&lt;&gt;0,AM278="Y"),UICHG*Y278,0)</f>
        <v>0</v>
      </c>
      <c r="CG278" s="462">
        <f>IF(AND(AT278&lt;&gt;0,N278&lt;&gt;"NR"),DHRCHG*Y278,0)</f>
        <v>0</v>
      </c>
      <c r="CH278" s="462">
        <f>IF(AT278&lt;&gt;0,WCCHG*Y278,0)</f>
        <v>0</v>
      </c>
      <c r="CI278" s="462">
        <f>IF(OR(AND(AT278&lt;&gt;0,AJ278&lt;&gt;"PF",AN278&lt;&gt;"NE",AG278&lt;&gt;"A"),AND(AL278="E",OR(AT278=1,AT278=3))),SickCHG*Y278,0)</f>
        <v>0</v>
      </c>
      <c r="CJ278" s="462">
        <f t="shared" si="80"/>
        <v>0</v>
      </c>
      <c r="CK278" s="462" t="str">
        <f t="shared" si="81"/>
        <v/>
      </c>
      <c r="CL278" s="462">
        <f t="shared" si="82"/>
        <v>0</v>
      </c>
      <c r="CM278" s="462">
        <f t="shared" si="83"/>
        <v>0</v>
      </c>
      <c r="CN278" s="462" t="str">
        <f t="shared" si="84"/>
        <v>0001-00</v>
      </c>
    </row>
    <row r="279" spans="1:92" ht="15" thickBot="1" x14ac:dyDescent="0.35">
      <c r="A279" s="376" t="s">
        <v>161</v>
      </c>
      <c r="B279" s="376" t="s">
        <v>162</v>
      </c>
      <c r="C279" s="376" t="s">
        <v>915</v>
      </c>
      <c r="D279" s="376" t="s">
        <v>250</v>
      </c>
      <c r="E279" s="376" t="s">
        <v>165</v>
      </c>
      <c r="F279" s="377" t="s">
        <v>166</v>
      </c>
      <c r="G279" s="376" t="s">
        <v>762</v>
      </c>
      <c r="H279" s="378"/>
      <c r="I279" s="378"/>
      <c r="J279" s="376" t="s">
        <v>168</v>
      </c>
      <c r="K279" s="376" t="s">
        <v>407</v>
      </c>
      <c r="L279" s="376" t="s">
        <v>247</v>
      </c>
      <c r="M279" s="376" t="s">
        <v>170</v>
      </c>
      <c r="N279" s="376" t="s">
        <v>202</v>
      </c>
      <c r="O279" s="379">
        <v>1</v>
      </c>
      <c r="P279" s="460">
        <v>1</v>
      </c>
      <c r="Q279" s="460">
        <v>1</v>
      </c>
      <c r="R279" s="380">
        <v>80</v>
      </c>
      <c r="S279" s="460">
        <v>1</v>
      </c>
      <c r="T279" s="380">
        <v>50165.65</v>
      </c>
      <c r="U279" s="380">
        <v>0</v>
      </c>
      <c r="V279" s="380">
        <v>20520.72</v>
      </c>
      <c r="W279" s="380">
        <v>61900.800000000003</v>
      </c>
      <c r="X279" s="380">
        <v>25662.45</v>
      </c>
      <c r="Y279" s="380">
        <v>61900.800000000003</v>
      </c>
      <c r="Z279" s="380">
        <v>25501.51</v>
      </c>
      <c r="AA279" s="376" t="s">
        <v>916</v>
      </c>
      <c r="AB279" s="376" t="s">
        <v>917</v>
      </c>
      <c r="AC279" s="376" t="s">
        <v>918</v>
      </c>
      <c r="AD279" s="376" t="s">
        <v>220</v>
      </c>
      <c r="AE279" s="376" t="s">
        <v>407</v>
      </c>
      <c r="AF279" s="376" t="s">
        <v>299</v>
      </c>
      <c r="AG279" s="376" t="s">
        <v>177</v>
      </c>
      <c r="AH279" s="381">
        <v>29.76</v>
      </c>
      <c r="AI279" s="379">
        <v>8161</v>
      </c>
      <c r="AJ279" s="376" t="s">
        <v>178</v>
      </c>
      <c r="AK279" s="376" t="s">
        <v>179</v>
      </c>
      <c r="AL279" s="376" t="s">
        <v>180</v>
      </c>
      <c r="AM279" s="376" t="s">
        <v>181</v>
      </c>
      <c r="AN279" s="376" t="s">
        <v>68</v>
      </c>
      <c r="AO279" s="379">
        <v>80</v>
      </c>
      <c r="AP279" s="460">
        <v>1</v>
      </c>
      <c r="AQ279" s="460">
        <v>1</v>
      </c>
      <c r="AR279" s="458" t="s">
        <v>182</v>
      </c>
      <c r="AS279" s="462">
        <f t="shared" si="68"/>
        <v>1</v>
      </c>
      <c r="AT279">
        <f t="shared" si="69"/>
        <v>1</v>
      </c>
      <c r="AU279" s="462">
        <f>IF(AT279=0,"",IF(AND(AT279=1,M279="F",SUMIF(C2:C698,C279,AS2:AS698)&lt;=1),SUMIF(C2:C698,C279,AS2:AS698),IF(AND(AT279=1,M279="F",SUMIF(C2:C698,C279,AS2:AS698)&gt;1),1,"")))</f>
        <v>1</v>
      </c>
      <c r="AV279" s="462" t="str">
        <f>IF(AT279=0,"",IF(AND(AT279=3,M279="F",SUMIF(C2:C698,C279,AS2:AS698)&lt;=1),SUMIF(C2:C698,C279,AS2:AS698),IF(AND(AT279=3,M279="F",SUMIF(C2:C698,C279,AS2:AS698)&gt;1),1,"")))</f>
        <v/>
      </c>
      <c r="AW279" s="462">
        <f>SUMIF(C2:C698,C279,O2:O698)</f>
        <v>3</v>
      </c>
      <c r="AX279" s="462">
        <f>IF(AND(M279="F",AS279&lt;&gt;0),SUMIF(C2:C698,C279,W2:W698),0)</f>
        <v>61900.800000000003</v>
      </c>
      <c r="AY279" s="462">
        <f t="shared" si="70"/>
        <v>61900.800000000003</v>
      </c>
      <c r="AZ279" s="462" t="str">
        <f t="shared" si="71"/>
        <v/>
      </c>
      <c r="BA279" s="462">
        <f t="shared" si="72"/>
        <v>0</v>
      </c>
      <c r="BB279" s="462">
        <f>IF(AND(AT279=1,AK279="E",AU279&gt;=0.75,AW279=1),Health,IF(AND(AT279=1,AK279="E",AU279&gt;=0.75),Health*P279,IF(AND(AT279=1,AK279="E",AU279&gt;=0.5,AW279=1),PTHealth,IF(AND(AT279=1,AK279="E",AU279&gt;=0.5),PTHealth*P279,0))))</f>
        <v>11650</v>
      </c>
      <c r="BC279" s="462">
        <f>IF(AND(AT279=3,AK279="E",AV279&gt;=0.75,AW279=1),Health,IF(AND(AT279=3,AK279="E",AV279&gt;=0.75),Health*P279,IF(AND(AT279=3,AK279="E",AV279&gt;=0.5,AW279=1),PTHealth,IF(AND(AT279=3,AK279="E",AV279&gt;=0.5),PTHealth*P279,0))))</f>
        <v>0</v>
      </c>
      <c r="BD279" s="462">
        <f>IF(AND(AT279&lt;&gt;0,AX279&gt;=MAXSSDI),SSDI*MAXSSDI*P279,IF(AT279&lt;&gt;0,SSDI*W279,0))</f>
        <v>3837.8496</v>
      </c>
      <c r="BE279" s="462">
        <f>IF(AT279&lt;&gt;0,SSHI*W279,0)</f>
        <v>897.56160000000011</v>
      </c>
      <c r="BF279" s="462">
        <f>IF(AND(AT279&lt;&gt;0,AN279&lt;&gt;"NE"),VLOOKUP(AN279,Retirement_Rates,3,FALSE)*W279,0)</f>
        <v>7390.9555200000004</v>
      </c>
      <c r="BG279" s="462">
        <f>IF(AND(AT279&lt;&gt;0,AJ279&lt;&gt;"PF"),Life*W279,0)</f>
        <v>446.30476800000002</v>
      </c>
      <c r="BH279" s="462">
        <f>IF(AND(AT279&lt;&gt;0,AM279="Y"),UI*W279,0)</f>
        <v>303.31392</v>
      </c>
      <c r="BI279" s="462">
        <f>IF(AND(AT279&lt;&gt;0,N279&lt;&gt;"NR"),DHR*W279,0)</f>
        <v>189.416448</v>
      </c>
      <c r="BJ279" s="462">
        <f>IF(AT279&lt;&gt;0,WC*W279,0)</f>
        <v>947.08223999999996</v>
      </c>
      <c r="BK279" s="462">
        <f>IF(OR(AND(AT279&lt;&gt;0,AJ279&lt;&gt;"PF",AN279&lt;&gt;"NE",AG279&lt;&gt;"A"),AND(AL279="E",OR(AT279=1,AT279=3))),Sick*W279,0)</f>
        <v>0</v>
      </c>
      <c r="BL279" s="462">
        <f t="shared" si="73"/>
        <v>14012.484096000002</v>
      </c>
      <c r="BM279" s="462">
        <f t="shared" si="74"/>
        <v>0</v>
      </c>
      <c r="BN279" s="462">
        <f>IF(AND(AT279=1,AK279="E",AU279&gt;=0.75,AW279=1),HealthBY,IF(AND(AT279=1,AK279="E",AU279&gt;=0.75),HealthBY*P279,IF(AND(AT279=1,AK279="E",AU279&gt;=0.5,AW279=1),PTHealthBY,IF(AND(AT279=1,AK279="E",AU279&gt;=0.5),PTHealthBY*P279,0))))</f>
        <v>11650</v>
      </c>
      <c r="BO279" s="462">
        <f>IF(AND(AT279=3,AK279="E",AV279&gt;=0.75,AW279=1),HealthBY,IF(AND(AT279=3,AK279="E",AV279&gt;=0.75),HealthBY*P279,IF(AND(AT279=3,AK279="E",AV279&gt;=0.5,AW279=1),PTHealthBY,IF(AND(AT279=3,AK279="E",AV279&gt;=0.5),PTHealthBY*P279,0))))</f>
        <v>0</v>
      </c>
      <c r="BP279" s="462">
        <f>IF(AND(AT279&lt;&gt;0,(AX279+BA279)&gt;=MAXSSDIBY),SSDIBY*MAXSSDIBY*P279,IF(AT279&lt;&gt;0,SSDIBY*W279,0))</f>
        <v>3837.8496</v>
      </c>
      <c r="BQ279" s="462">
        <f>IF(AT279&lt;&gt;0,SSHIBY*W279,0)</f>
        <v>897.56160000000011</v>
      </c>
      <c r="BR279" s="462">
        <f>IF(AND(AT279&lt;&gt;0,AN279&lt;&gt;"NE"),VLOOKUP(AN279,Retirement_Rates,4,FALSE)*W279,0)</f>
        <v>7390.9555200000004</v>
      </c>
      <c r="BS279" s="462">
        <f>IF(AND(AT279&lt;&gt;0,AJ279&lt;&gt;"PF"),LifeBY*W279,0)</f>
        <v>446.30476800000002</v>
      </c>
      <c r="BT279" s="462">
        <f>IF(AND(AT279&lt;&gt;0,AM279="Y"),UIBY*W279,0)</f>
        <v>0</v>
      </c>
      <c r="BU279" s="462">
        <f>IF(AND(AT279&lt;&gt;0,N279&lt;&gt;"NR"),DHRBY*W279,0)</f>
        <v>189.416448</v>
      </c>
      <c r="BV279" s="462">
        <f>IF(AT279&lt;&gt;0,WCBY*W279,0)</f>
        <v>1089.4540800000002</v>
      </c>
      <c r="BW279" s="462">
        <f>IF(OR(AND(AT279&lt;&gt;0,AJ279&lt;&gt;"PF",AN279&lt;&gt;"NE",AG279&lt;&gt;"A"),AND(AL279="E",OR(AT279=1,AT279=3))),SickBY*W279,0)</f>
        <v>0</v>
      </c>
      <c r="BX279" s="462">
        <f t="shared" si="75"/>
        <v>13851.542016000001</v>
      </c>
      <c r="BY279" s="462">
        <f t="shared" si="76"/>
        <v>0</v>
      </c>
      <c r="BZ279" s="462">
        <f t="shared" si="77"/>
        <v>0</v>
      </c>
      <c r="CA279" s="462">
        <f t="shared" si="78"/>
        <v>0</v>
      </c>
      <c r="CB279" s="462">
        <f t="shared" si="79"/>
        <v>0</v>
      </c>
      <c r="CC279" s="462">
        <f>IF(AT279&lt;&gt;0,SSHICHG*Y279,0)</f>
        <v>0</v>
      </c>
      <c r="CD279" s="462">
        <f>IF(AND(AT279&lt;&gt;0,AN279&lt;&gt;"NE"),VLOOKUP(AN279,Retirement_Rates,5,FALSE)*Y279,0)</f>
        <v>0</v>
      </c>
      <c r="CE279" s="462">
        <f>IF(AND(AT279&lt;&gt;0,AJ279&lt;&gt;"PF"),LifeCHG*Y279,0)</f>
        <v>0</v>
      </c>
      <c r="CF279" s="462">
        <f>IF(AND(AT279&lt;&gt;0,AM279="Y"),UICHG*Y279,0)</f>
        <v>-303.31392</v>
      </c>
      <c r="CG279" s="462">
        <f>IF(AND(AT279&lt;&gt;0,N279&lt;&gt;"NR"),DHRCHG*Y279,0)</f>
        <v>0</v>
      </c>
      <c r="CH279" s="462">
        <f>IF(AT279&lt;&gt;0,WCCHG*Y279,0)</f>
        <v>142.37184000000011</v>
      </c>
      <c r="CI279" s="462">
        <f>IF(OR(AND(AT279&lt;&gt;0,AJ279&lt;&gt;"PF",AN279&lt;&gt;"NE",AG279&lt;&gt;"A"),AND(AL279="E",OR(AT279=1,AT279=3))),SickCHG*Y279,0)</f>
        <v>0</v>
      </c>
      <c r="CJ279" s="462">
        <f t="shared" si="80"/>
        <v>-160.94207999999989</v>
      </c>
      <c r="CK279" s="462" t="str">
        <f t="shared" si="81"/>
        <v/>
      </c>
      <c r="CL279" s="462" t="str">
        <f t="shared" si="82"/>
        <v/>
      </c>
      <c r="CM279" s="462" t="str">
        <f t="shared" si="83"/>
        <v/>
      </c>
      <c r="CN279" s="462" t="str">
        <f t="shared" si="84"/>
        <v>0001-00</v>
      </c>
    </row>
    <row r="280" spans="1:92" ht="15" thickBot="1" x14ac:dyDescent="0.35">
      <c r="A280" s="376" t="s">
        <v>161</v>
      </c>
      <c r="B280" s="376" t="s">
        <v>162</v>
      </c>
      <c r="C280" s="376" t="s">
        <v>919</v>
      </c>
      <c r="D280" s="376" t="s">
        <v>761</v>
      </c>
      <c r="E280" s="376" t="s">
        <v>165</v>
      </c>
      <c r="F280" s="377" t="s">
        <v>166</v>
      </c>
      <c r="G280" s="376" t="s">
        <v>762</v>
      </c>
      <c r="H280" s="378"/>
      <c r="I280" s="378"/>
      <c r="J280" s="376" t="s">
        <v>185</v>
      </c>
      <c r="K280" s="376" t="s">
        <v>763</v>
      </c>
      <c r="L280" s="376" t="s">
        <v>166</v>
      </c>
      <c r="M280" s="376" t="s">
        <v>201</v>
      </c>
      <c r="N280" s="376" t="s">
        <v>291</v>
      </c>
      <c r="O280" s="379">
        <v>0</v>
      </c>
      <c r="P280" s="460">
        <v>1</v>
      </c>
      <c r="Q280" s="460">
        <v>0</v>
      </c>
      <c r="R280" s="380">
        <v>0</v>
      </c>
      <c r="S280" s="460">
        <v>0</v>
      </c>
      <c r="T280" s="380">
        <v>0</v>
      </c>
      <c r="U280" s="380">
        <v>0</v>
      </c>
      <c r="V280" s="380">
        <v>0</v>
      </c>
      <c r="W280" s="380">
        <v>0</v>
      </c>
      <c r="X280" s="380">
        <v>0</v>
      </c>
      <c r="Y280" s="380">
        <v>0</v>
      </c>
      <c r="Z280" s="380">
        <v>0</v>
      </c>
      <c r="AA280" s="378"/>
      <c r="AB280" s="376" t="s">
        <v>45</v>
      </c>
      <c r="AC280" s="376" t="s">
        <v>45</v>
      </c>
      <c r="AD280" s="378"/>
      <c r="AE280" s="378"/>
      <c r="AF280" s="378"/>
      <c r="AG280" s="378"/>
      <c r="AH280" s="379">
        <v>0</v>
      </c>
      <c r="AI280" s="379">
        <v>0</v>
      </c>
      <c r="AJ280" s="378"/>
      <c r="AK280" s="378"/>
      <c r="AL280" s="376" t="s">
        <v>180</v>
      </c>
      <c r="AM280" s="378"/>
      <c r="AN280" s="378"/>
      <c r="AO280" s="379">
        <v>0</v>
      </c>
      <c r="AP280" s="460">
        <v>0</v>
      </c>
      <c r="AQ280" s="460">
        <v>0</v>
      </c>
      <c r="AR280" s="459"/>
      <c r="AS280" s="462">
        <f t="shared" si="68"/>
        <v>0</v>
      </c>
      <c r="AT280">
        <f t="shared" si="69"/>
        <v>0</v>
      </c>
      <c r="AU280" s="462" t="str">
        <f>IF(AT280=0,"",IF(AND(AT280=1,M280="F",SUMIF(C2:C698,C280,AS2:AS698)&lt;=1),SUMIF(C2:C698,C280,AS2:AS698),IF(AND(AT280=1,M280="F",SUMIF(C2:C698,C280,AS2:AS698)&gt;1),1,"")))</f>
        <v/>
      </c>
      <c r="AV280" s="462" t="str">
        <f>IF(AT280=0,"",IF(AND(AT280=3,M280="F",SUMIF(C2:C698,C280,AS2:AS698)&lt;=1),SUMIF(C2:C698,C280,AS2:AS698),IF(AND(AT280=3,M280="F",SUMIF(C2:C698,C280,AS2:AS698)&gt;1),1,"")))</f>
        <v/>
      </c>
      <c r="AW280" s="462">
        <f>SUMIF(C2:C698,C280,O2:O698)</f>
        <v>0</v>
      </c>
      <c r="AX280" s="462">
        <f>IF(AND(M280="F",AS280&lt;&gt;0),SUMIF(C2:C698,C280,W2:W698),0)</f>
        <v>0</v>
      </c>
      <c r="AY280" s="462" t="str">
        <f t="shared" si="70"/>
        <v/>
      </c>
      <c r="AZ280" s="462" t="str">
        <f t="shared" si="71"/>
        <v/>
      </c>
      <c r="BA280" s="462">
        <f t="shared" si="72"/>
        <v>0</v>
      </c>
      <c r="BB280" s="462">
        <f>IF(AND(AT280=1,AK280="E",AU280&gt;=0.75,AW280=1),Health,IF(AND(AT280=1,AK280="E",AU280&gt;=0.75),Health*P280,IF(AND(AT280=1,AK280="E",AU280&gt;=0.5,AW280=1),PTHealth,IF(AND(AT280=1,AK280="E",AU280&gt;=0.5),PTHealth*P280,0))))</f>
        <v>0</v>
      </c>
      <c r="BC280" s="462">
        <f>IF(AND(AT280=3,AK280="E",AV280&gt;=0.75,AW280=1),Health,IF(AND(AT280=3,AK280="E",AV280&gt;=0.75),Health*P280,IF(AND(AT280=3,AK280="E",AV280&gt;=0.5,AW280=1),PTHealth,IF(AND(AT280=3,AK280="E",AV280&gt;=0.5),PTHealth*P280,0))))</f>
        <v>0</v>
      </c>
      <c r="BD280" s="462">
        <f>IF(AND(AT280&lt;&gt;0,AX280&gt;=MAXSSDI),SSDI*MAXSSDI*P280,IF(AT280&lt;&gt;0,SSDI*W280,0))</f>
        <v>0</v>
      </c>
      <c r="BE280" s="462">
        <f>IF(AT280&lt;&gt;0,SSHI*W280,0)</f>
        <v>0</v>
      </c>
      <c r="BF280" s="462">
        <f>IF(AND(AT280&lt;&gt;0,AN280&lt;&gt;"NE"),VLOOKUP(AN280,Retirement_Rates,3,FALSE)*W280,0)</f>
        <v>0</v>
      </c>
      <c r="BG280" s="462">
        <f>IF(AND(AT280&lt;&gt;0,AJ280&lt;&gt;"PF"),Life*W280,0)</f>
        <v>0</v>
      </c>
      <c r="BH280" s="462">
        <f>IF(AND(AT280&lt;&gt;0,AM280="Y"),UI*W280,0)</f>
        <v>0</v>
      </c>
      <c r="BI280" s="462">
        <f>IF(AND(AT280&lt;&gt;0,N280&lt;&gt;"NR"),DHR*W280,0)</f>
        <v>0</v>
      </c>
      <c r="BJ280" s="462">
        <f>IF(AT280&lt;&gt;0,WC*W280,0)</f>
        <v>0</v>
      </c>
      <c r="BK280" s="462">
        <f>IF(OR(AND(AT280&lt;&gt;0,AJ280&lt;&gt;"PF",AN280&lt;&gt;"NE",AG280&lt;&gt;"A"),AND(AL280="E",OR(AT280=1,AT280=3))),Sick*W280,0)</f>
        <v>0</v>
      </c>
      <c r="BL280" s="462">
        <f t="shared" si="73"/>
        <v>0</v>
      </c>
      <c r="BM280" s="462">
        <f t="shared" si="74"/>
        <v>0</v>
      </c>
      <c r="BN280" s="462">
        <f>IF(AND(AT280=1,AK280="E",AU280&gt;=0.75,AW280=1),HealthBY,IF(AND(AT280=1,AK280="E",AU280&gt;=0.75),HealthBY*P280,IF(AND(AT280=1,AK280="E",AU280&gt;=0.5,AW280=1),PTHealthBY,IF(AND(AT280=1,AK280="E",AU280&gt;=0.5),PTHealthBY*P280,0))))</f>
        <v>0</v>
      </c>
      <c r="BO280" s="462">
        <f>IF(AND(AT280=3,AK280="E",AV280&gt;=0.75,AW280=1),HealthBY,IF(AND(AT280=3,AK280="E",AV280&gt;=0.75),HealthBY*P280,IF(AND(AT280=3,AK280="E",AV280&gt;=0.5,AW280=1),PTHealthBY,IF(AND(AT280=3,AK280="E",AV280&gt;=0.5),PTHealthBY*P280,0))))</f>
        <v>0</v>
      </c>
      <c r="BP280" s="462">
        <f>IF(AND(AT280&lt;&gt;0,(AX280+BA280)&gt;=MAXSSDIBY),SSDIBY*MAXSSDIBY*P280,IF(AT280&lt;&gt;0,SSDIBY*W280,0))</f>
        <v>0</v>
      </c>
      <c r="BQ280" s="462">
        <f>IF(AT280&lt;&gt;0,SSHIBY*W280,0)</f>
        <v>0</v>
      </c>
      <c r="BR280" s="462">
        <f>IF(AND(AT280&lt;&gt;0,AN280&lt;&gt;"NE"),VLOOKUP(AN280,Retirement_Rates,4,FALSE)*W280,0)</f>
        <v>0</v>
      </c>
      <c r="BS280" s="462">
        <f>IF(AND(AT280&lt;&gt;0,AJ280&lt;&gt;"PF"),LifeBY*W280,0)</f>
        <v>0</v>
      </c>
      <c r="BT280" s="462">
        <f>IF(AND(AT280&lt;&gt;0,AM280="Y"),UIBY*W280,0)</f>
        <v>0</v>
      </c>
      <c r="BU280" s="462">
        <f>IF(AND(AT280&lt;&gt;0,N280&lt;&gt;"NR"),DHRBY*W280,0)</f>
        <v>0</v>
      </c>
      <c r="BV280" s="462">
        <f>IF(AT280&lt;&gt;0,WCBY*W280,0)</f>
        <v>0</v>
      </c>
      <c r="BW280" s="462">
        <f>IF(OR(AND(AT280&lt;&gt;0,AJ280&lt;&gt;"PF",AN280&lt;&gt;"NE",AG280&lt;&gt;"A"),AND(AL280="E",OR(AT280=1,AT280=3))),SickBY*W280,0)</f>
        <v>0</v>
      </c>
      <c r="BX280" s="462">
        <f t="shared" si="75"/>
        <v>0</v>
      </c>
      <c r="BY280" s="462">
        <f t="shared" si="76"/>
        <v>0</v>
      </c>
      <c r="BZ280" s="462">
        <f t="shared" si="77"/>
        <v>0</v>
      </c>
      <c r="CA280" s="462">
        <f t="shared" si="78"/>
        <v>0</v>
      </c>
      <c r="CB280" s="462">
        <f t="shared" si="79"/>
        <v>0</v>
      </c>
      <c r="CC280" s="462">
        <f>IF(AT280&lt;&gt;0,SSHICHG*Y280,0)</f>
        <v>0</v>
      </c>
      <c r="CD280" s="462">
        <f>IF(AND(AT280&lt;&gt;0,AN280&lt;&gt;"NE"),VLOOKUP(AN280,Retirement_Rates,5,FALSE)*Y280,0)</f>
        <v>0</v>
      </c>
      <c r="CE280" s="462">
        <f>IF(AND(AT280&lt;&gt;0,AJ280&lt;&gt;"PF"),LifeCHG*Y280,0)</f>
        <v>0</v>
      </c>
      <c r="CF280" s="462">
        <f>IF(AND(AT280&lt;&gt;0,AM280="Y"),UICHG*Y280,0)</f>
        <v>0</v>
      </c>
      <c r="CG280" s="462">
        <f>IF(AND(AT280&lt;&gt;0,N280&lt;&gt;"NR"),DHRCHG*Y280,0)</f>
        <v>0</v>
      </c>
      <c r="CH280" s="462">
        <f>IF(AT280&lt;&gt;0,WCCHG*Y280,0)</f>
        <v>0</v>
      </c>
      <c r="CI280" s="462">
        <f>IF(OR(AND(AT280&lt;&gt;0,AJ280&lt;&gt;"PF",AN280&lt;&gt;"NE",AG280&lt;&gt;"A"),AND(AL280="E",OR(AT280=1,AT280=3))),SickCHG*Y280,0)</f>
        <v>0</v>
      </c>
      <c r="CJ280" s="462">
        <f t="shared" si="80"/>
        <v>0</v>
      </c>
      <c r="CK280" s="462" t="str">
        <f t="shared" si="81"/>
        <v/>
      </c>
      <c r="CL280" s="462">
        <f t="shared" si="82"/>
        <v>0</v>
      </c>
      <c r="CM280" s="462">
        <f t="shared" si="83"/>
        <v>0</v>
      </c>
      <c r="CN280" s="462" t="str">
        <f t="shared" si="84"/>
        <v>0001-00</v>
      </c>
    </row>
    <row r="281" spans="1:92" ht="15" thickBot="1" x14ac:dyDescent="0.35">
      <c r="A281" s="376" t="s">
        <v>161</v>
      </c>
      <c r="B281" s="376" t="s">
        <v>162</v>
      </c>
      <c r="C281" s="376" t="s">
        <v>920</v>
      </c>
      <c r="D281" s="376" t="s">
        <v>362</v>
      </c>
      <c r="E281" s="376" t="s">
        <v>165</v>
      </c>
      <c r="F281" s="377" t="s">
        <v>166</v>
      </c>
      <c r="G281" s="376" t="s">
        <v>762</v>
      </c>
      <c r="H281" s="378"/>
      <c r="I281" s="378"/>
      <c r="J281" s="376" t="s">
        <v>877</v>
      </c>
      <c r="K281" s="376" t="s">
        <v>363</v>
      </c>
      <c r="L281" s="376" t="s">
        <v>200</v>
      </c>
      <c r="M281" s="376" t="s">
        <v>170</v>
      </c>
      <c r="N281" s="376" t="s">
        <v>202</v>
      </c>
      <c r="O281" s="379">
        <v>1</v>
      </c>
      <c r="P281" s="460">
        <v>0.12</v>
      </c>
      <c r="Q281" s="460">
        <v>0.12</v>
      </c>
      <c r="R281" s="380">
        <v>80</v>
      </c>
      <c r="S281" s="460">
        <v>0.12</v>
      </c>
      <c r="T281" s="380">
        <v>2846.07</v>
      </c>
      <c r="U281" s="380">
        <v>0</v>
      </c>
      <c r="V281" s="380">
        <v>1390.55</v>
      </c>
      <c r="W281" s="380">
        <v>5616</v>
      </c>
      <c r="X281" s="380">
        <v>2669.29</v>
      </c>
      <c r="Y281" s="380">
        <v>5616</v>
      </c>
      <c r="Z281" s="380">
        <v>2654.69</v>
      </c>
      <c r="AA281" s="376" t="s">
        <v>921</v>
      </c>
      <c r="AB281" s="376" t="s">
        <v>922</v>
      </c>
      <c r="AC281" s="376" t="s">
        <v>486</v>
      </c>
      <c r="AD281" s="376" t="s">
        <v>278</v>
      </c>
      <c r="AE281" s="376" t="s">
        <v>363</v>
      </c>
      <c r="AF281" s="376" t="s">
        <v>210</v>
      </c>
      <c r="AG281" s="376" t="s">
        <v>177</v>
      </c>
      <c r="AH281" s="381">
        <v>22.5</v>
      </c>
      <c r="AI281" s="379">
        <v>6896</v>
      </c>
      <c r="AJ281" s="376" t="s">
        <v>178</v>
      </c>
      <c r="AK281" s="376" t="s">
        <v>179</v>
      </c>
      <c r="AL281" s="376" t="s">
        <v>180</v>
      </c>
      <c r="AM281" s="376" t="s">
        <v>181</v>
      </c>
      <c r="AN281" s="376" t="s">
        <v>68</v>
      </c>
      <c r="AO281" s="379">
        <v>80</v>
      </c>
      <c r="AP281" s="460">
        <v>1</v>
      </c>
      <c r="AQ281" s="460">
        <v>0.12</v>
      </c>
      <c r="AR281" s="458" t="s">
        <v>182</v>
      </c>
      <c r="AS281" s="462">
        <f t="shared" si="68"/>
        <v>0.12</v>
      </c>
      <c r="AT281">
        <f t="shared" si="69"/>
        <v>1</v>
      </c>
      <c r="AU281" s="462">
        <f>IF(AT281=0,"",IF(AND(AT281=1,M281="F",SUMIF(C2:C698,C281,AS2:AS698)&lt;=1),SUMIF(C2:C698,C281,AS2:AS698),IF(AND(AT281=1,M281="F",SUMIF(C2:C698,C281,AS2:AS698)&gt;1),1,"")))</f>
        <v>1</v>
      </c>
      <c r="AV281" s="462" t="str">
        <f>IF(AT281=0,"",IF(AND(AT281=3,M281="F",SUMIF(C2:C698,C281,AS2:AS698)&lt;=1),SUMIF(C2:C698,C281,AS2:AS698),IF(AND(AT281=3,M281="F",SUMIF(C2:C698,C281,AS2:AS698)&gt;1),1,"")))</f>
        <v/>
      </c>
      <c r="AW281" s="462">
        <f>SUMIF(C2:C698,C281,O2:O698)</f>
        <v>6</v>
      </c>
      <c r="AX281" s="462">
        <f>IF(AND(M281="F",AS281&lt;&gt;0),SUMIF(C2:C698,C281,W2:W698),0)</f>
        <v>46800</v>
      </c>
      <c r="AY281" s="462">
        <f t="shared" si="70"/>
        <v>5616</v>
      </c>
      <c r="AZ281" s="462" t="str">
        <f t="shared" si="71"/>
        <v/>
      </c>
      <c r="BA281" s="462">
        <f t="shared" si="72"/>
        <v>0</v>
      </c>
      <c r="BB281" s="462">
        <f>IF(AND(AT281=1,AK281="E",AU281&gt;=0.75,AW281=1),Health,IF(AND(AT281=1,AK281="E",AU281&gt;=0.75),Health*P281,IF(AND(AT281=1,AK281="E",AU281&gt;=0.5,AW281=1),PTHealth,IF(AND(AT281=1,AK281="E",AU281&gt;=0.5),PTHealth*P281,0))))</f>
        <v>1398</v>
      </c>
      <c r="BC281" s="462">
        <f>IF(AND(AT281=3,AK281="E",AV281&gt;=0.75,AW281=1),Health,IF(AND(AT281=3,AK281="E",AV281&gt;=0.75),Health*P281,IF(AND(AT281=3,AK281="E",AV281&gt;=0.5,AW281=1),PTHealth,IF(AND(AT281=3,AK281="E",AV281&gt;=0.5),PTHealth*P281,0))))</f>
        <v>0</v>
      </c>
      <c r="BD281" s="462">
        <f>IF(AND(AT281&lt;&gt;0,AX281&gt;=MAXSSDI),SSDI*MAXSSDI*P281,IF(AT281&lt;&gt;0,SSDI*W281,0))</f>
        <v>348.19200000000001</v>
      </c>
      <c r="BE281" s="462">
        <f>IF(AT281&lt;&gt;0,SSHI*W281,0)</f>
        <v>81.432000000000002</v>
      </c>
      <c r="BF281" s="462">
        <f>IF(AND(AT281&lt;&gt;0,AN281&lt;&gt;"NE"),VLOOKUP(AN281,Retirement_Rates,3,FALSE)*W281,0)</f>
        <v>670.55040000000008</v>
      </c>
      <c r="BG281" s="462">
        <f>IF(AND(AT281&lt;&gt;0,AJ281&lt;&gt;"PF"),Life*W281,0)</f>
        <v>40.49136</v>
      </c>
      <c r="BH281" s="462">
        <f>IF(AND(AT281&lt;&gt;0,AM281="Y"),UI*W281,0)</f>
        <v>27.5184</v>
      </c>
      <c r="BI281" s="462">
        <f>IF(AND(AT281&lt;&gt;0,N281&lt;&gt;"NR"),DHR*W281,0)</f>
        <v>17.18496</v>
      </c>
      <c r="BJ281" s="462">
        <f>IF(AT281&lt;&gt;0,WC*W281,0)</f>
        <v>85.924799999999991</v>
      </c>
      <c r="BK281" s="462">
        <f>IF(OR(AND(AT281&lt;&gt;0,AJ281&lt;&gt;"PF",AN281&lt;&gt;"NE",AG281&lt;&gt;"A"),AND(AL281="E",OR(AT281=1,AT281=3))),Sick*W281,0)</f>
        <v>0</v>
      </c>
      <c r="BL281" s="462">
        <f t="shared" si="73"/>
        <v>1271.2939200000001</v>
      </c>
      <c r="BM281" s="462">
        <f t="shared" si="74"/>
        <v>0</v>
      </c>
      <c r="BN281" s="462">
        <f>IF(AND(AT281=1,AK281="E",AU281&gt;=0.75,AW281=1),HealthBY,IF(AND(AT281=1,AK281="E",AU281&gt;=0.75),HealthBY*P281,IF(AND(AT281=1,AK281="E",AU281&gt;=0.5,AW281=1),PTHealthBY,IF(AND(AT281=1,AK281="E",AU281&gt;=0.5),PTHealthBY*P281,0))))</f>
        <v>1398</v>
      </c>
      <c r="BO281" s="462">
        <f>IF(AND(AT281=3,AK281="E",AV281&gt;=0.75,AW281=1),HealthBY,IF(AND(AT281=3,AK281="E",AV281&gt;=0.75),HealthBY*P281,IF(AND(AT281=3,AK281="E",AV281&gt;=0.5,AW281=1),PTHealthBY,IF(AND(AT281=3,AK281="E",AV281&gt;=0.5),PTHealthBY*P281,0))))</f>
        <v>0</v>
      </c>
      <c r="BP281" s="462">
        <f>IF(AND(AT281&lt;&gt;0,(AX281+BA281)&gt;=MAXSSDIBY),SSDIBY*MAXSSDIBY*P281,IF(AT281&lt;&gt;0,SSDIBY*W281,0))</f>
        <v>348.19200000000001</v>
      </c>
      <c r="BQ281" s="462">
        <f>IF(AT281&lt;&gt;0,SSHIBY*W281,0)</f>
        <v>81.432000000000002</v>
      </c>
      <c r="BR281" s="462">
        <f>IF(AND(AT281&lt;&gt;0,AN281&lt;&gt;"NE"),VLOOKUP(AN281,Retirement_Rates,4,FALSE)*W281,0)</f>
        <v>670.55040000000008</v>
      </c>
      <c r="BS281" s="462">
        <f>IF(AND(AT281&lt;&gt;0,AJ281&lt;&gt;"PF"),LifeBY*W281,0)</f>
        <v>40.49136</v>
      </c>
      <c r="BT281" s="462">
        <f>IF(AND(AT281&lt;&gt;0,AM281="Y"),UIBY*W281,0)</f>
        <v>0</v>
      </c>
      <c r="BU281" s="462">
        <f>IF(AND(AT281&lt;&gt;0,N281&lt;&gt;"NR"),DHRBY*W281,0)</f>
        <v>17.18496</v>
      </c>
      <c r="BV281" s="462">
        <f>IF(AT281&lt;&gt;0,WCBY*W281,0)</f>
        <v>98.8416</v>
      </c>
      <c r="BW281" s="462">
        <f>IF(OR(AND(AT281&lt;&gt;0,AJ281&lt;&gt;"PF",AN281&lt;&gt;"NE",AG281&lt;&gt;"A"),AND(AL281="E",OR(AT281=1,AT281=3))),SickBY*W281,0)</f>
        <v>0</v>
      </c>
      <c r="BX281" s="462">
        <f t="shared" si="75"/>
        <v>1256.6923200000001</v>
      </c>
      <c r="BY281" s="462">
        <f t="shared" si="76"/>
        <v>0</v>
      </c>
      <c r="BZ281" s="462">
        <f t="shared" si="77"/>
        <v>0</v>
      </c>
      <c r="CA281" s="462">
        <f t="shared" si="78"/>
        <v>0</v>
      </c>
      <c r="CB281" s="462">
        <f t="shared" si="79"/>
        <v>0</v>
      </c>
      <c r="CC281" s="462">
        <f>IF(AT281&lt;&gt;0,SSHICHG*Y281,0)</f>
        <v>0</v>
      </c>
      <c r="CD281" s="462">
        <f>IF(AND(AT281&lt;&gt;0,AN281&lt;&gt;"NE"),VLOOKUP(AN281,Retirement_Rates,5,FALSE)*Y281,0)</f>
        <v>0</v>
      </c>
      <c r="CE281" s="462">
        <f>IF(AND(AT281&lt;&gt;0,AJ281&lt;&gt;"PF"),LifeCHG*Y281,0)</f>
        <v>0</v>
      </c>
      <c r="CF281" s="462">
        <f>IF(AND(AT281&lt;&gt;0,AM281="Y"),UICHG*Y281,0)</f>
        <v>-27.5184</v>
      </c>
      <c r="CG281" s="462">
        <f>IF(AND(AT281&lt;&gt;0,N281&lt;&gt;"NR"),DHRCHG*Y281,0)</f>
        <v>0</v>
      </c>
      <c r="CH281" s="462">
        <f>IF(AT281&lt;&gt;0,WCCHG*Y281,0)</f>
        <v>12.916800000000009</v>
      </c>
      <c r="CI281" s="462">
        <f>IF(OR(AND(AT281&lt;&gt;0,AJ281&lt;&gt;"PF",AN281&lt;&gt;"NE",AG281&lt;&gt;"A"),AND(AL281="E",OR(AT281=1,AT281=3))),SickCHG*Y281,0)</f>
        <v>0</v>
      </c>
      <c r="CJ281" s="462">
        <f t="shared" si="80"/>
        <v>-14.601599999999991</v>
      </c>
      <c r="CK281" s="462" t="str">
        <f t="shared" si="81"/>
        <v/>
      </c>
      <c r="CL281" s="462" t="str">
        <f t="shared" si="82"/>
        <v/>
      </c>
      <c r="CM281" s="462" t="str">
        <f t="shared" si="83"/>
        <v/>
      </c>
      <c r="CN281" s="462" t="str">
        <f t="shared" si="84"/>
        <v>0001-00</v>
      </c>
    </row>
    <row r="282" spans="1:92" ht="15" thickBot="1" x14ac:dyDescent="0.35">
      <c r="A282" s="376" t="s">
        <v>161</v>
      </c>
      <c r="B282" s="376" t="s">
        <v>162</v>
      </c>
      <c r="C282" s="376" t="s">
        <v>923</v>
      </c>
      <c r="D282" s="376" t="s">
        <v>362</v>
      </c>
      <c r="E282" s="376" t="s">
        <v>165</v>
      </c>
      <c r="F282" s="377" t="s">
        <v>166</v>
      </c>
      <c r="G282" s="376" t="s">
        <v>762</v>
      </c>
      <c r="H282" s="378"/>
      <c r="I282" s="378"/>
      <c r="J282" s="376" t="s">
        <v>168</v>
      </c>
      <c r="K282" s="376" t="s">
        <v>363</v>
      </c>
      <c r="L282" s="376" t="s">
        <v>200</v>
      </c>
      <c r="M282" s="376" t="s">
        <v>170</v>
      </c>
      <c r="N282" s="376" t="s">
        <v>202</v>
      </c>
      <c r="O282" s="379">
        <v>1</v>
      </c>
      <c r="P282" s="460">
        <v>0</v>
      </c>
      <c r="Q282" s="460">
        <v>0</v>
      </c>
      <c r="R282" s="380">
        <v>80</v>
      </c>
      <c r="S282" s="460">
        <v>0</v>
      </c>
      <c r="T282" s="380">
        <v>4746.03</v>
      </c>
      <c r="U282" s="380">
        <v>0</v>
      </c>
      <c r="V282" s="380">
        <v>2076.77</v>
      </c>
      <c r="W282" s="380">
        <v>0</v>
      </c>
      <c r="X282" s="380">
        <v>0</v>
      </c>
      <c r="Y282" s="380">
        <v>0</v>
      </c>
      <c r="Z282" s="380">
        <v>0</v>
      </c>
      <c r="AA282" s="376" t="s">
        <v>924</v>
      </c>
      <c r="AB282" s="376" t="s">
        <v>925</v>
      </c>
      <c r="AC282" s="376" t="s">
        <v>926</v>
      </c>
      <c r="AD282" s="376" t="s">
        <v>177</v>
      </c>
      <c r="AE282" s="376" t="s">
        <v>363</v>
      </c>
      <c r="AF282" s="376" t="s">
        <v>210</v>
      </c>
      <c r="AG282" s="376" t="s">
        <v>177</v>
      </c>
      <c r="AH282" s="381">
        <v>22.5</v>
      </c>
      <c r="AI282" s="381">
        <v>13298.5</v>
      </c>
      <c r="AJ282" s="376" t="s">
        <v>178</v>
      </c>
      <c r="AK282" s="376" t="s">
        <v>179</v>
      </c>
      <c r="AL282" s="376" t="s">
        <v>180</v>
      </c>
      <c r="AM282" s="376" t="s">
        <v>181</v>
      </c>
      <c r="AN282" s="376" t="s">
        <v>68</v>
      </c>
      <c r="AO282" s="379">
        <v>80</v>
      </c>
      <c r="AP282" s="460">
        <v>1</v>
      </c>
      <c r="AQ282" s="460">
        <v>0</v>
      </c>
      <c r="AR282" s="458" t="s">
        <v>182</v>
      </c>
      <c r="AS282" s="462">
        <f t="shared" si="68"/>
        <v>0</v>
      </c>
      <c r="AT282">
        <f t="shared" si="69"/>
        <v>0</v>
      </c>
      <c r="AU282" s="462" t="str">
        <f>IF(AT282=0,"",IF(AND(AT282=1,M282="F",SUMIF(C2:C698,C282,AS2:AS698)&lt;=1),SUMIF(C2:C698,C282,AS2:AS698),IF(AND(AT282=1,M282="F",SUMIF(C2:C698,C282,AS2:AS698)&gt;1),1,"")))</f>
        <v/>
      </c>
      <c r="AV282" s="462" t="str">
        <f>IF(AT282=0,"",IF(AND(AT282=3,M282="F",SUMIF(C2:C698,C282,AS2:AS698)&lt;=1),SUMIF(C2:C698,C282,AS2:AS698),IF(AND(AT282=3,M282="F",SUMIF(C2:C698,C282,AS2:AS698)&gt;1),1,"")))</f>
        <v/>
      </c>
      <c r="AW282" s="462">
        <f>SUMIF(C2:C698,C282,O2:O698)</f>
        <v>9</v>
      </c>
      <c r="AX282" s="462">
        <f>IF(AND(M282="F",AS282&lt;&gt;0),SUMIF(C2:C698,C282,W2:W698),0)</f>
        <v>0</v>
      </c>
      <c r="AY282" s="462" t="str">
        <f t="shared" si="70"/>
        <v/>
      </c>
      <c r="AZ282" s="462" t="str">
        <f t="shared" si="71"/>
        <v/>
      </c>
      <c r="BA282" s="462">
        <f t="shared" si="72"/>
        <v>0</v>
      </c>
      <c r="BB282" s="462">
        <f>IF(AND(AT282=1,AK282="E",AU282&gt;=0.75,AW282=1),Health,IF(AND(AT282=1,AK282="E",AU282&gt;=0.75),Health*P282,IF(AND(AT282=1,AK282="E",AU282&gt;=0.5,AW282=1),PTHealth,IF(AND(AT282=1,AK282="E",AU282&gt;=0.5),PTHealth*P282,0))))</f>
        <v>0</v>
      </c>
      <c r="BC282" s="462">
        <f>IF(AND(AT282=3,AK282="E",AV282&gt;=0.75,AW282=1),Health,IF(AND(AT282=3,AK282="E",AV282&gt;=0.75),Health*P282,IF(AND(AT282=3,AK282="E",AV282&gt;=0.5,AW282=1),PTHealth,IF(AND(AT282=3,AK282="E",AV282&gt;=0.5),PTHealth*P282,0))))</f>
        <v>0</v>
      </c>
      <c r="BD282" s="462">
        <f>IF(AND(AT282&lt;&gt;0,AX282&gt;=MAXSSDI),SSDI*MAXSSDI*P282,IF(AT282&lt;&gt;0,SSDI*W282,0))</f>
        <v>0</v>
      </c>
      <c r="BE282" s="462">
        <f>IF(AT282&lt;&gt;0,SSHI*W282,0)</f>
        <v>0</v>
      </c>
      <c r="BF282" s="462">
        <f>IF(AND(AT282&lt;&gt;0,AN282&lt;&gt;"NE"),VLOOKUP(AN282,Retirement_Rates,3,FALSE)*W282,0)</f>
        <v>0</v>
      </c>
      <c r="BG282" s="462">
        <f>IF(AND(AT282&lt;&gt;0,AJ282&lt;&gt;"PF"),Life*W282,0)</f>
        <v>0</v>
      </c>
      <c r="BH282" s="462">
        <f>IF(AND(AT282&lt;&gt;0,AM282="Y"),UI*W282,0)</f>
        <v>0</v>
      </c>
      <c r="BI282" s="462">
        <f>IF(AND(AT282&lt;&gt;0,N282&lt;&gt;"NR"),DHR*W282,0)</f>
        <v>0</v>
      </c>
      <c r="BJ282" s="462">
        <f>IF(AT282&lt;&gt;0,WC*W282,0)</f>
        <v>0</v>
      </c>
      <c r="BK282" s="462">
        <f>IF(OR(AND(AT282&lt;&gt;0,AJ282&lt;&gt;"PF",AN282&lt;&gt;"NE",AG282&lt;&gt;"A"),AND(AL282="E",OR(AT282=1,AT282=3))),Sick*W282,0)</f>
        <v>0</v>
      </c>
      <c r="BL282" s="462">
        <f t="shared" si="73"/>
        <v>0</v>
      </c>
      <c r="BM282" s="462">
        <f t="shared" si="74"/>
        <v>0</v>
      </c>
      <c r="BN282" s="462">
        <f>IF(AND(AT282=1,AK282="E",AU282&gt;=0.75,AW282=1),HealthBY,IF(AND(AT282=1,AK282="E",AU282&gt;=0.75),HealthBY*P282,IF(AND(AT282=1,AK282="E",AU282&gt;=0.5,AW282=1),PTHealthBY,IF(AND(AT282=1,AK282="E",AU282&gt;=0.5),PTHealthBY*P282,0))))</f>
        <v>0</v>
      </c>
      <c r="BO282" s="462">
        <f>IF(AND(AT282=3,AK282="E",AV282&gt;=0.75,AW282=1),HealthBY,IF(AND(AT282=3,AK282="E",AV282&gt;=0.75),HealthBY*P282,IF(AND(AT282=3,AK282="E",AV282&gt;=0.5,AW282=1),PTHealthBY,IF(AND(AT282=3,AK282="E",AV282&gt;=0.5),PTHealthBY*P282,0))))</f>
        <v>0</v>
      </c>
      <c r="BP282" s="462">
        <f>IF(AND(AT282&lt;&gt;0,(AX282+BA282)&gt;=MAXSSDIBY),SSDIBY*MAXSSDIBY*P282,IF(AT282&lt;&gt;0,SSDIBY*W282,0))</f>
        <v>0</v>
      </c>
      <c r="BQ282" s="462">
        <f>IF(AT282&lt;&gt;0,SSHIBY*W282,0)</f>
        <v>0</v>
      </c>
      <c r="BR282" s="462">
        <f>IF(AND(AT282&lt;&gt;0,AN282&lt;&gt;"NE"),VLOOKUP(AN282,Retirement_Rates,4,FALSE)*W282,0)</f>
        <v>0</v>
      </c>
      <c r="BS282" s="462">
        <f>IF(AND(AT282&lt;&gt;0,AJ282&lt;&gt;"PF"),LifeBY*W282,0)</f>
        <v>0</v>
      </c>
      <c r="BT282" s="462">
        <f>IF(AND(AT282&lt;&gt;0,AM282="Y"),UIBY*W282,0)</f>
        <v>0</v>
      </c>
      <c r="BU282" s="462">
        <f>IF(AND(AT282&lt;&gt;0,N282&lt;&gt;"NR"),DHRBY*W282,0)</f>
        <v>0</v>
      </c>
      <c r="BV282" s="462">
        <f>IF(AT282&lt;&gt;0,WCBY*W282,0)</f>
        <v>0</v>
      </c>
      <c r="BW282" s="462">
        <f>IF(OR(AND(AT282&lt;&gt;0,AJ282&lt;&gt;"PF",AN282&lt;&gt;"NE",AG282&lt;&gt;"A"),AND(AL282="E",OR(AT282=1,AT282=3))),SickBY*W282,0)</f>
        <v>0</v>
      </c>
      <c r="BX282" s="462">
        <f t="shared" si="75"/>
        <v>0</v>
      </c>
      <c r="BY282" s="462">
        <f t="shared" si="76"/>
        <v>0</v>
      </c>
      <c r="BZ282" s="462">
        <f t="shared" si="77"/>
        <v>0</v>
      </c>
      <c r="CA282" s="462">
        <f t="shared" si="78"/>
        <v>0</v>
      </c>
      <c r="CB282" s="462">
        <f t="shared" si="79"/>
        <v>0</v>
      </c>
      <c r="CC282" s="462">
        <f>IF(AT282&lt;&gt;0,SSHICHG*Y282,0)</f>
        <v>0</v>
      </c>
      <c r="CD282" s="462">
        <f>IF(AND(AT282&lt;&gt;0,AN282&lt;&gt;"NE"),VLOOKUP(AN282,Retirement_Rates,5,FALSE)*Y282,0)</f>
        <v>0</v>
      </c>
      <c r="CE282" s="462">
        <f>IF(AND(AT282&lt;&gt;0,AJ282&lt;&gt;"PF"),LifeCHG*Y282,0)</f>
        <v>0</v>
      </c>
      <c r="CF282" s="462">
        <f>IF(AND(AT282&lt;&gt;0,AM282="Y"),UICHG*Y282,0)</f>
        <v>0</v>
      </c>
      <c r="CG282" s="462">
        <f>IF(AND(AT282&lt;&gt;0,N282&lt;&gt;"NR"),DHRCHG*Y282,0)</f>
        <v>0</v>
      </c>
      <c r="CH282" s="462">
        <f>IF(AT282&lt;&gt;0,WCCHG*Y282,0)</f>
        <v>0</v>
      </c>
      <c r="CI282" s="462">
        <f>IF(OR(AND(AT282&lt;&gt;0,AJ282&lt;&gt;"PF",AN282&lt;&gt;"NE",AG282&lt;&gt;"A"),AND(AL282="E",OR(AT282=1,AT282=3))),SickCHG*Y282,0)</f>
        <v>0</v>
      </c>
      <c r="CJ282" s="462">
        <f t="shared" si="80"/>
        <v>0</v>
      </c>
      <c r="CK282" s="462" t="str">
        <f t="shared" si="81"/>
        <v/>
      </c>
      <c r="CL282" s="462" t="str">
        <f t="shared" si="82"/>
        <v/>
      </c>
      <c r="CM282" s="462" t="str">
        <f t="shared" si="83"/>
        <v/>
      </c>
      <c r="CN282" s="462" t="str">
        <f t="shared" si="84"/>
        <v>0001-00</v>
      </c>
    </row>
    <row r="283" spans="1:92" ht="15" thickBot="1" x14ac:dyDescent="0.35">
      <c r="A283" s="376" t="s">
        <v>161</v>
      </c>
      <c r="B283" s="376" t="s">
        <v>162</v>
      </c>
      <c r="C283" s="376" t="s">
        <v>927</v>
      </c>
      <c r="D283" s="376" t="s">
        <v>761</v>
      </c>
      <c r="E283" s="376" t="s">
        <v>165</v>
      </c>
      <c r="F283" s="377" t="s">
        <v>166</v>
      </c>
      <c r="G283" s="376" t="s">
        <v>762</v>
      </c>
      <c r="H283" s="378"/>
      <c r="I283" s="378"/>
      <c r="J283" s="376" t="s">
        <v>168</v>
      </c>
      <c r="K283" s="376" t="s">
        <v>763</v>
      </c>
      <c r="L283" s="376" t="s">
        <v>166</v>
      </c>
      <c r="M283" s="376" t="s">
        <v>170</v>
      </c>
      <c r="N283" s="376" t="s">
        <v>291</v>
      </c>
      <c r="O283" s="379">
        <v>0</v>
      </c>
      <c r="P283" s="460">
        <v>0</v>
      </c>
      <c r="Q283" s="460">
        <v>0</v>
      </c>
      <c r="R283" s="380">
        <v>0</v>
      </c>
      <c r="S283" s="460">
        <v>0</v>
      </c>
      <c r="T283" s="380">
        <v>9094.74</v>
      </c>
      <c r="U283" s="380">
        <v>0</v>
      </c>
      <c r="V283" s="380">
        <v>5816.2</v>
      </c>
      <c r="W283" s="380">
        <v>0</v>
      </c>
      <c r="X283" s="380">
        <v>0</v>
      </c>
      <c r="Y283" s="380">
        <v>0</v>
      </c>
      <c r="Z283" s="380">
        <v>0</v>
      </c>
      <c r="AA283" s="378"/>
      <c r="AB283" s="376" t="s">
        <v>45</v>
      </c>
      <c r="AC283" s="376" t="s">
        <v>45</v>
      </c>
      <c r="AD283" s="378"/>
      <c r="AE283" s="378"/>
      <c r="AF283" s="378"/>
      <c r="AG283" s="378"/>
      <c r="AH283" s="379">
        <v>0</v>
      </c>
      <c r="AI283" s="379">
        <v>0</v>
      </c>
      <c r="AJ283" s="378"/>
      <c r="AK283" s="378"/>
      <c r="AL283" s="376" t="s">
        <v>180</v>
      </c>
      <c r="AM283" s="378"/>
      <c r="AN283" s="378"/>
      <c r="AO283" s="379">
        <v>0</v>
      </c>
      <c r="AP283" s="460">
        <v>0</v>
      </c>
      <c r="AQ283" s="460">
        <v>0</v>
      </c>
      <c r="AR283" s="459"/>
      <c r="AS283" s="462">
        <f t="shared" si="68"/>
        <v>0</v>
      </c>
      <c r="AT283">
        <f t="shared" si="69"/>
        <v>0</v>
      </c>
      <c r="AU283" s="462" t="str">
        <f>IF(AT283=0,"",IF(AND(AT283=1,M283="F",SUMIF(C2:C698,C283,AS2:AS698)&lt;=1),SUMIF(C2:C698,C283,AS2:AS698),IF(AND(AT283=1,M283="F",SUMIF(C2:C698,C283,AS2:AS698)&gt;1),1,"")))</f>
        <v/>
      </c>
      <c r="AV283" s="462" t="str">
        <f>IF(AT283=0,"",IF(AND(AT283=3,M283="F",SUMIF(C2:C698,C283,AS2:AS698)&lt;=1),SUMIF(C2:C698,C283,AS2:AS698),IF(AND(AT283=3,M283="F",SUMIF(C2:C698,C283,AS2:AS698)&gt;1),1,"")))</f>
        <v/>
      </c>
      <c r="AW283" s="462">
        <f>SUMIF(C2:C698,C283,O2:O698)</f>
        <v>0</v>
      </c>
      <c r="AX283" s="462">
        <f>IF(AND(M283="F",AS283&lt;&gt;0),SUMIF(C2:C698,C283,W2:W698),0)</f>
        <v>0</v>
      </c>
      <c r="AY283" s="462" t="str">
        <f t="shared" si="70"/>
        <v/>
      </c>
      <c r="AZ283" s="462" t="str">
        <f t="shared" si="71"/>
        <v/>
      </c>
      <c r="BA283" s="462">
        <f t="shared" si="72"/>
        <v>0</v>
      </c>
      <c r="BB283" s="462">
        <f>IF(AND(AT283=1,AK283="E",AU283&gt;=0.75,AW283=1),Health,IF(AND(AT283=1,AK283="E",AU283&gt;=0.75),Health*P283,IF(AND(AT283=1,AK283="E",AU283&gt;=0.5,AW283=1),PTHealth,IF(AND(AT283=1,AK283="E",AU283&gt;=0.5),PTHealth*P283,0))))</f>
        <v>0</v>
      </c>
      <c r="BC283" s="462">
        <f>IF(AND(AT283=3,AK283="E",AV283&gt;=0.75,AW283=1),Health,IF(AND(AT283=3,AK283="E",AV283&gt;=0.75),Health*P283,IF(AND(AT283=3,AK283="E",AV283&gt;=0.5,AW283=1),PTHealth,IF(AND(AT283=3,AK283="E",AV283&gt;=0.5),PTHealth*P283,0))))</f>
        <v>0</v>
      </c>
      <c r="BD283" s="462">
        <f>IF(AND(AT283&lt;&gt;0,AX283&gt;=MAXSSDI),SSDI*MAXSSDI*P283,IF(AT283&lt;&gt;0,SSDI*W283,0))</f>
        <v>0</v>
      </c>
      <c r="BE283" s="462">
        <f>IF(AT283&lt;&gt;0,SSHI*W283,0)</f>
        <v>0</v>
      </c>
      <c r="BF283" s="462">
        <f>IF(AND(AT283&lt;&gt;0,AN283&lt;&gt;"NE"),VLOOKUP(AN283,Retirement_Rates,3,FALSE)*W283,0)</f>
        <v>0</v>
      </c>
      <c r="BG283" s="462">
        <f>IF(AND(AT283&lt;&gt;0,AJ283&lt;&gt;"PF"),Life*W283,0)</f>
        <v>0</v>
      </c>
      <c r="BH283" s="462">
        <f>IF(AND(AT283&lt;&gt;0,AM283="Y"),UI*W283,0)</f>
        <v>0</v>
      </c>
      <c r="BI283" s="462">
        <f>IF(AND(AT283&lt;&gt;0,N283&lt;&gt;"NR"),DHR*W283,0)</f>
        <v>0</v>
      </c>
      <c r="BJ283" s="462">
        <f>IF(AT283&lt;&gt;0,WC*W283,0)</f>
        <v>0</v>
      </c>
      <c r="BK283" s="462">
        <f>IF(OR(AND(AT283&lt;&gt;0,AJ283&lt;&gt;"PF",AN283&lt;&gt;"NE",AG283&lt;&gt;"A"),AND(AL283="E",OR(AT283=1,AT283=3))),Sick*W283,0)</f>
        <v>0</v>
      </c>
      <c r="BL283" s="462">
        <f t="shared" si="73"/>
        <v>0</v>
      </c>
      <c r="BM283" s="462">
        <f t="shared" si="74"/>
        <v>0</v>
      </c>
      <c r="BN283" s="462">
        <f>IF(AND(AT283=1,AK283="E",AU283&gt;=0.75,AW283=1),HealthBY,IF(AND(AT283=1,AK283="E",AU283&gt;=0.75),HealthBY*P283,IF(AND(AT283=1,AK283="E",AU283&gt;=0.5,AW283=1),PTHealthBY,IF(AND(AT283=1,AK283="E",AU283&gt;=0.5),PTHealthBY*P283,0))))</f>
        <v>0</v>
      </c>
      <c r="BO283" s="462">
        <f>IF(AND(AT283=3,AK283="E",AV283&gt;=0.75,AW283=1),HealthBY,IF(AND(AT283=3,AK283="E",AV283&gt;=0.75),HealthBY*P283,IF(AND(AT283=3,AK283="E",AV283&gt;=0.5,AW283=1),PTHealthBY,IF(AND(AT283=3,AK283="E",AV283&gt;=0.5),PTHealthBY*P283,0))))</f>
        <v>0</v>
      </c>
      <c r="BP283" s="462">
        <f>IF(AND(AT283&lt;&gt;0,(AX283+BA283)&gt;=MAXSSDIBY),SSDIBY*MAXSSDIBY*P283,IF(AT283&lt;&gt;0,SSDIBY*W283,0))</f>
        <v>0</v>
      </c>
      <c r="BQ283" s="462">
        <f>IF(AT283&lt;&gt;0,SSHIBY*W283,0)</f>
        <v>0</v>
      </c>
      <c r="BR283" s="462">
        <f>IF(AND(AT283&lt;&gt;0,AN283&lt;&gt;"NE"),VLOOKUP(AN283,Retirement_Rates,4,FALSE)*W283,0)</f>
        <v>0</v>
      </c>
      <c r="BS283" s="462">
        <f>IF(AND(AT283&lt;&gt;0,AJ283&lt;&gt;"PF"),LifeBY*W283,0)</f>
        <v>0</v>
      </c>
      <c r="BT283" s="462">
        <f>IF(AND(AT283&lt;&gt;0,AM283="Y"),UIBY*W283,0)</f>
        <v>0</v>
      </c>
      <c r="BU283" s="462">
        <f>IF(AND(AT283&lt;&gt;0,N283&lt;&gt;"NR"),DHRBY*W283,0)</f>
        <v>0</v>
      </c>
      <c r="BV283" s="462">
        <f>IF(AT283&lt;&gt;0,WCBY*W283,0)</f>
        <v>0</v>
      </c>
      <c r="BW283" s="462">
        <f>IF(OR(AND(AT283&lt;&gt;0,AJ283&lt;&gt;"PF",AN283&lt;&gt;"NE",AG283&lt;&gt;"A"),AND(AL283="E",OR(AT283=1,AT283=3))),SickBY*W283,0)</f>
        <v>0</v>
      </c>
      <c r="BX283" s="462">
        <f t="shared" si="75"/>
        <v>0</v>
      </c>
      <c r="BY283" s="462">
        <f t="shared" si="76"/>
        <v>0</v>
      </c>
      <c r="BZ283" s="462">
        <f t="shared" si="77"/>
        <v>0</v>
      </c>
      <c r="CA283" s="462">
        <f t="shared" si="78"/>
        <v>0</v>
      </c>
      <c r="CB283" s="462">
        <f t="shared" si="79"/>
        <v>0</v>
      </c>
      <c r="CC283" s="462">
        <f>IF(AT283&lt;&gt;0,SSHICHG*Y283,0)</f>
        <v>0</v>
      </c>
      <c r="CD283" s="462">
        <f>IF(AND(AT283&lt;&gt;0,AN283&lt;&gt;"NE"),VLOOKUP(AN283,Retirement_Rates,5,FALSE)*Y283,0)</f>
        <v>0</v>
      </c>
      <c r="CE283" s="462">
        <f>IF(AND(AT283&lt;&gt;0,AJ283&lt;&gt;"PF"),LifeCHG*Y283,0)</f>
        <v>0</v>
      </c>
      <c r="CF283" s="462">
        <f>IF(AND(AT283&lt;&gt;0,AM283="Y"),UICHG*Y283,0)</f>
        <v>0</v>
      </c>
      <c r="CG283" s="462">
        <f>IF(AND(AT283&lt;&gt;0,N283&lt;&gt;"NR"),DHRCHG*Y283,0)</f>
        <v>0</v>
      </c>
      <c r="CH283" s="462">
        <f>IF(AT283&lt;&gt;0,WCCHG*Y283,0)</f>
        <v>0</v>
      </c>
      <c r="CI283" s="462">
        <f>IF(OR(AND(AT283&lt;&gt;0,AJ283&lt;&gt;"PF",AN283&lt;&gt;"NE",AG283&lt;&gt;"A"),AND(AL283="E",OR(AT283=1,AT283=3))),SickCHG*Y283,0)</f>
        <v>0</v>
      </c>
      <c r="CJ283" s="462">
        <f t="shared" si="80"/>
        <v>0</v>
      </c>
      <c r="CK283" s="462" t="str">
        <f t="shared" si="81"/>
        <v/>
      </c>
      <c r="CL283" s="462">
        <f t="shared" si="82"/>
        <v>9094.74</v>
      </c>
      <c r="CM283" s="462">
        <f t="shared" si="83"/>
        <v>5816.2</v>
      </c>
      <c r="CN283" s="462" t="str">
        <f t="shared" si="84"/>
        <v>0001-00</v>
      </c>
    </row>
    <row r="284" spans="1:92" ht="15" thickBot="1" x14ac:dyDescent="0.35">
      <c r="A284" s="376" t="s">
        <v>161</v>
      </c>
      <c r="B284" s="376" t="s">
        <v>162</v>
      </c>
      <c r="C284" s="376" t="s">
        <v>928</v>
      </c>
      <c r="D284" s="376" t="s">
        <v>362</v>
      </c>
      <c r="E284" s="376" t="s">
        <v>165</v>
      </c>
      <c r="F284" s="377" t="s">
        <v>166</v>
      </c>
      <c r="G284" s="376" t="s">
        <v>762</v>
      </c>
      <c r="H284" s="378"/>
      <c r="I284" s="378"/>
      <c r="J284" s="376" t="s">
        <v>782</v>
      </c>
      <c r="K284" s="376" t="s">
        <v>363</v>
      </c>
      <c r="L284" s="376" t="s">
        <v>200</v>
      </c>
      <c r="M284" s="376" t="s">
        <v>170</v>
      </c>
      <c r="N284" s="376" t="s">
        <v>202</v>
      </c>
      <c r="O284" s="379">
        <v>1</v>
      </c>
      <c r="P284" s="460">
        <v>0</v>
      </c>
      <c r="Q284" s="460">
        <v>0</v>
      </c>
      <c r="R284" s="380">
        <v>80</v>
      </c>
      <c r="S284" s="460">
        <v>0</v>
      </c>
      <c r="T284" s="380">
        <v>2227.5</v>
      </c>
      <c r="U284" s="380">
        <v>0</v>
      </c>
      <c r="V284" s="380">
        <v>1127.3699999999999</v>
      </c>
      <c r="W284" s="380">
        <v>0</v>
      </c>
      <c r="X284" s="380">
        <v>0</v>
      </c>
      <c r="Y284" s="380">
        <v>0</v>
      </c>
      <c r="Z284" s="380">
        <v>0</v>
      </c>
      <c r="AA284" s="376" t="s">
        <v>929</v>
      </c>
      <c r="AB284" s="376" t="s">
        <v>409</v>
      </c>
      <c r="AC284" s="376" t="s">
        <v>930</v>
      </c>
      <c r="AD284" s="376" t="s">
        <v>177</v>
      </c>
      <c r="AE284" s="376" t="s">
        <v>363</v>
      </c>
      <c r="AF284" s="376" t="s">
        <v>210</v>
      </c>
      <c r="AG284" s="376" t="s">
        <v>177</v>
      </c>
      <c r="AH284" s="381">
        <v>22.5</v>
      </c>
      <c r="AI284" s="379">
        <v>960</v>
      </c>
      <c r="AJ284" s="376" t="s">
        <v>178</v>
      </c>
      <c r="AK284" s="376" t="s">
        <v>179</v>
      </c>
      <c r="AL284" s="376" t="s">
        <v>180</v>
      </c>
      <c r="AM284" s="376" t="s">
        <v>181</v>
      </c>
      <c r="AN284" s="376" t="s">
        <v>68</v>
      </c>
      <c r="AO284" s="379">
        <v>80</v>
      </c>
      <c r="AP284" s="460">
        <v>1</v>
      </c>
      <c r="AQ284" s="460">
        <v>0</v>
      </c>
      <c r="AR284" s="458" t="s">
        <v>182</v>
      </c>
      <c r="AS284" s="462">
        <f t="shared" si="68"/>
        <v>0</v>
      </c>
      <c r="AT284">
        <f t="shared" si="69"/>
        <v>0</v>
      </c>
      <c r="AU284" s="462" t="str">
        <f>IF(AT284=0,"",IF(AND(AT284=1,M284="F",SUMIF(C2:C698,C284,AS2:AS698)&lt;=1),SUMIF(C2:C698,C284,AS2:AS698),IF(AND(AT284=1,M284="F",SUMIF(C2:C698,C284,AS2:AS698)&gt;1),1,"")))</f>
        <v/>
      </c>
      <c r="AV284" s="462" t="str">
        <f>IF(AT284=0,"",IF(AND(AT284=3,M284="F",SUMIF(C2:C698,C284,AS2:AS698)&lt;=1),SUMIF(C2:C698,C284,AS2:AS698),IF(AND(AT284=3,M284="F",SUMIF(C2:C698,C284,AS2:AS698)&gt;1),1,"")))</f>
        <v/>
      </c>
      <c r="AW284" s="462">
        <f>SUMIF(C2:C698,C284,O2:O698)</f>
        <v>6</v>
      </c>
      <c r="AX284" s="462">
        <f>IF(AND(M284="F",AS284&lt;&gt;0),SUMIF(C2:C698,C284,W2:W698),0)</f>
        <v>0</v>
      </c>
      <c r="AY284" s="462" t="str">
        <f t="shared" si="70"/>
        <v/>
      </c>
      <c r="AZ284" s="462" t="str">
        <f t="shared" si="71"/>
        <v/>
      </c>
      <c r="BA284" s="462">
        <f t="shared" si="72"/>
        <v>0</v>
      </c>
      <c r="BB284" s="462">
        <f>IF(AND(AT284=1,AK284="E",AU284&gt;=0.75,AW284=1),Health,IF(AND(AT284=1,AK284="E",AU284&gt;=0.75),Health*P284,IF(AND(AT284=1,AK284="E",AU284&gt;=0.5,AW284=1),PTHealth,IF(AND(AT284=1,AK284="E",AU284&gt;=0.5),PTHealth*P284,0))))</f>
        <v>0</v>
      </c>
      <c r="BC284" s="462">
        <f>IF(AND(AT284=3,AK284="E",AV284&gt;=0.75,AW284=1),Health,IF(AND(AT284=3,AK284="E",AV284&gt;=0.75),Health*P284,IF(AND(AT284=3,AK284="E",AV284&gt;=0.5,AW284=1),PTHealth,IF(AND(AT284=3,AK284="E",AV284&gt;=0.5),PTHealth*P284,0))))</f>
        <v>0</v>
      </c>
      <c r="BD284" s="462">
        <f>IF(AND(AT284&lt;&gt;0,AX284&gt;=MAXSSDI),SSDI*MAXSSDI*P284,IF(AT284&lt;&gt;0,SSDI*W284,0))</f>
        <v>0</v>
      </c>
      <c r="BE284" s="462">
        <f>IF(AT284&lt;&gt;0,SSHI*W284,0)</f>
        <v>0</v>
      </c>
      <c r="BF284" s="462">
        <f>IF(AND(AT284&lt;&gt;0,AN284&lt;&gt;"NE"),VLOOKUP(AN284,Retirement_Rates,3,FALSE)*W284,0)</f>
        <v>0</v>
      </c>
      <c r="BG284" s="462">
        <f>IF(AND(AT284&lt;&gt;0,AJ284&lt;&gt;"PF"),Life*W284,0)</f>
        <v>0</v>
      </c>
      <c r="BH284" s="462">
        <f>IF(AND(AT284&lt;&gt;0,AM284="Y"),UI*W284,0)</f>
        <v>0</v>
      </c>
      <c r="BI284" s="462">
        <f>IF(AND(AT284&lt;&gt;0,N284&lt;&gt;"NR"),DHR*W284,0)</f>
        <v>0</v>
      </c>
      <c r="BJ284" s="462">
        <f>IF(AT284&lt;&gt;0,WC*W284,0)</f>
        <v>0</v>
      </c>
      <c r="BK284" s="462">
        <f>IF(OR(AND(AT284&lt;&gt;0,AJ284&lt;&gt;"PF",AN284&lt;&gt;"NE",AG284&lt;&gt;"A"),AND(AL284="E",OR(AT284=1,AT284=3))),Sick*W284,0)</f>
        <v>0</v>
      </c>
      <c r="BL284" s="462">
        <f t="shared" si="73"/>
        <v>0</v>
      </c>
      <c r="BM284" s="462">
        <f t="shared" si="74"/>
        <v>0</v>
      </c>
      <c r="BN284" s="462">
        <f>IF(AND(AT284=1,AK284="E",AU284&gt;=0.75,AW284=1),HealthBY,IF(AND(AT284=1,AK284="E",AU284&gt;=0.75),HealthBY*P284,IF(AND(AT284=1,AK284="E",AU284&gt;=0.5,AW284=1),PTHealthBY,IF(AND(AT284=1,AK284="E",AU284&gt;=0.5),PTHealthBY*P284,0))))</f>
        <v>0</v>
      </c>
      <c r="BO284" s="462">
        <f>IF(AND(AT284=3,AK284="E",AV284&gt;=0.75,AW284=1),HealthBY,IF(AND(AT284=3,AK284="E",AV284&gt;=0.75),HealthBY*P284,IF(AND(AT284=3,AK284="E",AV284&gt;=0.5,AW284=1),PTHealthBY,IF(AND(AT284=3,AK284="E",AV284&gt;=0.5),PTHealthBY*P284,0))))</f>
        <v>0</v>
      </c>
      <c r="BP284" s="462">
        <f>IF(AND(AT284&lt;&gt;0,(AX284+BA284)&gt;=MAXSSDIBY),SSDIBY*MAXSSDIBY*P284,IF(AT284&lt;&gt;0,SSDIBY*W284,0))</f>
        <v>0</v>
      </c>
      <c r="BQ284" s="462">
        <f>IF(AT284&lt;&gt;0,SSHIBY*W284,0)</f>
        <v>0</v>
      </c>
      <c r="BR284" s="462">
        <f>IF(AND(AT284&lt;&gt;0,AN284&lt;&gt;"NE"),VLOOKUP(AN284,Retirement_Rates,4,FALSE)*W284,0)</f>
        <v>0</v>
      </c>
      <c r="BS284" s="462">
        <f>IF(AND(AT284&lt;&gt;0,AJ284&lt;&gt;"PF"),LifeBY*W284,0)</f>
        <v>0</v>
      </c>
      <c r="BT284" s="462">
        <f>IF(AND(AT284&lt;&gt;0,AM284="Y"),UIBY*W284,0)</f>
        <v>0</v>
      </c>
      <c r="BU284" s="462">
        <f>IF(AND(AT284&lt;&gt;0,N284&lt;&gt;"NR"),DHRBY*W284,0)</f>
        <v>0</v>
      </c>
      <c r="BV284" s="462">
        <f>IF(AT284&lt;&gt;0,WCBY*W284,0)</f>
        <v>0</v>
      </c>
      <c r="BW284" s="462">
        <f>IF(OR(AND(AT284&lt;&gt;0,AJ284&lt;&gt;"PF",AN284&lt;&gt;"NE",AG284&lt;&gt;"A"),AND(AL284="E",OR(AT284=1,AT284=3))),SickBY*W284,0)</f>
        <v>0</v>
      </c>
      <c r="BX284" s="462">
        <f t="shared" si="75"/>
        <v>0</v>
      </c>
      <c r="BY284" s="462">
        <f t="shared" si="76"/>
        <v>0</v>
      </c>
      <c r="BZ284" s="462">
        <f t="shared" si="77"/>
        <v>0</v>
      </c>
      <c r="CA284" s="462">
        <f t="shared" si="78"/>
        <v>0</v>
      </c>
      <c r="CB284" s="462">
        <f t="shared" si="79"/>
        <v>0</v>
      </c>
      <c r="CC284" s="462">
        <f>IF(AT284&lt;&gt;0,SSHICHG*Y284,0)</f>
        <v>0</v>
      </c>
      <c r="CD284" s="462">
        <f>IF(AND(AT284&lt;&gt;0,AN284&lt;&gt;"NE"),VLOOKUP(AN284,Retirement_Rates,5,FALSE)*Y284,0)</f>
        <v>0</v>
      </c>
      <c r="CE284" s="462">
        <f>IF(AND(AT284&lt;&gt;0,AJ284&lt;&gt;"PF"),LifeCHG*Y284,0)</f>
        <v>0</v>
      </c>
      <c r="CF284" s="462">
        <f>IF(AND(AT284&lt;&gt;0,AM284="Y"),UICHG*Y284,0)</f>
        <v>0</v>
      </c>
      <c r="CG284" s="462">
        <f>IF(AND(AT284&lt;&gt;0,N284&lt;&gt;"NR"),DHRCHG*Y284,0)</f>
        <v>0</v>
      </c>
      <c r="CH284" s="462">
        <f>IF(AT284&lt;&gt;0,WCCHG*Y284,0)</f>
        <v>0</v>
      </c>
      <c r="CI284" s="462">
        <f>IF(OR(AND(AT284&lt;&gt;0,AJ284&lt;&gt;"PF",AN284&lt;&gt;"NE",AG284&lt;&gt;"A"),AND(AL284="E",OR(AT284=1,AT284=3))),SickCHG*Y284,0)</f>
        <v>0</v>
      </c>
      <c r="CJ284" s="462">
        <f t="shared" si="80"/>
        <v>0</v>
      </c>
      <c r="CK284" s="462" t="str">
        <f t="shared" si="81"/>
        <v/>
      </c>
      <c r="CL284" s="462" t="str">
        <f t="shared" si="82"/>
        <v/>
      </c>
      <c r="CM284" s="462" t="str">
        <f t="shared" si="83"/>
        <v/>
      </c>
      <c r="CN284" s="462" t="str">
        <f t="shared" si="84"/>
        <v>0001-00</v>
      </c>
    </row>
    <row r="285" spans="1:92" ht="15" thickBot="1" x14ac:dyDescent="0.35">
      <c r="A285" s="376" t="s">
        <v>161</v>
      </c>
      <c r="B285" s="376" t="s">
        <v>162</v>
      </c>
      <c r="C285" s="376" t="s">
        <v>928</v>
      </c>
      <c r="D285" s="376" t="s">
        <v>362</v>
      </c>
      <c r="E285" s="376" t="s">
        <v>931</v>
      </c>
      <c r="F285" s="382" t="s">
        <v>289</v>
      </c>
      <c r="G285" s="376" t="s">
        <v>762</v>
      </c>
      <c r="H285" s="378"/>
      <c r="I285" s="378"/>
      <c r="J285" s="376" t="s">
        <v>782</v>
      </c>
      <c r="K285" s="376" t="s">
        <v>363</v>
      </c>
      <c r="L285" s="376" t="s">
        <v>200</v>
      </c>
      <c r="M285" s="376" t="s">
        <v>170</v>
      </c>
      <c r="N285" s="376" t="s">
        <v>202</v>
      </c>
      <c r="O285" s="379">
        <v>1</v>
      </c>
      <c r="P285" s="460">
        <v>0.3</v>
      </c>
      <c r="Q285" s="460">
        <v>0.3</v>
      </c>
      <c r="R285" s="380">
        <v>80</v>
      </c>
      <c r="S285" s="460">
        <v>0.3</v>
      </c>
      <c r="T285" s="380">
        <v>14870.26</v>
      </c>
      <c r="U285" s="380">
        <v>0</v>
      </c>
      <c r="V285" s="380">
        <v>7405.02</v>
      </c>
      <c r="W285" s="380">
        <v>14040</v>
      </c>
      <c r="X285" s="380">
        <v>6673.22</v>
      </c>
      <c r="Y285" s="380">
        <v>14040</v>
      </c>
      <c r="Z285" s="380">
        <v>6636.72</v>
      </c>
      <c r="AA285" s="376" t="s">
        <v>929</v>
      </c>
      <c r="AB285" s="376" t="s">
        <v>409</v>
      </c>
      <c r="AC285" s="376" t="s">
        <v>930</v>
      </c>
      <c r="AD285" s="376" t="s">
        <v>177</v>
      </c>
      <c r="AE285" s="376" t="s">
        <v>363</v>
      </c>
      <c r="AF285" s="376" t="s">
        <v>210</v>
      </c>
      <c r="AG285" s="376" t="s">
        <v>177</v>
      </c>
      <c r="AH285" s="381">
        <v>22.5</v>
      </c>
      <c r="AI285" s="379">
        <v>960</v>
      </c>
      <c r="AJ285" s="376" t="s">
        <v>178</v>
      </c>
      <c r="AK285" s="376" t="s">
        <v>179</v>
      </c>
      <c r="AL285" s="376" t="s">
        <v>180</v>
      </c>
      <c r="AM285" s="376" t="s">
        <v>181</v>
      </c>
      <c r="AN285" s="376" t="s">
        <v>68</v>
      </c>
      <c r="AO285" s="379">
        <v>80</v>
      </c>
      <c r="AP285" s="460">
        <v>1</v>
      </c>
      <c r="AQ285" s="460">
        <v>0.3</v>
      </c>
      <c r="AR285" s="458" t="s">
        <v>182</v>
      </c>
      <c r="AS285" s="462">
        <f t="shared" si="68"/>
        <v>0.3</v>
      </c>
      <c r="AT285">
        <f t="shared" si="69"/>
        <v>1</v>
      </c>
      <c r="AU285" s="462">
        <f>IF(AT285=0,"",IF(AND(AT285=1,M285="F",SUMIF(C2:C698,C285,AS2:AS698)&lt;=1),SUMIF(C2:C698,C285,AS2:AS698),IF(AND(AT285=1,M285="F",SUMIF(C2:C698,C285,AS2:AS698)&gt;1),1,"")))</f>
        <v>1</v>
      </c>
      <c r="AV285" s="462" t="str">
        <f>IF(AT285=0,"",IF(AND(AT285=3,M285="F",SUMIF(C2:C698,C285,AS2:AS698)&lt;=1),SUMIF(C2:C698,C285,AS2:AS698),IF(AND(AT285=3,M285="F",SUMIF(C2:C698,C285,AS2:AS698)&gt;1),1,"")))</f>
        <v/>
      </c>
      <c r="AW285" s="462">
        <f>SUMIF(C2:C698,C285,O2:O698)</f>
        <v>6</v>
      </c>
      <c r="AX285" s="462">
        <f>IF(AND(M285="F",AS285&lt;&gt;0),SUMIF(C2:C698,C285,W2:W698),0)</f>
        <v>46800</v>
      </c>
      <c r="AY285" s="462">
        <f t="shared" si="70"/>
        <v>14040</v>
      </c>
      <c r="AZ285" s="462" t="str">
        <f t="shared" si="71"/>
        <v/>
      </c>
      <c r="BA285" s="462">
        <f t="shared" si="72"/>
        <v>0</v>
      </c>
      <c r="BB285" s="462">
        <f>IF(AND(AT285=1,AK285="E",AU285&gt;=0.75,AW285=1),Health,IF(AND(AT285=1,AK285="E",AU285&gt;=0.75),Health*P285,IF(AND(AT285=1,AK285="E",AU285&gt;=0.5,AW285=1),PTHealth,IF(AND(AT285=1,AK285="E",AU285&gt;=0.5),PTHealth*P285,0))))</f>
        <v>3495</v>
      </c>
      <c r="BC285" s="462">
        <f>IF(AND(AT285=3,AK285="E",AV285&gt;=0.75,AW285=1),Health,IF(AND(AT285=3,AK285="E",AV285&gt;=0.75),Health*P285,IF(AND(AT285=3,AK285="E",AV285&gt;=0.5,AW285=1),PTHealth,IF(AND(AT285=3,AK285="E",AV285&gt;=0.5),PTHealth*P285,0))))</f>
        <v>0</v>
      </c>
      <c r="BD285" s="462">
        <f>IF(AND(AT285&lt;&gt;0,AX285&gt;=MAXSSDI),SSDI*MAXSSDI*P285,IF(AT285&lt;&gt;0,SSDI*W285,0))</f>
        <v>870.48</v>
      </c>
      <c r="BE285" s="462">
        <f>IF(AT285&lt;&gt;0,SSHI*W285,0)</f>
        <v>203.58</v>
      </c>
      <c r="BF285" s="462">
        <f>IF(AND(AT285&lt;&gt;0,AN285&lt;&gt;"NE"),VLOOKUP(AN285,Retirement_Rates,3,FALSE)*W285,0)</f>
        <v>1676.376</v>
      </c>
      <c r="BG285" s="462">
        <f>IF(AND(AT285&lt;&gt;0,AJ285&lt;&gt;"PF"),Life*W285,0)</f>
        <v>101.22840000000001</v>
      </c>
      <c r="BH285" s="462">
        <f>IF(AND(AT285&lt;&gt;0,AM285="Y"),UI*W285,0)</f>
        <v>68.795999999999992</v>
      </c>
      <c r="BI285" s="462">
        <f>IF(AND(AT285&lt;&gt;0,N285&lt;&gt;"NR"),DHR*W285,0)</f>
        <v>42.962399999999995</v>
      </c>
      <c r="BJ285" s="462">
        <f>IF(AT285&lt;&gt;0,WC*W285,0)</f>
        <v>214.81199999999998</v>
      </c>
      <c r="BK285" s="462">
        <f>IF(OR(AND(AT285&lt;&gt;0,AJ285&lt;&gt;"PF",AN285&lt;&gt;"NE",AG285&lt;&gt;"A"),AND(AL285="E",OR(AT285=1,AT285=3))),Sick*W285,0)</f>
        <v>0</v>
      </c>
      <c r="BL285" s="462">
        <f t="shared" si="73"/>
        <v>3178.2347999999993</v>
      </c>
      <c r="BM285" s="462">
        <f t="shared" si="74"/>
        <v>0</v>
      </c>
      <c r="BN285" s="462">
        <f>IF(AND(AT285=1,AK285="E",AU285&gt;=0.75,AW285=1),HealthBY,IF(AND(AT285=1,AK285="E",AU285&gt;=0.75),HealthBY*P285,IF(AND(AT285=1,AK285="E",AU285&gt;=0.5,AW285=1),PTHealthBY,IF(AND(AT285=1,AK285="E",AU285&gt;=0.5),PTHealthBY*P285,0))))</f>
        <v>3495</v>
      </c>
      <c r="BO285" s="462">
        <f>IF(AND(AT285=3,AK285="E",AV285&gt;=0.75,AW285=1),HealthBY,IF(AND(AT285=3,AK285="E",AV285&gt;=0.75),HealthBY*P285,IF(AND(AT285=3,AK285="E",AV285&gt;=0.5,AW285=1),PTHealthBY,IF(AND(AT285=3,AK285="E",AV285&gt;=0.5),PTHealthBY*P285,0))))</f>
        <v>0</v>
      </c>
      <c r="BP285" s="462">
        <f>IF(AND(AT285&lt;&gt;0,(AX285+BA285)&gt;=MAXSSDIBY),SSDIBY*MAXSSDIBY*P285,IF(AT285&lt;&gt;0,SSDIBY*W285,0))</f>
        <v>870.48</v>
      </c>
      <c r="BQ285" s="462">
        <f>IF(AT285&lt;&gt;0,SSHIBY*W285,0)</f>
        <v>203.58</v>
      </c>
      <c r="BR285" s="462">
        <f>IF(AND(AT285&lt;&gt;0,AN285&lt;&gt;"NE"),VLOOKUP(AN285,Retirement_Rates,4,FALSE)*W285,0)</f>
        <v>1676.376</v>
      </c>
      <c r="BS285" s="462">
        <f>IF(AND(AT285&lt;&gt;0,AJ285&lt;&gt;"PF"),LifeBY*W285,0)</f>
        <v>101.22840000000001</v>
      </c>
      <c r="BT285" s="462">
        <f>IF(AND(AT285&lt;&gt;0,AM285="Y"),UIBY*W285,0)</f>
        <v>0</v>
      </c>
      <c r="BU285" s="462">
        <f>IF(AND(AT285&lt;&gt;0,N285&lt;&gt;"NR"),DHRBY*W285,0)</f>
        <v>42.962399999999995</v>
      </c>
      <c r="BV285" s="462">
        <f>IF(AT285&lt;&gt;0,WCBY*W285,0)</f>
        <v>247.10400000000001</v>
      </c>
      <c r="BW285" s="462">
        <f>IF(OR(AND(AT285&lt;&gt;0,AJ285&lt;&gt;"PF",AN285&lt;&gt;"NE",AG285&lt;&gt;"A"),AND(AL285="E",OR(AT285=1,AT285=3))),SickBY*W285,0)</f>
        <v>0</v>
      </c>
      <c r="BX285" s="462">
        <f t="shared" si="75"/>
        <v>3141.7307999999994</v>
      </c>
      <c r="BY285" s="462">
        <f t="shared" si="76"/>
        <v>0</v>
      </c>
      <c r="BZ285" s="462">
        <f t="shared" si="77"/>
        <v>0</v>
      </c>
      <c r="CA285" s="462">
        <f t="shared" si="78"/>
        <v>0</v>
      </c>
      <c r="CB285" s="462">
        <f t="shared" si="79"/>
        <v>0</v>
      </c>
      <c r="CC285" s="462">
        <f>IF(AT285&lt;&gt;0,SSHICHG*Y285,0)</f>
        <v>0</v>
      </c>
      <c r="CD285" s="462">
        <f>IF(AND(AT285&lt;&gt;0,AN285&lt;&gt;"NE"),VLOOKUP(AN285,Retirement_Rates,5,FALSE)*Y285,0)</f>
        <v>0</v>
      </c>
      <c r="CE285" s="462">
        <f>IF(AND(AT285&lt;&gt;0,AJ285&lt;&gt;"PF"),LifeCHG*Y285,0)</f>
        <v>0</v>
      </c>
      <c r="CF285" s="462">
        <f>IF(AND(AT285&lt;&gt;0,AM285="Y"),UICHG*Y285,0)</f>
        <v>-68.795999999999992</v>
      </c>
      <c r="CG285" s="462">
        <f>IF(AND(AT285&lt;&gt;0,N285&lt;&gt;"NR"),DHRCHG*Y285,0)</f>
        <v>0</v>
      </c>
      <c r="CH285" s="462">
        <f>IF(AT285&lt;&gt;0,WCCHG*Y285,0)</f>
        <v>32.292000000000023</v>
      </c>
      <c r="CI285" s="462">
        <f>IF(OR(AND(AT285&lt;&gt;0,AJ285&lt;&gt;"PF",AN285&lt;&gt;"NE",AG285&lt;&gt;"A"),AND(AL285="E",OR(AT285=1,AT285=3))),SickCHG*Y285,0)</f>
        <v>0</v>
      </c>
      <c r="CJ285" s="462">
        <f t="shared" si="80"/>
        <v>-36.503999999999969</v>
      </c>
      <c r="CK285" s="462" t="str">
        <f t="shared" si="81"/>
        <v/>
      </c>
      <c r="CL285" s="462" t="str">
        <f t="shared" si="82"/>
        <v/>
      </c>
      <c r="CM285" s="462" t="str">
        <f t="shared" si="83"/>
        <v/>
      </c>
      <c r="CN285" s="462" t="str">
        <f t="shared" si="84"/>
        <v>0330-01</v>
      </c>
    </row>
    <row r="286" spans="1:92" ht="15" thickBot="1" x14ac:dyDescent="0.35">
      <c r="A286" s="376" t="s">
        <v>161</v>
      </c>
      <c r="B286" s="376" t="s">
        <v>162</v>
      </c>
      <c r="C286" s="376" t="s">
        <v>767</v>
      </c>
      <c r="D286" s="376" t="s">
        <v>362</v>
      </c>
      <c r="E286" s="376" t="s">
        <v>931</v>
      </c>
      <c r="F286" s="382" t="s">
        <v>289</v>
      </c>
      <c r="G286" s="376" t="s">
        <v>762</v>
      </c>
      <c r="H286" s="378"/>
      <c r="I286" s="378"/>
      <c r="J286" s="376" t="s">
        <v>768</v>
      </c>
      <c r="K286" s="376" t="s">
        <v>363</v>
      </c>
      <c r="L286" s="376" t="s">
        <v>200</v>
      </c>
      <c r="M286" s="376" t="s">
        <v>170</v>
      </c>
      <c r="N286" s="376" t="s">
        <v>202</v>
      </c>
      <c r="O286" s="379">
        <v>1</v>
      </c>
      <c r="P286" s="460">
        <v>0.66</v>
      </c>
      <c r="Q286" s="460">
        <v>0.66</v>
      </c>
      <c r="R286" s="380">
        <v>80</v>
      </c>
      <c r="S286" s="460">
        <v>0.66</v>
      </c>
      <c r="T286" s="380">
        <v>22094.38</v>
      </c>
      <c r="U286" s="380">
        <v>0</v>
      </c>
      <c r="V286" s="380">
        <v>9758.57</v>
      </c>
      <c r="W286" s="380">
        <v>33180.57</v>
      </c>
      <c r="X286" s="380">
        <v>15200.06</v>
      </c>
      <c r="Y286" s="380">
        <v>33180.57</v>
      </c>
      <c r="Z286" s="380">
        <v>15113.79</v>
      </c>
      <c r="AA286" s="376" t="s">
        <v>769</v>
      </c>
      <c r="AB286" s="376" t="s">
        <v>770</v>
      </c>
      <c r="AC286" s="376" t="s">
        <v>771</v>
      </c>
      <c r="AD286" s="376" t="s">
        <v>278</v>
      </c>
      <c r="AE286" s="376" t="s">
        <v>363</v>
      </c>
      <c r="AF286" s="376" t="s">
        <v>210</v>
      </c>
      <c r="AG286" s="376" t="s">
        <v>177</v>
      </c>
      <c r="AH286" s="381">
        <v>24.17</v>
      </c>
      <c r="AI286" s="379">
        <v>25188</v>
      </c>
      <c r="AJ286" s="376" t="s">
        <v>178</v>
      </c>
      <c r="AK286" s="376" t="s">
        <v>179</v>
      </c>
      <c r="AL286" s="376" t="s">
        <v>180</v>
      </c>
      <c r="AM286" s="376" t="s">
        <v>181</v>
      </c>
      <c r="AN286" s="376" t="s">
        <v>68</v>
      </c>
      <c r="AO286" s="379">
        <v>80</v>
      </c>
      <c r="AP286" s="460">
        <v>1</v>
      </c>
      <c r="AQ286" s="460">
        <v>0.66</v>
      </c>
      <c r="AR286" s="458" t="s">
        <v>182</v>
      </c>
      <c r="AS286" s="462">
        <f t="shared" si="68"/>
        <v>0.66</v>
      </c>
      <c r="AT286">
        <f t="shared" si="69"/>
        <v>1</v>
      </c>
      <c r="AU286" s="462">
        <f>IF(AT286=0,"",IF(AND(AT286=1,M286="F",SUMIF(C2:C698,C286,AS2:AS698)&lt;=1),SUMIF(C2:C698,C286,AS2:AS698),IF(AND(AT286=1,M286="F",SUMIF(C2:C698,C286,AS2:AS698)&gt;1),1,"")))</f>
        <v>1</v>
      </c>
      <c r="AV286" s="462" t="str">
        <f>IF(AT286=0,"",IF(AND(AT286=3,M286="F",SUMIF(C2:C698,C286,AS2:AS698)&lt;=1),SUMIF(C2:C698,C286,AS2:AS698),IF(AND(AT286=3,M286="F",SUMIF(C2:C698,C286,AS2:AS698)&gt;1),1,"")))</f>
        <v/>
      </c>
      <c r="AW286" s="462">
        <f>SUMIF(C2:C698,C286,O2:O698)</f>
        <v>7</v>
      </c>
      <c r="AX286" s="462">
        <f>IF(AND(M286="F",AS286&lt;&gt;0),SUMIF(C2:C698,C286,W2:W698),0)</f>
        <v>50273.590000000004</v>
      </c>
      <c r="AY286" s="462">
        <f t="shared" si="70"/>
        <v>33180.57</v>
      </c>
      <c r="AZ286" s="462" t="str">
        <f t="shared" si="71"/>
        <v/>
      </c>
      <c r="BA286" s="462">
        <f t="shared" si="72"/>
        <v>0</v>
      </c>
      <c r="BB286" s="462">
        <f>IF(AND(AT286=1,AK286="E",AU286&gt;=0.75,AW286=1),Health,IF(AND(AT286=1,AK286="E",AU286&gt;=0.75),Health*P286,IF(AND(AT286=1,AK286="E",AU286&gt;=0.5,AW286=1),PTHealth,IF(AND(AT286=1,AK286="E",AU286&gt;=0.5),PTHealth*P286,0))))</f>
        <v>7689</v>
      </c>
      <c r="BC286" s="462">
        <f>IF(AND(AT286=3,AK286="E",AV286&gt;=0.75,AW286=1),Health,IF(AND(AT286=3,AK286="E",AV286&gt;=0.75),Health*P286,IF(AND(AT286=3,AK286="E",AV286&gt;=0.5,AW286=1),PTHealth,IF(AND(AT286=3,AK286="E",AV286&gt;=0.5),PTHealth*P286,0))))</f>
        <v>0</v>
      </c>
      <c r="BD286" s="462">
        <f>IF(AND(AT286&lt;&gt;0,AX286&gt;=MAXSSDI),SSDI*MAXSSDI*P286,IF(AT286&lt;&gt;0,SSDI*W286,0))</f>
        <v>2057.1953399999998</v>
      </c>
      <c r="BE286" s="462">
        <f>IF(AT286&lt;&gt;0,SSHI*W286,0)</f>
        <v>481.11826500000001</v>
      </c>
      <c r="BF286" s="462">
        <f>IF(AND(AT286&lt;&gt;0,AN286&lt;&gt;"NE"),VLOOKUP(AN286,Retirement_Rates,3,FALSE)*W286,0)</f>
        <v>3961.7600580000003</v>
      </c>
      <c r="BG286" s="462">
        <f>IF(AND(AT286&lt;&gt;0,AJ286&lt;&gt;"PF"),Life*W286,0)</f>
        <v>239.23190970000002</v>
      </c>
      <c r="BH286" s="462">
        <f>IF(AND(AT286&lt;&gt;0,AM286="Y"),UI*W286,0)</f>
        <v>162.58479299999999</v>
      </c>
      <c r="BI286" s="462">
        <f>IF(AND(AT286&lt;&gt;0,N286&lt;&gt;"NR"),DHR*W286,0)</f>
        <v>101.53254419999999</v>
      </c>
      <c r="BJ286" s="462">
        <f>IF(AT286&lt;&gt;0,WC*W286,0)</f>
        <v>507.66272099999998</v>
      </c>
      <c r="BK286" s="462">
        <f>IF(OR(AND(AT286&lt;&gt;0,AJ286&lt;&gt;"PF",AN286&lt;&gt;"NE",AG286&lt;&gt;"A"),AND(AL286="E",OR(AT286=1,AT286=3))),Sick*W286,0)</f>
        <v>0</v>
      </c>
      <c r="BL286" s="462">
        <f t="shared" si="73"/>
        <v>7511.0856309000001</v>
      </c>
      <c r="BM286" s="462">
        <f t="shared" si="74"/>
        <v>0</v>
      </c>
      <c r="BN286" s="462">
        <f>IF(AND(AT286=1,AK286="E",AU286&gt;=0.75,AW286=1),HealthBY,IF(AND(AT286=1,AK286="E",AU286&gt;=0.75),HealthBY*P286,IF(AND(AT286=1,AK286="E",AU286&gt;=0.5,AW286=1),PTHealthBY,IF(AND(AT286=1,AK286="E",AU286&gt;=0.5),PTHealthBY*P286,0))))</f>
        <v>7689</v>
      </c>
      <c r="BO286" s="462">
        <f>IF(AND(AT286=3,AK286="E",AV286&gt;=0.75,AW286=1),HealthBY,IF(AND(AT286=3,AK286="E",AV286&gt;=0.75),HealthBY*P286,IF(AND(AT286=3,AK286="E",AV286&gt;=0.5,AW286=1),PTHealthBY,IF(AND(AT286=3,AK286="E",AV286&gt;=0.5),PTHealthBY*P286,0))))</f>
        <v>0</v>
      </c>
      <c r="BP286" s="462">
        <f>IF(AND(AT286&lt;&gt;0,(AX286+BA286)&gt;=MAXSSDIBY),SSDIBY*MAXSSDIBY*P286,IF(AT286&lt;&gt;0,SSDIBY*W286,0))</f>
        <v>2057.1953399999998</v>
      </c>
      <c r="BQ286" s="462">
        <f>IF(AT286&lt;&gt;0,SSHIBY*W286,0)</f>
        <v>481.11826500000001</v>
      </c>
      <c r="BR286" s="462">
        <f>IF(AND(AT286&lt;&gt;0,AN286&lt;&gt;"NE"),VLOOKUP(AN286,Retirement_Rates,4,FALSE)*W286,0)</f>
        <v>3961.7600580000003</v>
      </c>
      <c r="BS286" s="462">
        <f>IF(AND(AT286&lt;&gt;0,AJ286&lt;&gt;"PF"),LifeBY*W286,0)</f>
        <v>239.23190970000002</v>
      </c>
      <c r="BT286" s="462">
        <f>IF(AND(AT286&lt;&gt;0,AM286="Y"),UIBY*W286,0)</f>
        <v>0</v>
      </c>
      <c r="BU286" s="462">
        <f>IF(AND(AT286&lt;&gt;0,N286&lt;&gt;"NR"),DHRBY*W286,0)</f>
        <v>101.53254419999999</v>
      </c>
      <c r="BV286" s="462">
        <f>IF(AT286&lt;&gt;0,WCBY*W286,0)</f>
        <v>583.97803199999998</v>
      </c>
      <c r="BW286" s="462">
        <f>IF(OR(AND(AT286&lt;&gt;0,AJ286&lt;&gt;"PF",AN286&lt;&gt;"NE",AG286&lt;&gt;"A"),AND(AL286="E",OR(AT286=1,AT286=3))),SickBY*W286,0)</f>
        <v>0</v>
      </c>
      <c r="BX286" s="462">
        <f t="shared" si="75"/>
        <v>7424.8161489000004</v>
      </c>
      <c r="BY286" s="462">
        <f t="shared" si="76"/>
        <v>0</v>
      </c>
      <c r="BZ286" s="462">
        <f t="shared" si="77"/>
        <v>0</v>
      </c>
      <c r="CA286" s="462">
        <f t="shared" si="78"/>
        <v>0</v>
      </c>
      <c r="CB286" s="462">
        <f t="shared" si="79"/>
        <v>0</v>
      </c>
      <c r="CC286" s="462">
        <f>IF(AT286&lt;&gt;0,SSHICHG*Y286,0)</f>
        <v>0</v>
      </c>
      <c r="CD286" s="462">
        <f>IF(AND(AT286&lt;&gt;0,AN286&lt;&gt;"NE"),VLOOKUP(AN286,Retirement_Rates,5,FALSE)*Y286,0)</f>
        <v>0</v>
      </c>
      <c r="CE286" s="462">
        <f>IF(AND(AT286&lt;&gt;0,AJ286&lt;&gt;"PF"),LifeCHG*Y286,0)</f>
        <v>0</v>
      </c>
      <c r="CF286" s="462">
        <f>IF(AND(AT286&lt;&gt;0,AM286="Y"),UICHG*Y286,0)</f>
        <v>-162.58479299999999</v>
      </c>
      <c r="CG286" s="462">
        <f>IF(AND(AT286&lt;&gt;0,N286&lt;&gt;"NR"),DHRCHG*Y286,0)</f>
        <v>0</v>
      </c>
      <c r="CH286" s="462">
        <f>IF(AT286&lt;&gt;0,WCCHG*Y286,0)</f>
        <v>76.315311000000051</v>
      </c>
      <c r="CI286" s="462">
        <f>IF(OR(AND(AT286&lt;&gt;0,AJ286&lt;&gt;"PF",AN286&lt;&gt;"NE",AG286&lt;&gt;"A"),AND(AL286="E",OR(AT286=1,AT286=3))),SickCHG*Y286,0)</f>
        <v>0</v>
      </c>
      <c r="CJ286" s="462">
        <f t="shared" si="80"/>
        <v>-86.26948199999994</v>
      </c>
      <c r="CK286" s="462" t="str">
        <f t="shared" si="81"/>
        <v/>
      </c>
      <c r="CL286" s="462" t="str">
        <f t="shared" si="82"/>
        <v/>
      </c>
      <c r="CM286" s="462" t="str">
        <f t="shared" si="83"/>
        <v/>
      </c>
      <c r="CN286" s="462" t="str">
        <f t="shared" si="84"/>
        <v>0330-01</v>
      </c>
    </row>
    <row r="287" spans="1:92" ht="15" thickBot="1" x14ac:dyDescent="0.35">
      <c r="A287" s="376" t="s">
        <v>161</v>
      </c>
      <c r="B287" s="376" t="s">
        <v>162</v>
      </c>
      <c r="C287" s="376" t="s">
        <v>772</v>
      </c>
      <c r="D287" s="376" t="s">
        <v>362</v>
      </c>
      <c r="E287" s="376" t="s">
        <v>931</v>
      </c>
      <c r="F287" s="382" t="s">
        <v>289</v>
      </c>
      <c r="G287" s="376" t="s">
        <v>762</v>
      </c>
      <c r="H287" s="378"/>
      <c r="I287" s="378"/>
      <c r="J287" s="376" t="s">
        <v>547</v>
      </c>
      <c r="K287" s="376" t="s">
        <v>363</v>
      </c>
      <c r="L287" s="376" t="s">
        <v>200</v>
      </c>
      <c r="M287" s="376" t="s">
        <v>170</v>
      </c>
      <c r="N287" s="376" t="s">
        <v>202</v>
      </c>
      <c r="O287" s="379">
        <v>1</v>
      </c>
      <c r="P287" s="460">
        <v>0.05</v>
      </c>
      <c r="Q287" s="460">
        <v>0.05</v>
      </c>
      <c r="R287" s="380">
        <v>80</v>
      </c>
      <c r="S287" s="460">
        <v>0.05</v>
      </c>
      <c r="T287" s="380">
        <v>28975.34</v>
      </c>
      <c r="U287" s="380">
        <v>0</v>
      </c>
      <c r="V287" s="380">
        <v>13708.16</v>
      </c>
      <c r="W287" s="380">
        <v>2340</v>
      </c>
      <c r="X287" s="380">
        <v>1112.2</v>
      </c>
      <c r="Y287" s="380">
        <v>2340</v>
      </c>
      <c r="Z287" s="380">
        <v>1106.1199999999999</v>
      </c>
      <c r="AA287" s="376" t="s">
        <v>773</v>
      </c>
      <c r="AB287" s="376" t="s">
        <v>774</v>
      </c>
      <c r="AC287" s="376" t="s">
        <v>690</v>
      </c>
      <c r="AD287" s="376" t="s">
        <v>225</v>
      </c>
      <c r="AE287" s="376" t="s">
        <v>363</v>
      </c>
      <c r="AF287" s="376" t="s">
        <v>210</v>
      </c>
      <c r="AG287" s="376" t="s">
        <v>177</v>
      </c>
      <c r="AH287" s="381">
        <v>22.5</v>
      </c>
      <c r="AI287" s="379">
        <v>9056</v>
      </c>
      <c r="AJ287" s="376" t="s">
        <v>178</v>
      </c>
      <c r="AK287" s="376" t="s">
        <v>179</v>
      </c>
      <c r="AL287" s="376" t="s">
        <v>180</v>
      </c>
      <c r="AM287" s="376" t="s">
        <v>181</v>
      </c>
      <c r="AN287" s="376" t="s">
        <v>68</v>
      </c>
      <c r="AO287" s="379">
        <v>80</v>
      </c>
      <c r="AP287" s="460">
        <v>1</v>
      </c>
      <c r="AQ287" s="460">
        <v>0.05</v>
      </c>
      <c r="AR287" s="458" t="s">
        <v>182</v>
      </c>
      <c r="AS287" s="462">
        <f t="shared" si="68"/>
        <v>0.05</v>
      </c>
      <c r="AT287">
        <f t="shared" si="69"/>
        <v>1</v>
      </c>
      <c r="AU287" s="462">
        <f>IF(AT287=0,"",IF(AND(AT287=1,M287="F",SUMIF(C2:C698,C287,AS2:AS698)&lt;=1),SUMIF(C2:C698,C287,AS2:AS698),IF(AND(AT287=1,M287="F",SUMIF(C2:C698,C287,AS2:AS698)&gt;1),1,"")))</f>
        <v>1</v>
      </c>
      <c r="AV287" s="462" t="str">
        <f>IF(AT287=0,"",IF(AND(AT287=3,M287="F",SUMIF(C2:C698,C287,AS2:AS698)&lt;=1),SUMIF(C2:C698,C287,AS2:AS698),IF(AND(AT287=3,M287="F",SUMIF(C2:C698,C287,AS2:AS698)&gt;1),1,"")))</f>
        <v/>
      </c>
      <c r="AW287" s="462">
        <f>SUMIF(C2:C698,C287,O2:O698)</f>
        <v>7</v>
      </c>
      <c r="AX287" s="462">
        <f>IF(AND(M287="F",AS287&lt;&gt;0),SUMIF(C2:C698,C287,W2:W698),0)</f>
        <v>46800</v>
      </c>
      <c r="AY287" s="462">
        <f t="shared" si="70"/>
        <v>2340</v>
      </c>
      <c r="AZ287" s="462" t="str">
        <f t="shared" si="71"/>
        <v/>
      </c>
      <c r="BA287" s="462">
        <f t="shared" si="72"/>
        <v>0</v>
      </c>
      <c r="BB287" s="462">
        <f>IF(AND(AT287=1,AK287="E",AU287&gt;=0.75,AW287=1),Health,IF(AND(AT287=1,AK287="E",AU287&gt;=0.75),Health*P287,IF(AND(AT287=1,AK287="E",AU287&gt;=0.5,AW287=1),PTHealth,IF(AND(AT287=1,AK287="E",AU287&gt;=0.5),PTHealth*P287,0))))</f>
        <v>582.5</v>
      </c>
      <c r="BC287" s="462">
        <f>IF(AND(AT287=3,AK287="E",AV287&gt;=0.75,AW287=1),Health,IF(AND(AT287=3,AK287="E",AV287&gt;=0.75),Health*P287,IF(AND(AT287=3,AK287="E",AV287&gt;=0.5,AW287=1),PTHealth,IF(AND(AT287=3,AK287="E",AV287&gt;=0.5),PTHealth*P287,0))))</f>
        <v>0</v>
      </c>
      <c r="BD287" s="462">
        <f>IF(AND(AT287&lt;&gt;0,AX287&gt;=MAXSSDI),SSDI*MAXSSDI*P287,IF(AT287&lt;&gt;0,SSDI*W287,0))</f>
        <v>145.08000000000001</v>
      </c>
      <c r="BE287" s="462">
        <f>IF(AT287&lt;&gt;0,SSHI*W287,0)</f>
        <v>33.93</v>
      </c>
      <c r="BF287" s="462">
        <f>IF(AND(AT287&lt;&gt;0,AN287&lt;&gt;"NE"),VLOOKUP(AN287,Retirement_Rates,3,FALSE)*W287,0)</f>
        <v>279.39600000000002</v>
      </c>
      <c r="BG287" s="462">
        <f>IF(AND(AT287&lt;&gt;0,AJ287&lt;&gt;"PF"),Life*W287,0)</f>
        <v>16.871400000000001</v>
      </c>
      <c r="BH287" s="462">
        <f>IF(AND(AT287&lt;&gt;0,AM287="Y"),UI*W287,0)</f>
        <v>11.465999999999999</v>
      </c>
      <c r="BI287" s="462">
        <f>IF(AND(AT287&lt;&gt;0,N287&lt;&gt;"NR"),DHR*W287,0)</f>
        <v>7.1603999999999992</v>
      </c>
      <c r="BJ287" s="462">
        <f>IF(AT287&lt;&gt;0,WC*W287,0)</f>
        <v>35.802</v>
      </c>
      <c r="BK287" s="462">
        <f>IF(OR(AND(AT287&lt;&gt;0,AJ287&lt;&gt;"PF",AN287&lt;&gt;"NE",AG287&lt;&gt;"A"),AND(AL287="E",OR(AT287=1,AT287=3))),Sick*W287,0)</f>
        <v>0</v>
      </c>
      <c r="BL287" s="462">
        <f t="shared" si="73"/>
        <v>529.70580000000007</v>
      </c>
      <c r="BM287" s="462">
        <f t="shared" si="74"/>
        <v>0</v>
      </c>
      <c r="BN287" s="462">
        <f>IF(AND(AT287=1,AK287="E",AU287&gt;=0.75,AW287=1),HealthBY,IF(AND(AT287=1,AK287="E",AU287&gt;=0.75),HealthBY*P287,IF(AND(AT287=1,AK287="E",AU287&gt;=0.5,AW287=1),PTHealthBY,IF(AND(AT287=1,AK287="E",AU287&gt;=0.5),PTHealthBY*P287,0))))</f>
        <v>582.5</v>
      </c>
      <c r="BO287" s="462">
        <f>IF(AND(AT287=3,AK287="E",AV287&gt;=0.75,AW287=1),HealthBY,IF(AND(AT287=3,AK287="E",AV287&gt;=0.75),HealthBY*P287,IF(AND(AT287=3,AK287="E",AV287&gt;=0.5,AW287=1),PTHealthBY,IF(AND(AT287=3,AK287="E",AV287&gt;=0.5),PTHealthBY*P287,0))))</f>
        <v>0</v>
      </c>
      <c r="BP287" s="462">
        <f>IF(AND(AT287&lt;&gt;0,(AX287+BA287)&gt;=MAXSSDIBY),SSDIBY*MAXSSDIBY*P287,IF(AT287&lt;&gt;0,SSDIBY*W287,0))</f>
        <v>145.08000000000001</v>
      </c>
      <c r="BQ287" s="462">
        <f>IF(AT287&lt;&gt;0,SSHIBY*W287,0)</f>
        <v>33.93</v>
      </c>
      <c r="BR287" s="462">
        <f>IF(AND(AT287&lt;&gt;0,AN287&lt;&gt;"NE"),VLOOKUP(AN287,Retirement_Rates,4,FALSE)*W287,0)</f>
        <v>279.39600000000002</v>
      </c>
      <c r="BS287" s="462">
        <f>IF(AND(AT287&lt;&gt;0,AJ287&lt;&gt;"PF"),LifeBY*W287,0)</f>
        <v>16.871400000000001</v>
      </c>
      <c r="BT287" s="462">
        <f>IF(AND(AT287&lt;&gt;0,AM287="Y"),UIBY*W287,0)</f>
        <v>0</v>
      </c>
      <c r="BU287" s="462">
        <f>IF(AND(AT287&lt;&gt;0,N287&lt;&gt;"NR"),DHRBY*W287,0)</f>
        <v>7.1603999999999992</v>
      </c>
      <c r="BV287" s="462">
        <f>IF(AT287&lt;&gt;0,WCBY*W287,0)</f>
        <v>41.184000000000005</v>
      </c>
      <c r="BW287" s="462">
        <f>IF(OR(AND(AT287&lt;&gt;0,AJ287&lt;&gt;"PF",AN287&lt;&gt;"NE",AG287&lt;&gt;"A"),AND(AL287="E",OR(AT287=1,AT287=3))),SickBY*W287,0)</f>
        <v>0</v>
      </c>
      <c r="BX287" s="462">
        <f t="shared" si="75"/>
        <v>523.62180000000001</v>
      </c>
      <c r="BY287" s="462">
        <f t="shared" si="76"/>
        <v>0</v>
      </c>
      <c r="BZ287" s="462">
        <f t="shared" si="77"/>
        <v>0</v>
      </c>
      <c r="CA287" s="462">
        <f t="shared" si="78"/>
        <v>0</v>
      </c>
      <c r="CB287" s="462">
        <f t="shared" si="79"/>
        <v>0</v>
      </c>
      <c r="CC287" s="462">
        <f>IF(AT287&lt;&gt;0,SSHICHG*Y287,0)</f>
        <v>0</v>
      </c>
      <c r="CD287" s="462">
        <f>IF(AND(AT287&lt;&gt;0,AN287&lt;&gt;"NE"),VLOOKUP(AN287,Retirement_Rates,5,FALSE)*Y287,0)</f>
        <v>0</v>
      </c>
      <c r="CE287" s="462">
        <f>IF(AND(AT287&lt;&gt;0,AJ287&lt;&gt;"PF"),LifeCHG*Y287,0)</f>
        <v>0</v>
      </c>
      <c r="CF287" s="462">
        <f>IF(AND(AT287&lt;&gt;0,AM287="Y"),UICHG*Y287,0)</f>
        <v>-11.465999999999999</v>
      </c>
      <c r="CG287" s="462">
        <f>IF(AND(AT287&lt;&gt;0,N287&lt;&gt;"NR"),DHRCHG*Y287,0)</f>
        <v>0</v>
      </c>
      <c r="CH287" s="462">
        <f>IF(AT287&lt;&gt;0,WCCHG*Y287,0)</f>
        <v>5.3820000000000041</v>
      </c>
      <c r="CI287" s="462">
        <f>IF(OR(AND(AT287&lt;&gt;0,AJ287&lt;&gt;"PF",AN287&lt;&gt;"NE",AG287&lt;&gt;"A"),AND(AL287="E",OR(AT287=1,AT287=3))),SickCHG*Y287,0)</f>
        <v>0</v>
      </c>
      <c r="CJ287" s="462">
        <f t="shared" si="80"/>
        <v>-6.0839999999999952</v>
      </c>
      <c r="CK287" s="462" t="str">
        <f t="shared" si="81"/>
        <v/>
      </c>
      <c r="CL287" s="462" t="str">
        <f t="shared" si="82"/>
        <v/>
      </c>
      <c r="CM287" s="462" t="str">
        <f t="shared" si="83"/>
        <v/>
      </c>
      <c r="CN287" s="462" t="str">
        <f t="shared" si="84"/>
        <v>0330-01</v>
      </c>
    </row>
    <row r="288" spans="1:92" ht="15" thickBot="1" x14ac:dyDescent="0.35">
      <c r="A288" s="376" t="s">
        <v>161</v>
      </c>
      <c r="B288" s="376" t="s">
        <v>162</v>
      </c>
      <c r="C288" s="376" t="s">
        <v>932</v>
      </c>
      <c r="D288" s="376" t="s">
        <v>765</v>
      </c>
      <c r="E288" s="376" t="s">
        <v>931</v>
      </c>
      <c r="F288" s="382" t="s">
        <v>289</v>
      </c>
      <c r="G288" s="376" t="s">
        <v>762</v>
      </c>
      <c r="H288" s="378"/>
      <c r="I288" s="378"/>
      <c r="J288" s="376" t="s">
        <v>168</v>
      </c>
      <c r="K288" s="376" t="s">
        <v>766</v>
      </c>
      <c r="L288" s="376" t="s">
        <v>166</v>
      </c>
      <c r="M288" s="376" t="s">
        <v>170</v>
      </c>
      <c r="N288" s="376" t="s">
        <v>291</v>
      </c>
      <c r="O288" s="379">
        <v>0</v>
      </c>
      <c r="P288" s="460">
        <v>1</v>
      </c>
      <c r="Q288" s="460">
        <v>0</v>
      </c>
      <c r="R288" s="380">
        <v>0</v>
      </c>
      <c r="S288" s="460">
        <v>0</v>
      </c>
      <c r="T288" s="380">
        <v>34542.550000000003</v>
      </c>
      <c r="U288" s="380">
        <v>760.2</v>
      </c>
      <c r="V288" s="380">
        <v>3893.66</v>
      </c>
      <c r="W288" s="380">
        <v>41307.35</v>
      </c>
      <c r="X288" s="380">
        <v>4564.71</v>
      </c>
      <c r="Y288" s="380">
        <v>41307.35</v>
      </c>
      <c r="Z288" s="380">
        <v>4564.71</v>
      </c>
      <c r="AA288" s="378"/>
      <c r="AB288" s="376" t="s">
        <v>45</v>
      </c>
      <c r="AC288" s="376" t="s">
        <v>45</v>
      </c>
      <c r="AD288" s="378"/>
      <c r="AE288" s="378"/>
      <c r="AF288" s="378"/>
      <c r="AG288" s="378"/>
      <c r="AH288" s="379">
        <v>0</v>
      </c>
      <c r="AI288" s="379">
        <v>0</v>
      </c>
      <c r="AJ288" s="378"/>
      <c r="AK288" s="378"/>
      <c r="AL288" s="376" t="s">
        <v>180</v>
      </c>
      <c r="AM288" s="378"/>
      <c r="AN288" s="378"/>
      <c r="AO288" s="379">
        <v>0</v>
      </c>
      <c r="AP288" s="460">
        <v>0</v>
      </c>
      <c r="AQ288" s="460">
        <v>0</v>
      </c>
      <c r="AR288" s="459"/>
      <c r="AS288" s="462">
        <f t="shared" si="68"/>
        <v>0</v>
      </c>
      <c r="AT288">
        <f t="shared" si="69"/>
        <v>0</v>
      </c>
      <c r="AU288" s="462" t="str">
        <f>IF(AT288=0,"",IF(AND(AT288=1,M288="F",SUMIF(C2:C698,C288,AS2:AS698)&lt;=1),SUMIF(C2:C698,C288,AS2:AS698),IF(AND(AT288=1,M288="F",SUMIF(C2:C698,C288,AS2:AS698)&gt;1),1,"")))</f>
        <v/>
      </c>
      <c r="AV288" s="462" t="str">
        <f>IF(AT288=0,"",IF(AND(AT288=3,M288="F",SUMIF(C2:C698,C288,AS2:AS698)&lt;=1),SUMIF(C2:C698,C288,AS2:AS698),IF(AND(AT288=3,M288="F",SUMIF(C2:C698,C288,AS2:AS698)&gt;1),1,"")))</f>
        <v/>
      </c>
      <c r="AW288" s="462">
        <f>SUMIF(C2:C698,C288,O2:O698)</f>
        <v>0</v>
      </c>
      <c r="AX288" s="462">
        <f>IF(AND(M288="F",AS288&lt;&gt;0),SUMIF(C2:C698,C288,W2:W698),0)</f>
        <v>0</v>
      </c>
      <c r="AY288" s="462" t="str">
        <f t="shared" si="70"/>
        <v/>
      </c>
      <c r="AZ288" s="462" t="str">
        <f t="shared" si="71"/>
        <v/>
      </c>
      <c r="BA288" s="462">
        <f t="shared" si="72"/>
        <v>0</v>
      </c>
      <c r="BB288" s="462">
        <f>IF(AND(AT288=1,AK288="E",AU288&gt;=0.75,AW288=1),Health,IF(AND(AT288=1,AK288="E",AU288&gt;=0.75),Health*P288,IF(AND(AT288=1,AK288="E",AU288&gt;=0.5,AW288=1),PTHealth,IF(AND(AT288=1,AK288="E",AU288&gt;=0.5),PTHealth*P288,0))))</f>
        <v>0</v>
      </c>
      <c r="BC288" s="462">
        <f>IF(AND(AT288=3,AK288="E",AV288&gt;=0.75,AW288=1),Health,IF(AND(AT288=3,AK288="E",AV288&gt;=0.75),Health*P288,IF(AND(AT288=3,AK288="E",AV288&gt;=0.5,AW288=1),PTHealth,IF(AND(AT288=3,AK288="E",AV288&gt;=0.5),PTHealth*P288,0))))</f>
        <v>0</v>
      </c>
      <c r="BD288" s="462">
        <f>IF(AND(AT288&lt;&gt;0,AX288&gt;=MAXSSDI),SSDI*MAXSSDI*P288,IF(AT288&lt;&gt;0,SSDI*W288,0))</f>
        <v>0</v>
      </c>
      <c r="BE288" s="462">
        <f>IF(AT288&lt;&gt;0,SSHI*W288,0)</f>
        <v>0</v>
      </c>
      <c r="BF288" s="462">
        <f>IF(AND(AT288&lt;&gt;0,AN288&lt;&gt;"NE"),VLOOKUP(AN288,Retirement_Rates,3,FALSE)*W288,0)</f>
        <v>0</v>
      </c>
      <c r="BG288" s="462">
        <f>IF(AND(AT288&lt;&gt;0,AJ288&lt;&gt;"PF"),Life*W288,0)</f>
        <v>0</v>
      </c>
      <c r="BH288" s="462">
        <f>IF(AND(AT288&lt;&gt;0,AM288="Y"),UI*W288,0)</f>
        <v>0</v>
      </c>
      <c r="BI288" s="462">
        <f>IF(AND(AT288&lt;&gt;0,N288&lt;&gt;"NR"),DHR*W288,0)</f>
        <v>0</v>
      </c>
      <c r="BJ288" s="462">
        <f>IF(AT288&lt;&gt;0,WC*W288,0)</f>
        <v>0</v>
      </c>
      <c r="BK288" s="462">
        <f>IF(OR(AND(AT288&lt;&gt;0,AJ288&lt;&gt;"PF",AN288&lt;&gt;"NE",AG288&lt;&gt;"A"),AND(AL288="E",OR(AT288=1,AT288=3))),Sick*W288,0)</f>
        <v>0</v>
      </c>
      <c r="BL288" s="462">
        <f t="shared" si="73"/>
        <v>0</v>
      </c>
      <c r="BM288" s="462">
        <f t="shared" si="74"/>
        <v>0</v>
      </c>
      <c r="BN288" s="462">
        <f>IF(AND(AT288=1,AK288="E",AU288&gt;=0.75,AW288=1),HealthBY,IF(AND(AT288=1,AK288="E",AU288&gt;=0.75),HealthBY*P288,IF(AND(AT288=1,AK288="E",AU288&gt;=0.5,AW288=1),PTHealthBY,IF(AND(AT288=1,AK288="E",AU288&gt;=0.5),PTHealthBY*P288,0))))</f>
        <v>0</v>
      </c>
      <c r="BO288" s="462">
        <f>IF(AND(AT288=3,AK288="E",AV288&gt;=0.75,AW288=1),HealthBY,IF(AND(AT288=3,AK288="E",AV288&gt;=0.75),HealthBY*P288,IF(AND(AT288=3,AK288="E",AV288&gt;=0.5,AW288=1),PTHealthBY,IF(AND(AT288=3,AK288="E",AV288&gt;=0.5),PTHealthBY*P288,0))))</f>
        <v>0</v>
      </c>
      <c r="BP288" s="462">
        <f>IF(AND(AT288&lt;&gt;0,(AX288+BA288)&gt;=MAXSSDIBY),SSDIBY*MAXSSDIBY*P288,IF(AT288&lt;&gt;0,SSDIBY*W288,0))</f>
        <v>0</v>
      </c>
      <c r="BQ288" s="462">
        <f>IF(AT288&lt;&gt;0,SSHIBY*W288,0)</f>
        <v>0</v>
      </c>
      <c r="BR288" s="462">
        <f>IF(AND(AT288&lt;&gt;0,AN288&lt;&gt;"NE"),VLOOKUP(AN288,Retirement_Rates,4,FALSE)*W288,0)</f>
        <v>0</v>
      </c>
      <c r="BS288" s="462">
        <f>IF(AND(AT288&lt;&gt;0,AJ288&lt;&gt;"PF"),LifeBY*W288,0)</f>
        <v>0</v>
      </c>
      <c r="BT288" s="462">
        <f>IF(AND(AT288&lt;&gt;0,AM288="Y"),UIBY*W288,0)</f>
        <v>0</v>
      </c>
      <c r="BU288" s="462">
        <f>IF(AND(AT288&lt;&gt;0,N288&lt;&gt;"NR"),DHRBY*W288,0)</f>
        <v>0</v>
      </c>
      <c r="BV288" s="462">
        <f>IF(AT288&lt;&gt;0,WCBY*W288,0)</f>
        <v>0</v>
      </c>
      <c r="BW288" s="462">
        <f>IF(OR(AND(AT288&lt;&gt;0,AJ288&lt;&gt;"PF",AN288&lt;&gt;"NE",AG288&lt;&gt;"A"),AND(AL288="E",OR(AT288=1,AT288=3))),SickBY*W288,0)</f>
        <v>0</v>
      </c>
      <c r="BX288" s="462">
        <f t="shared" si="75"/>
        <v>0</v>
      </c>
      <c r="BY288" s="462">
        <f t="shared" si="76"/>
        <v>0</v>
      </c>
      <c r="BZ288" s="462">
        <f t="shared" si="77"/>
        <v>0</v>
      </c>
      <c r="CA288" s="462">
        <f t="shared" si="78"/>
        <v>0</v>
      </c>
      <c r="CB288" s="462">
        <f t="shared" si="79"/>
        <v>0</v>
      </c>
      <c r="CC288" s="462">
        <f>IF(AT288&lt;&gt;0,SSHICHG*Y288,0)</f>
        <v>0</v>
      </c>
      <c r="CD288" s="462">
        <f>IF(AND(AT288&lt;&gt;0,AN288&lt;&gt;"NE"),VLOOKUP(AN288,Retirement_Rates,5,FALSE)*Y288,0)</f>
        <v>0</v>
      </c>
      <c r="CE288" s="462">
        <f>IF(AND(AT288&lt;&gt;0,AJ288&lt;&gt;"PF"),LifeCHG*Y288,0)</f>
        <v>0</v>
      </c>
      <c r="CF288" s="462">
        <f>IF(AND(AT288&lt;&gt;0,AM288="Y"),UICHG*Y288,0)</f>
        <v>0</v>
      </c>
      <c r="CG288" s="462">
        <f>IF(AND(AT288&lt;&gt;0,N288&lt;&gt;"NR"),DHRCHG*Y288,0)</f>
        <v>0</v>
      </c>
      <c r="CH288" s="462">
        <f>IF(AT288&lt;&gt;0,WCCHG*Y288,0)</f>
        <v>0</v>
      </c>
      <c r="CI288" s="462">
        <f>IF(OR(AND(AT288&lt;&gt;0,AJ288&lt;&gt;"PF",AN288&lt;&gt;"NE",AG288&lt;&gt;"A"),AND(AL288="E",OR(AT288=1,AT288=3))),SickCHG*Y288,0)</f>
        <v>0</v>
      </c>
      <c r="CJ288" s="462">
        <f t="shared" si="80"/>
        <v>0</v>
      </c>
      <c r="CK288" s="462" t="str">
        <f t="shared" si="81"/>
        <v/>
      </c>
      <c r="CL288" s="462">
        <f t="shared" si="82"/>
        <v>35302.75</v>
      </c>
      <c r="CM288" s="462">
        <f t="shared" si="83"/>
        <v>3893.66</v>
      </c>
      <c r="CN288" s="462" t="str">
        <f t="shared" si="84"/>
        <v>0330-01</v>
      </c>
    </row>
    <row r="289" spans="1:92" ht="15" thickBot="1" x14ac:dyDescent="0.35">
      <c r="A289" s="376" t="s">
        <v>161</v>
      </c>
      <c r="B289" s="376" t="s">
        <v>162</v>
      </c>
      <c r="C289" s="376" t="s">
        <v>781</v>
      </c>
      <c r="D289" s="376" t="s">
        <v>362</v>
      </c>
      <c r="E289" s="376" t="s">
        <v>931</v>
      </c>
      <c r="F289" s="382" t="s">
        <v>289</v>
      </c>
      <c r="G289" s="376" t="s">
        <v>762</v>
      </c>
      <c r="H289" s="378"/>
      <c r="I289" s="378"/>
      <c r="J289" s="376" t="s">
        <v>782</v>
      </c>
      <c r="K289" s="376" t="s">
        <v>363</v>
      </c>
      <c r="L289" s="376" t="s">
        <v>200</v>
      </c>
      <c r="M289" s="376" t="s">
        <v>170</v>
      </c>
      <c r="N289" s="376" t="s">
        <v>202</v>
      </c>
      <c r="O289" s="379">
        <v>1</v>
      </c>
      <c r="P289" s="460">
        <v>0.2</v>
      </c>
      <c r="Q289" s="460">
        <v>0.2</v>
      </c>
      <c r="R289" s="380">
        <v>80</v>
      </c>
      <c r="S289" s="460">
        <v>0.2</v>
      </c>
      <c r="T289" s="380">
        <v>24743.43</v>
      </c>
      <c r="U289" s="380">
        <v>0</v>
      </c>
      <c r="V289" s="380">
        <v>11583.48</v>
      </c>
      <c r="W289" s="380">
        <v>9360</v>
      </c>
      <c r="X289" s="380">
        <v>4448.8100000000004</v>
      </c>
      <c r="Y289" s="380">
        <v>9360</v>
      </c>
      <c r="Z289" s="380">
        <v>4424.4799999999996</v>
      </c>
      <c r="AA289" s="376" t="s">
        <v>783</v>
      </c>
      <c r="AB289" s="376" t="s">
        <v>784</v>
      </c>
      <c r="AC289" s="376" t="s">
        <v>690</v>
      </c>
      <c r="AD289" s="376" t="s">
        <v>215</v>
      </c>
      <c r="AE289" s="376" t="s">
        <v>363</v>
      </c>
      <c r="AF289" s="376" t="s">
        <v>210</v>
      </c>
      <c r="AG289" s="376" t="s">
        <v>177</v>
      </c>
      <c r="AH289" s="381">
        <v>22.5</v>
      </c>
      <c r="AI289" s="379">
        <v>3768</v>
      </c>
      <c r="AJ289" s="376" t="s">
        <v>178</v>
      </c>
      <c r="AK289" s="376" t="s">
        <v>179</v>
      </c>
      <c r="AL289" s="376" t="s">
        <v>180</v>
      </c>
      <c r="AM289" s="376" t="s">
        <v>181</v>
      </c>
      <c r="AN289" s="376" t="s">
        <v>68</v>
      </c>
      <c r="AO289" s="379">
        <v>80</v>
      </c>
      <c r="AP289" s="460">
        <v>1</v>
      </c>
      <c r="AQ289" s="460">
        <v>0.2</v>
      </c>
      <c r="AR289" s="458" t="s">
        <v>182</v>
      </c>
      <c r="AS289" s="462">
        <f t="shared" si="68"/>
        <v>0.2</v>
      </c>
      <c r="AT289">
        <f t="shared" si="69"/>
        <v>1</v>
      </c>
      <c r="AU289" s="462">
        <f>IF(AT289=0,"",IF(AND(AT289=1,M289="F",SUMIF(C2:C698,C289,AS2:AS698)&lt;=1),SUMIF(C2:C698,C289,AS2:AS698),IF(AND(AT289=1,M289="F",SUMIF(C2:C698,C289,AS2:AS698)&gt;1),1,"")))</f>
        <v>1</v>
      </c>
      <c r="AV289" s="462" t="str">
        <f>IF(AT289=0,"",IF(AND(AT289=3,M289="F",SUMIF(C2:C698,C289,AS2:AS698)&lt;=1),SUMIF(C2:C698,C289,AS2:AS698),IF(AND(AT289=3,M289="F",SUMIF(C2:C698,C289,AS2:AS698)&gt;1),1,"")))</f>
        <v/>
      </c>
      <c r="AW289" s="462">
        <f>SUMIF(C2:C698,C289,O2:O698)</f>
        <v>7</v>
      </c>
      <c r="AX289" s="462">
        <f>IF(AND(M289="F",AS289&lt;&gt;0),SUMIF(C2:C698,C289,W2:W698),0)</f>
        <v>46800</v>
      </c>
      <c r="AY289" s="462">
        <f t="shared" si="70"/>
        <v>9360</v>
      </c>
      <c r="AZ289" s="462" t="str">
        <f t="shared" si="71"/>
        <v/>
      </c>
      <c r="BA289" s="462">
        <f t="shared" si="72"/>
        <v>0</v>
      </c>
      <c r="BB289" s="462">
        <f>IF(AND(AT289=1,AK289="E",AU289&gt;=0.75,AW289=1),Health,IF(AND(AT289=1,AK289="E",AU289&gt;=0.75),Health*P289,IF(AND(AT289=1,AK289="E",AU289&gt;=0.5,AW289=1),PTHealth,IF(AND(AT289=1,AK289="E",AU289&gt;=0.5),PTHealth*P289,0))))</f>
        <v>2330</v>
      </c>
      <c r="BC289" s="462">
        <f>IF(AND(AT289=3,AK289="E",AV289&gt;=0.75,AW289=1),Health,IF(AND(AT289=3,AK289="E",AV289&gt;=0.75),Health*P289,IF(AND(AT289=3,AK289="E",AV289&gt;=0.5,AW289=1),PTHealth,IF(AND(AT289=3,AK289="E",AV289&gt;=0.5),PTHealth*P289,0))))</f>
        <v>0</v>
      </c>
      <c r="BD289" s="462">
        <f>IF(AND(AT289&lt;&gt;0,AX289&gt;=MAXSSDI),SSDI*MAXSSDI*P289,IF(AT289&lt;&gt;0,SSDI*W289,0))</f>
        <v>580.32000000000005</v>
      </c>
      <c r="BE289" s="462">
        <f>IF(AT289&lt;&gt;0,SSHI*W289,0)</f>
        <v>135.72</v>
      </c>
      <c r="BF289" s="462">
        <f>IF(AND(AT289&lt;&gt;0,AN289&lt;&gt;"NE"),VLOOKUP(AN289,Retirement_Rates,3,FALSE)*W289,0)</f>
        <v>1117.5840000000001</v>
      </c>
      <c r="BG289" s="462">
        <f>IF(AND(AT289&lt;&gt;0,AJ289&lt;&gt;"PF"),Life*W289,0)</f>
        <v>67.485600000000005</v>
      </c>
      <c r="BH289" s="462">
        <f>IF(AND(AT289&lt;&gt;0,AM289="Y"),UI*W289,0)</f>
        <v>45.863999999999997</v>
      </c>
      <c r="BI289" s="462">
        <f>IF(AND(AT289&lt;&gt;0,N289&lt;&gt;"NR"),DHR*W289,0)</f>
        <v>28.641599999999997</v>
      </c>
      <c r="BJ289" s="462">
        <f>IF(AT289&lt;&gt;0,WC*W289,0)</f>
        <v>143.208</v>
      </c>
      <c r="BK289" s="462">
        <f>IF(OR(AND(AT289&lt;&gt;0,AJ289&lt;&gt;"PF",AN289&lt;&gt;"NE",AG289&lt;&gt;"A"),AND(AL289="E",OR(AT289=1,AT289=3))),Sick*W289,0)</f>
        <v>0</v>
      </c>
      <c r="BL289" s="462">
        <f t="shared" si="73"/>
        <v>2118.8232000000003</v>
      </c>
      <c r="BM289" s="462">
        <f t="shared" si="74"/>
        <v>0</v>
      </c>
      <c r="BN289" s="462">
        <f>IF(AND(AT289=1,AK289="E",AU289&gt;=0.75,AW289=1),HealthBY,IF(AND(AT289=1,AK289="E",AU289&gt;=0.75),HealthBY*P289,IF(AND(AT289=1,AK289="E",AU289&gt;=0.5,AW289=1),PTHealthBY,IF(AND(AT289=1,AK289="E",AU289&gt;=0.5),PTHealthBY*P289,0))))</f>
        <v>2330</v>
      </c>
      <c r="BO289" s="462">
        <f>IF(AND(AT289=3,AK289="E",AV289&gt;=0.75,AW289=1),HealthBY,IF(AND(AT289=3,AK289="E",AV289&gt;=0.75),HealthBY*P289,IF(AND(AT289=3,AK289="E",AV289&gt;=0.5,AW289=1),PTHealthBY,IF(AND(AT289=3,AK289="E",AV289&gt;=0.5),PTHealthBY*P289,0))))</f>
        <v>0</v>
      </c>
      <c r="BP289" s="462">
        <f>IF(AND(AT289&lt;&gt;0,(AX289+BA289)&gt;=MAXSSDIBY),SSDIBY*MAXSSDIBY*P289,IF(AT289&lt;&gt;0,SSDIBY*W289,0))</f>
        <v>580.32000000000005</v>
      </c>
      <c r="BQ289" s="462">
        <f>IF(AT289&lt;&gt;0,SSHIBY*W289,0)</f>
        <v>135.72</v>
      </c>
      <c r="BR289" s="462">
        <f>IF(AND(AT289&lt;&gt;0,AN289&lt;&gt;"NE"),VLOOKUP(AN289,Retirement_Rates,4,FALSE)*W289,0)</f>
        <v>1117.5840000000001</v>
      </c>
      <c r="BS289" s="462">
        <f>IF(AND(AT289&lt;&gt;0,AJ289&lt;&gt;"PF"),LifeBY*W289,0)</f>
        <v>67.485600000000005</v>
      </c>
      <c r="BT289" s="462">
        <f>IF(AND(AT289&lt;&gt;0,AM289="Y"),UIBY*W289,0)</f>
        <v>0</v>
      </c>
      <c r="BU289" s="462">
        <f>IF(AND(AT289&lt;&gt;0,N289&lt;&gt;"NR"),DHRBY*W289,0)</f>
        <v>28.641599999999997</v>
      </c>
      <c r="BV289" s="462">
        <f>IF(AT289&lt;&gt;0,WCBY*W289,0)</f>
        <v>164.73600000000002</v>
      </c>
      <c r="BW289" s="462">
        <f>IF(OR(AND(AT289&lt;&gt;0,AJ289&lt;&gt;"PF",AN289&lt;&gt;"NE",AG289&lt;&gt;"A"),AND(AL289="E",OR(AT289=1,AT289=3))),SickBY*W289,0)</f>
        <v>0</v>
      </c>
      <c r="BX289" s="462">
        <f t="shared" si="75"/>
        <v>2094.4872</v>
      </c>
      <c r="BY289" s="462">
        <f t="shared" si="76"/>
        <v>0</v>
      </c>
      <c r="BZ289" s="462">
        <f t="shared" si="77"/>
        <v>0</v>
      </c>
      <c r="CA289" s="462">
        <f t="shared" si="78"/>
        <v>0</v>
      </c>
      <c r="CB289" s="462">
        <f t="shared" si="79"/>
        <v>0</v>
      </c>
      <c r="CC289" s="462">
        <f>IF(AT289&lt;&gt;0,SSHICHG*Y289,0)</f>
        <v>0</v>
      </c>
      <c r="CD289" s="462">
        <f>IF(AND(AT289&lt;&gt;0,AN289&lt;&gt;"NE"),VLOOKUP(AN289,Retirement_Rates,5,FALSE)*Y289,0)</f>
        <v>0</v>
      </c>
      <c r="CE289" s="462">
        <f>IF(AND(AT289&lt;&gt;0,AJ289&lt;&gt;"PF"),LifeCHG*Y289,0)</f>
        <v>0</v>
      </c>
      <c r="CF289" s="462">
        <f>IF(AND(AT289&lt;&gt;0,AM289="Y"),UICHG*Y289,0)</f>
        <v>-45.863999999999997</v>
      </c>
      <c r="CG289" s="462">
        <f>IF(AND(AT289&lt;&gt;0,N289&lt;&gt;"NR"),DHRCHG*Y289,0)</f>
        <v>0</v>
      </c>
      <c r="CH289" s="462">
        <f>IF(AT289&lt;&gt;0,WCCHG*Y289,0)</f>
        <v>21.528000000000016</v>
      </c>
      <c r="CI289" s="462">
        <f>IF(OR(AND(AT289&lt;&gt;0,AJ289&lt;&gt;"PF",AN289&lt;&gt;"NE",AG289&lt;&gt;"A"),AND(AL289="E",OR(AT289=1,AT289=3))),SickCHG*Y289,0)</f>
        <v>0</v>
      </c>
      <c r="CJ289" s="462">
        <f t="shared" si="80"/>
        <v>-24.335999999999981</v>
      </c>
      <c r="CK289" s="462" t="str">
        <f t="shared" si="81"/>
        <v/>
      </c>
      <c r="CL289" s="462" t="str">
        <f t="shared" si="82"/>
        <v/>
      </c>
      <c r="CM289" s="462" t="str">
        <f t="shared" si="83"/>
        <v/>
      </c>
      <c r="CN289" s="462" t="str">
        <f t="shared" si="84"/>
        <v>0330-01</v>
      </c>
    </row>
    <row r="290" spans="1:92" ht="15" thickBot="1" x14ac:dyDescent="0.35">
      <c r="A290" s="376" t="s">
        <v>161</v>
      </c>
      <c r="B290" s="376" t="s">
        <v>162</v>
      </c>
      <c r="C290" s="376" t="s">
        <v>933</v>
      </c>
      <c r="D290" s="376" t="s">
        <v>934</v>
      </c>
      <c r="E290" s="376" t="s">
        <v>931</v>
      </c>
      <c r="F290" s="382" t="s">
        <v>289</v>
      </c>
      <c r="G290" s="376" t="s">
        <v>762</v>
      </c>
      <c r="H290" s="378"/>
      <c r="I290" s="378"/>
      <c r="J290" s="376" t="s">
        <v>168</v>
      </c>
      <c r="K290" s="376" t="s">
        <v>935</v>
      </c>
      <c r="L290" s="376" t="s">
        <v>166</v>
      </c>
      <c r="M290" s="376" t="s">
        <v>170</v>
      </c>
      <c r="N290" s="376" t="s">
        <v>291</v>
      </c>
      <c r="O290" s="379">
        <v>0</v>
      </c>
      <c r="P290" s="460">
        <v>1</v>
      </c>
      <c r="Q290" s="460">
        <v>0</v>
      </c>
      <c r="R290" s="380">
        <v>0</v>
      </c>
      <c r="S290" s="460">
        <v>0</v>
      </c>
      <c r="T290" s="380">
        <v>89326.47</v>
      </c>
      <c r="U290" s="380">
        <v>618.75</v>
      </c>
      <c r="V290" s="380">
        <v>18537.419999999998</v>
      </c>
      <c r="W290" s="380">
        <v>96391.47</v>
      </c>
      <c r="X290" s="380">
        <v>19402.8</v>
      </c>
      <c r="Y290" s="380">
        <v>96391.47</v>
      </c>
      <c r="Z290" s="380">
        <v>19402.8</v>
      </c>
      <c r="AA290" s="378"/>
      <c r="AB290" s="376" t="s">
        <v>45</v>
      </c>
      <c r="AC290" s="376" t="s">
        <v>45</v>
      </c>
      <c r="AD290" s="378"/>
      <c r="AE290" s="378"/>
      <c r="AF290" s="378"/>
      <c r="AG290" s="378"/>
      <c r="AH290" s="379">
        <v>0</v>
      </c>
      <c r="AI290" s="379">
        <v>0</v>
      </c>
      <c r="AJ290" s="378"/>
      <c r="AK290" s="378"/>
      <c r="AL290" s="376" t="s">
        <v>180</v>
      </c>
      <c r="AM290" s="378"/>
      <c r="AN290" s="378"/>
      <c r="AO290" s="379">
        <v>0</v>
      </c>
      <c r="AP290" s="460">
        <v>0</v>
      </c>
      <c r="AQ290" s="460">
        <v>0</v>
      </c>
      <c r="AR290" s="459"/>
      <c r="AS290" s="462">
        <f t="shared" si="68"/>
        <v>0</v>
      </c>
      <c r="AT290">
        <f t="shared" si="69"/>
        <v>0</v>
      </c>
      <c r="AU290" s="462" t="str">
        <f>IF(AT290=0,"",IF(AND(AT290=1,M290="F",SUMIF(C2:C698,C290,AS2:AS698)&lt;=1),SUMIF(C2:C698,C290,AS2:AS698),IF(AND(AT290=1,M290="F",SUMIF(C2:C698,C290,AS2:AS698)&gt;1),1,"")))</f>
        <v/>
      </c>
      <c r="AV290" s="462" t="str">
        <f>IF(AT290=0,"",IF(AND(AT290=3,M290="F",SUMIF(C2:C698,C290,AS2:AS698)&lt;=1),SUMIF(C2:C698,C290,AS2:AS698),IF(AND(AT290=3,M290="F",SUMIF(C2:C698,C290,AS2:AS698)&gt;1),1,"")))</f>
        <v/>
      </c>
      <c r="AW290" s="462">
        <f>SUMIF(C2:C698,C290,O2:O698)</f>
        <v>0</v>
      </c>
      <c r="AX290" s="462">
        <f>IF(AND(M290="F",AS290&lt;&gt;0),SUMIF(C2:C698,C290,W2:W698),0)</f>
        <v>0</v>
      </c>
      <c r="AY290" s="462" t="str">
        <f t="shared" si="70"/>
        <v/>
      </c>
      <c r="AZ290" s="462" t="str">
        <f t="shared" si="71"/>
        <v/>
      </c>
      <c r="BA290" s="462">
        <f t="shared" si="72"/>
        <v>0</v>
      </c>
      <c r="BB290" s="462">
        <f>IF(AND(AT290=1,AK290="E",AU290&gt;=0.75,AW290=1),Health,IF(AND(AT290=1,AK290="E",AU290&gt;=0.75),Health*P290,IF(AND(AT290=1,AK290="E",AU290&gt;=0.5,AW290=1),PTHealth,IF(AND(AT290=1,AK290="E",AU290&gt;=0.5),PTHealth*P290,0))))</f>
        <v>0</v>
      </c>
      <c r="BC290" s="462">
        <f>IF(AND(AT290=3,AK290="E",AV290&gt;=0.75,AW290=1),Health,IF(AND(AT290=3,AK290="E",AV290&gt;=0.75),Health*P290,IF(AND(AT290=3,AK290="E",AV290&gt;=0.5,AW290=1),PTHealth,IF(AND(AT290=3,AK290="E",AV290&gt;=0.5),PTHealth*P290,0))))</f>
        <v>0</v>
      </c>
      <c r="BD290" s="462">
        <f>IF(AND(AT290&lt;&gt;0,AX290&gt;=MAXSSDI),SSDI*MAXSSDI*P290,IF(AT290&lt;&gt;0,SSDI*W290,0))</f>
        <v>0</v>
      </c>
      <c r="BE290" s="462">
        <f>IF(AT290&lt;&gt;0,SSHI*W290,0)</f>
        <v>0</v>
      </c>
      <c r="BF290" s="462">
        <f>IF(AND(AT290&lt;&gt;0,AN290&lt;&gt;"NE"),VLOOKUP(AN290,Retirement_Rates,3,FALSE)*W290,0)</f>
        <v>0</v>
      </c>
      <c r="BG290" s="462">
        <f>IF(AND(AT290&lt;&gt;0,AJ290&lt;&gt;"PF"),Life*W290,0)</f>
        <v>0</v>
      </c>
      <c r="BH290" s="462">
        <f>IF(AND(AT290&lt;&gt;0,AM290="Y"),UI*W290,0)</f>
        <v>0</v>
      </c>
      <c r="BI290" s="462">
        <f>IF(AND(AT290&lt;&gt;0,N290&lt;&gt;"NR"),DHR*W290,0)</f>
        <v>0</v>
      </c>
      <c r="BJ290" s="462">
        <f>IF(AT290&lt;&gt;0,WC*W290,0)</f>
        <v>0</v>
      </c>
      <c r="BK290" s="462">
        <f>IF(OR(AND(AT290&lt;&gt;0,AJ290&lt;&gt;"PF",AN290&lt;&gt;"NE",AG290&lt;&gt;"A"),AND(AL290="E",OR(AT290=1,AT290=3))),Sick*W290,0)</f>
        <v>0</v>
      </c>
      <c r="BL290" s="462">
        <f t="shared" si="73"/>
        <v>0</v>
      </c>
      <c r="BM290" s="462">
        <f t="shared" si="74"/>
        <v>0</v>
      </c>
      <c r="BN290" s="462">
        <f>IF(AND(AT290=1,AK290="E",AU290&gt;=0.75,AW290=1),HealthBY,IF(AND(AT290=1,AK290="E",AU290&gt;=0.75),HealthBY*P290,IF(AND(AT290=1,AK290="E",AU290&gt;=0.5,AW290=1),PTHealthBY,IF(AND(AT290=1,AK290="E",AU290&gt;=0.5),PTHealthBY*P290,0))))</f>
        <v>0</v>
      </c>
      <c r="BO290" s="462">
        <f>IF(AND(AT290=3,AK290="E",AV290&gt;=0.75,AW290=1),HealthBY,IF(AND(AT290=3,AK290="E",AV290&gt;=0.75),HealthBY*P290,IF(AND(AT290=3,AK290="E",AV290&gt;=0.5,AW290=1),PTHealthBY,IF(AND(AT290=3,AK290="E",AV290&gt;=0.5),PTHealthBY*P290,0))))</f>
        <v>0</v>
      </c>
      <c r="BP290" s="462">
        <f>IF(AND(AT290&lt;&gt;0,(AX290+BA290)&gt;=MAXSSDIBY),SSDIBY*MAXSSDIBY*P290,IF(AT290&lt;&gt;0,SSDIBY*W290,0))</f>
        <v>0</v>
      </c>
      <c r="BQ290" s="462">
        <f>IF(AT290&lt;&gt;0,SSHIBY*W290,0)</f>
        <v>0</v>
      </c>
      <c r="BR290" s="462">
        <f>IF(AND(AT290&lt;&gt;0,AN290&lt;&gt;"NE"),VLOOKUP(AN290,Retirement_Rates,4,FALSE)*W290,0)</f>
        <v>0</v>
      </c>
      <c r="BS290" s="462">
        <f>IF(AND(AT290&lt;&gt;0,AJ290&lt;&gt;"PF"),LifeBY*W290,0)</f>
        <v>0</v>
      </c>
      <c r="BT290" s="462">
        <f>IF(AND(AT290&lt;&gt;0,AM290="Y"),UIBY*W290,0)</f>
        <v>0</v>
      </c>
      <c r="BU290" s="462">
        <f>IF(AND(AT290&lt;&gt;0,N290&lt;&gt;"NR"),DHRBY*W290,0)</f>
        <v>0</v>
      </c>
      <c r="BV290" s="462">
        <f>IF(AT290&lt;&gt;0,WCBY*W290,0)</f>
        <v>0</v>
      </c>
      <c r="BW290" s="462">
        <f>IF(OR(AND(AT290&lt;&gt;0,AJ290&lt;&gt;"PF",AN290&lt;&gt;"NE",AG290&lt;&gt;"A"),AND(AL290="E",OR(AT290=1,AT290=3))),SickBY*W290,0)</f>
        <v>0</v>
      </c>
      <c r="BX290" s="462">
        <f t="shared" si="75"/>
        <v>0</v>
      </c>
      <c r="BY290" s="462">
        <f t="shared" si="76"/>
        <v>0</v>
      </c>
      <c r="BZ290" s="462">
        <f t="shared" si="77"/>
        <v>0</v>
      </c>
      <c r="CA290" s="462">
        <f t="shared" si="78"/>
        <v>0</v>
      </c>
      <c r="CB290" s="462">
        <f t="shared" si="79"/>
        <v>0</v>
      </c>
      <c r="CC290" s="462">
        <f>IF(AT290&lt;&gt;0,SSHICHG*Y290,0)</f>
        <v>0</v>
      </c>
      <c r="CD290" s="462">
        <f>IF(AND(AT290&lt;&gt;0,AN290&lt;&gt;"NE"),VLOOKUP(AN290,Retirement_Rates,5,FALSE)*Y290,0)</f>
        <v>0</v>
      </c>
      <c r="CE290" s="462">
        <f>IF(AND(AT290&lt;&gt;0,AJ290&lt;&gt;"PF"),LifeCHG*Y290,0)</f>
        <v>0</v>
      </c>
      <c r="CF290" s="462">
        <f>IF(AND(AT290&lt;&gt;0,AM290="Y"),UICHG*Y290,0)</f>
        <v>0</v>
      </c>
      <c r="CG290" s="462">
        <f>IF(AND(AT290&lt;&gt;0,N290&lt;&gt;"NR"),DHRCHG*Y290,0)</f>
        <v>0</v>
      </c>
      <c r="CH290" s="462">
        <f>IF(AT290&lt;&gt;0,WCCHG*Y290,0)</f>
        <v>0</v>
      </c>
      <c r="CI290" s="462">
        <f>IF(OR(AND(AT290&lt;&gt;0,AJ290&lt;&gt;"PF",AN290&lt;&gt;"NE",AG290&lt;&gt;"A"),AND(AL290="E",OR(AT290=1,AT290=3))),SickCHG*Y290,0)</f>
        <v>0</v>
      </c>
      <c r="CJ290" s="462">
        <f t="shared" si="80"/>
        <v>0</v>
      </c>
      <c r="CK290" s="462" t="str">
        <f t="shared" si="81"/>
        <v/>
      </c>
      <c r="CL290" s="462">
        <f t="shared" si="82"/>
        <v>89945.22</v>
      </c>
      <c r="CM290" s="462">
        <f t="shared" si="83"/>
        <v>18537.419999999998</v>
      </c>
      <c r="CN290" s="462" t="str">
        <f t="shared" si="84"/>
        <v>0330-01</v>
      </c>
    </row>
    <row r="291" spans="1:92" ht="15" thickBot="1" x14ac:dyDescent="0.35">
      <c r="A291" s="376" t="s">
        <v>161</v>
      </c>
      <c r="B291" s="376" t="s">
        <v>162</v>
      </c>
      <c r="C291" s="376" t="s">
        <v>785</v>
      </c>
      <c r="D291" s="376" t="s">
        <v>250</v>
      </c>
      <c r="E291" s="376" t="s">
        <v>931</v>
      </c>
      <c r="F291" s="382" t="s">
        <v>289</v>
      </c>
      <c r="G291" s="376" t="s">
        <v>762</v>
      </c>
      <c r="H291" s="378"/>
      <c r="I291" s="378"/>
      <c r="J291" s="376" t="s">
        <v>768</v>
      </c>
      <c r="K291" s="376" t="s">
        <v>407</v>
      </c>
      <c r="L291" s="376" t="s">
        <v>247</v>
      </c>
      <c r="M291" s="376" t="s">
        <v>170</v>
      </c>
      <c r="N291" s="376" t="s">
        <v>202</v>
      </c>
      <c r="O291" s="379">
        <v>1</v>
      </c>
      <c r="P291" s="460">
        <v>0.5</v>
      </c>
      <c r="Q291" s="460">
        <v>0.5</v>
      </c>
      <c r="R291" s="380">
        <v>80</v>
      </c>
      <c r="S291" s="460">
        <v>0.5</v>
      </c>
      <c r="T291" s="380">
        <v>30871.439999999999</v>
      </c>
      <c r="U291" s="380">
        <v>0</v>
      </c>
      <c r="V291" s="380">
        <v>12267.84</v>
      </c>
      <c r="W291" s="380">
        <v>31387.200000000001</v>
      </c>
      <c r="X291" s="380">
        <v>12930.1</v>
      </c>
      <c r="Y291" s="380">
        <v>31387.200000000001</v>
      </c>
      <c r="Z291" s="380">
        <v>12848.49</v>
      </c>
      <c r="AA291" s="376" t="s">
        <v>786</v>
      </c>
      <c r="AB291" s="376" t="s">
        <v>787</v>
      </c>
      <c r="AC291" s="376" t="s">
        <v>788</v>
      </c>
      <c r="AD291" s="376" t="s">
        <v>325</v>
      </c>
      <c r="AE291" s="376" t="s">
        <v>407</v>
      </c>
      <c r="AF291" s="376" t="s">
        <v>299</v>
      </c>
      <c r="AG291" s="376" t="s">
        <v>177</v>
      </c>
      <c r="AH291" s="381">
        <v>30.18</v>
      </c>
      <c r="AI291" s="381">
        <v>73366.600000000006</v>
      </c>
      <c r="AJ291" s="376" t="s">
        <v>178</v>
      </c>
      <c r="AK291" s="376" t="s">
        <v>179</v>
      </c>
      <c r="AL291" s="376" t="s">
        <v>180</v>
      </c>
      <c r="AM291" s="376" t="s">
        <v>181</v>
      </c>
      <c r="AN291" s="376" t="s">
        <v>68</v>
      </c>
      <c r="AO291" s="379">
        <v>80</v>
      </c>
      <c r="AP291" s="460">
        <v>1</v>
      </c>
      <c r="AQ291" s="460">
        <v>0.5</v>
      </c>
      <c r="AR291" s="458" t="s">
        <v>182</v>
      </c>
      <c r="AS291" s="462">
        <f t="shared" si="68"/>
        <v>0.5</v>
      </c>
      <c r="AT291">
        <f t="shared" si="69"/>
        <v>1</v>
      </c>
      <c r="AU291" s="462">
        <f>IF(AT291=0,"",IF(AND(AT291=1,M291="F",SUMIF(C2:C698,C291,AS2:AS698)&lt;=1),SUMIF(C2:C698,C291,AS2:AS698),IF(AND(AT291=1,M291="F",SUMIF(C2:C698,C291,AS2:AS698)&gt;1),1,"")))</f>
        <v>1</v>
      </c>
      <c r="AV291" s="462" t="str">
        <f>IF(AT291=0,"",IF(AND(AT291=3,M291="F",SUMIF(C2:C698,C291,AS2:AS698)&lt;=1),SUMIF(C2:C698,C291,AS2:AS698),IF(AND(AT291=3,M291="F",SUMIF(C2:C698,C291,AS2:AS698)&gt;1),1,"")))</f>
        <v/>
      </c>
      <c r="AW291" s="462">
        <f>SUMIF(C2:C698,C291,O2:O698)</f>
        <v>7</v>
      </c>
      <c r="AX291" s="462">
        <f>IF(AND(M291="F",AS291&lt;&gt;0),SUMIF(C2:C698,C291,W2:W698),0)</f>
        <v>62774.400000000001</v>
      </c>
      <c r="AY291" s="462">
        <f t="shared" si="70"/>
        <v>31387.200000000001</v>
      </c>
      <c r="AZ291" s="462" t="str">
        <f t="shared" si="71"/>
        <v/>
      </c>
      <c r="BA291" s="462">
        <f t="shared" si="72"/>
        <v>0</v>
      </c>
      <c r="BB291" s="462">
        <f>IF(AND(AT291=1,AK291="E",AU291&gt;=0.75,AW291=1),Health,IF(AND(AT291=1,AK291="E",AU291&gt;=0.75),Health*P291,IF(AND(AT291=1,AK291="E",AU291&gt;=0.5,AW291=1),PTHealth,IF(AND(AT291=1,AK291="E",AU291&gt;=0.5),PTHealth*P291,0))))</f>
        <v>5825</v>
      </c>
      <c r="BC291" s="462">
        <f>IF(AND(AT291=3,AK291="E",AV291&gt;=0.75,AW291=1),Health,IF(AND(AT291=3,AK291="E",AV291&gt;=0.75),Health*P291,IF(AND(AT291=3,AK291="E",AV291&gt;=0.5,AW291=1),PTHealth,IF(AND(AT291=3,AK291="E",AV291&gt;=0.5),PTHealth*P291,0))))</f>
        <v>0</v>
      </c>
      <c r="BD291" s="462">
        <f>IF(AND(AT291&lt;&gt;0,AX291&gt;=MAXSSDI),SSDI*MAXSSDI*P291,IF(AT291&lt;&gt;0,SSDI*W291,0))</f>
        <v>1946.0064</v>
      </c>
      <c r="BE291" s="462">
        <f>IF(AT291&lt;&gt;0,SSHI*W291,0)</f>
        <v>455.11440000000005</v>
      </c>
      <c r="BF291" s="462">
        <f>IF(AND(AT291&lt;&gt;0,AN291&lt;&gt;"NE"),VLOOKUP(AN291,Retirement_Rates,3,FALSE)*W291,0)</f>
        <v>3747.6316800000004</v>
      </c>
      <c r="BG291" s="462">
        <f>IF(AND(AT291&lt;&gt;0,AJ291&lt;&gt;"PF"),Life*W291,0)</f>
        <v>226.30171200000001</v>
      </c>
      <c r="BH291" s="462">
        <f>IF(AND(AT291&lt;&gt;0,AM291="Y"),UI*W291,0)</f>
        <v>153.79728</v>
      </c>
      <c r="BI291" s="462">
        <f>IF(AND(AT291&lt;&gt;0,N291&lt;&gt;"NR"),DHR*W291,0)</f>
        <v>96.044832</v>
      </c>
      <c r="BJ291" s="462">
        <f>IF(AT291&lt;&gt;0,WC*W291,0)</f>
        <v>480.22415999999998</v>
      </c>
      <c r="BK291" s="462">
        <f>IF(OR(AND(AT291&lt;&gt;0,AJ291&lt;&gt;"PF",AN291&lt;&gt;"NE",AG291&lt;&gt;"A"),AND(AL291="E",OR(AT291=1,AT291=3))),Sick*W291,0)</f>
        <v>0</v>
      </c>
      <c r="BL291" s="462">
        <f t="shared" si="73"/>
        <v>7105.1204640000005</v>
      </c>
      <c r="BM291" s="462">
        <f t="shared" si="74"/>
        <v>0</v>
      </c>
      <c r="BN291" s="462">
        <f>IF(AND(AT291=1,AK291="E",AU291&gt;=0.75,AW291=1),HealthBY,IF(AND(AT291=1,AK291="E",AU291&gt;=0.75),HealthBY*P291,IF(AND(AT291=1,AK291="E",AU291&gt;=0.5,AW291=1),PTHealthBY,IF(AND(AT291=1,AK291="E",AU291&gt;=0.5),PTHealthBY*P291,0))))</f>
        <v>5825</v>
      </c>
      <c r="BO291" s="462">
        <f>IF(AND(AT291=3,AK291="E",AV291&gt;=0.75,AW291=1),HealthBY,IF(AND(AT291=3,AK291="E",AV291&gt;=0.75),HealthBY*P291,IF(AND(AT291=3,AK291="E",AV291&gt;=0.5,AW291=1),PTHealthBY,IF(AND(AT291=3,AK291="E",AV291&gt;=0.5),PTHealthBY*P291,0))))</f>
        <v>0</v>
      </c>
      <c r="BP291" s="462">
        <f>IF(AND(AT291&lt;&gt;0,(AX291+BA291)&gt;=MAXSSDIBY),SSDIBY*MAXSSDIBY*P291,IF(AT291&lt;&gt;0,SSDIBY*W291,0))</f>
        <v>1946.0064</v>
      </c>
      <c r="BQ291" s="462">
        <f>IF(AT291&lt;&gt;0,SSHIBY*W291,0)</f>
        <v>455.11440000000005</v>
      </c>
      <c r="BR291" s="462">
        <f>IF(AND(AT291&lt;&gt;0,AN291&lt;&gt;"NE"),VLOOKUP(AN291,Retirement_Rates,4,FALSE)*W291,0)</f>
        <v>3747.6316800000004</v>
      </c>
      <c r="BS291" s="462">
        <f>IF(AND(AT291&lt;&gt;0,AJ291&lt;&gt;"PF"),LifeBY*W291,0)</f>
        <v>226.30171200000001</v>
      </c>
      <c r="BT291" s="462">
        <f>IF(AND(AT291&lt;&gt;0,AM291="Y"),UIBY*W291,0)</f>
        <v>0</v>
      </c>
      <c r="BU291" s="462">
        <f>IF(AND(AT291&lt;&gt;0,N291&lt;&gt;"NR"),DHRBY*W291,0)</f>
        <v>96.044832</v>
      </c>
      <c r="BV291" s="462">
        <f>IF(AT291&lt;&gt;0,WCBY*W291,0)</f>
        <v>552.4147200000001</v>
      </c>
      <c r="BW291" s="462">
        <f>IF(OR(AND(AT291&lt;&gt;0,AJ291&lt;&gt;"PF",AN291&lt;&gt;"NE",AG291&lt;&gt;"A"),AND(AL291="E",OR(AT291=1,AT291=3))),SickBY*W291,0)</f>
        <v>0</v>
      </c>
      <c r="BX291" s="462">
        <f t="shared" si="75"/>
        <v>7023.5137440000008</v>
      </c>
      <c r="BY291" s="462">
        <f t="shared" si="76"/>
        <v>0</v>
      </c>
      <c r="BZ291" s="462">
        <f t="shared" si="77"/>
        <v>0</v>
      </c>
      <c r="CA291" s="462">
        <f t="shared" si="78"/>
        <v>0</v>
      </c>
      <c r="CB291" s="462">
        <f t="shared" si="79"/>
        <v>0</v>
      </c>
      <c r="CC291" s="462">
        <f>IF(AT291&lt;&gt;0,SSHICHG*Y291,0)</f>
        <v>0</v>
      </c>
      <c r="CD291" s="462">
        <f>IF(AND(AT291&lt;&gt;0,AN291&lt;&gt;"NE"),VLOOKUP(AN291,Retirement_Rates,5,FALSE)*Y291,0)</f>
        <v>0</v>
      </c>
      <c r="CE291" s="462">
        <f>IF(AND(AT291&lt;&gt;0,AJ291&lt;&gt;"PF"),LifeCHG*Y291,0)</f>
        <v>0</v>
      </c>
      <c r="CF291" s="462">
        <f>IF(AND(AT291&lt;&gt;0,AM291="Y"),UICHG*Y291,0)</f>
        <v>-153.79728</v>
      </c>
      <c r="CG291" s="462">
        <f>IF(AND(AT291&lt;&gt;0,N291&lt;&gt;"NR"),DHRCHG*Y291,0)</f>
        <v>0</v>
      </c>
      <c r="CH291" s="462">
        <f>IF(AT291&lt;&gt;0,WCCHG*Y291,0)</f>
        <v>72.190560000000062</v>
      </c>
      <c r="CI291" s="462">
        <f>IF(OR(AND(AT291&lt;&gt;0,AJ291&lt;&gt;"PF",AN291&lt;&gt;"NE",AG291&lt;&gt;"A"),AND(AL291="E",OR(AT291=1,AT291=3))),SickCHG*Y291,0)</f>
        <v>0</v>
      </c>
      <c r="CJ291" s="462">
        <f t="shared" si="80"/>
        <v>-81.606719999999939</v>
      </c>
      <c r="CK291" s="462" t="str">
        <f t="shared" si="81"/>
        <v/>
      </c>
      <c r="CL291" s="462" t="str">
        <f t="shared" si="82"/>
        <v/>
      </c>
      <c r="CM291" s="462" t="str">
        <f t="shared" si="83"/>
        <v/>
      </c>
      <c r="CN291" s="462" t="str">
        <f t="shared" si="84"/>
        <v>0330-01</v>
      </c>
    </row>
    <row r="292" spans="1:92" ht="15" thickBot="1" x14ac:dyDescent="0.35">
      <c r="A292" s="376" t="s">
        <v>161</v>
      </c>
      <c r="B292" s="376" t="s">
        <v>162</v>
      </c>
      <c r="C292" s="376" t="s">
        <v>789</v>
      </c>
      <c r="D292" s="376" t="s">
        <v>250</v>
      </c>
      <c r="E292" s="376" t="s">
        <v>931</v>
      </c>
      <c r="F292" s="382" t="s">
        <v>289</v>
      </c>
      <c r="G292" s="376" t="s">
        <v>762</v>
      </c>
      <c r="H292" s="378"/>
      <c r="I292" s="378"/>
      <c r="J292" s="376" t="s">
        <v>768</v>
      </c>
      <c r="K292" s="376" t="s">
        <v>407</v>
      </c>
      <c r="L292" s="376" t="s">
        <v>247</v>
      </c>
      <c r="M292" s="376" t="s">
        <v>201</v>
      </c>
      <c r="N292" s="376" t="s">
        <v>202</v>
      </c>
      <c r="O292" s="379">
        <v>0</v>
      </c>
      <c r="P292" s="460">
        <v>0.5</v>
      </c>
      <c r="Q292" s="460">
        <v>0.5</v>
      </c>
      <c r="R292" s="380">
        <v>80</v>
      </c>
      <c r="S292" s="460">
        <v>0.5</v>
      </c>
      <c r="T292" s="380">
        <v>12683.52</v>
      </c>
      <c r="U292" s="380">
        <v>0</v>
      </c>
      <c r="V292" s="380">
        <v>5063.96</v>
      </c>
      <c r="W292" s="380">
        <v>30232.799999999999</v>
      </c>
      <c r="X292" s="380">
        <v>13241.96</v>
      </c>
      <c r="Y292" s="380">
        <v>30232.799999999999</v>
      </c>
      <c r="Z292" s="380">
        <v>13090.8</v>
      </c>
      <c r="AA292" s="378"/>
      <c r="AB292" s="376" t="s">
        <v>45</v>
      </c>
      <c r="AC292" s="376" t="s">
        <v>45</v>
      </c>
      <c r="AD292" s="378"/>
      <c r="AE292" s="378"/>
      <c r="AF292" s="378"/>
      <c r="AG292" s="378"/>
      <c r="AH292" s="379">
        <v>0</v>
      </c>
      <c r="AI292" s="379">
        <v>0</v>
      </c>
      <c r="AJ292" s="378"/>
      <c r="AK292" s="378"/>
      <c r="AL292" s="376" t="s">
        <v>180</v>
      </c>
      <c r="AM292" s="378"/>
      <c r="AN292" s="378"/>
      <c r="AO292" s="379">
        <v>0</v>
      </c>
      <c r="AP292" s="460">
        <v>0</v>
      </c>
      <c r="AQ292" s="460">
        <v>0</v>
      </c>
      <c r="AR292" s="459"/>
      <c r="AS292" s="462">
        <f t="shared" si="68"/>
        <v>0</v>
      </c>
      <c r="AT292">
        <f t="shared" si="69"/>
        <v>0</v>
      </c>
      <c r="AU292" s="462" t="str">
        <f>IF(AT292=0,"",IF(AND(AT292=1,M292="F",SUMIF(C2:C698,C292,AS2:AS698)&lt;=1),SUMIF(C2:C698,C292,AS2:AS698),IF(AND(AT292=1,M292="F",SUMIF(C2:C698,C292,AS2:AS698)&gt;1),1,"")))</f>
        <v/>
      </c>
      <c r="AV292" s="462" t="str">
        <f>IF(AT292=0,"",IF(AND(AT292=3,M292="F",SUMIF(C2:C698,C292,AS2:AS698)&lt;=1),SUMIF(C2:C698,C292,AS2:AS698),IF(AND(AT292=3,M292="F",SUMIF(C2:C698,C292,AS2:AS698)&gt;1),1,"")))</f>
        <v/>
      </c>
      <c r="AW292" s="462">
        <f>SUMIF(C2:C698,C292,O2:O698)</f>
        <v>0</v>
      </c>
      <c r="AX292" s="462">
        <f>IF(AND(M292="F",AS292&lt;&gt;0),SUMIF(C2:C698,C292,W2:W698),0)</f>
        <v>0</v>
      </c>
      <c r="AY292" s="462" t="str">
        <f t="shared" si="70"/>
        <v/>
      </c>
      <c r="AZ292" s="462" t="str">
        <f t="shared" si="71"/>
        <v/>
      </c>
      <c r="BA292" s="462">
        <f t="shared" si="72"/>
        <v>0</v>
      </c>
      <c r="BB292" s="462">
        <f>IF(AND(AT292=1,AK292="E",AU292&gt;=0.75,AW292=1),Health,IF(AND(AT292=1,AK292="E",AU292&gt;=0.75),Health*P292,IF(AND(AT292=1,AK292="E",AU292&gt;=0.5,AW292=1),PTHealth,IF(AND(AT292=1,AK292="E",AU292&gt;=0.5),PTHealth*P292,0))))</f>
        <v>0</v>
      </c>
      <c r="BC292" s="462">
        <f>IF(AND(AT292=3,AK292="E",AV292&gt;=0.75,AW292=1),Health,IF(AND(AT292=3,AK292="E",AV292&gt;=0.75),Health*P292,IF(AND(AT292=3,AK292="E",AV292&gt;=0.5,AW292=1),PTHealth,IF(AND(AT292=3,AK292="E",AV292&gt;=0.5),PTHealth*P292,0))))</f>
        <v>0</v>
      </c>
      <c r="BD292" s="462">
        <f>IF(AND(AT292&lt;&gt;0,AX292&gt;=MAXSSDI),SSDI*MAXSSDI*P292,IF(AT292&lt;&gt;0,SSDI*W292,0))</f>
        <v>0</v>
      </c>
      <c r="BE292" s="462">
        <f>IF(AT292&lt;&gt;0,SSHI*W292,0)</f>
        <v>0</v>
      </c>
      <c r="BF292" s="462">
        <f>IF(AND(AT292&lt;&gt;0,AN292&lt;&gt;"NE"),VLOOKUP(AN292,Retirement_Rates,3,FALSE)*W292,0)</f>
        <v>0</v>
      </c>
      <c r="BG292" s="462">
        <f>IF(AND(AT292&lt;&gt;0,AJ292&lt;&gt;"PF"),Life*W292,0)</f>
        <v>0</v>
      </c>
      <c r="BH292" s="462">
        <f>IF(AND(AT292&lt;&gt;0,AM292="Y"),UI*W292,0)</f>
        <v>0</v>
      </c>
      <c r="BI292" s="462">
        <f>IF(AND(AT292&lt;&gt;0,N292&lt;&gt;"NR"),DHR*W292,0)</f>
        <v>0</v>
      </c>
      <c r="BJ292" s="462">
        <f>IF(AT292&lt;&gt;0,WC*W292,0)</f>
        <v>0</v>
      </c>
      <c r="BK292" s="462">
        <f>IF(OR(AND(AT292&lt;&gt;0,AJ292&lt;&gt;"PF",AN292&lt;&gt;"NE",AG292&lt;&gt;"A"),AND(AL292="E",OR(AT292=1,AT292=3))),Sick*W292,0)</f>
        <v>0</v>
      </c>
      <c r="BL292" s="462">
        <f t="shared" si="73"/>
        <v>0</v>
      </c>
      <c r="BM292" s="462">
        <f t="shared" si="74"/>
        <v>0</v>
      </c>
      <c r="BN292" s="462">
        <f>IF(AND(AT292=1,AK292="E",AU292&gt;=0.75,AW292=1),HealthBY,IF(AND(AT292=1,AK292="E",AU292&gt;=0.75),HealthBY*P292,IF(AND(AT292=1,AK292="E",AU292&gt;=0.5,AW292=1),PTHealthBY,IF(AND(AT292=1,AK292="E",AU292&gt;=0.5),PTHealthBY*P292,0))))</f>
        <v>0</v>
      </c>
      <c r="BO292" s="462">
        <f>IF(AND(AT292=3,AK292="E",AV292&gt;=0.75,AW292=1),HealthBY,IF(AND(AT292=3,AK292="E",AV292&gt;=0.75),HealthBY*P292,IF(AND(AT292=3,AK292="E",AV292&gt;=0.5,AW292=1),PTHealthBY,IF(AND(AT292=3,AK292="E",AV292&gt;=0.5),PTHealthBY*P292,0))))</f>
        <v>0</v>
      </c>
      <c r="BP292" s="462">
        <f>IF(AND(AT292&lt;&gt;0,(AX292+BA292)&gt;=MAXSSDIBY),SSDIBY*MAXSSDIBY*P292,IF(AT292&lt;&gt;0,SSDIBY*W292,0))</f>
        <v>0</v>
      </c>
      <c r="BQ292" s="462">
        <f>IF(AT292&lt;&gt;0,SSHIBY*W292,0)</f>
        <v>0</v>
      </c>
      <c r="BR292" s="462">
        <f>IF(AND(AT292&lt;&gt;0,AN292&lt;&gt;"NE"),VLOOKUP(AN292,Retirement_Rates,4,FALSE)*W292,0)</f>
        <v>0</v>
      </c>
      <c r="BS292" s="462">
        <f>IF(AND(AT292&lt;&gt;0,AJ292&lt;&gt;"PF"),LifeBY*W292,0)</f>
        <v>0</v>
      </c>
      <c r="BT292" s="462">
        <f>IF(AND(AT292&lt;&gt;0,AM292="Y"),UIBY*W292,0)</f>
        <v>0</v>
      </c>
      <c r="BU292" s="462">
        <f>IF(AND(AT292&lt;&gt;0,N292&lt;&gt;"NR"),DHRBY*W292,0)</f>
        <v>0</v>
      </c>
      <c r="BV292" s="462">
        <f>IF(AT292&lt;&gt;0,WCBY*W292,0)</f>
        <v>0</v>
      </c>
      <c r="BW292" s="462">
        <f>IF(OR(AND(AT292&lt;&gt;0,AJ292&lt;&gt;"PF",AN292&lt;&gt;"NE",AG292&lt;&gt;"A"),AND(AL292="E",OR(AT292=1,AT292=3))),SickBY*W292,0)</f>
        <v>0</v>
      </c>
      <c r="BX292" s="462">
        <f t="shared" si="75"/>
        <v>0</v>
      </c>
      <c r="BY292" s="462">
        <f t="shared" si="76"/>
        <v>0</v>
      </c>
      <c r="BZ292" s="462">
        <f t="shared" si="77"/>
        <v>0</v>
      </c>
      <c r="CA292" s="462">
        <f t="shared" si="78"/>
        <v>0</v>
      </c>
      <c r="CB292" s="462">
        <f t="shared" si="79"/>
        <v>0</v>
      </c>
      <c r="CC292" s="462">
        <f>IF(AT292&lt;&gt;0,SSHICHG*Y292,0)</f>
        <v>0</v>
      </c>
      <c r="CD292" s="462">
        <f>IF(AND(AT292&lt;&gt;0,AN292&lt;&gt;"NE"),VLOOKUP(AN292,Retirement_Rates,5,FALSE)*Y292,0)</f>
        <v>0</v>
      </c>
      <c r="CE292" s="462">
        <f>IF(AND(AT292&lt;&gt;0,AJ292&lt;&gt;"PF"),LifeCHG*Y292,0)</f>
        <v>0</v>
      </c>
      <c r="CF292" s="462">
        <f>IF(AND(AT292&lt;&gt;0,AM292="Y"),UICHG*Y292,0)</f>
        <v>0</v>
      </c>
      <c r="CG292" s="462">
        <f>IF(AND(AT292&lt;&gt;0,N292&lt;&gt;"NR"),DHRCHG*Y292,0)</f>
        <v>0</v>
      </c>
      <c r="CH292" s="462">
        <f>IF(AT292&lt;&gt;0,WCCHG*Y292,0)</f>
        <v>0</v>
      </c>
      <c r="CI292" s="462">
        <f>IF(OR(AND(AT292&lt;&gt;0,AJ292&lt;&gt;"PF",AN292&lt;&gt;"NE",AG292&lt;&gt;"A"),AND(AL292="E",OR(AT292=1,AT292=3))),SickCHG*Y292,0)</f>
        <v>0</v>
      </c>
      <c r="CJ292" s="462">
        <f t="shared" si="80"/>
        <v>0</v>
      </c>
      <c r="CK292" s="462" t="str">
        <f t="shared" si="81"/>
        <v/>
      </c>
      <c r="CL292" s="462" t="str">
        <f t="shared" si="82"/>
        <v/>
      </c>
      <c r="CM292" s="462" t="str">
        <f t="shared" si="83"/>
        <v/>
      </c>
      <c r="CN292" s="462" t="str">
        <f t="shared" si="84"/>
        <v>0330-01</v>
      </c>
    </row>
    <row r="293" spans="1:92" ht="15" thickBot="1" x14ac:dyDescent="0.35">
      <c r="A293" s="376" t="s">
        <v>161</v>
      </c>
      <c r="B293" s="376" t="s">
        <v>162</v>
      </c>
      <c r="C293" s="376" t="s">
        <v>936</v>
      </c>
      <c r="D293" s="376" t="s">
        <v>937</v>
      </c>
      <c r="E293" s="376" t="s">
        <v>931</v>
      </c>
      <c r="F293" s="382" t="s">
        <v>289</v>
      </c>
      <c r="G293" s="376" t="s">
        <v>762</v>
      </c>
      <c r="H293" s="378"/>
      <c r="I293" s="378"/>
      <c r="J293" s="376" t="s">
        <v>168</v>
      </c>
      <c r="K293" s="376" t="s">
        <v>938</v>
      </c>
      <c r="L293" s="376" t="s">
        <v>166</v>
      </c>
      <c r="M293" s="376" t="s">
        <v>201</v>
      </c>
      <c r="N293" s="376" t="s">
        <v>291</v>
      </c>
      <c r="O293" s="379">
        <v>0</v>
      </c>
      <c r="P293" s="460">
        <v>1</v>
      </c>
      <c r="Q293" s="460">
        <v>0</v>
      </c>
      <c r="R293" s="380">
        <v>0</v>
      </c>
      <c r="S293" s="460">
        <v>0</v>
      </c>
      <c r="T293" s="380">
        <v>0</v>
      </c>
      <c r="U293" s="380">
        <v>0</v>
      </c>
      <c r="V293" s="380">
        <v>0</v>
      </c>
      <c r="W293" s="380">
        <v>0</v>
      </c>
      <c r="X293" s="380">
        <v>0</v>
      </c>
      <c r="Y293" s="380">
        <v>0</v>
      </c>
      <c r="Z293" s="380">
        <v>0</v>
      </c>
      <c r="AA293" s="378"/>
      <c r="AB293" s="376" t="s">
        <v>45</v>
      </c>
      <c r="AC293" s="376" t="s">
        <v>45</v>
      </c>
      <c r="AD293" s="378"/>
      <c r="AE293" s="378"/>
      <c r="AF293" s="378"/>
      <c r="AG293" s="378"/>
      <c r="AH293" s="379">
        <v>0</v>
      </c>
      <c r="AI293" s="379">
        <v>0</v>
      </c>
      <c r="AJ293" s="378"/>
      <c r="AK293" s="378"/>
      <c r="AL293" s="376" t="s">
        <v>180</v>
      </c>
      <c r="AM293" s="378"/>
      <c r="AN293" s="378"/>
      <c r="AO293" s="379">
        <v>0</v>
      </c>
      <c r="AP293" s="460">
        <v>0</v>
      </c>
      <c r="AQ293" s="460">
        <v>0</v>
      </c>
      <c r="AR293" s="459"/>
      <c r="AS293" s="462">
        <f t="shared" si="68"/>
        <v>0</v>
      </c>
      <c r="AT293">
        <f t="shared" si="69"/>
        <v>0</v>
      </c>
      <c r="AU293" s="462" t="str">
        <f>IF(AT293=0,"",IF(AND(AT293=1,M293="F",SUMIF(C2:C698,C293,AS2:AS698)&lt;=1),SUMIF(C2:C698,C293,AS2:AS698),IF(AND(AT293=1,M293="F",SUMIF(C2:C698,C293,AS2:AS698)&gt;1),1,"")))</f>
        <v/>
      </c>
      <c r="AV293" s="462" t="str">
        <f>IF(AT293=0,"",IF(AND(AT293=3,M293="F",SUMIF(C2:C698,C293,AS2:AS698)&lt;=1),SUMIF(C2:C698,C293,AS2:AS698),IF(AND(AT293=3,M293="F",SUMIF(C2:C698,C293,AS2:AS698)&gt;1),1,"")))</f>
        <v/>
      </c>
      <c r="AW293" s="462">
        <f>SUMIF(C2:C698,C293,O2:O698)</f>
        <v>0</v>
      </c>
      <c r="AX293" s="462">
        <f>IF(AND(M293="F",AS293&lt;&gt;0),SUMIF(C2:C698,C293,W2:W698),0)</f>
        <v>0</v>
      </c>
      <c r="AY293" s="462" t="str">
        <f t="shared" si="70"/>
        <v/>
      </c>
      <c r="AZ293" s="462" t="str">
        <f t="shared" si="71"/>
        <v/>
      </c>
      <c r="BA293" s="462">
        <f t="shared" si="72"/>
        <v>0</v>
      </c>
      <c r="BB293" s="462">
        <f>IF(AND(AT293=1,AK293="E",AU293&gt;=0.75,AW293=1),Health,IF(AND(AT293=1,AK293="E",AU293&gt;=0.75),Health*P293,IF(AND(AT293=1,AK293="E",AU293&gt;=0.5,AW293=1),PTHealth,IF(AND(AT293=1,AK293="E",AU293&gt;=0.5),PTHealth*P293,0))))</f>
        <v>0</v>
      </c>
      <c r="BC293" s="462">
        <f>IF(AND(AT293=3,AK293="E",AV293&gt;=0.75,AW293=1),Health,IF(AND(AT293=3,AK293="E",AV293&gt;=0.75),Health*P293,IF(AND(AT293=3,AK293="E",AV293&gt;=0.5,AW293=1),PTHealth,IF(AND(AT293=3,AK293="E",AV293&gt;=0.5),PTHealth*P293,0))))</f>
        <v>0</v>
      </c>
      <c r="BD293" s="462">
        <f>IF(AND(AT293&lt;&gt;0,AX293&gt;=MAXSSDI),SSDI*MAXSSDI*P293,IF(AT293&lt;&gt;0,SSDI*W293,0))</f>
        <v>0</v>
      </c>
      <c r="BE293" s="462">
        <f>IF(AT293&lt;&gt;0,SSHI*W293,0)</f>
        <v>0</v>
      </c>
      <c r="BF293" s="462">
        <f>IF(AND(AT293&lt;&gt;0,AN293&lt;&gt;"NE"),VLOOKUP(AN293,Retirement_Rates,3,FALSE)*W293,0)</f>
        <v>0</v>
      </c>
      <c r="BG293" s="462">
        <f>IF(AND(AT293&lt;&gt;0,AJ293&lt;&gt;"PF"),Life*W293,0)</f>
        <v>0</v>
      </c>
      <c r="BH293" s="462">
        <f>IF(AND(AT293&lt;&gt;0,AM293="Y"),UI*W293,0)</f>
        <v>0</v>
      </c>
      <c r="BI293" s="462">
        <f>IF(AND(AT293&lt;&gt;0,N293&lt;&gt;"NR"),DHR*W293,0)</f>
        <v>0</v>
      </c>
      <c r="BJ293" s="462">
        <f>IF(AT293&lt;&gt;0,WC*W293,0)</f>
        <v>0</v>
      </c>
      <c r="BK293" s="462">
        <f>IF(OR(AND(AT293&lt;&gt;0,AJ293&lt;&gt;"PF",AN293&lt;&gt;"NE",AG293&lt;&gt;"A"),AND(AL293="E",OR(AT293=1,AT293=3))),Sick*W293,0)</f>
        <v>0</v>
      </c>
      <c r="BL293" s="462">
        <f t="shared" si="73"/>
        <v>0</v>
      </c>
      <c r="BM293" s="462">
        <f t="shared" si="74"/>
        <v>0</v>
      </c>
      <c r="BN293" s="462">
        <f>IF(AND(AT293=1,AK293="E",AU293&gt;=0.75,AW293=1),HealthBY,IF(AND(AT293=1,AK293="E",AU293&gt;=0.75),HealthBY*P293,IF(AND(AT293=1,AK293="E",AU293&gt;=0.5,AW293=1),PTHealthBY,IF(AND(AT293=1,AK293="E",AU293&gt;=0.5),PTHealthBY*P293,0))))</f>
        <v>0</v>
      </c>
      <c r="BO293" s="462">
        <f>IF(AND(AT293=3,AK293="E",AV293&gt;=0.75,AW293=1),HealthBY,IF(AND(AT293=3,AK293="E",AV293&gt;=0.75),HealthBY*P293,IF(AND(AT293=3,AK293="E",AV293&gt;=0.5,AW293=1),PTHealthBY,IF(AND(AT293=3,AK293="E",AV293&gt;=0.5),PTHealthBY*P293,0))))</f>
        <v>0</v>
      </c>
      <c r="BP293" s="462">
        <f>IF(AND(AT293&lt;&gt;0,(AX293+BA293)&gt;=MAXSSDIBY),SSDIBY*MAXSSDIBY*P293,IF(AT293&lt;&gt;0,SSDIBY*W293,0))</f>
        <v>0</v>
      </c>
      <c r="BQ293" s="462">
        <f>IF(AT293&lt;&gt;0,SSHIBY*W293,0)</f>
        <v>0</v>
      </c>
      <c r="BR293" s="462">
        <f>IF(AND(AT293&lt;&gt;0,AN293&lt;&gt;"NE"),VLOOKUP(AN293,Retirement_Rates,4,FALSE)*W293,0)</f>
        <v>0</v>
      </c>
      <c r="BS293" s="462">
        <f>IF(AND(AT293&lt;&gt;0,AJ293&lt;&gt;"PF"),LifeBY*W293,0)</f>
        <v>0</v>
      </c>
      <c r="BT293" s="462">
        <f>IF(AND(AT293&lt;&gt;0,AM293="Y"),UIBY*W293,0)</f>
        <v>0</v>
      </c>
      <c r="BU293" s="462">
        <f>IF(AND(AT293&lt;&gt;0,N293&lt;&gt;"NR"),DHRBY*W293,0)</f>
        <v>0</v>
      </c>
      <c r="BV293" s="462">
        <f>IF(AT293&lt;&gt;0,WCBY*W293,0)</f>
        <v>0</v>
      </c>
      <c r="BW293" s="462">
        <f>IF(OR(AND(AT293&lt;&gt;0,AJ293&lt;&gt;"PF",AN293&lt;&gt;"NE",AG293&lt;&gt;"A"),AND(AL293="E",OR(AT293=1,AT293=3))),SickBY*W293,0)</f>
        <v>0</v>
      </c>
      <c r="BX293" s="462">
        <f t="shared" si="75"/>
        <v>0</v>
      </c>
      <c r="BY293" s="462">
        <f t="shared" si="76"/>
        <v>0</v>
      </c>
      <c r="BZ293" s="462">
        <f t="shared" si="77"/>
        <v>0</v>
      </c>
      <c r="CA293" s="462">
        <f t="shared" si="78"/>
        <v>0</v>
      </c>
      <c r="CB293" s="462">
        <f t="shared" si="79"/>
        <v>0</v>
      </c>
      <c r="CC293" s="462">
        <f>IF(AT293&lt;&gt;0,SSHICHG*Y293,0)</f>
        <v>0</v>
      </c>
      <c r="CD293" s="462">
        <f>IF(AND(AT293&lt;&gt;0,AN293&lt;&gt;"NE"),VLOOKUP(AN293,Retirement_Rates,5,FALSE)*Y293,0)</f>
        <v>0</v>
      </c>
      <c r="CE293" s="462">
        <f>IF(AND(AT293&lt;&gt;0,AJ293&lt;&gt;"PF"),LifeCHG*Y293,0)</f>
        <v>0</v>
      </c>
      <c r="CF293" s="462">
        <f>IF(AND(AT293&lt;&gt;0,AM293="Y"),UICHG*Y293,0)</f>
        <v>0</v>
      </c>
      <c r="CG293" s="462">
        <f>IF(AND(AT293&lt;&gt;0,N293&lt;&gt;"NR"),DHRCHG*Y293,0)</f>
        <v>0</v>
      </c>
      <c r="CH293" s="462">
        <f>IF(AT293&lt;&gt;0,WCCHG*Y293,0)</f>
        <v>0</v>
      </c>
      <c r="CI293" s="462">
        <f>IF(OR(AND(AT293&lt;&gt;0,AJ293&lt;&gt;"PF",AN293&lt;&gt;"NE",AG293&lt;&gt;"A"),AND(AL293="E",OR(AT293=1,AT293=3))),SickCHG*Y293,0)</f>
        <v>0</v>
      </c>
      <c r="CJ293" s="462">
        <f t="shared" si="80"/>
        <v>0</v>
      </c>
      <c r="CK293" s="462" t="str">
        <f t="shared" si="81"/>
        <v/>
      </c>
      <c r="CL293" s="462">
        <f t="shared" si="82"/>
        <v>0</v>
      </c>
      <c r="CM293" s="462">
        <f t="shared" si="83"/>
        <v>0</v>
      </c>
      <c r="CN293" s="462" t="str">
        <f t="shared" si="84"/>
        <v>0330-01</v>
      </c>
    </row>
    <row r="294" spans="1:92" ht="15" thickBot="1" x14ac:dyDescent="0.35">
      <c r="A294" s="376" t="s">
        <v>161</v>
      </c>
      <c r="B294" s="376" t="s">
        <v>162</v>
      </c>
      <c r="C294" s="376" t="s">
        <v>526</v>
      </c>
      <c r="D294" s="376" t="s">
        <v>418</v>
      </c>
      <c r="E294" s="376" t="s">
        <v>931</v>
      </c>
      <c r="F294" s="382" t="s">
        <v>289</v>
      </c>
      <c r="G294" s="376" t="s">
        <v>762</v>
      </c>
      <c r="H294" s="378"/>
      <c r="I294" s="378"/>
      <c r="J294" s="376" t="s">
        <v>168</v>
      </c>
      <c r="K294" s="376" t="s">
        <v>419</v>
      </c>
      <c r="L294" s="376" t="s">
        <v>177</v>
      </c>
      <c r="M294" s="376" t="s">
        <v>170</v>
      </c>
      <c r="N294" s="376" t="s">
        <v>202</v>
      </c>
      <c r="O294" s="379">
        <v>1</v>
      </c>
      <c r="P294" s="460">
        <v>1</v>
      </c>
      <c r="Q294" s="460">
        <v>1</v>
      </c>
      <c r="R294" s="380">
        <v>80</v>
      </c>
      <c r="S294" s="460">
        <v>1</v>
      </c>
      <c r="T294" s="380">
        <v>31492.76</v>
      </c>
      <c r="U294" s="380">
        <v>0</v>
      </c>
      <c r="V294" s="380">
        <v>18415.900000000001</v>
      </c>
      <c r="W294" s="380">
        <v>34632</v>
      </c>
      <c r="X294" s="380">
        <v>19489.61</v>
      </c>
      <c r="Y294" s="380">
        <v>34632</v>
      </c>
      <c r="Z294" s="380">
        <v>19399.580000000002</v>
      </c>
      <c r="AA294" s="376" t="s">
        <v>527</v>
      </c>
      <c r="AB294" s="376" t="s">
        <v>528</v>
      </c>
      <c r="AC294" s="376" t="s">
        <v>529</v>
      </c>
      <c r="AD294" s="376" t="s">
        <v>215</v>
      </c>
      <c r="AE294" s="376" t="s">
        <v>419</v>
      </c>
      <c r="AF294" s="376" t="s">
        <v>436</v>
      </c>
      <c r="AG294" s="376" t="s">
        <v>177</v>
      </c>
      <c r="AH294" s="381">
        <v>16.649999999999999</v>
      </c>
      <c r="AI294" s="381">
        <v>10545.2</v>
      </c>
      <c r="AJ294" s="376" t="s">
        <v>178</v>
      </c>
      <c r="AK294" s="376" t="s">
        <v>179</v>
      </c>
      <c r="AL294" s="376" t="s">
        <v>180</v>
      </c>
      <c r="AM294" s="376" t="s">
        <v>181</v>
      </c>
      <c r="AN294" s="376" t="s">
        <v>68</v>
      </c>
      <c r="AO294" s="379">
        <v>80</v>
      </c>
      <c r="AP294" s="460">
        <v>1</v>
      </c>
      <c r="AQ294" s="460">
        <v>1</v>
      </c>
      <c r="AR294" s="458" t="s">
        <v>182</v>
      </c>
      <c r="AS294" s="462">
        <f t="shared" si="68"/>
        <v>1</v>
      </c>
      <c r="AT294">
        <f t="shared" si="69"/>
        <v>1</v>
      </c>
      <c r="AU294" s="462">
        <f>IF(AT294=0,"",IF(AND(AT294=1,M294="F",SUMIF(C2:C698,C294,AS2:AS698)&lt;=1),SUMIF(C2:C698,C294,AS2:AS698),IF(AND(AT294=1,M294="F",SUMIF(C2:C698,C294,AS2:AS698)&gt;1),1,"")))</f>
        <v>1</v>
      </c>
      <c r="AV294" s="462" t="str">
        <f>IF(AT294=0,"",IF(AND(AT294=3,M294="F",SUMIF(C2:C698,C294,AS2:AS698)&lt;=1),SUMIF(C2:C698,C294,AS2:AS698),IF(AND(AT294=3,M294="F",SUMIF(C2:C698,C294,AS2:AS698)&gt;1),1,"")))</f>
        <v/>
      </c>
      <c r="AW294" s="462">
        <f>SUMIF(C2:C698,C294,O2:O698)</f>
        <v>4</v>
      </c>
      <c r="AX294" s="462">
        <f>IF(AND(M294="F",AS294&lt;&gt;0),SUMIF(C2:C698,C294,W2:W698),0)</f>
        <v>34632</v>
      </c>
      <c r="AY294" s="462">
        <f t="shared" si="70"/>
        <v>34632</v>
      </c>
      <c r="AZ294" s="462" t="str">
        <f t="shared" si="71"/>
        <v/>
      </c>
      <c r="BA294" s="462">
        <f t="shared" si="72"/>
        <v>0</v>
      </c>
      <c r="BB294" s="462">
        <f>IF(AND(AT294=1,AK294="E",AU294&gt;=0.75,AW294=1),Health,IF(AND(AT294=1,AK294="E",AU294&gt;=0.75),Health*P294,IF(AND(AT294=1,AK294="E",AU294&gt;=0.5,AW294=1),PTHealth,IF(AND(AT294=1,AK294="E",AU294&gt;=0.5),PTHealth*P294,0))))</f>
        <v>11650</v>
      </c>
      <c r="BC294" s="462">
        <f>IF(AND(AT294=3,AK294="E",AV294&gt;=0.75,AW294=1),Health,IF(AND(AT294=3,AK294="E",AV294&gt;=0.75),Health*P294,IF(AND(AT294=3,AK294="E",AV294&gt;=0.5,AW294=1),PTHealth,IF(AND(AT294=3,AK294="E",AV294&gt;=0.5),PTHealth*P294,0))))</f>
        <v>0</v>
      </c>
      <c r="BD294" s="462">
        <f>IF(AND(AT294&lt;&gt;0,AX294&gt;=MAXSSDI),SSDI*MAXSSDI*P294,IF(AT294&lt;&gt;0,SSDI*W294,0))</f>
        <v>2147.1840000000002</v>
      </c>
      <c r="BE294" s="462">
        <f>IF(AT294&lt;&gt;0,SSHI*W294,0)</f>
        <v>502.16400000000004</v>
      </c>
      <c r="BF294" s="462">
        <f>IF(AND(AT294&lt;&gt;0,AN294&lt;&gt;"NE"),VLOOKUP(AN294,Retirement_Rates,3,FALSE)*W294,0)</f>
        <v>4135.0608000000002</v>
      </c>
      <c r="BG294" s="462">
        <f>IF(AND(AT294&lt;&gt;0,AJ294&lt;&gt;"PF"),Life*W294,0)</f>
        <v>249.69672</v>
      </c>
      <c r="BH294" s="462">
        <f>IF(AND(AT294&lt;&gt;0,AM294="Y"),UI*W294,0)</f>
        <v>169.6968</v>
      </c>
      <c r="BI294" s="462">
        <f>IF(AND(AT294&lt;&gt;0,N294&lt;&gt;"NR"),DHR*W294,0)</f>
        <v>105.97391999999999</v>
      </c>
      <c r="BJ294" s="462">
        <f>IF(AT294&lt;&gt;0,WC*W294,0)</f>
        <v>529.86959999999999</v>
      </c>
      <c r="BK294" s="462">
        <f>IF(OR(AND(AT294&lt;&gt;0,AJ294&lt;&gt;"PF",AN294&lt;&gt;"NE",AG294&lt;&gt;"A"),AND(AL294="E",OR(AT294=1,AT294=3))),Sick*W294,0)</f>
        <v>0</v>
      </c>
      <c r="BL294" s="462">
        <f t="shared" si="73"/>
        <v>7839.645840000001</v>
      </c>
      <c r="BM294" s="462">
        <f t="shared" si="74"/>
        <v>0</v>
      </c>
      <c r="BN294" s="462">
        <f>IF(AND(AT294=1,AK294="E",AU294&gt;=0.75,AW294=1),HealthBY,IF(AND(AT294=1,AK294="E",AU294&gt;=0.75),HealthBY*P294,IF(AND(AT294=1,AK294="E",AU294&gt;=0.5,AW294=1),PTHealthBY,IF(AND(AT294=1,AK294="E",AU294&gt;=0.5),PTHealthBY*P294,0))))</f>
        <v>11650</v>
      </c>
      <c r="BO294" s="462">
        <f>IF(AND(AT294=3,AK294="E",AV294&gt;=0.75,AW294=1),HealthBY,IF(AND(AT294=3,AK294="E",AV294&gt;=0.75),HealthBY*P294,IF(AND(AT294=3,AK294="E",AV294&gt;=0.5,AW294=1),PTHealthBY,IF(AND(AT294=3,AK294="E",AV294&gt;=0.5),PTHealthBY*P294,0))))</f>
        <v>0</v>
      </c>
      <c r="BP294" s="462">
        <f>IF(AND(AT294&lt;&gt;0,(AX294+BA294)&gt;=MAXSSDIBY),SSDIBY*MAXSSDIBY*P294,IF(AT294&lt;&gt;0,SSDIBY*W294,0))</f>
        <v>2147.1840000000002</v>
      </c>
      <c r="BQ294" s="462">
        <f>IF(AT294&lt;&gt;0,SSHIBY*W294,0)</f>
        <v>502.16400000000004</v>
      </c>
      <c r="BR294" s="462">
        <f>IF(AND(AT294&lt;&gt;0,AN294&lt;&gt;"NE"),VLOOKUP(AN294,Retirement_Rates,4,FALSE)*W294,0)</f>
        <v>4135.0608000000002</v>
      </c>
      <c r="BS294" s="462">
        <f>IF(AND(AT294&lt;&gt;0,AJ294&lt;&gt;"PF"),LifeBY*W294,0)</f>
        <v>249.69672</v>
      </c>
      <c r="BT294" s="462">
        <f>IF(AND(AT294&lt;&gt;0,AM294="Y"),UIBY*W294,0)</f>
        <v>0</v>
      </c>
      <c r="BU294" s="462">
        <f>IF(AND(AT294&lt;&gt;0,N294&lt;&gt;"NR"),DHRBY*W294,0)</f>
        <v>105.97391999999999</v>
      </c>
      <c r="BV294" s="462">
        <f>IF(AT294&lt;&gt;0,WCBY*W294,0)</f>
        <v>609.52320000000009</v>
      </c>
      <c r="BW294" s="462">
        <f>IF(OR(AND(AT294&lt;&gt;0,AJ294&lt;&gt;"PF",AN294&lt;&gt;"NE",AG294&lt;&gt;"A"),AND(AL294="E",OR(AT294=1,AT294=3))),SickBY*W294,0)</f>
        <v>0</v>
      </c>
      <c r="BX294" s="462">
        <f t="shared" si="75"/>
        <v>7749.602640000001</v>
      </c>
      <c r="BY294" s="462">
        <f t="shared" si="76"/>
        <v>0</v>
      </c>
      <c r="BZ294" s="462">
        <f t="shared" si="77"/>
        <v>0</v>
      </c>
      <c r="CA294" s="462">
        <f t="shared" si="78"/>
        <v>0</v>
      </c>
      <c r="CB294" s="462">
        <f t="shared" si="79"/>
        <v>0</v>
      </c>
      <c r="CC294" s="462">
        <f>IF(AT294&lt;&gt;0,SSHICHG*Y294,0)</f>
        <v>0</v>
      </c>
      <c r="CD294" s="462">
        <f>IF(AND(AT294&lt;&gt;0,AN294&lt;&gt;"NE"),VLOOKUP(AN294,Retirement_Rates,5,FALSE)*Y294,0)</f>
        <v>0</v>
      </c>
      <c r="CE294" s="462">
        <f>IF(AND(AT294&lt;&gt;0,AJ294&lt;&gt;"PF"),LifeCHG*Y294,0)</f>
        <v>0</v>
      </c>
      <c r="CF294" s="462">
        <f>IF(AND(AT294&lt;&gt;0,AM294="Y"),UICHG*Y294,0)</f>
        <v>-169.6968</v>
      </c>
      <c r="CG294" s="462">
        <f>IF(AND(AT294&lt;&gt;0,N294&lt;&gt;"NR"),DHRCHG*Y294,0)</f>
        <v>0</v>
      </c>
      <c r="CH294" s="462">
        <f>IF(AT294&lt;&gt;0,WCCHG*Y294,0)</f>
        <v>79.653600000000054</v>
      </c>
      <c r="CI294" s="462">
        <f>IF(OR(AND(AT294&lt;&gt;0,AJ294&lt;&gt;"PF",AN294&lt;&gt;"NE",AG294&lt;&gt;"A"),AND(AL294="E",OR(AT294=1,AT294=3))),SickCHG*Y294,0)</f>
        <v>0</v>
      </c>
      <c r="CJ294" s="462">
        <f t="shared" si="80"/>
        <v>-90.043199999999942</v>
      </c>
      <c r="CK294" s="462" t="str">
        <f t="shared" si="81"/>
        <v/>
      </c>
      <c r="CL294" s="462" t="str">
        <f t="shared" si="82"/>
        <v/>
      </c>
      <c r="CM294" s="462" t="str">
        <f t="shared" si="83"/>
        <v/>
      </c>
      <c r="CN294" s="462" t="str">
        <f t="shared" si="84"/>
        <v>0330-01</v>
      </c>
    </row>
    <row r="295" spans="1:92" ht="15" thickBot="1" x14ac:dyDescent="0.35">
      <c r="A295" s="376" t="s">
        <v>161</v>
      </c>
      <c r="B295" s="376" t="s">
        <v>162</v>
      </c>
      <c r="C295" s="376" t="s">
        <v>412</v>
      </c>
      <c r="D295" s="376" t="s">
        <v>287</v>
      </c>
      <c r="E295" s="376" t="s">
        <v>931</v>
      </c>
      <c r="F295" s="382" t="s">
        <v>289</v>
      </c>
      <c r="G295" s="376" t="s">
        <v>762</v>
      </c>
      <c r="H295" s="378"/>
      <c r="I295" s="378"/>
      <c r="J295" s="376" t="s">
        <v>168</v>
      </c>
      <c r="K295" s="376" t="s">
        <v>290</v>
      </c>
      <c r="L295" s="376" t="s">
        <v>166</v>
      </c>
      <c r="M295" s="376" t="s">
        <v>201</v>
      </c>
      <c r="N295" s="376" t="s">
        <v>291</v>
      </c>
      <c r="O295" s="379">
        <v>0</v>
      </c>
      <c r="P295" s="460">
        <v>0</v>
      </c>
      <c r="Q295" s="460">
        <v>0</v>
      </c>
      <c r="R295" s="380">
        <v>0</v>
      </c>
      <c r="S295" s="460">
        <v>0</v>
      </c>
      <c r="T295" s="380">
        <v>477</v>
      </c>
      <c r="U295" s="380">
        <v>0</v>
      </c>
      <c r="V295" s="380">
        <v>47.25</v>
      </c>
      <c r="W295" s="380">
        <v>0</v>
      </c>
      <c r="X295" s="380">
        <v>0</v>
      </c>
      <c r="Y295" s="380">
        <v>0</v>
      </c>
      <c r="Z295" s="380">
        <v>0</v>
      </c>
      <c r="AA295" s="378"/>
      <c r="AB295" s="376" t="s">
        <v>45</v>
      </c>
      <c r="AC295" s="376" t="s">
        <v>45</v>
      </c>
      <c r="AD295" s="378"/>
      <c r="AE295" s="378"/>
      <c r="AF295" s="378"/>
      <c r="AG295" s="378"/>
      <c r="AH295" s="379">
        <v>0</v>
      </c>
      <c r="AI295" s="379">
        <v>0</v>
      </c>
      <c r="AJ295" s="378"/>
      <c r="AK295" s="378"/>
      <c r="AL295" s="376" t="s">
        <v>180</v>
      </c>
      <c r="AM295" s="378"/>
      <c r="AN295" s="378"/>
      <c r="AO295" s="379">
        <v>0</v>
      </c>
      <c r="AP295" s="460">
        <v>0</v>
      </c>
      <c r="AQ295" s="460">
        <v>0</v>
      </c>
      <c r="AR295" s="459"/>
      <c r="AS295" s="462">
        <f t="shared" si="68"/>
        <v>0</v>
      </c>
      <c r="AT295">
        <f t="shared" si="69"/>
        <v>0</v>
      </c>
      <c r="AU295" s="462" t="str">
        <f>IF(AT295=0,"",IF(AND(AT295=1,M295="F",SUMIF(C2:C698,C295,AS2:AS698)&lt;=1),SUMIF(C2:C698,C295,AS2:AS698),IF(AND(AT295=1,M295="F",SUMIF(C2:C698,C295,AS2:AS698)&gt;1),1,"")))</f>
        <v/>
      </c>
      <c r="AV295" s="462" t="str">
        <f>IF(AT295=0,"",IF(AND(AT295=3,M295="F",SUMIF(C2:C698,C295,AS2:AS698)&lt;=1),SUMIF(C2:C698,C295,AS2:AS698),IF(AND(AT295=3,M295="F",SUMIF(C2:C698,C295,AS2:AS698)&gt;1),1,"")))</f>
        <v/>
      </c>
      <c r="AW295" s="462">
        <f>SUMIF(C2:C698,C295,O2:O698)</f>
        <v>0</v>
      </c>
      <c r="AX295" s="462">
        <f>IF(AND(M295="F",AS295&lt;&gt;0),SUMIF(C2:C698,C295,W2:W698),0)</f>
        <v>0</v>
      </c>
      <c r="AY295" s="462" t="str">
        <f t="shared" si="70"/>
        <v/>
      </c>
      <c r="AZ295" s="462" t="str">
        <f t="shared" si="71"/>
        <v/>
      </c>
      <c r="BA295" s="462">
        <f t="shared" si="72"/>
        <v>0</v>
      </c>
      <c r="BB295" s="462">
        <f>IF(AND(AT295=1,AK295="E",AU295&gt;=0.75,AW295=1),Health,IF(AND(AT295=1,AK295="E",AU295&gt;=0.75),Health*P295,IF(AND(AT295=1,AK295="E",AU295&gt;=0.5,AW295=1),PTHealth,IF(AND(AT295=1,AK295="E",AU295&gt;=0.5),PTHealth*P295,0))))</f>
        <v>0</v>
      </c>
      <c r="BC295" s="462">
        <f>IF(AND(AT295=3,AK295="E",AV295&gt;=0.75,AW295=1),Health,IF(AND(AT295=3,AK295="E",AV295&gt;=0.75),Health*P295,IF(AND(AT295=3,AK295="E",AV295&gt;=0.5,AW295=1),PTHealth,IF(AND(AT295=3,AK295="E",AV295&gt;=0.5),PTHealth*P295,0))))</f>
        <v>0</v>
      </c>
      <c r="BD295" s="462">
        <f>IF(AND(AT295&lt;&gt;0,AX295&gt;=MAXSSDI),SSDI*MAXSSDI*P295,IF(AT295&lt;&gt;0,SSDI*W295,0))</f>
        <v>0</v>
      </c>
      <c r="BE295" s="462">
        <f>IF(AT295&lt;&gt;0,SSHI*W295,0)</f>
        <v>0</v>
      </c>
      <c r="BF295" s="462">
        <f>IF(AND(AT295&lt;&gt;0,AN295&lt;&gt;"NE"),VLOOKUP(AN295,Retirement_Rates,3,FALSE)*W295,0)</f>
        <v>0</v>
      </c>
      <c r="BG295" s="462">
        <f>IF(AND(AT295&lt;&gt;0,AJ295&lt;&gt;"PF"),Life*W295,0)</f>
        <v>0</v>
      </c>
      <c r="BH295" s="462">
        <f>IF(AND(AT295&lt;&gt;0,AM295="Y"),UI*W295,0)</f>
        <v>0</v>
      </c>
      <c r="BI295" s="462">
        <f>IF(AND(AT295&lt;&gt;0,N295&lt;&gt;"NR"),DHR*W295,0)</f>
        <v>0</v>
      </c>
      <c r="BJ295" s="462">
        <f>IF(AT295&lt;&gt;0,WC*W295,0)</f>
        <v>0</v>
      </c>
      <c r="BK295" s="462">
        <f>IF(OR(AND(AT295&lt;&gt;0,AJ295&lt;&gt;"PF",AN295&lt;&gt;"NE",AG295&lt;&gt;"A"),AND(AL295="E",OR(AT295=1,AT295=3))),Sick*W295,0)</f>
        <v>0</v>
      </c>
      <c r="BL295" s="462">
        <f t="shared" si="73"/>
        <v>0</v>
      </c>
      <c r="BM295" s="462">
        <f t="shared" si="74"/>
        <v>0</v>
      </c>
      <c r="BN295" s="462">
        <f>IF(AND(AT295=1,AK295="E",AU295&gt;=0.75,AW295=1),HealthBY,IF(AND(AT295=1,AK295="E",AU295&gt;=0.75),HealthBY*P295,IF(AND(AT295=1,AK295="E",AU295&gt;=0.5,AW295=1),PTHealthBY,IF(AND(AT295=1,AK295="E",AU295&gt;=0.5),PTHealthBY*P295,0))))</f>
        <v>0</v>
      </c>
      <c r="BO295" s="462">
        <f>IF(AND(AT295=3,AK295="E",AV295&gt;=0.75,AW295=1),HealthBY,IF(AND(AT295=3,AK295="E",AV295&gt;=0.75),HealthBY*P295,IF(AND(AT295=3,AK295="E",AV295&gt;=0.5,AW295=1),PTHealthBY,IF(AND(AT295=3,AK295="E",AV295&gt;=0.5),PTHealthBY*P295,0))))</f>
        <v>0</v>
      </c>
      <c r="BP295" s="462">
        <f>IF(AND(AT295&lt;&gt;0,(AX295+BA295)&gt;=MAXSSDIBY),SSDIBY*MAXSSDIBY*P295,IF(AT295&lt;&gt;0,SSDIBY*W295,0))</f>
        <v>0</v>
      </c>
      <c r="BQ295" s="462">
        <f>IF(AT295&lt;&gt;0,SSHIBY*W295,0)</f>
        <v>0</v>
      </c>
      <c r="BR295" s="462">
        <f>IF(AND(AT295&lt;&gt;0,AN295&lt;&gt;"NE"),VLOOKUP(AN295,Retirement_Rates,4,FALSE)*W295,0)</f>
        <v>0</v>
      </c>
      <c r="BS295" s="462">
        <f>IF(AND(AT295&lt;&gt;0,AJ295&lt;&gt;"PF"),LifeBY*W295,0)</f>
        <v>0</v>
      </c>
      <c r="BT295" s="462">
        <f>IF(AND(AT295&lt;&gt;0,AM295="Y"),UIBY*W295,0)</f>
        <v>0</v>
      </c>
      <c r="BU295" s="462">
        <f>IF(AND(AT295&lt;&gt;0,N295&lt;&gt;"NR"),DHRBY*W295,0)</f>
        <v>0</v>
      </c>
      <c r="BV295" s="462">
        <f>IF(AT295&lt;&gt;0,WCBY*W295,0)</f>
        <v>0</v>
      </c>
      <c r="BW295" s="462">
        <f>IF(OR(AND(AT295&lt;&gt;0,AJ295&lt;&gt;"PF",AN295&lt;&gt;"NE",AG295&lt;&gt;"A"),AND(AL295="E",OR(AT295=1,AT295=3))),SickBY*W295,0)</f>
        <v>0</v>
      </c>
      <c r="BX295" s="462">
        <f t="shared" si="75"/>
        <v>0</v>
      </c>
      <c r="BY295" s="462">
        <f t="shared" si="76"/>
        <v>0</v>
      </c>
      <c r="BZ295" s="462">
        <f t="shared" si="77"/>
        <v>0</v>
      </c>
      <c r="CA295" s="462">
        <f t="shared" si="78"/>
        <v>0</v>
      </c>
      <c r="CB295" s="462">
        <f t="shared" si="79"/>
        <v>0</v>
      </c>
      <c r="CC295" s="462">
        <f>IF(AT295&lt;&gt;0,SSHICHG*Y295,0)</f>
        <v>0</v>
      </c>
      <c r="CD295" s="462">
        <f>IF(AND(AT295&lt;&gt;0,AN295&lt;&gt;"NE"),VLOOKUP(AN295,Retirement_Rates,5,FALSE)*Y295,0)</f>
        <v>0</v>
      </c>
      <c r="CE295" s="462">
        <f>IF(AND(AT295&lt;&gt;0,AJ295&lt;&gt;"PF"),LifeCHG*Y295,0)</f>
        <v>0</v>
      </c>
      <c r="CF295" s="462">
        <f>IF(AND(AT295&lt;&gt;0,AM295="Y"),UICHG*Y295,0)</f>
        <v>0</v>
      </c>
      <c r="CG295" s="462">
        <f>IF(AND(AT295&lt;&gt;0,N295&lt;&gt;"NR"),DHRCHG*Y295,0)</f>
        <v>0</v>
      </c>
      <c r="CH295" s="462">
        <f>IF(AT295&lt;&gt;0,WCCHG*Y295,0)</f>
        <v>0</v>
      </c>
      <c r="CI295" s="462">
        <f>IF(OR(AND(AT295&lt;&gt;0,AJ295&lt;&gt;"PF",AN295&lt;&gt;"NE",AG295&lt;&gt;"A"),AND(AL295="E",OR(AT295=1,AT295=3))),SickCHG*Y295,0)</f>
        <v>0</v>
      </c>
      <c r="CJ295" s="462">
        <f t="shared" si="80"/>
        <v>0</v>
      </c>
      <c r="CK295" s="462" t="str">
        <f t="shared" si="81"/>
        <v/>
      </c>
      <c r="CL295" s="462">
        <f t="shared" si="82"/>
        <v>477</v>
      </c>
      <c r="CM295" s="462">
        <f t="shared" si="83"/>
        <v>47.25</v>
      </c>
      <c r="CN295" s="462" t="str">
        <f t="shared" si="84"/>
        <v>0330-01</v>
      </c>
    </row>
    <row r="296" spans="1:92" ht="15" thickBot="1" x14ac:dyDescent="0.35">
      <c r="A296" s="376" t="s">
        <v>161</v>
      </c>
      <c r="B296" s="376" t="s">
        <v>162</v>
      </c>
      <c r="C296" s="376" t="s">
        <v>838</v>
      </c>
      <c r="D296" s="376" t="s">
        <v>365</v>
      </c>
      <c r="E296" s="376" t="s">
        <v>931</v>
      </c>
      <c r="F296" s="382" t="s">
        <v>289</v>
      </c>
      <c r="G296" s="376" t="s">
        <v>762</v>
      </c>
      <c r="H296" s="378"/>
      <c r="I296" s="378"/>
      <c r="J296" s="376" t="s">
        <v>168</v>
      </c>
      <c r="K296" s="376" t="s">
        <v>366</v>
      </c>
      <c r="L296" s="376" t="s">
        <v>274</v>
      </c>
      <c r="M296" s="376" t="s">
        <v>170</v>
      </c>
      <c r="N296" s="376" t="s">
        <v>202</v>
      </c>
      <c r="O296" s="379">
        <v>1</v>
      </c>
      <c r="P296" s="460">
        <v>1</v>
      </c>
      <c r="Q296" s="460">
        <v>1</v>
      </c>
      <c r="R296" s="380">
        <v>80</v>
      </c>
      <c r="S296" s="460">
        <v>1</v>
      </c>
      <c r="T296" s="380">
        <v>6090.4</v>
      </c>
      <c r="U296" s="380">
        <v>0</v>
      </c>
      <c r="V296" s="380">
        <v>3181.59</v>
      </c>
      <c r="W296" s="380">
        <v>39998.400000000001</v>
      </c>
      <c r="X296" s="380">
        <v>20704.400000000001</v>
      </c>
      <c r="Y296" s="380">
        <v>39998.400000000001</v>
      </c>
      <c r="Z296" s="380">
        <v>20600.41</v>
      </c>
      <c r="AA296" s="376" t="s">
        <v>839</v>
      </c>
      <c r="AB296" s="376" t="s">
        <v>840</v>
      </c>
      <c r="AC296" s="376" t="s">
        <v>401</v>
      </c>
      <c r="AD296" s="376" t="s">
        <v>247</v>
      </c>
      <c r="AE296" s="376" t="s">
        <v>366</v>
      </c>
      <c r="AF296" s="376" t="s">
        <v>279</v>
      </c>
      <c r="AG296" s="376" t="s">
        <v>177</v>
      </c>
      <c r="AH296" s="381">
        <v>19.23</v>
      </c>
      <c r="AI296" s="381">
        <v>43952.3</v>
      </c>
      <c r="AJ296" s="376" t="s">
        <v>178</v>
      </c>
      <c r="AK296" s="376" t="s">
        <v>179</v>
      </c>
      <c r="AL296" s="376" t="s">
        <v>180</v>
      </c>
      <c r="AM296" s="376" t="s">
        <v>181</v>
      </c>
      <c r="AN296" s="376" t="s">
        <v>68</v>
      </c>
      <c r="AO296" s="379">
        <v>80</v>
      </c>
      <c r="AP296" s="460">
        <v>1</v>
      </c>
      <c r="AQ296" s="460">
        <v>1</v>
      </c>
      <c r="AR296" s="458" t="s">
        <v>182</v>
      </c>
      <c r="AS296" s="462">
        <f t="shared" si="68"/>
        <v>1</v>
      </c>
      <c r="AT296">
        <f t="shared" si="69"/>
        <v>1</v>
      </c>
      <c r="AU296" s="462">
        <f>IF(AT296=0,"",IF(AND(AT296=1,M296="F",SUMIF(C2:C698,C296,AS2:AS698)&lt;=1),SUMIF(C2:C698,C296,AS2:AS698),IF(AND(AT296=1,M296="F",SUMIF(C2:C698,C296,AS2:AS698)&gt;1),1,"")))</f>
        <v>1</v>
      </c>
      <c r="AV296" s="462" t="str">
        <f>IF(AT296=0,"",IF(AND(AT296=3,M296="F",SUMIF(C2:C698,C296,AS2:AS698)&lt;=1),SUMIF(C2:C698,C296,AS2:AS698),IF(AND(AT296=3,M296="F",SUMIF(C2:C698,C296,AS2:AS698)&gt;1),1,"")))</f>
        <v/>
      </c>
      <c r="AW296" s="462">
        <f>SUMIF(C2:C698,C296,O2:O698)</f>
        <v>2</v>
      </c>
      <c r="AX296" s="462">
        <f>IF(AND(M296="F",AS296&lt;&gt;0),SUMIF(C2:C698,C296,W2:W698),0)</f>
        <v>39998.400000000001</v>
      </c>
      <c r="AY296" s="462">
        <f t="shared" si="70"/>
        <v>39998.400000000001</v>
      </c>
      <c r="AZ296" s="462" t="str">
        <f t="shared" si="71"/>
        <v/>
      </c>
      <c r="BA296" s="462">
        <f t="shared" si="72"/>
        <v>0</v>
      </c>
      <c r="BB296" s="462">
        <f>IF(AND(AT296=1,AK296="E",AU296&gt;=0.75,AW296=1),Health,IF(AND(AT296=1,AK296="E",AU296&gt;=0.75),Health*P296,IF(AND(AT296=1,AK296="E",AU296&gt;=0.5,AW296=1),PTHealth,IF(AND(AT296=1,AK296="E",AU296&gt;=0.5),PTHealth*P296,0))))</f>
        <v>11650</v>
      </c>
      <c r="BC296" s="462">
        <f>IF(AND(AT296=3,AK296="E",AV296&gt;=0.75,AW296=1),Health,IF(AND(AT296=3,AK296="E",AV296&gt;=0.75),Health*P296,IF(AND(AT296=3,AK296="E",AV296&gt;=0.5,AW296=1),PTHealth,IF(AND(AT296=3,AK296="E",AV296&gt;=0.5),PTHealth*P296,0))))</f>
        <v>0</v>
      </c>
      <c r="BD296" s="462">
        <f>IF(AND(AT296&lt;&gt;0,AX296&gt;=MAXSSDI),SSDI*MAXSSDI*P296,IF(AT296&lt;&gt;0,SSDI*W296,0))</f>
        <v>2479.9007999999999</v>
      </c>
      <c r="BE296" s="462">
        <f>IF(AT296&lt;&gt;0,SSHI*W296,0)</f>
        <v>579.97680000000003</v>
      </c>
      <c r="BF296" s="462">
        <f>IF(AND(AT296&lt;&gt;0,AN296&lt;&gt;"NE"),VLOOKUP(AN296,Retirement_Rates,3,FALSE)*W296,0)</f>
        <v>4775.8089600000003</v>
      </c>
      <c r="BG296" s="462">
        <f>IF(AND(AT296&lt;&gt;0,AJ296&lt;&gt;"PF"),Life*W296,0)</f>
        <v>288.388464</v>
      </c>
      <c r="BH296" s="462">
        <f>IF(AND(AT296&lt;&gt;0,AM296="Y"),UI*W296,0)</f>
        <v>195.99216000000001</v>
      </c>
      <c r="BI296" s="462">
        <f>IF(AND(AT296&lt;&gt;0,N296&lt;&gt;"NR"),DHR*W296,0)</f>
        <v>122.39510399999999</v>
      </c>
      <c r="BJ296" s="462">
        <f>IF(AT296&lt;&gt;0,WC*W296,0)</f>
        <v>611.97551999999996</v>
      </c>
      <c r="BK296" s="462">
        <f>IF(OR(AND(AT296&lt;&gt;0,AJ296&lt;&gt;"PF",AN296&lt;&gt;"NE",AG296&lt;&gt;"A"),AND(AL296="E",OR(AT296=1,AT296=3))),Sick*W296,0)</f>
        <v>0</v>
      </c>
      <c r="BL296" s="462">
        <f t="shared" si="73"/>
        <v>9054.4378079999988</v>
      </c>
      <c r="BM296" s="462">
        <f t="shared" si="74"/>
        <v>0</v>
      </c>
      <c r="BN296" s="462">
        <f>IF(AND(AT296=1,AK296="E",AU296&gt;=0.75,AW296=1),HealthBY,IF(AND(AT296=1,AK296="E",AU296&gt;=0.75),HealthBY*P296,IF(AND(AT296=1,AK296="E",AU296&gt;=0.5,AW296=1),PTHealthBY,IF(AND(AT296=1,AK296="E",AU296&gt;=0.5),PTHealthBY*P296,0))))</f>
        <v>11650</v>
      </c>
      <c r="BO296" s="462">
        <f>IF(AND(AT296=3,AK296="E",AV296&gt;=0.75,AW296=1),HealthBY,IF(AND(AT296=3,AK296="E",AV296&gt;=0.75),HealthBY*P296,IF(AND(AT296=3,AK296="E",AV296&gt;=0.5,AW296=1),PTHealthBY,IF(AND(AT296=3,AK296="E",AV296&gt;=0.5),PTHealthBY*P296,0))))</f>
        <v>0</v>
      </c>
      <c r="BP296" s="462">
        <f>IF(AND(AT296&lt;&gt;0,(AX296+BA296)&gt;=MAXSSDIBY),SSDIBY*MAXSSDIBY*P296,IF(AT296&lt;&gt;0,SSDIBY*W296,0))</f>
        <v>2479.9007999999999</v>
      </c>
      <c r="BQ296" s="462">
        <f>IF(AT296&lt;&gt;0,SSHIBY*W296,0)</f>
        <v>579.97680000000003</v>
      </c>
      <c r="BR296" s="462">
        <f>IF(AND(AT296&lt;&gt;0,AN296&lt;&gt;"NE"),VLOOKUP(AN296,Retirement_Rates,4,FALSE)*W296,0)</f>
        <v>4775.8089600000003</v>
      </c>
      <c r="BS296" s="462">
        <f>IF(AND(AT296&lt;&gt;0,AJ296&lt;&gt;"PF"),LifeBY*W296,0)</f>
        <v>288.388464</v>
      </c>
      <c r="BT296" s="462">
        <f>IF(AND(AT296&lt;&gt;0,AM296="Y"),UIBY*W296,0)</f>
        <v>0</v>
      </c>
      <c r="BU296" s="462">
        <f>IF(AND(AT296&lt;&gt;0,N296&lt;&gt;"NR"),DHRBY*W296,0)</f>
        <v>122.39510399999999</v>
      </c>
      <c r="BV296" s="462">
        <f>IF(AT296&lt;&gt;0,WCBY*W296,0)</f>
        <v>703.97184000000004</v>
      </c>
      <c r="BW296" s="462">
        <f>IF(OR(AND(AT296&lt;&gt;0,AJ296&lt;&gt;"PF",AN296&lt;&gt;"NE",AG296&lt;&gt;"A"),AND(AL296="E",OR(AT296=1,AT296=3))),SickBY*W296,0)</f>
        <v>0</v>
      </c>
      <c r="BX296" s="462">
        <f t="shared" si="75"/>
        <v>8950.4419679999992</v>
      </c>
      <c r="BY296" s="462">
        <f t="shared" si="76"/>
        <v>0</v>
      </c>
      <c r="BZ296" s="462">
        <f t="shared" si="77"/>
        <v>0</v>
      </c>
      <c r="CA296" s="462">
        <f t="shared" si="78"/>
        <v>0</v>
      </c>
      <c r="CB296" s="462">
        <f t="shared" si="79"/>
        <v>0</v>
      </c>
      <c r="CC296" s="462">
        <f>IF(AT296&lt;&gt;0,SSHICHG*Y296,0)</f>
        <v>0</v>
      </c>
      <c r="CD296" s="462">
        <f>IF(AND(AT296&lt;&gt;0,AN296&lt;&gt;"NE"),VLOOKUP(AN296,Retirement_Rates,5,FALSE)*Y296,0)</f>
        <v>0</v>
      </c>
      <c r="CE296" s="462">
        <f>IF(AND(AT296&lt;&gt;0,AJ296&lt;&gt;"PF"),LifeCHG*Y296,0)</f>
        <v>0</v>
      </c>
      <c r="CF296" s="462">
        <f>IF(AND(AT296&lt;&gt;0,AM296="Y"),UICHG*Y296,0)</f>
        <v>-195.99216000000001</v>
      </c>
      <c r="CG296" s="462">
        <f>IF(AND(AT296&lt;&gt;0,N296&lt;&gt;"NR"),DHRCHG*Y296,0)</f>
        <v>0</v>
      </c>
      <c r="CH296" s="462">
        <f>IF(AT296&lt;&gt;0,WCCHG*Y296,0)</f>
        <v>91.996320000000068</v>
      </c>
      <c r="CI296" s="462">
        <f>IF(OR(AND(AT296&lt;&gt;0,AJ296&lt;&gt;"PF",AN296&lt;&gt;"NE",AG296&lt;&gt;"A"),AND(AL296="E",OR(AT296=1,AT296=3))),SickCHG*Y296,0)</f>
        <v>0</v>
      </c>
      <c r="CJ296" s="462">
        <f t="shared" si="80"/>
        <v>-103.99583999999994</v>
      </c>
      <c r="CK296" s="462" t="str">
        <f t="shared" si="81"/>
        <v/>
      </c>
      <c r="CL296" s="462" t="str">
        <f t="shared" si="82"/>
        <v/>
      </c>
      <c r="CM296" s="462" t="str">
        <f t="shared" si="83"/>
        <v/>
      </c>
      <c r="CN296" s="462" t="str">
        <f t="shared" si="84"/>
        <v>0330-01</v>
      </c>
    </row>
    <row r="297" spans="1:92" ht="15" thickBot="1" x14ac:dyDescent="0.35">
      <c r="A297" s="376" t="s">
        <v>161</v>
      </c>
      <c r="B297" s="376" t="s">
        <v>162</v>
      </c>
      <c r="C297" s="376" t="s">
        <v>454</v>
      </c>
      <c r="D297" s="376" t="s">
        <v>287</v>
      </c>
      <c r="E297" s="376" t="s">
        <v>931</v>
      </c>
      <c r="F297" s="382" t="s">
        <v>289</v>
      </c>
      <c r="G297" s="376" t="s">
        <v>762</v>
      </c>
      <c r="H297" s="378"/>
      <c r="I297" s="378"/>
      <c r="J297" s="376" t="s">
        <v>455</v>
      </c>
      <c r="K297" s="376" t="s">
        <v>290</v>
      </c>
      <c r="L297" s="376" t="s">
        <v>166</v>
      </c>
      <c r="M297" s="376" t="s">
        <v>201</v>
      </c>
      <c r="N297" s="376" t="s">
        <v>291</v>
      </c>
      <c r="O297" s="379">
        <v>0</v>
      </c>
      <c r="P297" s="460">
        <v>0.28999999999999998</v>
      </c>
      <c r="Q297" s="460">
        <v>0</v>
      </c>
      <c r="R297" s="380">
        <v>0</v>
      </c>
      <c r="S297" s="460">
        <v>0</v>
      </c>
      <c r="T297" s="380">
        <v>0</v>
      </c>
      <c r="U297" s="380">
        <v>0</v>
      </c>
      <c r="V297" s="380">
        <v>0</v>
      </c>
      <c r="W297" s="380">
        <v>0</v>
      </c>
      <c r="X297" s="380">
        <v>0</v>
      </c>
      <c r="Y297" s="380">
        <v>0</v>
      </c>
      <c r="Z297" s="380">
        <v>0</v>
      </c>
      <c r="AA297" s="378"/>
      <c r="AB297" s="376" t="s">
        <v>45</v>
      </c>
      <c r="AC297" s="376" t="s">
        <v>45</v>
      </c>
      <c r="AD297" s="378"/>
      <c r="AE297" s="378"/>
      <c r="AF297" s="378"/>
      <c r="AG297" s="378"/>
      <c r="AH297" s="379">
        <v>0</v>
      </c>
      <c r="AI297" s="379">
        <v>0</v>
      </c>
      <c r="AJ297" s="378"/>
      <c r="AK297" s="378"/>
      <c r="AL297" s="376" t="s">
        <v>180</v>
      </c>
      <c r="AM297" s="378"/>
      <c r="AN297" s="378"/>
      <c r="AO297" s="379">
        <v>0</v>
      </c>
      <c r="AP297" s="460">
        <v>0</v>
      </c>
      <c r="AQ297" s="460">
        <v>0</v>
      </c>
      <c r="AR297" s="459"/>
      <c r="AS297" s="462">
        <f t="shared" si="68"/>
        <v>0</v>
      </c>
      <c r="AT297">
        <f t="shared" si="69"/>
        <v>0</v>
      </c>
      <c r="AU297" s="462" t="str">
        <f>IF(AT297=0,"",IF(AND(AT297=1,M297="F",SUMIF(C2:C698,C297,AS2:AS698)&lt;=1),SUMIF(C2:C698,C297,AS2:AS698),IF(AND(AT297=1,M297="F",SUMIF(C2:C698,C297,AS2:AS698)&gt;1),1,"")))</f>
        <v/>
      </c>
      <c r="AV297" s="462" t="str">
        <f>IF(AT297=0,"",IF(AND(AT297=3,M297="F",SUMIF(C2:C698,C297,AS2:AS698)&lt;=1),SUMIF(C2:C698,C297,AS2:AS698),IF(AND(AT297=3,M297="F",SUMIF(C2:C698,C297,AS2:AS698)&gt;1),1,"")))</f>
        <v/>
      </c>
      <c r="AW297" s="462">
        <f>SUMIF(C2:C698,C297,O2:O698)</f>
        <v>0</v>
      </c>
      <c r="AX297" s="462">
        <f>IF(AND(M297="F",AS297&lt;&gt;0),SUMIF(C2:C698,C297,W2:W698),0)</f>
        <v>0</v>
      </c>
      <c r="AY297" s="462" t="str">
        <f t="shared" si="70"/>
        <v/>
      </c>
      <c r="AZ297" s="462" t="str">
        <f t="shared" si="71"/>
        <v/>
      </c>
      <c r="BA297" s="462">
        <f t="shared" si="72"/>
        <v>0</v>
      </c>
      <c r="BB297" s="462">
        <f>IF(AND(AT297=1,AK297="E",AU297&gt;=0.75,AW297=1),Health,IF(AND(AT297=1,AK297="E",AU297&gt;=0.75),Health*P297,IF(AND(AT297=1,AK297="E",AU297&gt;=0.5,AW297=1),PTHealth,IF(AND(AT297=1,AK297="E",AU297&gt;=0.5),PTHealth*P297,0))))</f>
        <v>0</v>
      </c>
      <c r="BC297" s="462">
        <f>IF(AND(AT297=3,AK297="E",AV297&gt;=0.75,AW297=1),Health,IF(AND(AT297=3,AK297="E",AV297&gt;=0.75),Health*P297,IF(AND(AT297=3,AK297="E",AV297&gt;=0.5,AW297=1),PTHealth,IF(AND(AT297=3,AK297="E",AV297&gt;=0.5),PTHealth*P297,0))))</f>
        <v>0</v>
      </c>
      <c r="BD297" s="462">
        <f>IF(AND(AT297&lt;&gt;0,AX297&gt;=MAXSSDI),SSDI*MAXSSDI*P297,IF(AT297&lt;&gt;0,SSDI*W297,0))</f>
        <v>0</v>
      </c>
      <c r="BE297" s="462">
        <f>IF(AT297&lt;&gt;0,SSHI*W297,0)</f>
        <v>0</v>
      </c>
      <c r="BF297" s="462">
        <f>IF(AND(AT297&lt;&gt;0,AN297&lt;&gt;"NE"),VLOOKUP(AN297,Retirement_Rates,3,FALSE)*W297,0)</f>
        <v>0</v>
      </c>
      <c r="BG297" s="462">
        <f>IF(AND(AT297&lt;&gt;0,AJ297&lt;&gt;"PF"),Life*W297,0)</f>
        <v>0</v>
      </c>
      <c r="BH297" s="462">
        <f>IF(AND(AT297&lt;&gt;0,AM297="Y"),UI*W297,0)</f>
        <v>0</v>
      </c>
      <c r="BI297" s="462">
        <f>IF(AND(AT297&lt;&gt;0,N297&lt;&gt;"NR"),DHR*W297,0)</f>
        <v>0</v>
      </c>
      <c r="BJ297" s="462">
        <f>IF(AT297&lt;&gt;0,WC*W297,0)</f>
        <v>0</v>
      </c>
      <c r="BK297" s="462">
        <f>IF(OR(AND(AT297&lt;&gt;0,AJ297&lt;&gt;"PF",AN297&lt;&gt;"NE",AG297&lt;&gt;"A"),AND(AL297="E",OR(AT297=1,AT297=3))),Sick*W297,0)</f>
        <v>0</v>
      </c>
      <c r="BL297" s="462">
        <f t="shared" si="73"/>
        <v>0</v>
      </c>
      <c r="BM297" s="462">
        <f t="shared" si="74"/>
        <v>0</v>
      </c>
      <c r="BN297" s="462">
        <f>IF(AND(AT297=1,AK297="E",AU297&gt;=0.75,AW297=1),HealthBY,IF(AND(AT297=1,AK297="E",AU297&gt;=0.75),HealthBY*P297,IF(AND(AT297=1,AK297="E",AU297&gt;=0.5,AW297=1),PTHealthBY,IF(AND(AT297=1,AK297="E",AU297&gt;=0.5),PTHealthBY*P297,0))))</f>
        <v>0</v>
      </c>
      <c r="BO297" s="462">
        <f>IF(AND(AT297=3,AK297="E",AV297&gt;=0.75,AW297=1),HealthBY,IF(AND(AT297=3,AK297="E",AV297&gt;=0.75),HealthBY*P297,IF(AND(AT297=3,AK297="E",AV297&gt;=0.5,AW297=1),PTHealthBY,IF(AND(AT297=3,AK297="E",AV297&gt;=0.5),PTHealthBY*P297,0))))</f>
        <v>0</v>
      </c>
      <c r="BP297" s="462">
        <f>IF(AND(AT297&lt;&gt;0,(AX297+BA297)&gt;=MAXSSDIBY),SSDIBY*MAXSSDIBY*P297,IF(AT297&lt;&gt;0,SSDIBY*W297,0))</f>
        <v>0</v>
      </c>
      <c r="BQ297" s="462">
        <f>IF(AT297&lt;&gt;0,SSHIBY*W297,0)</f>
        <v>0</v>
      </c>
      <c r="BR297" s="462">
        <f>IF(AND(AT297&lt;&gt;0,AN297&lt;&gt;"NE"),VLOOKUP(AN297,Retirement_Rates,4,FALSE)*W297,0)</f>
        <v>0</v>
      </c>
      <c r="BS297" s="462">
        <f>IF(AND(AT297&lt;&gt;0,AJ297&lt;&gt;"PF"),LifeBY*W297,0)</f>
        <v>0</v>
      </c>
      <c r="BT297" s="462">
        <f>IF(AND(AT297&lt;&gt;0,AM297="Y"),UIBY*W297,0)</f>
        <v>0</v>
      </c>
      <c r="BU297" s="462">
        <f>IF(AND(AT297&lt;&gt;0,N297&lt;&gt;"NR"),DHRBY*W297,0)</f>
        <v>0</v>
      </c>
      <c r="BV297" s="462">
        <f>IF(AT297&lt;&gt;0,WCBY*W297,0)</f>
        <v>0</v>
      </c>
      <c r="BW297" s="462">
        <f>IF(OR(AND(AT297&lt;&gt;0,AJ297&lt;&gt;"PF",AN297&lt;&gt;"NE",AG297&lt;&gt;"A"),AND(AL297="E",OR(AT297=1,AT297=3))),SickBY*W297,0)</f>
        <v>0</v>
      </c>
      <c r="BX297" s="462">
        <f t="shared" si="75"/>
        <v>0</v>
      </c>
      <c r="BY297" s="462">
        <f t="shared" si="76"/>
        <v>0</v>
      </c>
      <c r="BZ297" s="462">
        <f t="shared" si="77"/>
        <v>0</v>
      </c>
      <c r="CA297" s="462">
        <f t="shared" si="78"/>
        <v>0</v>
      </c>
      <c r="CB297" s="462">
        <f t="shared" si="79"/>
        <v>0</v>
      </c>
      <c r="CC297" s="462">
        <f>IF(AT297&lt;&gt;0,SSHICHG*Y297,0)</f>
        <v>0</v>
      </c>
      <c r="CD297" s="462">
        <f>IF(AND(AT297&lt;&gt;0,AN297&lt;&gt;"NE"),VLOOKUP(AN297,Retirement_Rates,5,FALSE)*Y297,0)</f>
        <v>0</v>
      </c>
      <c r="CE297" s="462">
        <f>IF(AND(AT297&lt;&gt;0,AJ297&lt;&gt;"PF"),LifeCHG*Y297,0)</f>
        <v>0</v>
      </c>
      <c r="CF297" s="462">
        <f>IF(AND(AT297&lt;&gt;0,AM297="Y"),UICHG*Y297,0)</f>
        <v>0</v>
      </c>
      <c r="CG297" s="462">
        <f>IF(AND(AT297&lt;&gt;0,N297&lt;&gt;"NR"),DHRCHG*Y297,0)</f>
        <v>0</v>
      </c>
      <c r="CH297" s="462">
        <f>IF(AT297&lt;&gt;0,WCCHG*Y297,0)</f>
        <v>0</v>
      </c>
      <c r="CI297" s="462">
        <f>IF(OR(AND(AT297&lt;&gt;0,AJ297&lt;&gt;"PF",AN297&lt;&gt;"NE",AG297&lt;&gt;"A"),AND(AL297="E",OR(AT297=1,AT297=3))),SickCHG*Y297,0)</f>
        <v>0</v>
      </c>
      <c r="CJ297" s="462">
        <f t="shared" si="80"/>
        <v>0</v>
      </c>
      <c r="CK297" s="462" t="str">
        <f t="shared" si="81"/>
        <v/>
      </c>
      <c r="CL297" s="462">
        <f t="shared" si="82"/>
        <v>0</v>
      </c>
      <c r="CM297" s="462">
        <f t="shared" si="83"/>
        <v>0</v>
      </c>
      <c r="CN297" s="462" t="str">
        <f t="shared" si="84"/>
        <v>0330-01</v>
      </c>
    </row>
    <row r="298" spans="1:92" ht="15" thickBot="1" x14ac:dyDescent="0.35">
      <c r="A298" s="376" t="s">
        <v>161</v>
      </c>
      <c r="B298" s="376" t="s">
        <v>162</v>
      </c>
      <c r="C298" s="376" t="s">
        <v>939</v>
      </c>
      <c r="D298" s="376" t="s">
        <v>287</v>
      </c>
      <c r="E298" s="376" t="s">
        <v>931</v>
      </c>
      <c r="F298" s="382" t="s">
        <v>289</v>
      </c>
      <c r="G298" s="376" t="s">
        <v>762</v>
      </c>
      <c r="H298" s="378"/>
      <c r="I298" s="378"/>
      <c r="J298" s="376" t="s">
        <v>168</v>
      </c>
      <c r="K298" s="376" t="s">
        <v>290</v>
      </c>
      <c r="L298" s="376" t="s">
        <v>166</v>
      </c>
      <c r="M298" s="376" t="s">
        <v>201</v>
      </c>
      <c r="N298" s="376" t="s">
        <v>291</v>
      </c>
      <c r="O298" s="379">
        <v>0</v>
      </c>
      <c r="P298" s="460">
        <v>1</v>
      </c>
      <c r="Q298" s="460">
        <v>0</v>
      </c>
      <c r="R298" s="380">
        <v>0</v>
      </c>
      <c r="S298" s="460">
        <v>0</v>
      </c>
      <c r="T298" s="380">
        <v>0</v>
      </c>
      <c r="U298" s="380">
        <v>0</v>
      </c>
      <c r="V298" s="380">
        <v>0</v>
      </c>
      <c r="W298" s="380">
        <v>0</v>
      </c>
      <c r="X298" s="380">
        <v>0</v>
      </c>
      <c r="Y298" s="380">
        <v>0</v>
      </c>
      <c r="Z298" s="380">
        <v>0</v>
      </c>
      <c r="AA298" s="378"/>
      <c r="AB298" s="376" t="s">
        <v>45</v>
      </c>
      <c r="AC298" s="376" t="s">
        <v>45</v>
      </c>
      <c r="AD298" s="378"/>
      <c r="AE298" s="378"/>
      <c r="AF298" s="378"/>
      <c r="AG298" s="378"/>
      <c r="AH298" s="379">
        <v>0</v>
      </c>
      <c r="AI298" s="379">
        <v>0</v>
      </c>
      <c r="AJ298" s="378"/>
      <c r="AK298" s="378"/>
      <c r="AL298" s="376" t="s">
        <v>180</v>
      </c>
      <c r="AM298" s="378"/>
      <c r="AN298" s="378"/>
      <c r="AO298" s="379">
        <v>0</v>
      </c>
      <c r="AP298" s="460">
        <v>0</v>
      </c>
      <c r="AQ298" s="460">
        <v>0</v>
      </c>
      <c r="AR298" s="459"/>
      <c r="AS298" s="462">
        <f t="shared" si="68"/>
        <v>0</v>
      </c>
      <c r="AT298">
        <f t="shared" si="69"/>
        <v>0</v>
      </c>
      <c r="AU298" s="462" t="str">
        <f>IF(AT298=0,"",IF(AND(AT298=1,M298="F",SUMIF(C2:C698,C298,AS2:AS698)&lt;=1),SUMIF(C2:C698,C298,AS2:AS698),IF(AND(AT298=1,M298="F",SUMIF(C2:C698,C298,AS2:AS698)&gt;1),1,"")))</f>
        <v/>
      </c>
      <c r="AV298" s="462" t="str">
        <f>IF(AT298=0,"",IF(AND(AT298=3,M298="F",SUMIF(C2:C698,C298,AS2:AS698)&lt;=1),SUMIF(C2:C698,C298,AS2:AS698),IF(AND(AT298=3,M298="F",SUMIF(C2:C698,C298,AS2:AS698)&gt;1),1,"")))</f>
        <v/>
      </c>
      <c r="AW298" s="462">
        <f>SUMIF(C2:C698,C298,O2:O698)</f>
        <v>0</v>
      </c>
      <c r="AX298" s="462">
        <f>IF(AND(M298="F",AS298&lt;&gt;0),SUMIF(C2:C698,C298,W2:W698),0)</f>
        <v>0</v>
      </c>
      <c r="AY298" s="462" t="str">
        <f t="shared" si="70"/>
        <v/>
      </c>
      <c r="AZ298" s="462" t="str">
        <f t="shared" si="71"/>
        <v/>
      </c>
      <c r="BA298" s="462">
        <f t="shared" si="72"/>
        <v>0</v>
      </c>
      <c r="BB298" s="462">
        <f>IF(AND(AT298=1,AK298="E",AU298&gt;=0.75,AW298=1),Health,IF(AND(AT298=1,AK298="E",AU298&gt;=0.75),Health*P298,IF(AND(AT298=1,AK298="E",AU298&gt;=0.5,AW298=1),PTHealth,IF(AND(AT298=1,AK298="E",AU298&gt;=0.5),PTHealth*P298,0))))</f>
        <v>0</v>
      </c>
      <c r="BC298" s="462">
        <f>IF(AND(AT298=3,AK298="E",AV298&gt;=0.75,AW298=1),Health,IF(AND(AT298=3,AK298="E",AV298&gt;=0.75),Health*P298,IF(AND(AT298=3,AK298="E",AV298&gt;=0.5,AW298=1),PTHealth,IF(AND(AT298=3,AK298="E",AV298&gt;=0.5),PTHealth*P298,0))))</f>
        <v>0</v>
      </c>
      <c r="BD298" s="462">
        <f>IF(AND(AT298&lt;&gt;0,AX298&gt;=MAXSSDI),SSDI*MAXSSDI*P298,IF(AT298&lt;&gt;0,SSDI*W298,0))</f>
        <v>0</v>
      </c>
      <c r="BE298" s="462">
        <f>IF(AT298&lt;&gt;0,SSHI*W298,0)</f>
        <v>0</v>
      </c>
      <c r="BF298" s="462">
        <f>IF(AND(AT298&lt;&gt;0,AN298&lt;&gt;"NE"),VLOOKUP(AN298,Retirement_Rates,3,FALSE)*W298,0)</f>
        <v>0</v>
      </c>
      <c r="BG298" s="462">
        <f>IF(AND(AT298&lt;&gt;0,AJ298&lt;&gt;"PF"),Life*W298,0)</f>
        <v>0</v>
      </c>
      <c r="BH298" s="462">
        <f>IF(AND(AT298&lt;&gt;0,AM298="Y"),UI*W298,0)</f>
        <v>0</v>
      </c>
      <c r="BI298" s="462">
        <f>IF(AND(AT298&lt;&gt;0,N298&lt;&gt;"NR"),DHR*W298,0)</f>
        <v>0</v>
      </c>
      <c r="BJ298" s="462">
        <f>IF(AT298&lt;&gt;0,WC*W298,0)</f>
        <v>0</v>
      </c>
      <c r="BK298" s="462">
        <f>IF(OR(AND(AT298&lt;&gt;0,AJ298&lt;&gt;"PF",AN298&lt;&gt;"NE",AG298&lt;&gt;"A"),AND(AL298="E",OR(AT298=1,AT298=3))),Sick*W298,0)</f>
        <v>0</v>
      </c>
      <c r="BL298" s="462">
        <f t="shared" si="73"/>
        <v>0</v>
      </c>
      <c r="BM298" s="462">
        <f t="shared" si="74"/>
        <v>0</v>
      </c>
      <c r="BN298" s="462">
        <f>IF(AND(AT298=1,AK298="E",AU298&gt;=0.75,AW298=1),HealthBY,IF(AND(AT298=1,AK298="E",AU298&gt;=0.75),HealthBY*P298,IF(AND(AT298=1,AK298="E",AU298&gt;=0.5,AW298=1),PTHealthBY,IF(AND(AT298=1,AK298="E",AU298&gt;=0.5),PTHealthBY*P298,0))))</f>
        <v>0</v>
      </c>
      <c r="BO298" s="462">
        <f>IF(AND(AT298=3,AK298="E",AV298&gt;=0.75,AW298=1),HealthBY,IF(AND(AT298=3,AK298="E",AV298&gt;=0.75),HealthBY*P298,IF(AND(AT298=3,AK298="E",AV298&gt;=0.5,AW298=1),PTHealthBY,IF(AND(AT298=3,AK298="E",AV298&gt;=0.5),PTHealthBY*P298,0))))</f>
        <v>0</v>
      </c>
      <c r="BP298" s="462">
        <f>IF(AND(AT298&lt;&gt;0,(AX298+BA298)&gt;=MAXSSDIBY),SSDIBY*MAXSSDIBY*P298,IF(AT298&lt;&gt;0,SSDIBY*W298,0))</f>
        <v>0</v>
      </c>
      <c r="BQ298" s="462">
        <f>IF(AT298&lt;&gt;0,SSHIBY*W298,0)</f>
        <v>0</v>
      </c>
      <c r="BR298" s="462">
        <f>IF(AND(AT298&lt;&gt;0,AN298&lt;&gt;"NE"),VLOOKUP(AN298,Retirement_Rates,4,FALSE)*W298,0)</f>
        <v>0</v>
      </c>
      <c r="BS298" s="462">
        <f>IF(AND(AT298&lt;&gt;0,AJ298&lt;&gt;"PF"),LifeBY*W298,0)</f>
        <v>0</v>
      </c>
      <c r="BT298" s="462">
        <f>IF(AND(AT298&lt;&gt;0,AM298="Y"),UIBY*W298,0)</f>
        <v>0</v>
      </c>
      <c r="BU298" s="462">
        <f>IF(AND(AT298&lt;&gt;0,N298&lt;&gt;"NR"),DHRBY*W298,0)</f>
        <v>0</v>
      </c>
      <c r="BV298" s="462">
        <f>IF(AT298&lt;&gt;0,WCBY*W298,0)</f>
        <v>0</v>
      </c>
      <c r="BW298" s="462">
        <f>IF(OR(AND(AT298&lt;&gt;0,AJ298&lt;&gt;"PF",AN298&lt;&gt;"NE",AG298&lt;&gt;"A"),AND(AL298="E",OR(AT298=1,AT298=3))),SickBY*W298,0)</f>
        <v>0</v>
      </c>
      <c r="BX298" s="462">
        <f t="shared" si="75"/>
        <v>0</v>
      </c>
      <c r="BY298" s="462">
        <f t="shared" si="76"/>
        <v>0</v>
      </c>
      <c r="BZ298" s="462">
        <f t="shared" si="77"/>
        <v>0</v>
      </c>
      <c r="CA298" s="462">
        <f t="shared" si="78"/>
        <v>0</v>
      </c>
      <c r="CB298" s="462">
        <f t="shared" si="79"/>
        <v>0</v>
      </c>
      <c r="CC298" s="462">
        <f>IF(AT298&lt;&gt;0,SSHICHG*Y298,0)</f>
        <v>0</v>
      </c>
      <c r="CD298" s="462">
        <f>IF(AND(AT298&lt;&gt;0,AN298&lt;&gt;"NE"),VLOOKUP(AN298,Retirement_Rates,5,FALSE)*Y298,0)</f>
        <v>0</v>
      </c>
      <c r="CE298" s="462">
        <f>IF(AND(AT298&lt;&gt;0,AJ298&lt;&gt;"PF"),LifeCHG*Y298,0)</f>
        <v>0</v>
      </c>
      <c r="CF298" s="462">
        <f>IF(AND(AT298&lt;&gt;0,AM298="Y"),UICHG*Y298,0)</f>
        <v>0</v>
      </c>
      <c r="CG298" s="462">
        <f>IF(AND(AT298&lt;&gt;0,N298&lt;&gt;"NR"),DHRCHG*Y298,0)</f>
        <v>0</v>
      </c>
      <c r="CH298" s="462">
        <f>IF(AT298&lt;&gt;0,WCCHG*Y298,0)</f>
        <v>0</v>
      </c>
      <c r="CI298" s="462">
        <f>IF(OR(AND(AT298&lt;&gt;0,AJ298&lt;&gt;"PF",AN298&lt;&gt;"NE",AG298&lt;&gt;"A"),AND(AL298="E",OR(AT298=1,AT298=3))),SickCHG*Y298,0)</f>
        <v>0</v>
      </c>
      <c r="CJ298" s="462">
        <f t="shared" si="80"/>
        <v>0</v>
      </c>
      <c r="CK298" s="462" t="str">
        <f t="shared" si="81"/>
        <v/>
      </c>
      <c r="CL298" s="462">
        <f t="shared" si="82"/>
        <v>0</v>
      </c>
      <c r="CM298" s="462">
        <f t="shared" si="83"/>
        <v>0</v>
      </c>
      <c r="CN298" s="462" t="str">
        <f t="shared" si="84"/>
        <v>0330-01</v>
      </c>
    </row>
    <row r="299" spans="1:92" ht="15" thickBot="1" x14ac:dyDescent="0.35">
      <c r="A299" s="376" t="s">
        <v>161</v>
      </c>
      <c r="B299" s="376" t="s">
        <v>162</v>
      </c>
      <c r="C299" s="376" t="s">
        <v>872</v>
      </c>
      <c r="D299" s="376" t="s">
        <v>362</v>
      </c>
      <c r="E299" s="376" t="s">
        <v>931</v>
      </c>
      <c r="F299" s="382" t="s">
        <v>289</v>
      </c>
      <c r="G299" s="376" t="s">
        <v>762</v>
      </c>
      <c r="H299" s="378"/>
      <c r="I299" s="378"/>
      <c r="J299" s="376" t="s">
        <v>168</v>
      </c>
      <c r="K299" s="376" t="s">
        <v>363</v>
      </c>
      <c r="L299" s="376" t="s">
        <v>200</v>
      </c>
      <c r="M299" s="376" t="s">
        <v>201</v>
      </c>
      <c r="N299" s="376" t="s">
        <v>202</v>
      </c>
      <c r="O299" s="379">
        <v>0</v>
      </c>
      <c r="P299" s="460">
        <v>0</v>
      </c>
      <c r="Q299" s="460">
        <v>0</v>
      </c>
      <c r="R299" s="380">
        <v>80</v>
      </c>
      <c r="S299" s="460">
        <v>0</v>
      </c>
      <c r="T299" s="380">
        <v>11133.51</v>
      </c>
      <c r="U299" s="380">
        <v>0</v>
      </c>
      <c r="V299" s="380">
        <v>5393.21</v>
      </c>
      <c r="W299" s="380">
        <v>0</v>
      </c>
      <c r="X299" s="380">
        <v>0</v>
      </c>
      <c r="Y299" s="380">
        <v>0</v>
      </c>
      <c r="Z299" s="380">
        <v>0</v>
      </c>
      <c r="AA299" s="378"/>
      <c r="AB299" s="376" t="s">
        <v>45</v>
      </c>
      <c r="AC299" s="376" t="s">
        <v>45</v>
      </c>
      <c r="AD299" s="378"/>
      <c r="AE299" s="378"/>
      <c r="AF299" s="378"/>
      <c r="AG299" s="378"/>
      <c r="AH299" s="379">
        <v>0</v>
      </c>
      <c r="AI299" s="379">
        <v>0</v>
      </c>
      <c r="AJ299" s="378"/>
      <c r="AK299" s="378"/>
      <c r="AL299" s="376" t="s">
        <v>180</v>
      </c>
      <c r="AM299" s="378"/>
      <c r="AN299" s="378"/>
      <c r="AO299" s="379">
        <v>0</v>
      </c>
      <c r="AP299" s="460">
        <v>0</v>
      </c>
      <c r="AQ299" s="460">
        <v>0</v>
      </c>
      <c r="AR299" s="459"/>
      <c r="AS299" s="462">
        <f t="shared" si="68"/>
        <v>0</v>
      </c>
      <c r="AT299">
        <f t="shared" si="69"/>
        <v>0</v>
      </c>
      <c r="AU299" s="462" t="str">
        <f>IF(AT299=0,"",IF(AND(AT299=1,M299="F",SUMIF(C2:C698,C299,AS2:AS698)&lt;=1),SUMIF(C2:C698,C299,AS2:AS698),IF(AND(AT299=1,M299="F",SUMIF(C2:C698,C299,AS2:AS698)&gt;1),1,"")))</f>
        <v/>
      </c>
      <c r="AV299" s="462" t="str">
        <f>IF(AT299=0,"",IF(AND(AT299=3,M299="F",SUMIF(C2:C698,C299,AS2:AS698)&lt;=1),SUMIF(C2:C698,C299,AS2:AS698),IF(AND(AT299=3,M299="F",SUMIF(C2:C698,C299,AS2:AS698)&gt;1),1,"")))</f>
        <v/>
      </c>
      <c r="AW299" s="462">
        <f>SUMIF(C2:C698,C299,O2:O698)</f>
        <v>0</v>
      </c>
      <c r="AX299" s="462">
        <f>IF(AND(M299="F",AS299&lt;&gt;0),SUMIF(C2:C698,C299,W2:W698),0)</f>
        <v>0</v>
      </c>
      <c r="AY299" s="462" t="str">
        <f t="shared" si="70"/>
        <v/>
      </c>
      <c r="AZ299" s="462" t="str">
        <f t="shared" si="71"/>
        <v/>
      </c>
      <c r="BA299" s="462">
        <f t="shared" si="72"/>
        <v>0</v>
      </c>
      <c r="BB299" s="462">
        <f>IF(AND(AT299=1,AK299="E",AU299&gt;=0.75,AW299=1),Health,IF(AND(AT299=1,AK299="E",AU299&gt;=0.75),Health*P299,IF(AND(AT299=1,AK299="E",AU299&gt;=0.5,AW299=1),PTHealth,IF(AND(AT299=1,AK299="E",AU299&gt;=0.5),PTHealth*P299,0))))</f>
        <v>0</v>
      </c>
      <c r="BC299" s="462">
        <f>IF(AND(AT299=3,AK299="E",AV299&gt;=0.75,AW299=1),Health,IF(AND(AT299=3,AK299="E",AV299&gt;=0.75),Health*P299,IF(AND(AT299=3,AK299="E",AV299&gt;=0.5,AW299=1),PTHealth,IF(AND(AT299=3,AK299="E",AV299&gt;=0.5),PTHealth*P299,0))))</f>
        <v>0</v>
      </c>
      <c r="BD299" s="462">
        <f>IF(AND(AT299&lt;&gt;0,AX299&gt;=MAXSSDI),SSDI*MAXSSDI*P299,IF(AT299&lt;&gt;0,SSDI*W299,0))</f>
        <v>0</v>
      </c>
      <c r="BE299" s="462">
        <f>IF(AT299&lt;&gt;0,SSHI*W299,0)</f>
        <v>0</v>
      </c>
      <c r="BF299" s="462">
        <f>IF(AND(AT299&lt;&gt;0,AN299&lt;&gt;"NE"),VLOOKUP(AN299,Retirement_Rates,3,FALSE)*W299,0)</f>
        <v>0</v>
      </c>
      <c r="BG299" s="462">
        <f>IF(AND(AT299&lt;&gt;0,AJ299&lt;&gt;"PF"),Life*W299,0)</f>
        <v>0</v>
      </c>
      <c r="BH299" s="462">
        <f>IF(AND(AT299&lt;&gt;0,AM299="Y"),UI*W299,0)</f>
        <v>0</v>
      </c>
      <c r="BI299" s="462">
        <f>IF(AND(AT299&lt;&gt;0,N299&lt;&gt;"NR"),DHR*W299,0)</f>
        <v>0</v>
      </c>
      <c r="BJ299" s="462">
        <f>IF(AT299&lt;&gt;0,WC*W299,0)</f>
        <v>0</v>
      </c>
      <c r="BK299" s="462">
        <f>IF(OR(AND(AT299&lt;&gt;0,AJ299&lt;&gt;"PF",AN299&lt;&gt;"NE",AG299&lt;&gt;"A"),AND(AL299="E",OR(AT299=1,AT299=3))),Sick*W299,0)</f>
        <v>0</v>
      </c>
      <c r="BL299" s="462">
        <f t="shared" si="73"/>
        <v>0</v>
      </c>
      <c r="BM299" s="462">
        <f t="shared" si="74"/>
        <v>0</v>
      </c>
      <c r="BN299" s="462">
        <f>IF(AND(AT299=1,AK299="E",AU299&gt;=0.75,AW299=1),HealthBY,IF(AND(AT299=1,AK299="E",AU299&gt;=0.75),HealthBY*P299,IF(AND(AT299=1,AK299="E",AU299&gt;=0.5,AW299=1),PTHealthBY,IF(AND(AT299=1,AK299="E",AU299&gt;=0.5),PTHealthBY*P299,0))))</f>
        <v>0</v>
      </c>
      <c r="BO299" s="462">
        <f>IF(AND(AT299=3,AK299="E",AV299&gt;=0.75,AW299=1),HealthBY,IF(AND(AT299=3,AK299="E",AV299&gt;=0.75),HealthBY*P299,IF(AND(AT299=3,AK299="E",AV299&gt;=0.5,AW299=1),PTHealthBY,IF(AND(AT299=3,AK299="E",AV299&gt;=0.5),PTHealthBY*P299,0))))</f>
        <v>0</v>
      </c>
      <c r="BP299" s="462">
        <f>IF(AND(AT299&lt;&gt;0,(AX299+BA299)&gt;=MAXSSDIBY),SSDIBY*MAXSSDIBY*P299,IF(AT299&lt;&gt;0,SSDIBY*W299,0))</f>
        <v>0</v>
      </c>
      <c r="BQ299" s="462">
        <f>IF(AT299&lt;&gt;0,SSHIBY*W299,0)</f>
        <v>0</v>
      </c>
      <c r="BR299" s="462">
        <f>IF(AND(AT299&lt;&gt;0,AN299&lt;&gt;"NE"),VLOOKUP(AN299,Retirement_Rates,4,FALSE)*W299,0)</f>
        <v>0</v>
      </c>
      <c r="BS299" s="462">
        <f>IF(AND(AT299&lt;&gt;0,AJ299&lt;&gt;"PF"),LifeBY*W299,0)</f>
        <v>0</v>
      </c>
      <c r="BT299" s="462">
        <f>IF(AND(AT299&lt;&gt;0,AM299="Y"),UIBY*W299,0)</f>
        <v>0</v>
      </c>
      <c r="BU299" s="462">
        <f>IF(AND(AT299&lt;&gt;0,N299&lt;&gt;"NR"),DHRBY*W299,0)</f>
        <v>0</v>
      </c>
      <c r="BV299" s="462">
        <f>IF(AT299&lt;&gt;0,WCBY*W299,0)</f>
        <v>0</v>
      </c>
      <c r="BW299" s="462">
        <f>IF(OR(AND(AT299&lt;&gt;0,AJ299&lt;&gt;"PF",AN299&lt;&gt;"NE",AG299&lt;&gt;"A"),AND(AL299="E",OR(AT299=1,AT299=3))),SickBY*W299,0)</f>
        <v>0</v>
      </c>
      <c r="BX299" s="462">
        <f t="shared" si="75"/>
        <v>0</v>
      </c>
      <c r="BY299" s="462">
        <f t="shared" si="76"/>
        <v>0</v>
      </c>
      <c r="BZ299" s="462">
        <f t="shared" si="77"/>
        <v>0</v>
      </c>
      <c r="CA299" s="462">
        <f t="shared" si="78"/>
        <v>0</v>
      </c>
      <c r="CB299" s="462">
        <f t="shared" si="79"/>
        <v>0</v>
      </c>
      <c r="CC299" s="462">
        <f>IF(AT299&lt;&gt;0,SSHICHG*Y299,0)</f>
        <v>0</v>
      </c>
      <c r="CD299" s="462">
        <f>IF(AND(AT299&lt;&gt;0,AN299&lt;&gt;"NE"),VLOOKUP(AN299,Retirement_Rates,5,FALSE)*Y299,0)</f>
        <v>0</v>
      </c>
      <c r="CE299" s="462">
        <f>IF(AND(AT299&lt;&gt;0,AJ299&lt;&gt;"PF"),LifeCHG*Y299,0)</f>
        <v>0</v>
      </c>
      <c r="CF299" s="462">
        <f>IF(AND(AT299&lt;&gt;0,AM299="Y"),UICHG*Y299,0)</f>
        <v>0</v>
      </c>
      <c r="CG299" s="462">
        <f>IF(AND(AT299&lt;&gt;0,N299&lt;&gt;"NR"),DHRCHG*Y299,0)</f>
        <v>0</v>
      </c>
      <c r="CH299" s="462">
        <f>IF(AT299&lt;&gt;0,WCCHG*Y299,0)</f>
        <v>0</v>
      </c>
      <c r="CI299" s="462">
        <f>IF(OR(AND(AT299&lt;&gt;0,AJ299&lt;&gt;"PF",AN299&lt;&gt;"NE",AG299&lt;&gt;"A"),AND(AL299="E",OR(AT299=1,AT299=3))),SickCHG*Y299,0)</f>
        <v>0</v>
      </c>
      <c r="CJ299" s="462">
        <f t="shared" si="80"/>
        <v>0</v>
      </c>
      <c r="CK299" s="462" t="str">
        <f t="shared" si="81"/>
        <v/>
      </c>
      <c r="CL299" s="462" t="str">
        <f t="shared" si="82"/>
        <v/>
      </c>
      <c r="CM299" s="462" t="str">
        <f t="shared" si="83"/>
        <v/>
      </c>
      <c r="CN299" s="462" t="str">
        <f t="shared" si="84"/>
        <v>0330-01</v>
      </c>
    </row>
    <row r="300" spans="1:92" ht="15" thickBot="1" x14ac:dyDescent="0.35">
      <c r="A300" s="376" t="s">
        <v>161</v>
      </c>
      <c r="B300" s="376" t="s">
        <v>162</v>
      </c>
      <c r="C300" s="376" t="s">
        <v>940</v>
      </c>
      <c r="D300" s="376" t="s">
        <v>765</v>
      </c>
      <c r="E300" s="376" t="s">
        <v>931</v>
      </c>
      <c r="F300" s="382" t="s">
        <v>289</v>
      </c>
      <c r="G300" s="376" t="s">
        <v>762</v>
      </c>
      <c r="H300" s="378"/>
      <c r="I300" s="378"/>
      <c r="J300" s="376" t="s">
        <v>168</v>
      </c>
      <c r="K300" s="376" t="s">
        <v>766</v>
      </c>
      <c r="L300" s="376" t="s">
        <v>166</v>
      </c>
      <c r="M300" s="376" t="s">
        <v>201</v>
      </c>
      <c r="N300" s="376" t="s">
        <v>291</v>
      </c>
      <c r="O300" s="379">
        <v>0</v>
      </c>
      <c r="P300" s="460">
        <v>1</v>
      </c>
      <c r="Q300" s="460">
        <v>0</v>
      </c>
      <c r="R300" s="380">
        <v>0</v>
      </c>
      <c r="S300" s="460">
        <v>0</v>
      </c>
      <c r="T300" s="380">
        <v>0</v>
      </c>
      <c r="U300" s="380">
        <v>0</v>
      </c>
      <c r="V300" s="380">
        <v>0</v>
      </c>
      <c r="W300" s="380">
        <v>0</v>
      </c>
      <c r="X300" s="380">
        <v>0</v>
      </c>
      <c r="Y300" s="380">
        <v>0</v>
      </c>
      <c r="Z300" s="380">
        <v>0</v>
      </c>
      <c r="AA300" s="378"/>
      <c r="AB300" s="376" t="s">
        <v>45</v>
      </c>
      <c r="AC300" s="376" t="s">
        <v>45</v>
      </c>
      <c r="AD300" s="378"/>
      <c r="AE300" s="378"/>
      <c r="AF300" s="378"/>
      <c r="AG300" s="378"/>
      <c r="AH300" s="379">
        <v>0</v>
      </c>
      <c r="AI300" s="379">
        <v>0</v>
      </c>
      <c r="AJ300" s="378"/>
      <c r="AK300" s="378"/>
      <c r="AL300" s="376" t="s">
        <v>180</v>
      </c>
      <c r="AM300" s="378"/>
      <c r="AN300" s="378"/>
      <c r="AO300" s="379">
        <v>0</v>
      </c>
      <c r="AP300" s="460">
        <v>0</v>
      </c>
      <c r="AQ300" s="460">
        <v>0</v>
      </c>
      <c r="AR300" s="459"/>
      <c r="AS300" s="462">
        <f t="shared" si="68"/>
        <v>0</v>
      </c>
      <c r="AT300">
        <f t="shared" si="69"/>
        <v>0</v>
      </c>
      <c r="AU300" s="462" t="str">
        <f>IF(AT300=0,"",IF(AND(AT300=1,M300="F",SUMIF(C2:C698,C300,AS2:AS698)&lt;=1),SUMIF(C2:C698,C300,AS2:AS698),IF(AND(AT300=1,M300="F",SUMIF(C2:C698,C300,AS2:AS698)&gt;1),1,"")))</f>
        <v/>
      </c>
      <c r="AV300" s="462" t="str">
        <f>IF(AT300=0,"",IF(AND(AT300=3,M300="F",SUMIF(C2:C698,C300,AS2:AS698)&lt;=1),SUMIF(C2:C698,C300,AS2:AS698),IF(AND(AT300=3,M300="F",SUMIF(C2:C698,C300,AS2:AS698)&gt;1),1,"")))</f>
        <v/>
      </c>
      <c r="AW300" s="462">
        <f>SUMIF(C2:C698,C300,O2:O698)</f>
        <v>0</v>
      </c>
      <c r="AX300" s="462">
        <f>IF(AND(M300="F",AS300&lt;&gt;0),SUMIF(C2:C698,C300,W2:W698),0)</f>
        <v>0</v>
      </c>
      <c r="AY300" s="462" t="str">
        <f t="shared" si="70"/>
        <v/>
      </c>
      <c r="AZ300" s="462" t="str">
        <f t="shared" si="71"/>
        <v/>
      </c>
      <c r="BA300" s="462">
        <f t="shared" si="72"/>
        <v>0</v>
      </c>
      <c r="BB300" s="462">
        <f>IF(AND(AT300=1,AK300="E",AU300&gt;=0.75,AW300=1),Health,IF(AND(AT300=1,AK300="E",AU300&gt;=0.75),Health*P300,IF(AND(AT300=1,AK300="E",AU300&gt;=0.5,AW300=1),PTHealth,IF(AND(AT300=1,AK300="E",AU300&gt;=0.5),PTHealth*P300,0))))</f>
        <v>0</v>
      </c>
      <c r="BC300" s="462">
        <f>IF(AND(AT300=3,AK300="E",AV300&gt;=0.75,AW300=1),Health,IF(AND(AT300=3,AK300="E",AV300&gt;=0.75),Health*P300,IF(AND(AT300=3,AK300="E",AV300&gt;=0.5,AW300=1),PTHealth,IF(AND(AT300=3,AK300="E",AV300&gt;=0.5),PTHealth*P300,0))))</f>
        <v>0</v>
      </c>
      <c r="BD300" s="462">
        <f>IF(AND(AT300&lt;&gt;0,AX300&gt;=MAXSSDI),SSDI*MAXSSDI*P300,IF(AT300&lt;&gt;0,SSDI*W300,0))</f>
        <v>0</v>
      </c>
      <c r="BE300" s="462">
        <f>IF(AT300&lt;&gt;0,SSHI*W300,0)</f>
        <v>0</v>
      </c>
      <c r="BF300" s="462">
        <f>IF(AND(AT300&lt;&gt;0,AN300&lt;&gt;"NE"),VLOOKUP(AN300,Retirement_Rates,3,FALSE)*W300,0)</f>
        <v>0</v>
      </c>
      <c r="BG300" s="462">
        <f>IF(AND(AT300&lt;&gt;0,AJ300&lt;&gt;"PF"),Life*W300,0)</f>
        <v>0</v>
      </c>
      <c r="BH300" s="462">
        <f>IF(AND(AT300&lt;&gt;0,AM300="Y"),UI*W300,0)</f>
        <v>0</v>
      </c>
      <c r="BI300" s="462">
        <f>IF(AND(AT300&lt;&gt;0,N300&lt;&gt;"NR"),DHR*W300,0)</f>
        <v>0</v>
      </c>
      <c r="BJ300" s="462">
        <f>IF(AT300&lt;&gt;0,WC*W300,0)</f>
        <v>0</v>
      </c>
      <c r="BK300" s="462">
        <f>IF(OR(AND(AT300&lt;&gt;0,AJ300&lt;&gt;"PF",AN300&lt;&gt;"NE",AG300&lt;&gt;"A"),AND(AL300="E",OR(AT300=1,AT300=3))),Sick*W300,0)</f>
        <v>0</v>
      </c>
      <c r="BL300" s="462">
        <f t="shared" si="73"/>
        <v>0</v>
      </c>
      <c r="BM300" s="462">
        <f t="shared" si="74"/>
        <v>0</v>
      </c>
      <c r="BN300" s="462">
        <f>IF(AND(AT300=1,AK300="E",AU300&gt;=0.75,AW300=1),HealthBY,IF(AND(AT300=1,AK300="E",AU300&gt;=0.75),HealthBY*P300,IF(AND(AT300=1,AK300="E",AU300&gt;=0.5,AW300=1),PTHealthBY,IF(AND(AT300=1,AK300="E",AU300&gt;=0.5),PTHealthBY*P300,0))))</f>
        <v>0</v>
      </c>
      <c r="BO300" s="462">
        <f>IF(AND(AT300=3,AK300="E",AV300&gt;=0.75,AW300=1),HealthBY,IF(AND(AT300=3,AK300="E",AV300&gt;=0.75),HealthBY*P300,IF(AND(AT300=3,AK300="E",AV300&gt;=0.5,AW300=1),PTHealthBY,IF(AND(AT300=3,AK300="E",AV300&gt;=0.5),PTHealthBY*P300,0))))</f>
        <v>0</v>
      </c>
      <c r="BP300" s="462">
        <f>IF(AND(AT300&lt;&gt;0,(AX300+BA300)&gt;=MAXSSDIBY),SSDIBY*MAXSSDIBY*P300,IF(AT300&lt;&gt;0,SSDIBY*W300,0))</f>
        <v>0</v>
      </c>
      <c r="BQ300" s="462">
        <f>IF(AT300&lt;&gt;0,SSHIBY*W300,0)</f>
        <v>0</v>
      </c>
      <c r="BR300" s="462">
        <f>IF(AND(AT300&lt;&gt;0,AN300&lt;&gt;"NE"),VLOOKUP(AN300,Retirement_Rates,4,FALSE)*W300,0)</f>
        <v>0</v>
      </c>
      <c r="BS300" s="462">
        <f>IF(AND(AT300&lt;&gt;0,AJ300&lt;&gt;"PF"),LifeBY*W300,0)</f>
        <v>0</v>
      </c>
      <c r="BT300" s="462">
        <f>IF(AND(AT300&lt;&gt;0,AM300="Y"),UIBY*W300,0)</f>
        <v>0</v>
      </c>
      <c r="BU300" s="462">
        <f>IF(AND(AT300&lt;&gt;0,N300&lt;&gt;"NR"),DHRBY*W300,0)</f>
        <v>0</v>
      </c>
      <c r="BV300" s="462">
        <f>IF(AT300&lt;&gt;0,WCBY*W300,0)</f>
        <v>0</v>
      </c>
      <c r="BW300" s="462">
        <f>IF(OR(AND(AT300&lt;&gt;0,AJ300&lt;&gt;"PF",AN300&lt;&gt;"NE",AG300&lt;&gt;"A"),AND(AL300="E",OR(AT300=1,AT300=3))),SickBY*W300,0)</f>
        <v>0</v>
      </c>
      <c r="BX300" s="462">
        <f t="shared" si="75"/>
        <v>0</v>
      </c>
      <c r="BY300" s="462">
        <f t="shared" si="76"/>
        <v>0</v>
      </c>
      <c r="BZ300" s="462">
        <f t="shared" si="77"/>
        <v>0</v>
      </c>
      <c r="CA300" s="462">
        <f t="shared" si="78"/>
        <v>0</v>
      </c>
      <c r="CB300" s="462">
        <f t="shared" si="79"/>
        <v>0</v>
      </c>
      <c r="CC300" s="462">
        <f>IF(AT300&lt;&gt;0,SSHICHG*Y300,0)</f>
        <v>0</v>
      </c>
      <c r="CD300" s="462">
        <f>IF(AND(AT300&lt;&gt;0,AN300&lt;&gt;"NE"),VLOOKUP(AN300,Retirement_Rates,5,FALSE)*Y300,0)</f>
        <v>0</v>
      </c>
      <c r="CE300" s="462">
        <f>IF(AND(AT300&lt;&gt;0,AJ300&lt;&gt;"PF"),LifeCHG*Y300,0)</f>
        <v>0</v>
      </c>
      <c r="CF300" s="462">
        <f>IF(AND(AT300&lt;&gt;0,AM300="Y"),UICHG*Y300,0)</f>
        <v>0</v>
      </c>
      <c r="CG300" s="462">
        <f>IF(AND(AT300&lt;&gt;0,N300&lt;&gt;"NR"),DHRCHG*Y300,0)</f>
        <v>0</v>
      </c>
      <c r="CH300" s="462">
        <f>IF(AT300&lt;&gt;0,WCCHG*Y300,0)</f>
        <v>0</v>
      </c>
      <c r="CI300" s="462">
        <f>IF(OR(AND(AT300&lt;&gt;0,AJ300&lt;&gt;"PF",AN300&lt;&gt;"NE",AG300&lt;&gt;"A"),AND(AL300="E",OR(AT300=1,AT300=3))),SickCHG*Y300,0)</f>
        <v>0</v>
      </c>
      <c r="CJ300" s="462">
        <f t="shared" si="80"/>
        <v>0</v>
      </c>
      <c r="CK300" s="462" t="str">
        <f t="shared" si="81"/>
        <v/>
      </c>
      <c r="CL300" s="462">
        <f t="shared" si="82"/>
        <v>0</v>
      </c>
      <c r="CM300" s="462">
        <f t="shared" si="83"/>
        <v>0</v>
      </c>
      <c r="CN300" s="462" t="str">
        <f t="shared" si="84"/>
        <v>0330-01</v>
      </c>
    </row>
    <row r="301" spans="1:92" ht="15" thickBot="1" x14ac:dyDescent="0.35">
      <c r="A301" s="376" t="s">
        <v>161</v>
      </c>
      <c r="B301" s="376" t="s">
        <v>162</v>
      </c>
      <c r="C301" s="376" t="s">
        <v>941</v>
      </c>
      <c r="D301" s="376" t="s">
        <v>761</v>
      </c>
      <c r="E301" s="376" t="s">
        <v>931</v>
      </c>
      <c r="F301" s="382" t="s">
        <v>289</v>
      </c>
      <c r="G301" s="376" t="s">
        <v>762</v>
      </c>
      <c r="H301" s="378"/>
      <c r="I301" s="378"/>
      <c r="J301" s="376" t="s">
        <v>168</v>
      </c>
      <c r="K301" s="376" t="s">
        <v>763</v>
      </c>
      <c r="L301" s="376" t="s">
        <v>166</v>
      </c>
      <c r="M301" s="376" t="s">
        <v>201</v>
      </c>
      <c r="N301" s="376" t="s">
        <v>291</v>
      </c>
      <c r="O301" s="379">
        <v>0</v>
      </c>
      <c r="P301" s="460">
        <v>1</v>
      </c>
      <c r="Q301" s="460">
        <v>0</v>
      </c>
      <c r="R301" s="380">
        <v>0</v>
      </c>
      <c r="S301" s="460">
        <v>0</v>
      </c>
      <c r="T301" s="380">
        <v>0</v>
      </c>
      <c r="U301" s="380">
        <v>0</v>
      </c>
      <c r="V301" s="380">
        <v>0</v>
      </c>
      <c r="W301" s="380">
        <v>0</v>
      </c>
      <c r="X301" s="380">
        <v>0</v>
      </c>
      <c r="Y301" s="380">
        <v>0</v>
      </c>
      <c r="Z301" s="380">
        <v>0</v>
      </c>
      <c r="AA301" s="378"/>
      <c r="AB301" s="376" t="s">
        <v>45</v>
      </c>
      <c r="AC301" s="376" t="s">
        <v>45</v>
      </c>
      <c r="AD301" s="378"/>
      <c r="AE301" s="378"/>
      <c r="AF301" s="378"/>
      <c r="AG301" s="378"/>
      <c r="AH301" s="379">
        <v>0</v>
      </c>
      <c r="AI301" s="379">
        <v>0</v>
      </c>
      <c r="AJ301" s="378"/>
      <c r="AK301" s="378"/>
      <c r="AL301" s="376" t="s">
        <v>180</v>
      </c>
      <c r="AM301" s="378"/>
      <c r="AN301" s="378"/>
      <c r="AO301" s="379">
        <v>0</v>
      </c>
      <c r="AP301" s="460">
        <v>0</v>
      </c>
      <c r="AQ301" s="460">
        <v>0</v>
      </c>
      <c r="AR301" s="459"/>
      <c r="AS301" s="462">
        <f t="shared" si="68"/>
        <v>0</v>
      </c>
      <c r="AT301">
        <f t="shared" si="69"/>
        <v>0</v>
      </c>
      <c r="AU301" s="462" t="str">
        <f>IF(AT301=0,"",IF(AND(AT301=1,M301="F",SUMIF(C2:C698,C301,AS2:AS698)&lt;=1),SUMIF(C2:C698,C301,AS2:AS698),IF(AND(AT301=1,M301="F",SUMIF(C2:C698,C301,AS2:AS698)&gt;1),1,"")))</f>
        <v/>
      </c>
      <c r="AV301" s="462" t="str">
        <f>IF(AT301=0,"",IF(AND(AT301=3,M301="F",SUMIF(C2:C698,C301,AS2:AS698)&lt;=1),SUMIF(C2:C698,C301,AS2:AS698),IF(AND(AT301=3,M301="F",SUMIF(C2:C698,C301,AS2:AS698)&gt;1),1,"")))</f>
        <v/>
      </c>
      <c r="AW301" s="462">
        <f>SUMIF(C2:C698,C301,O2:O698)</f>
        <v>0</v>
      </c>
      <c r="AX301" s="462">
        <f>IF(AND(M301="F",AS301&lt;&gt;0),SUMIF(C2:C698,C301,W2:W698),0)</f>
        <v>0</v>
      </c>
      <c r="AY301" s="462" t="str">
        <f t="shared" si="70"/>
        <v/>
      </c>
      <c r="AZ301" s="462" t="str">
        <f t="shared" si="71"/>
        <v/>
      </c>
      <c r="BA301" s="462">
        <f t="shared" si="72"/>
        <v>0</v>
      </c>
      <c r="BB301" s="462">
        <f>IF(AND(AT301=1,AK301="E",AU301&gt;=0.75,AW301=1),Health,IF(AND(AT301=1,AK301="E",AU301&gt;=0.75),Health*P301,IF(AND(AT301=1,AK301="E",AU301&gt;=0.5,AW301=1),PTHealth,IF(AND(AT301=1,AK301="E",AU301&gt;=0.5),PTHealth*P301,0))))</f>
        <v>0</v>
      </c>
      <c r="BC301" s="462">
        <f>IF(AND(AT301=3,AK301="E",AV301&gt;=0.75,AW301=1),Health,IF(AND(AT301=3,AK301="E",AV301&gt;=0.75),Health*P301,IF(AND(AT301=3,AK301="E",AV301&gt;=0.5,AW301=1),PTHealth,IF(AND(AT301=3,AK301="E",AV301&gt;=0.5),PTHealth*P301,0))))</f>
        <v>0</v>
      </c>
      <c r="BD301" s="462">
        <f>IF(AND(AT301&lt;&gt;0,AX301&gt;=MAXSSDI),SSDI*MAXSSDI*P301,IF(AT301&lt;&gt;0,SSDI*W301,0))</f>
        <v>0</v>
      </c>
      <c r="BE301" s="462">
        <f>IF(AT301&lt;&gt;0,SSHI*W301,0)</f>
        <v>0</v>
      </c>
      <c r="BF301" s="462">
        <f>IF(AND(AT301&lt;&gt;0,AN301&lt;&gt;"NE"),VLOOKUP(AN301,Retirement_Rates,3,FALSE)*W301,0)</f>
        <v>0</v>
      </c>
      <c r="BG301" s="462">
        <f>IF(AND(AT301&lt;&gt;0,AJ301&lt;&gt;"PF"),Life*W301,0)</f>
        <v>0</v>
      </c>
      <c r="BH301" s="462">
        <f>IF(AND(AT301&lt;&gt;0,AM301="Y"),UI*W301,0)</f>
        <v>0</v>
      </c>
      <c r="BI301" s="462">
        <f>IF(AND(AT301&lt;&gt;0,N301&lt;&gt;"NR"),DHR*W301,0)</f>
        <v>0</v>
      </c>
      <c r="BJ301" s="462">
        <f>IF(AT301&lt;&gt;0,WC*W301,0)</f>
        <v>0</v>
      </c>
      <c r="BK301" s="462">
        <f>IF(OR(AND(AT301&lt;&gt;0,AJ301&lt;&gt;"PF",AN301&lt;&gt;"NE",AG301&lt;&gt;"A"),AND(AL301="E",OR(AT301=1,AT301=3))),Sick*W301,0)</f>
        <v>0</v>
      </c>
      <c r="BL301" s="462">
        <f t="shared" si="73"/>
        <v>0</v>
      </c>
      <c r="BM301" s="462">
        <f t="shared" si="74"/>
        <v>0</v>
      </c>
      <c r="BN301" s="462">
        <f>IF(AND(AT301=1,AK301="E",AU301&gt;=0.75,AW301=1),HealthBY,IF(AND(AT301=1,AK301="E",AU301&gt;=0.75),HealthBY*P301,IF(AND(AT301=1,AK301="E",AU301&gt;=0.5,AW301=1),PTHealthBY,IF(AND(AT301=1,AK301="E",AU301&gt;=0.5),PTHealthBY*P301,0))))</f>
        <v>0</v>
      </c>
      <c r="BO301" s="462">
        <f>IF(AND(AT301=3,AK301="E",AV301&gt;=0.75,AW301=1),HealthBY,IF(AND(AT301=3,AK301="E",AV301&gt;=0.75),HealthBY*P301,IF(AND(AT301=3,AK301="E",AV301&gt;=0.5,AW301=1),PTHealthBY,IF(AND(AT301=3,AK301="E",AV301&gt;=0.5),PTHealthBY*P301,0))))</f>
        <v>0</v>
      </c>
      <c r="BP301" s="462">
        <f>IF(AND(AT301&lt;&gt;0,(AX301+BA301)&gt;=MAXSSDIBY),SSDIBY*MAXSSDIBY*P301,IF(AT301&lt;&gt;0,SSDIBY*W301,0))</f>
        <v>0</v>
      </c>
      <c r="BQ301" s="462">
        <f>IF(AT301&lt;&gt;0,SSHIBY*W301,0)</f>
        <v>0</v>
      </c>
      <c r="BR301" s="462">
        <f>IF(AND(AT301&lt;&gt;0,AN301&lt;&gt;"NE"),VLOOKUP(AN301,Retirement_Rates,4,FALSE)*W301,0)</f>
        <v>0</v>
      </c>
      <c r="BS301" s="462">
        <f>IF(AND(AT301&lt;&gt;0,AJ301&lt;&gt;"PF"),LifeBY*W301,0)</f>
        <v>0</v>
      </c>
      <c r="BT301" s="462">
        <f>IF(AND(AT301&lt;&gt;0,AM301="Y"),UIBY*W301,0)</f>
        <v>0</v>
      </c>
      <c r="BU301" s="462">
        <f>IF(AND(AT301&lt;&gt;0,N301&lt;&gt;"NR"),DHRBY*W301,0)</f>
        <v>0</v>
      </c>
      <c r="BV301" s="462">
        <f>IF(AT301&lt;&gt;0,WCBY*W301,0)</f>
        <v>0</v>
      </c>
      <c r="BW301" s="462">
        <f>IF(OR(AND(AT301&lt;&gt;0,AJ301&lt;&gt;"PF",AN301&lt;&gt;"NE",AG301&lt;&gt;"A"),AND(AL301="E",OR(AT301=1,AT301=3))),SickBY*W301,0)</f>
        <v>0</v>
      </c>
      <c r="BX301" s="462">
        <f t="shared" si="75"/>
        <v>0</v>
      </c>
      <c r="BY301" s="462">
        <f t="shared" si="76"/>
        <v>0</v>
      </c>
      <c r="BZ301" s="462">
        <f t="shared" si="77"/>
        <v>0</v>
      </c>
      <c r="CA301" s="462">
        <f t="shared" si="78"/>
        <v>0</v>
      </c>
      <c r="CB301" s="462">
        <f t="shared" si="79"/>
        <v>0</v>
      </c>
      <c r="CC301" s="462">
        <f>IF(AT301&lt;&gt;0,SSHICHG*Y301,0)</f>
        <v>0</v>
      </c>
      <c r="CD301" s="462">
        <f>IF(AND(AT301&lt;&gt;0,AN301&lt;&gt;"NE"),VLOOKUP(AN301,Retirement_Rates,5,FALSE)*Y301,0)</f>
        <v>0</v>
      </c>
      <c r="CE301" s="462">
        <f>IF(AND(AT301&lt;&gt;0,AJ301&lt;&gt;"PF"),LifeCHG*Y301,0)</f>
        <v>0</v>
      </c>
      <c r="CF301" s="462">
        <f>IF(AND(AT301&lt;&gt;0,AM301="Y"),UICHG*Y301,0)</f>
        <v>0</v>
      </c>
      <c r="CG301" s="462">
        <f>IF(AND(AT301&lt;&gt;0,N301&lt;&gt;"NR"),DHRCHG*Y301,0)</f>
        <v>0</v>
      </c>
      <c r="CH301" s="462">
        <f>IF(AT301&lt;&gt;0,WCCHG*Y301,0)</f>
        <v>0</v>
      </c>
      <c r="CI301" s="462">
        <f>IF(OR(AND(AT301&lt;&gt;0,AJ301&lt;&gt;"PF",AN301&lt;&gt;"NE",AG301&lt;&gt;"A"),AND(AL301="E",OR(AT301=1,AT301=3))),SickCHG*Y301,0)</f>
        <v>0</v>
      </c>
      <c r="CJ301" s="462">
        <f t="shared" si="80"/>
        <v>0</v>
      </c>
      <c r="CK301" s="462" t="str">
        <f t="shared" si="81"/>
        <v/>
      </c>
      <c r="CL301" s="462">
        <f t="shared" si="82"/>
        <v>0</v>
      </c>
      <c r="CM301" s="462">
        <f t="shared" si="83"/>
        <v>0</v>
      </c>
      <c r="CN301" s="462" t="str">
        <f t="shared" si="84"/>
        <v>0330-01</v>
      </c>
    </row>
    <row r="302" spans="1:92" ht="15" thickBot="1" x14ac:dyDescent="0.35">
      <c r="A302" s="376" t="s">
        <v>161</v>
      </c>
      <c r="B302" s="376" t="s">
        <v>162</v>
      </c>
      <c r="C302" s="376" t="s">
        <v>942</v>
      </c>
      <c r="D302" s="376" t="s">
        <v>943</v>
      </c>
      <c r="E302" s="376" t="s">
        <v>931</v>
      </c>
      <c r="F302" s="382" t="s">
        <v>289</v>
      </c>
      <c r="G302" s="376" t="s">
        <v>762</v>
      </c>
      <c r="H302" s="378"/>
      <c r="I302" s="378"/>
      <c r="J302" s="376" t="s">
        <v>168</v>
      </c>
      <c r="K302" s="376" t="s">
        <v>944</v>
      </c>
      <c r="L302" s="376" t="s">
        <v>166</v>
      </c>
      <c r="M302" s="376" t="s">
        <v>170</v>
      </c>
      <c r="N302" s="376" t="s">
        <v>291</v>
      </c>
      <c r="O302" s="379">
        <v>0</v>
      </c>
      <c r="P302" s="460">
        <v>1</v>
      </c>
      <c r="Q302" s="460">
        <v>0</v>
      </c>
      <c r="R302" s="380">
        <v>0</v>
      </c>
      <c r="S302" s="460">
        <v>0</v>
      </c>
      <c r="T302" s="380">
        <v>89103.35</v>
      </c>
      <c r="U302" s="380">
        <v>1939.6</v>
      </c>
      <c r="V302" s="380">
        <v>17655.689999999999</v>
      </c>
      <c r="W302" s="380">
        <v>98252.75</v>
      </c>
      <c r="X302" s="380">
        <v>18622.36</v>
      </c>
      <c r="Y302" s="380">
        <v>98252.75</v>
      </c>
      <c r="Z302" s="380">
        <v>18622.36</v>
      </c>
      <c r="AA302" s="378"/>
      <c r="AB302" s="376" t="s">
        <v>45</v>
      </c>
      <c r="AC302" s="376" t="s">
        <v>45</v>
      </c>
      <c r="AD302" s="378"/>
      <c r="AE302" s="378"/>
      <c r="AF302" s="378"/>
      <c r="AG302" s="378"/>
      <c r="AH302" s="379">
        <v>0</v>
      </c>
      <c r="AI302" s="379">
        <v>0</v>
      </c>
      <c r="AJ302" s="378"/>
      <c r="AK302" s="378"/>
      <c r="AL302" s="376" t="s">
        <v>180</v>
      </c>
      <c r="AM302" s="378"/>
      <c r="AN302" s="378"/>
      <c r="AO302" s="379">
        <v>0</v>
      </c>
      <c r="AP302" s="460">
        <v>0</v>
      </c>
      <c r="AQ302" s="460">
        <v>0</v>
      </c>
      <c r="AR302" s="459"/>
      <c r="AS302" s="462">
        <f t="shared" si="68"/>
        <v>0</v>
      </c>
      <c r="AT302">
        <f t="shared" si="69"/>
        <v>0</v>
      </c>
      <c r="AU302" s="462" t="str">
        <f>IF(AT302=0,"",IF(AND(AT302=1,M302="F",SUMIF(C2:C698,C302,AS2:AS698)&lt;=1),SUMIF(C2:C698,C302,AS2:AS698),IF(AND(AT302=1,M302="F",SUMIF(C2:C698,C302,AS2:AS698)&gt;1),1,"")))</f>
        <v/>
      </c>
      <c r="AV302" s="462" t="str">
        <f>IF(AT302=0,"",IF(AND(AT302=3,M302="F",SUMIF(C2:C698,C302,AS2:AS698)&lt;=1),SUMIF(C2:C698,C302,AS2:AS698),IF(AND(AT302=3,M302="F",SUMIF(C2:C698,C302,AS2:AS698)&gt;1),1,"")))</f>
        <v/>
      </c>
      <c r="AW302" s="462">
        <f>SUMIF(C2:C698,C302,O2:O698)</f>
        <v>0</v>
      </c>
      <c r="AX302" s="462">
        <f>IF(AND(M302="F",AS302&lt;&gt;0),SUMIF(C2:C698,C302,W2:W698),0)</f>
        <v>0</v>
      </c>
      <c r="AY302" s="462" t="str">
        <f t="shared" si="70"/>
        <v/>
      </c>
      <c r="AZ302" s="462" t="str">
        <f t="shared" si="71"/>
        <v/>
      </c>
      <c r="BA302" s="462">
        <f t="shared" si="72"/>
        <v>0</v>
      </c>
      <c r="BB302" s="462">
        <f>IF(AND(AT302=1,AK302="E",AU302&gt;=0.75,AW302=1),Health,IF(AND(AT302=1,AK302="E",AU302&gt;=0.75),Health*P302,IF(AND(AT302=1,AK302="E",AU302&gt;=0.5,AW302=1),PTHealth,IF(AND(AT302=1,AK302="E",AU302&gt;=0.5),PTHealth*P302,0))))</f>
        <v>0</v>
      </c>
      <c r="BC302" s="462">
        <f>IF(AND(AT302=3,AK302="E",AV302&gt;=0.75,AW302=1),Health,IF(AND(AT302=3,AK302="E",AV302&gt;=0.75),Health*P302,IF(AND(AT302=3,AK302="E",AV302&gt;=0.5,AW302=1),PTHealth,IF(AND(AT302=3,AK302="E",AV302&gt;=0.5),PTHealth*P302,0))))</f>
        <v>0</v>
      </c>
      <c r="BD302" s="462">
        <f>IF(AND(AT302&lt;&gt;0,AX302&gt;=MAXSSDI),SSDI*MAXSSDI*P302,IF(AT302&lt;&gt;0,SSDI*W302,0))</f>
        <v>0</v>
      </c>
      <c r="BE302" s="462">
        <f>IF(AT302&lt;&gt;0,SSHI*W302,0)</f>
        <v>0</v>
      </c>
      <c r="BF302" s="462">
        <f>IF(AND(AT302&lt;&gt;0,AN302&lt;&gt;"NE"),VLOOKUP(AN302,Retirement_Rates,3,FALSE)*W302,0)</f>
        <v>0</v>
      </c>
      <c r="BG302" s="462">
        <f>IF(AND(AT302&lt;&gt;0,AJ302&lt;&gt;"PF"),Life*W302,0)</f>
        <v>0</v>
      </c>
      <c r="BH302" s="462">
        <f>IF(AND(AT302&lt;&gt;0,AM302="Y"),UI*W302,0)</f>
        <v>0</v>
      </c>
      <c r="BI302" s="462">
        <f>IF(AND(AT302&lt;&gt;0,N302&lt;&gt;"NR"),DHR*W302,0)</f>
        <v>0</v>
      </c>
      <c r="BJ302" s="462">
        <f>IF(AT302&lt;&gt;0,WC*W302,0)</f>
        <v>0</v>
      </c>
      <c r="BK302" s="462">
        <f>IF(OR(AND(AT302&lt;&gt;0,AJ302&lt;&gt;"PF",AN302&lt;&gt;"NE",AG302&lt;&gt;"A"),AND(AL302="E",OR(AT302=1,AT302=3))),Sick*W302,0)</f>
        <v>0</v>
      </c>
      <c r="BL302" s="462">
        <f t="shared" si="73"/>
        <v>0</v>
      </c>
      <c r="BM302" s="462">
        <f t="shared" si="74"/>
        <v>0</v>
      </c>
      <c r="BN302" s="462">
        <f>IF(AND(AT302=1,AK302="E",AU302&gt;=0.75,AW302=1),HealthBY,IF(AND(AT302=1,AK302="E",AU302&gt;=0.75),HealthBY*P302,IF(AND(AT302=1,AK302="E",AU302&gt;=0.5,AW302=1),PTHealthBY,IF(AND(AT302=1,AK302="E",AU302&gt;=0.5),PTHealthBY*P302,0))))</f>
        <v>0</v>
      </c>
      <c r="BO302" s="462">
        <f>IF(AND(AT302=3,AK302="E",AV302&gt;=0.75,AW302=1),HealthBY,IF(AND(AT302=3,AK302="E",AV302&gt;=0.75),HealthBY*P302,IF(AND(AT302=3,AK302="E",AV302&gt;=0.5,AW302=1),PTHealthBY,IF(AND(AT302=3,AK302="E",AV302&gt;=0.5),PTHealthBY*P302,0))))</f>
        <v>0</v>
      </c>
      <c r="BP302" s="462">
        <f>IF(AND(AT302&lt;&gt;0,(AX302+BA302)&gt;=MAXSSDIBY),SSDIBY*MAXSSDIBY*P302,IF(AT302&lt;&gt;0,SSDIBY*W302,0))</f>
        <v>0</v>
      </c>
      <c r="BQ302" s="462">
        <f>IF(AT302&lt;&gt;0,SSHIBY*W302,0)</f>
        <v>0</v>
      </c>
      <c r="BR302" s="462">
        <f>IF(AND(AT302&lt;&gt;0,AN302&lt;&gt;"NE"),VLOOKUP(AN302,Retirement_Rates,4,FALSE)*W302,0)</f>
        <v>0</v>
      </c>
      <c r="BS302" s="462">
        <f>IF(AND(AT302&lt;&gt;0,AJ302&lt;&gt;"PF"),LifeBY*W302,0)</f>
        <v>0</v>
      </c>
      <c r="BT302" s="462">
        <f>IF(AND(AT302&lt;&gt;0,AM302="Y"),UIBY*W302,0)</f>
        <v>0</v>
      </c>
      <c r="BU302" s="462">
        <f>IF(AND(AT302&lt;&gt;0,N302&lt;&gt;"NR"),DHRBY*W302,0)</f>
        <v>0</v>
      </c>
      <c r="BV302" s="462">
        <f>IF(AT302&lt;&gt;0,WCBY*W302,0)</f>
        <v>0</v>
      </c>
      <c r="BW302" s="462">
        <f>IF(OR(AND(AT302&lt;&gt;0,AJ302&lt;&gt;"PF",AN302&lt;&gt;"NE",AG302&lt;&gt;"A"),AND(AL302="E",OR(AT302=1,AT302=3))),SickBY*W302,0)</f>
        <v>0</v>
      </c>
      <c r="BX302" s="462">
        <f t="shared" si="75"/>
        <v>0</v>
      </c>
      <c r="BY302" s="462">
        <f t="shared" si="76"/>
        <v>0</v>
      </c>
      <c r="BZ302" s="462">
        <f t="shared" si="77"/>
        <v>0</v>
      </c>
      <c r="CA302" s="462">
        <f t="shared" si="78"/>
        <v>0</v>
      </c>
      <c r="CB302" s="462">
        <f t="shared" si="79"/>
        <v>0</v>
      </c>
      <c r="CC302" s="462">
        <f>IF(AT302&lt;&gt;0,SSHICHG*Y302,0)</f>
        <v>0</v>
      </c>
      <c r="CD302" s="462">
        <f>IF(AND(AT302&lt;&gt;0,AN302&lt;&gt;"NE"),VLOOKUP(AN302,Retirement_Rates,5,FALSE)*Y302,0)</f>
        <v>0</v>
      </c>
      <c r="CE302" s="462">
        <f>IF(AND(AT302&lt;&gt;0,AJ302&lt;&gt;"PF"),LifeCHG*Y302,0)</f>
        <v>0</v>
      </c>
      <c r="CF302" s="462">
        <f>IF(AND(AT302&lt;&gt;0,AM302="Y"),UICHG*Y302,0)</f>
        <v>0</v>
      </c>
      <c r="CG302" s="462">
        <f>IF(AND(AT302&lt;&gt;0,N302&lt;&gt;"NR"),DHRCHG*Y302,0)</f>
        <v>0</v>
      </c>
      <c r="CH302" s="462">
        <f>IF(AT302&lt;&gt;0,WCCHG*Y302,0)</f>
        <v>0</v>
      </c>
      <c r="CI302" s="462">
        <f>IF(OR(AND(AT302&lt;&gt;0,AJ302&lt;&gt;"PF",AN302&lt;&gt;"NE",AG302&lt;&gt;"A"),AND(AL302="E",OR(AT302=1,AT302=3))),SickCHG*Y302,0)</f>
        <v>0</v>
      </c>
      <c r="CJ302" s="462">
        <f t="shared" si="80"/>
        <v>0</v>
      </c>
      <c r="CK302" s="462" t="str">
        <f t="shared" si="81"/>
        <v/>
      </c>
      <c r="CL302" s="462">
        <f t="shared" si="82"/>
        <v>91042.950000000012</v>
      </c>
      <c r="CM302" s="462">
        <f t="shared" si="83"/>
        <v>17655.689999999999</v>
      </c>
      <c r="CN302" s="462" t="str">
        <f t="shared" si="84"/>
        <v>0330-01</v>
      </c>
    </row>
    <row r="303" spans="1:92" ht="15" thickBot="1" x14ac:dyDescent="0.35">
      <c r="A303" s="376" t="s">
        <v>161</v>
      </c>
      <c r="B303" s="376" t="s">
        <v>162</v>
      </c>
      <c r="C303" s="376" t="s">
        <v>945</v>
      </c>
      <c r="D303" s="376" t="s">
        <v>457</v>
      </c>
      <c r="E303" s="376" t="s">
        <v>931</v>
      </c>
      <c r="F303" s="382" t="s">
        <v>289</v>
      </c>
      <c r="G303" s="376" t="s">
        <v>762</v>
      </c>
      <c r="H303" s="378"/>
      <c r="I303" s="378"/>
      <c r="J303" s="376" t="s">
        <v>547</v>
      </c>
      <c r="K303" s="376" t="s">
        <v>458</v>
      </c>
      <c r="L303" s="376" t="s">
        <v>177</v>
      </c>
      <c r="M303" s="376" t="s">
        <v>170</v>
      </c>
      <c r="N303" s="376" t="s">
        <v>202</v>
      </c>
      <c r="O303" s="379">
        <v>1</v>
      </c>
      <c r="P303" s="460">
        <v>0.7</v>
      </c>
      <c r="Q303" s="460">
        <v>0.7</v>
      </c>
      <c r="R303" s="380">
        <v>80</v>
      </c>
      <c r="S303" s="460">
        <v>0.7</v>
      </c>
      <c r="T303" s="380">
        <v>21827.62</v>
      </c>
      <c r="U303" s="380">
        <v>0</v>
      </c>
      <c r="V303" s="380">
        <v>12675.64</v>
      </c>
      <c r="W303" s="380">
        <v>22669.919999999998</v>
      </c>
      <c r="X303" s="380">
        <v>13286.75</v>
      </c>
      <c r="Y303" s="380">
        <v>22669.919999999998</v>
      </c>
      <c r="Z303" s="380">
        <v>13227.83</v>
      </c>
      <c r="AA303" s="376" t="s">
        <v>946</v>
      </c>
      <c r="AB303" s="376" t="s">
        <v>218</v>
      </c>
      <c r="AC303" s="376" t="s">
        <v>947</v>
      </c>
      <c r="AD303" s="376" t="s">
        <v>190</v>
      </c>
      <c r="AE303" s="376" t="s">
        <v>458</v>
      </c>
      <c r="AF303" s="376" t="s">
        <v>436</v>
      </c>
      <c r="AG303" s="376" t="s">
        <v>177</v>
      </c>
      <c r="AH303" s="381">
        <v>15.57</v>
      </c>
      <c r="AI303" s="381">
        <v>3834.6</v>
      </c>
      <c r="AJ303" s="376" t="s">
        <v>178</v>
      </c>
      <c r="AK303" s="376" t="s">
        <v>179</v>
      </c>
      <c r="AL303" s="376" t="s">
        <v>180</v>
      </c>
      <c r="AM303" s="376" t="s">
        <v>181</v>
      </c>
      <c r="AN303" s="376" t="s">
        <v>68</v>
      </c>
      <c r="AO303" s="379">
        <v>80</v>
      </c>
      <c r="AP303" s="460">
        <v>1</v>
      </c>
      <c r="AQ303" s="460">
        <v>0.7</v>
      </c>
      <c r="AR303" s="458" t="s">
        <v>182</v>
      </c>
      <c r="AS303" s="462">
        <f t="shared" si="68"/>
        <v>0.7</v>
      </c>
      <c r="AT303">
        <f t="shared" si="69"/>
        <v>1</v>
      </c>
      <c r="AU303" s="462">
        <f>IF(AT303=0,"",IF(AND(AT303=1,M303="F",SUMIF(C2:C698,C303,AS2:AS698)&lt;=1),SUMIF(C2:C698,C303,AS2:AS698),IF(AND(AT303=1,M303="F",SUMIF(C2:C698,C303,AS2:AS698)&gt;1),1,"")))</f>
        <v>1</v>
      </c>
      <c r="AV303" s="462" t="str">
        <f>IF(AT303=0,"",IF(AND(AT303=3,M303="F",SUMIF(C2:C698,C303,AS2:AS698)&lt;=1),SUMIF(C2:C698,C303,AS2:AS698),IF(AND(AT303=3,M303="F",SUMIF(C2:C698,C303,AS2:AS698)&gt;1),1,"")))</f>
        <v/>
      </c>
      <c r="AW303" s="462">
        <f>SUMIF(C2:C698,C303,O2:O698)</f>
        <v>2</v>
      </c>
      <c r="AX303" s="462">
        <f>IF(AND(M303="F",AS303&lt;&gt;0),SUMIF(C2:C698,C303,W2:W698),0)</f>
        <v>32385.599999999999</v>
      </c>
      <c r="AY303" s="462">
        <f t="shared" si="70"/>
        <v>22669.919999999998</v>
      </c>
      <c r="AZ303" s="462" t="str">
        <f t="shared" si="71"/>
        <v/>
      </c>
      <c r="BA303" s="462">
        <f t="shared" si="72"/>
        <v>0</v>
      </c>
      <c r="BB303" s="462">
        <f>IF(AND(AT303=1,AK303="E",AU303&gt;=0.75,AW303=1),Health,IF(AND(AT303=1,AK303="E",AU303&gt;=0.75),Health*P303,IF(AND(AT303=1,AK303="E",AU303&gt;=0.5,AW303=1),PTHealth,IF(AND(AT303=1,AK303="E",AU303&gt;=0.5),PTHealth*P303,0))))</f>
        <v>8154.9999999999991</v>
      </c>
      <c r="BC303" s="462">
        <f>IF(AND(AT303=3,AK303="E",AV303&gt;=0.75,AW303=1),Health,IF(AND(AT303=3,AK303="E",AV303&gt;=0.75),Health*P303,IF(AND(AT303=3,AK303="E",AV303&gt;=0.5,AW303=1),PTHealth,IF(AND(AT303=3,AK303="E",AV303&gt;=0.5),PTHealth*P303,0))))</f>
        <v>0</v>
      </c>
      <c r="BD303" s="462">
        <f>IF(AND(AT303&lt;&gt;0,AX303&gt;=MAXSSDI),SSDI*MAXSSDI*P303,IF(AT303&lt;&gt;0,SSDI*W303,0))</f>
        <v>1405.53504</v>
      </c>
      <c r="BE303" s="462">
        <f>IF(AT303&lt;&gt;0,SSHI*W303,0)</f>
        <v>328.71384</v>
      </c>
      <c r="BF303" s="462">
        <f>IF(AND(AT303&lt;&gt;0,AN303&lt;&gt;"NE"),VLOOKUP(AN303,Retirement_Rates,3,FALSE)*W303,0)</f>
        <v>2706.7884479999998</v>
      </c>
      <c r="BG303" s="462">
        <f>IF(AND(AT303&lt;&gt;0,AJ303&lt;&gt;"PF"),Life*W303,0)</f>
        <v>163.45012320000001</v>
      </c>
      <c r="BH303" s="462">
        <f>IF(AND(AT303&lt;&gt;0,AM303="Y"),UI*W303,0)</f>
        <v>111.08260799999999</v>
      </c>
      <c r="BI303" s="462">
        <f>IF(AND(AT303&lt;&gt;0,N303&lt;&gt;"NR"),DHR*W303,0)</f>
        <v>69.369955199999993</v>
      </c>
      <c r="BJ303" s="462">
        <f>IF(AT303&lt;&gt;0,WC*W303,0)</f>
        <v>346.84977599999996</v>
      </c>
      <c r="BK303" s="462">
        <f>IF(OR(AND(AT303&lt;&gt;0,AJ303&lt;&gt;"PF",AN303&lt;&gt;"NE",AG303&lt;&gt;"A"),AND(AL303="E",OR(AT303=1,AT303=3))),Sick*W303,0)</f>
        <v>0</v>
      </c>
      <c r="BL303" s="462">
        <f t="shared" si="73"/>
        <v>5131.7897904000001</v>
      </c>
      <c r="BM303" s="462">
        <f t="shared" si="74"/>
        <v>0</v>
      </c>
      <c r="BN303" s="462">
        <f>IF(AND(AT303=1,AK303="E",AU303&gt;=0.75,AW303=1),HealthBY,IF(AND(AT303=1,AK303="E",AU303&gt;=0.75),HealthBY*P303,IF(AND(AT303=1,AK303="E",AU303&gt;=0.5,AW303=1),PTHealthBY,IF(AND(AT303=1,AK303="E",AU303&gt;=0.5),PTHealthBY*P303,0))))</f>
        <v>8154.9999999999991</v>
      </c>
      <c r="BO303" s="462">
        <f>IF(AND(AT303=3,AK303="E",AV303&gt;=0.75,AW303=1),HealthBY,IF(AND(AT303=3,AK303="E",AV303&gt;=0.75),HealthBY*P303,IF(AND(AT303=3,AK303="E",AV303&gt;=0.5,AW303=1),PTHealthBY,IF(AND(AT303=3,AK303="E",AV303&gt;=0.5),PTHealthBY*P303,0))))</f>
        <v>0</v>
      </c>
      <c r="BP303" s="462">
        <f>IF(AND(AT303&lt;&gt;0,(AX303+BA303)&gt;=MAXSSDIBY),SSDIBY*MAXSSDIBY*P303,IF(AT303&lt;&gt;0,SSDIBY*W303,0))</f>
        <v>1405.53504</v>
      </c>
      <c r="BQ303" s="462">
        <f>IF(AT303&lt;&gt;0,SSHIBY*W303,0)</f>
        <v>328.71384</v>
      </c>
      <c r="BR303" s="462">
        <f>IF(AND(AT303&lt;&gt;0,AN303&lt;&gt;"NE"),VLOOKUP(AN303,Retirement_Rates,4,FALSE)*W303,0)</f>
        <v>2706.7884479999998</v>
      </c>
      <c r="BS303" s="462">
        <f>IF(AND(AT303&lt;&gt;0,AJ303&lt;&gt;"PF"),LifeBY*W303,0)</f>
        <v>163.45012320000001</v>
      </c>
      <c r="BT303" s="462">
        <f>IF(AND(AT303&lt;&gt;0,AM303="Y"),UIBY*W303,0)</f>
        <v>0</v>
      </c>
      <c r="BU303" s="462">
        <f>IF(AND(AT303&lt;&gt;0,N303&lt;&gt;"NR"),DHRBY*W303,0)</f>
        <v>69.369955199999993</v>
      </c>
      <c r="BV303" s="462">
        <f>IF(AT303&lt;&gt;0,WCBY*W303,0)</f>
        <v>398.99059199999999</v>
      </c>
      <c r="BW303" s="462">
        <f>IF(OR(AND(AT303&lt;&gt;0,AJ303&lt;&gt;"PF",AN303&lt;&gt;"NE",AG303&lt;&gt;"A"),AND(AL303="E",OR(AT303=1,AT303=3))),SickBY*W303,0)</f>
        <v>0</v>
      </c>
      <c r="BX303" s="462">
        <f t="shared" si="75"/>
        <v>5072.8479984000005</v>
      </c>
      <c r="BY303" s="462">
        <f t="shared" si="76"/>
        <v>0</v>
      </c>
      <c r="BZ303" s="462">
        <f t="shared" si="77"/>
        <v>0</v>
      </c>
      <c r="CA303" s="462">
        <f t="shared" si="78"/>
        <v>0</v>
      </c>
      <c r="CB303" s="462">
        <f t="shared" si="79"/>
        <v>0</v>
      </c>
      <c r="CC303" s="462">
        <f>IF(AT303&lt;&gt;0,SSHICHG*Y303,0)</f>
        <v>0</v>
      </c>
      <c r="CD303" s="462">
        <f>IF(AND(AT303&lt;&gt;0,AN303&lt;&gt;"NE"),VLOOKUP(AN303,Retirement_Rates,5,FALSE)*Y303,0)</f>
        <v>0</v>
      </c>
      <c r="CE303" s="462">
        <f>IF(AND(AT303&lt;&gt;0,AJ303&lt;&gt;"PF"),LifeCHG*Y303,0)</f>
        <v>0</v>
      </c>
      <c r="CF303" s="462">
        <f>IF(AND(AT303&lt;&gt;0,AM303="Y"),UICHG*Y303,0)</f>
        <v>-111.08260799999999</v>
      </c>
      <c r="CG303" s="462">
        <f>IF(AND(AT303&lt;&gt;0,N303&lt;&gt;"NR"),DHRCHG*Y303,0)</f>
        <v>0</v>
      </c>
      <c r="CH303" s="462">
        <f>IF(AT303&lt;&gt;0,WCCHG*Y303,0)</f>
        <v>52.140816000000036</v>
      </c>
      <c r="CI303" s="462">
        <f>IF(OR(AND(AT303&lt;&gt;0,AJ303&lt;&gt;"PF",AN303&lt;&gt;"NE",AG303&lt;&gt;"A"),AND(AL303="E",OR(AT303=1,AT303=3))),SickCHG*Y303,0)</f>
        <v>0</v>
      </c>
      <c r="CJ303" s="462">
        <f t="shared" si="80"/>
        <v>-58.941791999999957</v>
      </c>
      <c r="CK303" s="462" t="str">
        <f t="shared" si="81"/>
        <v/>
      </c>
      <c r="CL303" s="462" t="str">
        <f t="shared" si="82"/>
        <v/>
      </c>
      <c r="CM303" s="462" t="str">
        <f t="shared" si="83"/>
        <v/>
      </c>
      <c r="CN303" s="462" t="str">
        <f t="shared" si="84"/>
        <v>0330-01</v>
      </c>
    </row>
    <row r="304" spans="1:92" ht="15" thickBot="1" x14ac:dyDescent="0.35">
      <c r="A304" s="376" t="s">
        <v>161</v>
      </c>
      <c r="B304" s="376" t="s">
        <v>162</v>
      </c>
      <c r="C304" s="376" t="s">
        <v>948</v>
      </c>
      <c r="D304" s="376" t="s">
        <v>287</v>
      </c>
      <c r="E304" s="376" t="s">
        <v>931</v>
      </c>
      <c r="F304" s="382" t="s">
        <v>289</v>
      </c>
      <c r="G304" s="376" t="s">
        <v>762</v>
      </c>
      <c r="H304" s="378"/>
      <c r="I304" s="378"/>
      <c r="J304" s="376" t="s">
        <v>168</v>
      </c>
      <c r="K304" s="376" t="s">
        <v>290</v>
      </c>
      <c r="L304" s="376" t="s">
        <v>166</v>
      </c>
      <c r="M304" s="376" t="s">
        <v>201</v>
      </c>
      <c r="N304" s="376" t="s">
        <v>291</v>
      </c>
      <c r="O304" s="379">
        <v>0</v>
      </c>
      <c r="P304" s="460">
        <v>1</v>
      </c>
      <c r="Q304" s="460">
        <v>0</v>
      </c>
      <c r="R304" s="380">
        <v>0</v>
      </c>
      <c r="S304" s="460">
        <v>0</v>
      </c>
      <c r="T304" s="380">
        <v>0</v>
      </c>
      <c r="U304" s="380">
        <v>0</v>
      </c>
      <c r="V304" s="380">
        <v>0</v>
      </c>
      <c r="W304" s="380">
        <v>0</v>
      </c>
      <c r="X304" s="380">
        <v>0</v>
      </c>
      <c r="Y304" s="380">
        <v>0</v>
      </c>
      <c r="Z304" s="380">
        <v>0</v>
      </c>
      <c r="AA304" s="378"/>
      <c r="AB304" s="376" t="s">
        <v>45</v>
      </c>
      <c r="AC304" s="376" t="s">
        <v>45</v>
      </c>
      <c r="AD304" s="378"/>
      <c r="AE304" s="378"/>
      <c r="AF304" s="378"/>
      <c r="AG304" s="378"/>
      <c r="AH304" s="379">
        <v>0</v>
      </c>
      <c r="AI304" s="379">
        <v>0</v>
      </c>
      <c r="AJ304" s="378"/>
      <c r="AK304" s="378"/>
      <c r="AL304" s="376" t="s">
        <v>180</v>
      </c>
      <c r="AM304" s="378"/>
      <c r="AN304" s="378"/>
      <c r="AO304" s="379">
        <v>0</v>
      </c>
      <c r="AP304" s="460">
        <v>0</v>
      </c>
      <c r="AQ304" s="460">
        <v>0</v>
      </c>
      <c r="AR304" s="459"/>
      <c r="AS304" s="462">
        <f t="shared" si="68"/>
        <v>0</v>
      </c>
      <c r="AT304">
        <f t="shared" si="69"/>
        <v>0</v>
      </c>
      <c r="AU304" s="462" t="str">
        <f>IF(AT304=0,"",IF(AND(AT304=1,M304="F",SUMIF(C2:C698,C304,AS2:AS698)&lt;=1),SUMIF(C2:C698,C304,AS2:AS698),IF(AND(AT304=1,M304="F",SUMIF(C2:C698,C304,AS2:AS698)&gt;1),1,"")))</f>
        <v/>
      </c>
      <c r="AV304" s="462" t="str">
        <f>IF(AT304=0,"",IF(AND(AT304=3,M304="F",SUMIF(C2:C698,C304,AS2:AS698)&lt;=1),SUMIF(C2:C698,C304,AS2:AS698),IF(AND(AT304=3,M304="F",SUMIF(C2:C698,C304,AS2:AS698)&gt;1),1,"")))</f>
        <v/>
      </c>
      <c r="AW304" s="462">
        <f>SUMIF(C2:C698,C304,O2:O698)</f>
        <v>0</v>
      </c>
      <c r="AX304" s="462">
        <f>IF(AND(M304="F",AS304&lt;&gt;0),SUMIF(C2:C698,C304,W2:W698),0)</f>
        <v>0</v>
      </c>
      <c r="AY304" s="462" t="str">
        <f t="shared" si="70"/>
        <v/>
      </c>
      <c r="AZ304" s="462" t="str">
        <f t="shared" si="71"/>
        <v/>
      </c>
      <c r="BA304" s="462">
        <f t="shared" si="72"/>
        <v>0</v>
      </c>
      <c r="BB304" s="462">
        <f>IF(AND(AT304=1,AK304="E",AU304&gt;=0.75,AW304=1),Health,IF(AND(AT304=1,AK304="E",AU304&gt;=0.75),Health*P304,IF(AND(AT304=1,AK304="E",AU304&gt;=0.5,AW304=1),PTHealth,IF(AND(AT304=1,AK304="E",AU304&gt;=0.5),PTHealth*P304,0))))</f>
        <v>0</v>
      </c>
      <c r="BC304" s="462">
        <f>IF(AND(AT304=3,AK304="E",AV304&gt;=0.75,AW304=1),Health,IF(AND(AT304=3,AK304="E",AV304&gt;=0.75),Health*P304,IF(AND(AT304=3,AK304="E",AV304&gt;=0.5,AW304=1),PTHealth,IF(AND(AT304=3,AK304="E",AV304&gt;=0.5),PTHealth*P304,0))))</f>
        <v>0</v>
      </c>
      <c r="BD304" s="462">
        <f>IF(AND(AT304&lt;&gt;0,AX304&gt;=MAXSSDI),SSDI*MAXSSDI*P304,IF(AT304&lt;&gt;0,SSDI*W304,0))</f>
        <v>0</v>
      </c>
      <c r="BE304" s="462">
        <f>IF(AT304&lt;&gt;0,SSHI*W304,0)</f>
        <v>0</v>
      </c>
      <c r="BF304" s="462">
        <f>IF(AND(AT304&lt;&gt;0,AN304&lt;&gt;"NE"),VLOOKUP(AN304,Retirement_Rates,3,FALSE)*W304,0)</f>
        <v>0</v>
      </c>
      <c r="BG304" s="462">
        <f>IF(AND(AT304&lt;&gt;0,AJ304&lt;&gt;"PF"),Life*W304,0)</f>
        <v>0</v>
      </c>
      <c r="BH304" s="462">
        <f>IF(AND(AT304&lt;&gt;0,AM304="Y"),UI*W304,0)</f>
        <v>0</v>
      </c>
      <c r="BI304" s="462">
        <f>IF(AND(AT304&lt;&gt;0,N304&lt;&gt;"NR"),DHR*W304,0)</f>
        <v>0</v>
      </c>
      <c r="BJ304" s="462">
        <f>IF(AT304&lt;&gt;0,WC*W304,0)</f>
        <v>0</v>
      </c>
      <c r="BK304" s="462">
        <f>IF(OR(AND(AT304&lt;&gt;0,AJ304&lt;&gt;"PF",AN304&lt;&gt;"NE",AG304&lt;&gt;"A"),AND(AL304="E",OR(AT304=1,AT304=3))),Sick*W304,0)</f>
        <v>0</v>
      </c>
      <c r="BL304" s="462">
        <f t="shared" si="73"/>
        <v>0</v>
      </c>
      <c r="BM304" s="462">
        <f t="shared" si="74"/>
        <v>0</v>
      </c>
      <c r="BN304" s="462">
        <f>IF(AND(AT304=1,AK304="E",AU304&gt;=0.75,AW304=1),HealthBY,IF(AND(AT304=1,AK304="E",AU304&gt;=0.75),HealthBY*P304,IF(AND(AT304=1,AK304="E",AU304&gt;=0.5,AW304=1),PTHealthBY,IF(AND(AT304=1,AK304="E",AU304&gt;=0.5),PTHealthBY*P304,0))))</f>
        <v>0</v>
      </c>
      <c r="BO304" s="462">
        <f>IF(AND(AT304=3,AK304="E",AV304&gt;=0.75,AW304=1),HealthBY,IF(AND(AT304=3,AK304="E",AV304&gt;=0.75),HealthBY*P304,IF(AND(AT304=3,AK304="E",AV304&gt;=0.5,AW304=1),PTHealthBY,IF(AND(AT304=3,AK304="E",AV304&gt;=0.5),PTHealthBY*P304,0))))</f>
        <v>0</v>
      </c>
      <c r="BP304" s="462">
        <f>IF(AND(AT304&lt;&gt;0,(AX304+BA304)&gt;=MAXSSDIBY),SSDIBY*MAXSSDIBY*P304,IF(AT304&lt;&gt;0,SSDIBY*W304,0))</f>
        <v>0</v>
      </c>
      <c r="BQ304" s="462">
        <f>IF(AT304&lt;&gt;0,SSHIBY*W304,0)</f>
        <v>0</v>
      </c>
      <c r="BR304" s="462">
        <f>IF(AND(AT304&lt;&gt;0,AN304&lt;&gt;"NE"),VLOOKUP(AN304,Retirement_Rates,4,FALSE)*W304,0)</f>
        <v>0</v>
      </c>
      <c r="BS304" s="462">
        <f>IF(AND(AT304&lt;&gt;0,AJ304&lt;&gt;"PF"),LifeBY*W304,0)</f>
        <v>0</v>
      </c>
      <c r="BT304" s="462">
        <f>IF(AND(AT304&lt;&gt;0,AM304="Y"),UIBY*W304,0)</f>
        <v>0</v>
      </c>
      <c r="BU304" s="462">
        <f>IF(AND(AT304&lt;&gt;0,N304&lt;&gt;"NR"),DHRBY*W304,0)</f>
        <v>0</v>
      </c>
      <c r="BV304" s="462">
        <f>IF(AT304&lt;&gt;0,WCBY*W304,0)</f>
        <v>0</v>
      </c>
      <c r="BW304" s="462">
        <f>IF(OR(AND(AT304&lt;&gt;0,AJ304&lt;&gt;"PF",AN304&lt;&gt;"NE",AG304&lt;&gt;"A"),AND(AL304="E",OR(AT304=1,AT304=3))),SickBY*W304,0)</f>
        <v>0</v>
      </c>
      <c r="BX304" s="462">
        <f t="shared" si="75"/>
        <v>0</v>
      </c>
      <c r="BY304" s="462">
        <f t="shared" si="76"/>
        <v>0</v>
      </c>
      <c r="BZ304" s="462">
        <f t="shared" si="77"/>
        <v>0</v>
      </c>
      <c r="CA304" s="462">
        <f t="shared" si="78"/>
        <v>0</v>
      </c>
      <c r="CB304" s="462">
        <f t="shared" si="79"/>
        <v>0</v>
      </c>
      <c r="CC304" s="462">
        <f>IF(AT304&lt;&gt;0,SSHICHG*Y304,0)</f>
        <v>0</v>
      </c>
      <c r="CD304" s="462">
        <f>IF(AND(AT304&lt;&gt;0,AN304&lt;&gt;"NE"),VLOOKUP(AN304,Retirement_Rates,5,FALSE)*Y304,0)</f>
        <v>0</v>
      </c>
      <c r="CE304" s="462">
        <f>IF(AND(AT304&lt;&gt;0,AJ304&lt;&gt;"PF"),LifeCHG*Y304,0)</f>
        <v>0</v>
      </c>
      <c r="CF304" s="462">
        <f>IF(AND(AT304&lt;&gt;0,AM304="Y"),UICHG*Y304,0)</f>
        <v>0</v>
      </c>
      <c r="CG304" s="462">
        <f>IF(AND(AT304&lt;&gt;0,N304&lt;&gt;"NR"),DHRCHG*Y304,0)</f>
        <v>0</v>
      </c>
      <c r="CH304" s="462">
        <f>IF(AT304&lt;&gt;0,WCCHG*Y304,0)</f>
        <v>0</v>
      </c>
      <c r="CI304" s="462">
        <f>IF(OR(AND(AT304&lt;&gt;0,AJ304&lt;&gt;"PF",AN304&lt;&gt;"NE",AG304&lt;&gt;"A"),AND(AL304="E",OR(AT304=1,AT304=3))),SickCHG*Y304,0)</f>
        <v>0</v>
      </c>
      <c r="CJ304" s="462">
        <f t="shared" si="80"/>
        <v>0</v>
      </c>
      <c r="CK304" s="462" t="str">
        <f t="shared" si="81"/>
        <v/>
      </c>
      <c r="CL304" s="462">
        <f t="shared" si="82"/>
        <v>0</v>
      </c>
      <c r="CM304" s="462">
        <f t="shared" si="83"/>
        <v>0</v>
      </c>
      <c r="CN304" s="462" t="str">
        <f t="shared" si="84"/>
        <v>0330-01</v>
      </c>
    </row>
    <row r="305" spans="1:92" ht="15" thickBot="1" x14ac:dyDescent="0.35">
      <c r="A305" s="376" t="s">
        <v>161</v>
      </c>
      <c r="B305" s="376" t="s">
        <v>162</v>
      </c>
      <c r="C305" s="376" t="s">
        <v>841</v>
      </c>
      <c r="D305" s="376" t="s">
        <v>365</v>
      </c>
      <c r="E305" s="376" t="s">
        <v>931</v>
      </c>
      <c r="F305" s="382" t="s">
        <v>289</v>
      </c>
      <c r="G305" s="376" t="s">
        <v>762</v>
      </c>
      <c r="H305" s="378"/>
      <c r="I305" s="378"/>
      <c r="J305" s="376" t="s">
        <v>547</v>
      </c>
      <c r="K305" s="376" t="s">
        <v>366</v>
      </c>
      <c r="L305" s="376" t="s">
        <v>274</v>
      </c>
      <c r="M305" s="376" t="s">
        <v>170</v>
      </c>
      <c r="N305" s="376" t="s">
        <v>202</v>
      </c>
      <c r="O305" s="379">
        <v>1</v>
      </c>
      <c r="P305" s="460">
        <v>0.75</v>
      </c>
      <c r="Q305" s="460">
        <v>0.75</v>
      </c>
      <c r="R305" s="380">
        <v>80</v>
      </c>
      <c r="S305" s="460">
        <v>0.75</v>
      </c>
      <c r="T305" s="380">
        <v>26709.43</v>
      </c>
      <c r="U305" s="380">
        <v>0</v>
      </c>
      <c r="V305" s="380">
        <v>14057.07</v>
      </c>
      <c r="W305" s="380">
        <v>28797.599999999999</v>
      </c>
      <c r="X305" s="380">
        <v>15256.39</v>
      </c>
      <c r="Y305" s="380">
        <v>28797.599999999999</v>
      </c>
      <c r="Z305" s="380">
        <v>15181.52</v>
      </c>
      <c r="AA305" s="376" t="s">
        <v>842</v>
      </c>
      <c r="AB305" s="376" t="s">
        <v>843</v>
      </c>
      <c r="AC305" s="376" t="s">
        <v>844</v>
      </c>
      <c r="AD305" s="376" t="s">
        <v>278</v>
      </c>
      <c r="AE305" s="376" t="s">
        <v>366</v>
      </c>
      <c r="AF305" s="376" t="s">
        <v>279</v>
      </c>
      <c r="AG305" s="376" t="s">
        <v>177</v>
      </c>
      <c r="AH305" s="381">
        <v>18.46</v>
      </c>
      <c r="AI305" s="381">
        <v>28262.7</v>
      </c>
      <c r="AJ305" s="376" t="s">
        <v>178</v>
      </c>
      <c r="AK305" s="376" t="s">
        <v>179</v>
      </c>
      <c r="AL305" s="376" t="s">
        <v>180</v>
      </c>
      <c r="AM305" s="376" t="s">
        <v>181</v>
      </c>
      <c r="AN305" s="376" t="s">
        <v>68</v>
      </c>
      <c r="AO305" s="379">
        <v>80</v>
      </c>
      <c r="AP305" s="460">
        <v>1</v>
      </c>
      <c r="AQ305" s="460">
        <v>0.75</v>
      </c>
      <c r="AR305" s="458" t="s">
        <v>182</v>
      </c>
      <c r="AS305" s="462">
        <f t="shared" si="68"/>
        <v>0.75</v>
      </c>
      <c r="AT305">
        <f t="shared" si="69"/>
        <v>1</v>
      </c>
      <c r="AU305" s="462">
        <f>IF(AT305=0,"",IF(AND(AT305=1,M305="F",SUMIF(C2:C698,C305,AS2:AS698)&lt;=1),SUMIF(C2:C698,C305,AS2:AS698),IF(AND(AT305=1,M305="F",SUMIF(C2:C698,C305,AS2:AS698)&gt;1),1,"")))</f>
        <v>1</v>
      </c>
      <c r="AV305" s="462" t="str">
        <f>IF(AT305=0,"",IF(AND(AT305=3,M305="F",SUMIF(C2:C698,C305,AS2:AS698)&lt;=1),SUMIF(C2:C698,C305,AS2:AS698),IF(AND(AT305=3,M305="F",SUMIF(C2:C698,C305,AS2:AS698)&gt;1),1,"")))</f>
        <v/>
      </c>
      <c r="AW305" s="462">
        <f>SUMIF(C2:C698,C305,O2:O698)</f>
        <v>3</v>
      </c>
      <c r="AX305" s="462">
        <f>IF(AND(M305="F",AS305&lt;&gt;0),SUMIF(C2:C698,C305,W2:W698),0)</f>
        <v>38396.799999999996</v>
      </c>
      <c r="AY305" s="462">
        <f t="shared" si="70"/>
        <v>28797.599999999999</v>
      </c>
      <c r="AZ305" s="462" t="str">
        <f t="shared" si="71"/>
        <v/>
      </c>
      <c r="BA305" s="462">
        <f t="shared" si="72"/>
        <v>0</v>
      </c>
      <c r="BB305" s="462">
        <f>IF(AND(AT305=1,AK305="E",AU305&gt;=0.75,AW305=1),Health,IF(AND(AT305=1,AK305="E",AU305&gt;=0.75),Health*P305,IF(AND(AT305=1,AK305="E",AU305&gt;=0.5,AW305=1),PTHealth,IF(AND(AT305=1,AK305="E",AU305&gt;=0.5),PTHealth*P305,0))))</f>
        <v>8737.5</v>
      </c>
      <c r="BC305" s="462">
        <f>IF(AND(AT305=3,AK305="E",AV305&gt;=0.75,AW305=1),Health,IF(AND(AT305=3,AK305="E",AV305&gt;=0.75),Health*P305,IF(AND(AT305=3,AK305="E",AV305&gt;=0.5,AW305=1),PTHealth,IF(AND(AT305=3,AK305="E",AV305&gt;=0.5),PTHealth*P305,0))))</f>
        <v>0</v>
      </c>
      <c r="BD305" s="462">
        <f>IF(AND(AT305&lt;&gt;0,AX305&gt;=MAXSSDI),SSDI*MAXSSDI*P305,IF(AT305&lt;&gt;0,SSDI*W305,0))</f>
        <v>1785.4512</v>
      </c>
      <c r="BE305" s="462">
        <f>IF(AT305&lt;&gt;0,SSHI*W305,0)</f>
        <v>417.5652</v>
      </c>
      <c r="BF305" s="462">
        <f>IF(AND(AT305&lt;&gt;0,AN305&lt;&gt;"NE"),VLOOKUP(AN305,Retirement_Rates,3,FALSE)*W305,0)</f>
        <v>3438.4334399999998</v>
      </c>
      <c r="BG305" s="462">
        <f>IF(AND(AT305&lt;&gt;0,AJ305&lt;&gt;"PF"),Life*W305,0)</f>
        <v>207.630696</v>
      </c>
      <c r="BH305" s="462">
        <f>IF(AND(AT305&lt;&gt;0,AM305="Y"),UI*W305,0)</f>
        <v>141.10824</v>
      </c>
      <c r="BI305" s="462">
        <f>IF(AND(AT305&lt;&gt;0,N305&lt;&gt;"NR"),DHR*W305,0)</f>
        <v>88.120655999999983</v>
      </c>
      <c r="BJ305" s="462">
        <f>IF(AT305&lt;&gt;0,WC*W305,0)</f>
        <v>440.60327999999998</v>
      </c>
      <c r="BK305" s="462">
        <f>IF(OR(AND(AT305&lt;&gt;0,AJ305&lt;&gt;"PF",AN305&lt;&gt;"NE",AG305&lt;&gt;"A"),AND(AL305="E",OR(AT305=1,AT305=3))),Sick*W305,0)</f>
        <v>0</v>
      </c>
      <c r="BL305" s="462">
        <f t="shared" si="73"/>
        <v>6518.9127119999994</v>
      </c>
      <c r="BM305" s="462">
        <f t="shared" si="74"/>
        <v>0</v>
      </c>
      <c r="BN305" s="462">
        <f>IF(AND(AT305=1,AK305="E",AU305&gt;=0.75,AW305=1),HealthBY,IF(AND(AT305=1,AK305="E",AU305&gt;=0.75),HealthBY*P305,IF(AND(AT305=1,AK305="E",AU305&gt;=0.5,AW305=1),PTHealthBY,IF(AND(AT305=1,AK305="E",AU305&gt;=0.5),PTHealthBY*P305,0))))</f>
        <v>8737.5</v>
      </c>
      <c r="BO305" s="462">
        <f>IF(AND(AT305=3,AK305="E",AV305&gt;=0.75,AW305=1),HealthBY,IF(AND(AT305=3,AK305="E",AV305&gt;=0.75),HealthBY*P305,IF(AND(AT305=3,AK305="E",AV305&gt;=0.5,AW305=1),PTHealthBY,IF(AND(AT305=3,AK305="E",AV305&gt;=0.5),PTHealthBY*P305,0))))</f>
        <v>0</v>
      </c>
      <c r="BP305" s="462">
        <f>IF(AND(AT305&lt;&gt;0,(AX305+BA305)&gt;=MAXSSDIBY),SSDIBY*MAXSSDIBY*P305,IF(AT305&lt;&gt;0,SSDIBY*W305,0))</f>
        <v>1785.4512</v>
      </c>
      <c r="BQ305" s="462">
        <f>IF(AT305&lt;&gt;0,SSHIBY*W305,0)</f>
        <v>417.5652</v>
      </c>
      <c r="BR305" s="462">
        <f>IF(AND(AT305&lt;&gt;0,AN305&lt;&gt;"NE"),VLOOKUP(AN305,Retirement_Rates,4,FALSE)*W305,0)</f>
        <v>3438.4334399999998</v>
      </c>
      <c r="BS305" s="462">
        <f>IF(AND(AT305&lt;&gt;0,AJ305&lt;&gt;"PF"),LifeBY*W305,0)</f>
        <v>207.630696</v>
      </c>
      <c r="BT305" s="462">
        <f>IF(AND(AT305&lt;&gt;0,AM305="Y"),UIBY*W305,0)</f>
        <v>0</v>
      </c>
      <c r="BU305" s="462">
        <f>IF(AND(AT305&lt;&gt;0,N305&lt;&gt;"NR"),DHRBY*W305,0)</f>
        <v>88.120655999999983</v>
      </c>
      <c r="BV305" s="462">
        <f>IF(AT305&lt;&gt;0,WCBY*W305,0)</f>
        <v>506.83776</v>
      </c>
      <c r="BW305" s="462">
        <f>IF(OR(AND(AT305&lt;&gt;0,AJ305&lt;&gt;"PF",AN305&lt;&gt;"NE",AG305&lt;&gt;"A"),AND(AL305="E",OR(AT305=1,AT305=3))),SickBY*W305,0)</f>
        <v>0</v>
      </c>
      <c r="BX305" s="462">
        <f t="shared" si="75"/>
        <v>6444.0389519999999</v>
      </c>
      <c r="BY305" s="462">
        <f t="shared" si="76"/>
        <v>0</v>
      </c>
      <c r="BZ305" s="462">
        <f t="shared" si="77"/>
        <v>0</v>
      </c>
      <c r="CA305" s="462">
        <f t="shared" si="78"/>
        <v>0</v>
      </c>
      <c r="CB305" s="462">
        <f t="shared" si="79"/>
        <v>0</v>
      </c>
      <c r="CC305" s="462">
        <f>IF(AT305&lt;&gt;0,SSHICHG*Y305,0)</f>
        <v>0</v>
      </c>
      <c r="CD305" s="462">
        <f>IF(AND(AT305&lt;&gt;0,AN305&lt;&gt;"NE"),VLOOKUP(AN305,Retirement_Rates,5,FALSE)*Y305,0)</f>
        <v>0</v>
      </c>
      <c r="CE305" s="462">
        <f>IF(AND(AT305&lt;&gt;0,AJ305&lt;&gt;"PF"),LifeCHG*Y305,0)</f>
        <v>0</v>
      </c>
      <c r="CF305" s="462">
        <f>IF(AND(AT305&lt;&gt;0,AM305="Y"),UICHG*Y305,0)</f>
        <v>-141.10824</v>
      </c>
      <c r="CG305" s="462">
        <f>IF(AND(AT305&lt;&gt;0,N305&lt;&gt;"NR"),DHRCHG*Y305,0)</f>
        <v>0</v>
      </c>
      <c r="CH305" s="462">
        <f>IF(AT305&lt;&gt;0,WCCHG*Y305,0)</f>
        <v>66.234480000000048</v>
      </c>
      <c r="CI305" s="462">
        <f>IF(OR(AND(AT305&lt;&gt;0,AJ305&lt;&gt;"PF",AN305&lt;&gt;"NE",AG305&lt;&gt;"A"),AND(AL305="E",OR(AT305=1,AT305=3))),SickCHG*Y305,0)</f>
        <v>0</v>
      </c>
      <c r="CJ305" s="462">
        <f t="shared" si="80"/>
        <v>-74.873759999999947</v>
      </c>
      <c r="CK305" s="462" t="str">
        <f t="shared" si="81"/>
        <v/>
      </c>
      <c r="CL305" s="462" t="str">
        <f t="shared" si="82"/>
        <v/>
      </c>
      <c r="CM305" s="462" t="str">
        <f t="shared" si="83"/>
        <v/>
      </c>
      <c r="CN305" s="462" t="str">
        <f t="shared" si="84"/>
        <v>0330-01</v>
      </c>
    </row>
    <row r="306" spans="1:92" ht="15" thickBot="1" x14ac:dyDescent="0.35">
      <c r="A306" s="376" t="s">
        <v>161</v>
      </c>
      <c r="B306" s="376" t="s">
        <v>162</v>
      </c>
      <c r="C306" s="376" t="s">
        <v>646</v>
      </c>
      <c r="D306" s="376" t="s">
        <v>647</v>
      </c>
      <c r="E306" s="376" t="s">
        <v>931</v>
      </c>
      <c r="F306" s="382" t="s">
        <v>289</v>
      </c>
      <c r="G306" s="376" t="s">
        <v>762</v>
      </c>
      <c r="H306" s="378"/>
      <c r="I306" s="378"/>
      <c r="J306" s="376" t="s">
        <v>168</v>
      </c>
      <c r="K306" s="376" t="s">
        <v>648</v>
      </c>
      <c r="L306" s="376" t="s">
        <v>166</v>
      </c>
      <c r="M306" s="376" t="s">
        <v>170</v>
      </c>
      <c r="N306" s="376" t="s">
        <v>291</v>
      </c>
      <c r="O306" s="379">
        <v>0</v>
      </c>
      <c r="P306" s="460">
        <v>0</v>
      </c>
      <c r="Q306" s="460">
        <v>0</v>
      </c>
      <c r="R306" s="380">
        <v>0</v>
      </c>
      <c r="S306" s="460">
        <v>0</v>
      </c>
      <c r="T306" s="380">
        <v>781.13</v>
      </c>
      <c r="U306" s="380">
        <v>0</v>
      </c>
      <c r="V306" s="380">
        <v>541.74</v>
      </c>
      <c r="W306" s="380">
        <v>0</v>
      </c>
      <c r="X306" s="380">
        <v>0</v>
      </c>
      <c r="Y306" s="380">
        <v>0</v>
      </c>
      <c r="Z306" s="380">
        <v>0</v>
      </c>
      <c r="AA306" s="378"/>
      <c r="AB306" s="376" t="s">
        <v>45</v>
      </c>
      <c r="AC306" s="376" t="s">
        <v>45</v>
      </c>
      <c r="AD306" s="378"/>
      <c r="AE306" s="378"/>
      <c r="AF306" s="378"/>
      <c r="AG306" s="378"/>
      <c r="AH306" s="379">
        <v>0</v>
      </c>
      <c r="AI306" s="379">
        <v>0</v>
      </c>
      <c r="AJ306" s="378"/>
      <c r="AK306" s="378"/>
      <c r="AL306" s="376" t="s">
        <v>180</v>
      </c>
      <c r="AM306" s="378"/>
      <c r="AN306" s="378"/>
      <c r="AO306" s="379">
        <v>0</v>
      </c>
      <c r="AP306" s="460">
        <v>0</v>
      </c>
      <c r="AQ306" s="460">
        <v>0</v>
      </c>
      <c r="AR306" s="459"/>
      <c r="AS306" s="462">
        <f t="shared" si="68"/>
        <v>0</v>
      </c>
      <c r="AT306">
        <f t="shared" si="69"/>
        <v>0</v>
      </c>
      <c r="AU306" s="462" t="str">
        <f>IF(AT306=0,"",IF(AND(AT306=1,M306="F",SUMIF(C2:C698,C306,AS2:AS698)&lt;=1),SUMIF(C2:C698,C306,AS2:AS698),IF(AND(AT306=1,M306="F",SUMIF(C2:C698,C306,AS2:AS698)&gt;1),1,"")))</f>
        <v/>
      </c>
      <c r="AV306" s="462" t="str">
        <f>IF(AT306=0,"",IF(AND(AT306=3,M306="F",SUMIF(C2:C698,C306,AS2:AS698)&lt;=1),SUMIF(C2:C698,C306,AS2:AS698),IF(AND(AT306=3,M306="F",SUMIF(C2:C698,C306,AS2:AS698)&gt;1),1,"")))</f>
        <v/>
      </c>
      <c r="AW306" s="462">
        <f>SUMIF(C2:C698,C306,O2:O698)</f>
        <v>0</v>
      </c>
      <c r="AX306" s="462">
        <f>IF(AND(M306="F",AS306&lt;&gt;0),SUMIF(C2:C698,C306,W2:W698),0)</f>
        <v>0</v>
      </c>
      <c r="AY306" s="462" t="str">
        <f t="shared" si="70"/>
        <v/>
      </c>
      <c r="AZ306" s="462" t="str">
        <f t="shared" si="71"/>
        <v/>
      </c>
      <c r="BA306" s="462">
        <f t="shared" si="72"/>
        <v>0</v>
      </c>
      <c r="BB306" s="462">
        <f>IF(AND(AT306=1,AK306="E",AU306&gt;=0.75,AW306=1),Health,IF(AND(AT306=1,AK306="E",AU306&gt;=0.75),Health*P306,IF(AND(AT306=1,AK306="E",AU306&gt;=0.5,AW306=1),PTHealth,IF(AND(AT306=1,AK306="E",AU306&gt;=0.5),PTHealth*P306,0))))</f>
        <v>0</v>
      </c>
      <c r="BC306" s="462">
        <f>IF(AND(AT306=3,AK306="E",AV306&gt;=0.75,AW306=1),Health,IF(AND(AT306=3,AK306="E",AV306&gt;=0.75),Health*P306,IF(AND(AT306=3,AK306="E",AV306&gt;=0.5,AW306=1),PTHealth,IF(AND(AT306=3,AK306="E",AV306&gt;=0.5),PTHealth*P306,0))))</f>
        <v>0</v>
      </c>
      <c r="BD306" s="462">
        <f>IF(AND(AT306&lt;&gt;0,AX306&gt;=MAXSSDI),SSDI*MAXSSDI*P306,IF(AT306&lt;&gt;0,SSDI*W306,0))</f>
        <v>0</v>
      </c>
      <c r="BE306" s="462">
        <f>IF(AT306&lt;&gt;0,SSHI*W306,0)</f>
        <v>0</v>
      </c>
      <c r="BF306" s="462">
        <f>IF(AND(AT306&lt;&gt;0,AN306&lt;&gt;"NE"),VLOOKUP(AN306,Retirement_Rates,3,FALSE)*W306,0)</f>
        <v>0</v>
      </c>
      <c r="BG306" s="462">
        <f>IF(AND(AT306&lt;&gt;0,AJ306&lt;&gt;"PF"),Life*W306,0)</f>
        <v>0</v>
      </c>
      <c r="BH306" s="462">
        <f>IF(AND(AT306&lt;&gt;0,AM306="Y"),UI*W306,0)</f>
        <v>0</v>
      </c>
      <c r="BI306" s="462">
        <f>IF(AND(AT306&lt;&gt;0,N306&lt;&gt;"NR"),DHR*W306,0)</f>
        <v>0</v>
      </c>
      <c r="BJ306" s="462">
        <f>IF(AT306&lt;&gt;0,WC*W306,0)</f>
        <v>0</v>
      </c>
      <c r="BK306" s="462">
        <f>IF(OR(AND(AT306&lt;&gt;0,AJ306&lt;&gt;"PF",AN306&lt;&gt;"NE",AG306&lt;&gt;"A"),AND(AL306="E",OR(AT306=1,AT306=3))),Sick*W306,0)</f>
        <v>0</v>
      </c>
      <c r="BL306" s="462">
        <f t="shared" si="73"/>
        <v>0</v>
      </c>
      <c r="BM306" s="462">
        <f t="shared" si="74"/>
        <v>0</v>
      </c>
      <c r="BN306" s="462">
        <f>IF(AND(AT306=1,AK306="E",AU306&gt;=0.75,AW306=1),HealthBY,IF(AND(AT306=1,AK306="E",AU306&gt;=0.75),HealthBY*P306,IF(AND(AT306=1,AK306="E",AU306&gt;=0.5,AW306=1),PTHealthBY,IF(AND(AT306=1,AK306="E",AU306&gt;=0.5),PTHealthBY*P306,0))))</f>
        <v>0</v>
      </c>
      <c r="BO306" s="462">
        <f>IF(AND(AT306=3,AK306="E",AV306&gt;=0.75,AW306=1),HealthBY,IF(AND(AT306=3,AK306="E",AV306&gt;=0.75),HealthBY*P306,IF(AND(AT306=3,AK306="E",AV306&gt;=0.5,AW306=1),PTHealthBY,IF(AND(AT306=3,AK306="E",AV306&gt;=0.5),PTHealthBY*P306,0))))</f>
        <v>0</v>
      </c>
      <c r="BP306" s="462">
        <f>IF(AND(AT306&lt;&gt;0,(AX306+BA306)&gt;=MAXSSDIBY),SSDIBY*MAXSSDIBY*P306,IF(AT306&lt;&gt;0,SSDIBY*W306,0))</f>
        <v>0</v>
      </c>
      <c r="BQ306" s="462">
        <f>IF(AT306&lt;&gt;0,SSHIBY*W306,0)</f>
        <v>0</v>
      </c>
      <c r="BR306" s="462">
        <f>IF(AND(AT306&lt;&gt;0,AN306&lt;&gt;"NE"),VLOOKUP(AN306,Retirement_Rates,4,FALSE)*W306,0)</f>
        <v>0</v>
      </c>
      <c r="BS306" s="462">
        <f>IF(AND(AT306&lt;&gt;0,AJ306&lt;&gt;"PF"),LifeBY*W306,0)</f>
        <v>0</v>
      </c>
      <c r="BT306" s="462">
        <f>IF(AND(AT306&lt;&gt;0,AM306="Y"),UIBY*W306,0)</f>
        <v>0</v>
      </c>
      <c r="BU306" s="462">
        <f>IF(AND(AT306&lt;&gt;0,N306&lt;&gt;"NR"),DHRBY*W306,0)</f>
        <v>0</v>
      </c>
      <c r="BV306" s="462">
        <f>IF(AT306&lt;&gt;0,WCBY*W306,0)</f>
        <v>0</v>
      </c>
      <c r="BW306" s="462">
        <f>IF(OR(AND(AT306&lt;&gt;0,AJ306&lt;&gt;"PF",AN306&lt;&gt;"NE",AG306&lt;&gt;"A"),AND(AL306="E",OR(AT306=1,AT306=3))),SickBY*W306,0)</f>
        <v>0</v>
      </c>
      <c r="BX306" s="462">
        <f t="shared" si="75"/>
        <v>0</v>
      </c>
      <c r="BY306" s="462">
        <f t="shared" si="76"/>
        <v>0</v>
      </c>
      <c r="BZ306" s="462">
        <f t="shared" si="77"/>
        <v>0</v>
      </c>
      <c r="CA306" s="462">
        <f t="shared" si="78"/>
        <v>0</v>
      </c>
      <c r="CB306" s="462">
        <f t="shared" si="79"/>
        <v>0</v>
      </c>
      <c r="CC306" s="462">
        <f>IF(AT306&lt;&gt;0,SSHICHG*Y306,0)</f>
        <v>0</v>
      </c>
      <c r="CD306" s="462">
        <f>IF(AND(AT306&lt;&gt;0,AN306&lt;&gt;"NE"),VLOOKUP(AN306,Retirement_Rates,5,FALSE)*Y306,0)</f>
        <v>0</v>
      </c>
      <c r="CE306" s="462">
        <f>IF(AND(AT306&lt;&gt;0,AJ306&lt;&gt;"PF"),LifeCHG*Y306,0)</f>
        <v>0</v>
      </c>
      <c r="CF306" s="462">
        <f>IF(AND(AT306&lt;&gt;0,AM306="Y"),UICHG*Y306,0)</f>
        <v>0</v>
      </c>
      <c r="CG306" s="462">
        <f>IF(AND(AT306&lt;&gt;0,N306&lt;&gt;"NR"),DHRCHG*Y306,0)</f>
        <v>0</v>
      </c>
      <c r="CH306" s="462">
        <f>IF(AT306&lt;&gt;0,WCCHG*Y306,0)</f>
        <v>0</v>
      </c>
      <c r="CI306" s="462">
        <f>IF(OR(AND(AT306&lt;&gt;0,AJ306&lt;&gt;"PF",AN306&lt;&gt;"NE",AG306&lt;&gt;"A"),AND(AL306="E",OR(AT306=1,AT306=3))),SickCHG*Y306,0)</f>
        <v>0</v>
      </c>
      <c r="CJ306" s="462">
        <f t="shared" si="80"/>
        <v>0</v>
      </c>
      <c r="CK306" s="462" t="str">
        <f t="shared" si="81"/>
        <v/>
      </c>
      <c r="CL306" s="462">
        <f t="shared" si="82"/>
        <v>781.13</v>
      </c>
      <c r="CM306" s="462">
        <f t="shared" si="83"/>
        <v>541.74</v>
      </c>
      <c r="CN306" s="462" t="str">
        <f t="shared" si="84"/>
        <v>0330-01</v>
      </c>
    </row>
    <row r="307" spans="1:92" ht="15" thickBot="1" x14ac:dyDescent="0.35">
      <c r="A307" s="376" t="s">
        <v>161</v>
      </c>
      <c r="B307" s="376" t="s">
        <v>162</v>
      </c>
      <c r="C307" s="376" t="s">
        <v>849</v>
      </c>
      <c r="D307" s="376" t="s">
        <v>362</v>
      </c>
      <c r="E307" s="376" t="s">
        <v>931</v>
      </c>
      <c r="F307" s="382" t="s">
        <v>289</v>
      </c>
      <c r="G307" s="376" t="s">
        <v>762</v>
      </c>
      <c r="H307" s="378"/>
      <c r="I307" s="378"/>
      <c r="J307" s="376" t="s">
        <v>782</v>
      </c>
      <c r="K307" s="376" t="s">
        <v>363</v>
      </c>
      <c r="L307" s="376" t="s">
        <v>200</v>
      </c>
      <c r="M307" s="376" t="s">
        <v>170</v>
      </c>
      <c r="N307" s="376" t="s">
        <v>202</v>
      </c>
      <c r="O307" s="379">
        <v>1</v>
      </c>
      <c r="P307" s="460">
        <v>0.55000000000000004</v>
      </c>
      <c r="Q307" s="460">
        <v>0.55000000000000004</v>
      </c>
      <c r="R307" s="380">
        <v>80</v>
      </c>
      <c r="S307" s="460">
        <v>0.55000000000000004</v>
      </c>
      <c r="T307" s="380">
        <v>11919.49</v>
      </c>
      <c r="U307" s="380">
        <v>0</v>
      </c>
      <c r="V307" s="380">
        <v>5612.2</v>
      </c>
      <c r="W307" s="380">
        <v>25740</v>
      </c>
      <c r="X307" s="380">
        <v>12234.24</v>
      </c>
      <c r="Y307" s="380">
        <v>25740</v>
      </c>
      <c r="Z307" s="380">
        <v>12167.32</v>
      </c>
      <c r="AA307" s="376" t="s">
        <v>850</v>
      </c>
      <c r="AB307" s="376" t="s">
        <v>851</v>
      </c>
      <c r="AC307" s="376" t="s">
        <v>529</v>
      </c>
      <c r="AD307" s="376" t="s">
        <v>278</v>
      </c>
      <c r="AE307" s="376" t="s">
        <v>363</v>
      </c>
      <c r="AF307" s="376" t="s">
        <v>210</v>
      </c>
      <c r="AG307" s="376" t="s">
        <v>177</v>
      </c>
      <c r="AH307" s="381">
        <v>22.5</v>
      </c>
      <c r="AI307" s="381">
        <v>13789.6</v>
      </c>
      <c r="AJ307" s="376" t="s">
        <v>178</v>
      </c>
      <c r="AK307" s="376" t="s">
        <v>179</v>
      </c>
      <c r="AL307" s="376" t="s">
        <v>180</v>
      </c>
      <c r="AM307" s="376" t="s">
        <v>181</v>
      </c>
      <c r="AN307" s="376" t="s">
        <v>68</v>
      </c>
      <c r="AO307" s="379">
        <v>80</v>
      </c>
      <c r="AP307" s="460">
        <v>1</v>
      </c>
      <c r="AQ307" s="460">
        <v>0.55000000000000004</v>
      </c>
      <c r="AR307" s="458" t="s">
        <v>182</v>
      </c>
      <c r="AS307" s="462">
        <f t="shared" si="68"/>
        <v>0.55000000000000004</v>
      </c>
      <c r="AT307">
        <f t="shared" si="69"/>
        <v>1</v>
      </c>
      <c r="AU307" s="462">
        <f>IF(AT307=0,"",IF(AND(AT307=1,M307="F",SUMIF(C2:C698,C307,AS2:AS698)&lt;=1),SUMIF(C2:C698,C307,AS2:AS698),IF(AND(AT307=1,M307="F",SUMIF(C2:C698,C307,AS2:AS698)&gt;1),1,"")))</f>
        <v>1</v>
      </c>
      <c r="AV307" s="462" t="str">
        <f>IF(AT307=0,"",IF(AND(AT307=3,M307="F",SUMIF(C2:C698,C307,AS2:AS698)&lt;=1),SUMIF(C2:C698,C307,AS2:AS698),IF(AND(AT307=3,M307="F",SUMIF(C2:C698,C307,AS2:AS698)&gt;1),1,"")))</f>
        <v/>
      </c>
      <c r="AW307" s="462">
        <f>SUMIF(C2:C698,C307,O2:O698)</f>
        <v>7</v>
      </c>
      <c r="AX307" s="462">
        <f>IF(AND(M307="F",AS307&lt;&gt;0),SUMIF(C2:C698,C307,W2:W698),0)</f>
        <v>46800</v>
      </c>
      <c r="AY307" s="462">
        <f t="shared" si="70"/>
        <v>25740</v>
      </c>
      <c r="AZ307" s="462" t="str">
        <f t="shared" si="71"/>
        <v/>
      </c>
      <c r="BA307" s="462">
        <f t="shared" si="72"/>
        <v>0</v>
      </c>
      <c r="BB307" s="462">
        <f>IF(AND(AT307=1,AK307="E",AU307&gt;=0.75,AW307=1),Health,IF(AND(AT307=1,AK307="E",AU307&gt;=0.75),Health*P307,IF(AND(AT307=1,AK307="E",AU307&gt;=0.5,AW307=1),PTHealth,IF(AND(AT307=1,AK307="E",AU307&gt;=0.5),PTHealth*P307,0))))</f>
        <v>6407.5000000000009</v>
      </c>
      <c r="BC307" s="462">
        <f>IF(AND(AT307=3,AK307="E",AV307&gt;=0.75,AW307=1),Health,IF(AND(AT307=3,AK307="E",AV307&gt;=0.75),Health*P307,IF(AND(AT307=3,AK307="E",AV307&gt;=0.5,AW307=1),PTHealth,IF(AND(AT307=3,AK307="E",AV307&gt;=0.5),PTHealth*P307,0))))</f>
        <v>0</v>
      </c>
      <c r="BD307" s="462">
        <f>IF(AND(AT307&lt;&gt;0,AX307&gt;=MAXSSDI),SSDI*MAXSSDI*P307,IF(AT307&lt;&gt;0,SSDI*W307,0))</f>
        <v>1595.8799999999999</v>
      </c>
      <c r="BE307" s="462">
        <f>IF(AT307&lt;&gt;0,SSHI*W307,0)</f>
        <v>373.23</v>
      </c>
      <c r="BF307" s="462">
        <f>IF(AND(AT307&lt;&gt;0,AN307&lt;&gt;"NE"),VLOOKUP(AN307,Retirement_Rates,3,FALSE)*W307,0)</f>
        <v>3073.3560000000002</v>
      </c>
      <c r="BG307" s="462">
        <f>IF(AND(AT307&lt;&gt;0,AJ307&lt;&gt;"PF"),Life*W307,0)</f>
        <v>185.58539999999999</v>
      </c>
      <c r="BH307" s="462">
        <f>IF(AND(AT307&lt;&gt;0,AM307="Y"),UI*W307,0)</f>
        <v>126.12599999999999</v>
      </c>
      <c r="BI307" s="462">
        <f>IF(AND(AT307&lt;&gt;0,N307&lt;&gt;"NR"),DHR*W307,0)</f>
        <v>78.764399999999995</v>
      </c>
      <c r="BJ307" s="462">
        <f>IF(AT307&lt;&gt;0,WC*W307,0)</f>
        <v>393.822</v>
      </c>
      <c r="BK307" s="462">
        <f>IF(OR(AND(AT307&lt;&gt;0,AJ307&lt;&gt;"PF",AN307&lt;&gt;"NE",AG307&lt;&gt;"A"),AND(AL307="E",OR(AT307=1,AT307=3))),Sick*W307,0)</f>
        <v>0</v>
      </c>
      <c r="BL307" s="462">
        <f t="shared" si="73"/>
        <v>5826.7638000000006</v>
      </c>
      <c r="BM307" s="462">
        <f t="shared" si="74"/>
        <v>0</v>
      </c>
      <c r="BN307" s="462">
        <f>IF(AND(AT307=1,AK307="E",AU307&gt;=0.75,AW307=1),HealthBY,IF(AND(AT307=1,AK307="E",AU307&gt;=0.75),HealthBY*P307,IF(AND(AT307=1,AK307="E",AU307&gt;=0.5,AW307=1),PTHealthBY,IF(AND(AT307=1,AK307="E",AU307&gt;=0.5),PTHealthBY*P307,0))))</f>
        <v>6407.5000000000009</v>
      </c>
      <c r="BO307" s="462">
        <f>IF(AND(AT307=3,AK307="E",AV307&gt;=0.75,AW307=1),HealthBY,IF(AND(AT307=3,AK307="E",AV307&gt;=0.75),HealthBY*P307,IF(AND(AT307=3,AK307="E",AV307&gt;=0.5,AW307=1),PTHealthBY,IF(AND(AT307=3,AK307="E",AV307&gt;=0.5),PTHealthBY*P307,0))))</f>
        <v>0</v>
      </c>
      <c r="BP307" s="462">
        <f>IF(AND(AT307&lt;&gt;0,(AX307+BA307)&gt;=MAXSSDIBY),SSDIBY*MAXSSDIBY*P307,IF(AT307&lt;&gt;0,SSDIBY*W307,0))</f>
        <v>1595.8799999999999</v>
      </c>
      <c r="BQ307" s="462">
        <f>IF(AT307&lt;&gt;0,SSHIBY*W307,0)</f>
        <v>373.23</v>
      </c>
      <c r="BR307" s="462">
        <f>IF(AND(AT307&lt;&gt;0,AN307&lt;&gt;"NE"),VLOOKUP(AN307,Retirement_Rates,4,FALSE)*W307,0)</f>
        <v>3073.3560000000002</v>
      </c>
      <c r="BS307" s="462">
        <f>IF(AND(AT307&lt;&gt;0,AJ307&lt;&gt;"PF"),LifeBY*W307,0)</f>
        <v>185.58539999999999</v>
      </c>
      <c r="BT307" s="462">
        <f>IF(AND(AT307&lt;&gt;0,AM307="Y"),UIBY*W307,0)</f>
        <v>0</v>
      </c>
      <c r="BU307" s="462">
        <f>IF(AND(AT307&lt;&gt;0,N307&lt;&gt;"NR"),DHRBY*W307,0)</f>
        <v>78.764399999999995</v>
      </c>
      <c r="BV307" s="462">
        <f>IF(AT307&lt;&gt;0,WCBY*W307,0)</f>
        <v>453.024</v>
      </c>
      <c r="BW307" s="462">
        <f>IF(OR(AND(AT307&lt;&gt;0,AJ307&lt;&gt;"PF",AN307&lt;&gt;"NE",AG307&lt;&gt;"A"),AND(AL307="E",OR(AT307=1,AT307=3))),SickBY*W307,0)</f>
        <v>0</v>
      </c>
      <c r="BX307" s="462">
        <f t="shared" si="75"/>
        <v>5759.8398000000007</v>
      </c>
      <c r="BY307" s="462">
        <f t="shared" si="76"/>
        <v>0</v>
      </c>
      <c r="BZ307" s="462">
        <f t="shared" si="77"/>
        <v>0</v>
      </c>
      <c r="CA307" s="462">
        <f t="shared" si="78"/>
        <v>0</v>
      </c>
      <c r="CB307" s="462">
        <f t="shared" si="79"/>
        <v>0</v>
      </c>
      <c r="CC307" s="462">
        <f>IF(AT307&lt;&gt;0,SSHICHG*Y307,0)</f>
        <v>0</v>
      </c>
      <c r="CD307" s="462">
        <f>IF(AND(AT307&lt;&gt;0,AN307&lt;&gt;"NE"),VLOOKUP(AN307,Retirement_Rates,5,FALSE)*Y307,0)</f>
        <v>0</v>
      </c>
      <c r="CE307" s="462">
        <f>IF(AND(AT307&lt;&gt;0,AJ307&lt;&gt;"PF"),LifeCHG*Y307,0)</f>
        <v>0</v>
      </c>
      <c r="CF307" s="462">
        <f>IF(AND(AT307&lt;&gt;0,AM307="Y"),UICHG*Y307,0)</f>
        <v>-126.12599999999999</v>
      </c>
      <c r="CG307" s="462">
        <f>IF(AND(AT307&lt;&gt;0,N307&lt;&gt;"NR"),DHRCHG*Y307,0)</f>
        <v>0</v>
      </c>
      <c r="CH307" s="462">
        <f>IF(AT307&lt;&gt;0,WCCHG*Y307,0)</f>
        <v>59.202000000000041</v>
      </c>
      <c r="CI307" s="462">
        <f>IF(OR(AND(AT307&lt;&gt;0,AJ307&lt;&gt;"PF",AN307&lt;&gt;"NE",AG307&lt;&gt;"A"),AND(AL307="E",OR(AT307=1,AT307=3))),SickCHG*Y307,0)</f>
        <v>0</v>
      </c>
      <c r="CJ307" s="462">
        <f t="shared" si="80"/>
        <v>-66.92399999999995</v>
      </c>
      <c r="CK307" s="462" t="str">
        <f t="shared" si="81"/>
        <v/>
      </c>
      <c r="CL307" s="462" t="str">
        <f t="shared" si="82"/>
        <v/>
      </c>
      <c r="CM307" s="462" t="str">
        <f t="shared" si="83"/>
        <v/>
      </c>
      <c r="CN307" s="462" t="str">
        <f t="shared" si="84"/>
        <v>0330-01</v>
      </c>
    </row>
    <row r="308" spans="1:92" ht="15" thickBot="1" x14ac:dyDescent="0.35">
      <c r="A308" s="376" t="s">
        <v>161</v>
      </c>
      <c r="B308" s="376" t="s">
        <v>162</v>
      </c>
      <c r="C308" s="376" t="s">
        <v>949</v>
      </c>
      <c r="D308" s="376" t="s">
        <v>418</v>
      </c>
      <c r="E308" s="376" t="s">
        <v>931</v>
      </c>
      <c r="F308" s="382" t="s">
        <v>289</v>
      </c>
      <c r="G308" s="376" t="s">
        <v>762</v>
      </c>
      <c r="H308" s="378"/>
      <c r="I308" s="378"/>
      <c r="J308" s="376" t="s">
        <v>168</v>
      </c>
      <c r="K308" s="376" t="s">
        <v>419</v>
      </c>
      <c r="L308" s="376" t="s">
        <v>177</v>
      </c>
      <c r="M308" s="376" t="s">
        <v>201</v>
      </c>
      <c r="N308" s="376" t="s">
        <v>291</v>
      </c>
      <c r="O308" s="379">
        <v>0</v>
      </c>
      <c r="P308" s="460">
        <v>1</v>
      </c>
      <c r="Q308" s="460">
        <v>0</v>
      </c>
      <c r="R308" s="380">
        <v>0</v>
      </c>
      <c r="S308" s="460">
        <v>0</v>
      </c>
      <c r="T308" s="380">
        <v>0</v>
      </c>
      <c r="U308" s="380">
        <v>0</v>
      </c>
      <c r="V308" s="380">
        <v>0</v>
      </c>
      <c r="W308" s="380">
        <v>0</v>
      </c>
      <c r="X308" s="380">
        <v>0</v>
      </c>
      <c r="Y308" s="380">
        <v>0</v>
      </c>
      <c r="Z308" s="380">
        <v>0</v>
      </c>
      <c r="AA308" s="378"/>
      <c r="AB308" s="376" t="s">
        <v>45</v>
      </c>
      <c r="AC308" s="376" t="s">
        <v>45</v>
      </c>
      <c r="AD308" s="378"/>
      <c r="AE308" s="378"/>
      <c r="AF308" s="378"/>
      <c r="AG308" s="378"/>
      <c r="AH308" s="379">
        <v>0</v>
      </c>
      <c r="AI308" s="379">
        <v>0</v>
      </c>
      <c r="AJ308" s="378"/>
      <c r="AK308" s="378"/>
      <c r="AL308" s="376" t="s">
        <v>180</v>
      </c>
      <c r="AM308" s="378"/>
      <c r="AN308" s="378"/>
      <c r="AO308" s="379">
        <v>0</v>
      </c>
      <c r="AP308" s="460">
        <v>0</v>
      </c>
      <c r="AQ308" s="460">
        <v>0</v>
      </c>
      <c r="AR308" s="459"/>
      <c r="AS308" s="462">
        <f t="shared" si="68"/>
        <v>0</v>
      </c>
      <c r="AT308">
        <f t="shared" si="69"/>
        <v>0</v>
      </c>
      <c r="AU308" s="462" t="str">
        <f>IF(AT308=0,"",IF(AND(AT308=1,M308="F",SUMIF(C2:C698,C308,AS2:AS698)&lt;=1),SUMIF(C2:C698,C308,AS2:AS698),IF(AND(AT308=1,M308="F",SUMIF(C2:C698,C308,AS2:AS698)&gt;1),1,"")))</f>
        <v/>
      </c>
      <c r="AV308" s="462" t="str">
        <f>IF(AT308=0,"",IF(AND(AT308=3,M308="F",SUMIF(C2:C698,C308,AS2:AS698)&lt;=1),SUMIF(C2:C698,C308,AS2:AS698),IF(AND(AT308=3,M308="F",SUMIF(C2:C698,C308,AS2:AS698)&gt;1),1,"")))</f>
        <v/>
      </c>
      <c r="AW308" s="462">
        <f>SUMIF(C2:C698,C308,O2:O698)</f>
        <v>0</v>
      </c>
      <c r="AX308" s="462">
        <f>IF(AND(M308="F",AS308&lt;&gt;0),SUMIF(C2:C698,C308,W2:W698),0)</f>
        <v>0</v>
      </c>
      <c r="AY308" s="462" t="str">
        <f t="shared" si="70"/>
        <v/>
      </c>
      <c r="AZ308" s="462" t="str">
        <f t="shared" si="71"/>
        <v/>
      </c>
      <c r="BA308" s="462">
        <f t="shared" si="72"/>
        <v>0</v>
      </c>
      <c r="BB308" s="462">
        <f>IF(AND(AT308=1,AK308="E",AU308&gt;=0.75,AW308=1),Health,IF(AND(AT308=1,AK308="E",AU308&gt;=0.75),Health*P308,IF(AND(AT308=1,AK308="E",AU308&gt;=0.5,AW308=1),PTHealth,IF(AND(AT308=1,AK308="E",AU308&gt;=0.5),PTHealth*P308,0))))</f>
        <v>0</v>
      </c>
      <c r="BC308" s="462">
        <f>IF(AND(AT308=3,AK308="E",AV308&gt;=0.75,AW308=1),Health,IF(AND(AT308=3,AK308="E",AV308&gt;=0.75),Health*P308,IF(AND(AT308=3,AK308="E",AV308&gt;=0.5,AW308=1),PTHealth,IF(AND(AT308=3,AK308="E",AV308&gt;=0.5),PTHealth*P308,0))))</f>
        <v>0</v>
      </c>
      <c r="BD308" s="462">
        <f>IF(AND(AT308&lt;&gt;0,AX308&gt;=MAXSSDI),SSDI*MAXSSDI*P308,IF(AT308&lt;&gt;0,SSDI*W308,0))</f>
        <v>0</v>
      </c>
      <c r="BE308" s="462">
        <f>IF(AT308&lt;&gt;0,SSHI*W308,0)</f>
        <v>0</v>
      </c>
      <c r="BF308" s="462">
        <f>IF(AND(AT308&lt;&gt;0,AN308&lt;&gt;"NE"),VLOOKUP(AN308,Retirement_Rates,3,FALSE)*W308,0)</f>
        <v>0</v>
      </c>
      <c r="BG308" s="462">
        <f>IF(AND(AT308&lt;&gt;0,AJ308&lt;&gt;"PF"),Life*W308,0)</f>
        <v>0</v>
      </c>
      <c r="BH308" s="462">
        <f>IF(AND(AT308&lt;&gt;0,AM308="Y"),UI*W308,0)</f>
        <v>0</v>
      </c>
      <c r="BI308" s="462">
        <f>IF(AND(AT308&lt;&gt;0,N308&lt;&gt;"NR"),DHR*W308,0)</f>
        <v>0</v>
      </c>
      <c r="BJ308" s="462">
        <f>IF(AT308&lt;&gt;0,WC*W308,0)</f>
        <v>0</v>
      </c>
      <c r="BK308" s="462">
        <f>IF(OR(AND(AT308&lt;&gt;0,AJ308&lt;&gt;"PF",AN308&lt;&gt;"NE",AG308&lt;&gt;"A"),AND(AL308="E",OR(AT308=1,AT308=3))),Sick*W308,0)</f>
        <v>0</v>
      </c>
      <c r="BL308" s="462">
        <f t="shared" si="73"/>
        <v>0</v>
      </c>
      <c r="BM308" s="462">
        <f t="shared" si="74"/>
        <v>0</v>
      </c>
      <c r="BN308" s="462">
        <f>IF(AND(AT308=1,AK308="E",AU308&gt;=0.75,AW308=1),HealthBY,IF(AND(AT308=1,AK308="E",AU308&gt;=0.75),HealthBY*P308,IF(AND(AT308=1,AK308="E",AU308&gt;=0.5,AW308=1),PTHealthBY,IF(AND(AT308=1,AK308="E",AU308&gt;=0.5),PTHealthBY*P308,0))))</f>
        <v>0</v>
      </c>
      <c r="BO308" s="462">
        <f>IF(AND(AT308=3,AK308="E",AV308&gt;=0.75,AW308=1),HealthBY,IF(AND(AT308=3,AK308="E",AV308&gt;=0.75),HealthBY*P308,IF(AND(AT308=3,AK308="E",AV308&gt;=0.5,AW308=1),PTHealthBY,IF(AND(AT308=3,AK308="E",AV308&gt;=0.5),PTHealthBY*P308,0))))</f>
        <v>0</v>
      </c>
      <c r="BP308" s="462">
        <f>IF(AND(AT308&lt;&gt;0,(AX308+BA308)&gt;=MAXSSDIBY),SSDIBY*MAXSSDIBY*P308,IF(AT308&lt;&gt;0,SSDIBY*W308,0))</f>
        <v>0</v>
      </c>
      <c r="BQ308" s="462">
        <f>IF(AT308&lt;&gt;0,SSHIBY*W308,0)</f>
        <v>0</v>
      </c>
      <c r="BR308" s="462">
        <f>IF(AND(AT308&lt;&gt;0,AN308&lt;&gt;"NE"),VLOOKUP(AN308,Retirement_Rates,4,FALSE)*W308,0)</f>
        <v>0</v>
      </c>
      <c r="BS308" s="462">
        <f>IF(AND(AT308&lt;&gt;0,AJ308&lt;&gt;"PF"),LifeBY*W308,0)</f>
        <v>0</v>
      </c>
      <c r="BT308" s="462">
        <f>IF(AND(AT308&lt;&gt;0,AM308="Y"),UIBY*W308,0)</f>
        <v>0</v>
      </c>
      <c r="BU308" s="462">
        <f>IF(AND(AT308&lt;&gt;0,N308&lt;&gt;"NR"),DHRBY*W308,0)</f>
        <v>0</v>
      </c>
      <c r="BV308" s="462">
        <f>IF(AT308&lt;&gt;0,WCBY*W308,0)</f>
        <v>0</v>
      </c>
      <c r="BW308" s="462">
        <f>IF(OR(AND(AT308&lt;&gt;0,AJ308&lt;&gt;"PF",AN308&lt;&gt;"NE",AG308&lt;&gt;"A"),AND(AL308="E",OR(AT308=1,AT308=3))),SickBY*W308,0)</f>
        <v>0</v>
      </c>
      <c r="BX308" s="462">
        <f t="shared" si="75"/>
        <v>0</v>
      </c>
      <c r="BY308" s="462">
        <f t="shared" si="76"/>
        <v>0</v>
      </c>
      <c r="BZ308" s="462">
        <f t="shared" si="77"/>
        <v>0</v>
      </c>
      <c r="CA308" s="462">
        <f t="shared" si="78"/>
        <v>0</v>
      </c>
      <c r="CB308" s="462">
        <f t="shared" si="79"/>
        <v>0</v>
      </c>
      <c r="CC308" s="462">
        <f>IF(AT308&lt;&gt;0,SSHICHG*Y308,0)</f>
        <v>0</v>
      </c>
      <c r="CD308" s="462">
        <f>IF(AND(AT308&lt;&gt;0,AN308&lt;&gt;"NE"),VLOOKUP(AN308,Retirement_Rates,5,FALSE)*Y308,0)</f>
        <v>0</v>
      </c>
      <c r="CE308" s="462">
        <f>IF(AND(AT308&lt;&gt;0,AJ308&lt;&gt;"PF"),LifeCHG*Y308,0)</f>
        <v>0</v>
      </c>
      <c r="CF308" s="462">
        <f>IF(AND(AT308&lt;&gt;0,AM308="Y"),UICHG*Y308,0)</f>
        <v>0</v>
      </c>
      <c r="CG308" s="462">
        <f>IF(AND(AT308&lt;&gt;0,N308&lt;&gt;"NR"),DHRCHG*Y308,0)</f>
        <v>0</v>
      </c>
      <c r="CH308" s="462">
        <f>IF(AT308&lt;&gt;0,WCCHG*Y308,0)</f>
        <v>0</v>
      </c>
      <c r="CI308" s="462">
        <f>IF(OR(AND(AT308&lt;&gt;0,AJ308&lt;&gt;"PF",AN308&lt;&gt;"NE",AG308&lt;&gt;"A"),AND(AL308="E",OR(AT308=1,AT308=3))),SickCHG*Y308,0)</f>
        <v>0</v>
      </c>
      <c r="CJ308" s="462">
        <f t="shared" si="80"/>
        <v>0</v>
      </c>
      <c r="CK308" s="462" t="str">
        <f t="shared" si="81"/>
        <v/>
      </c>
      <c r="CL308" s="462">
        <f t="shared" si="82"/>
        <v>0</v>
      </c>
      <c r="CM308" s="462">
        <f t="shared" si="83"/>
        <v>0</v>
      </c>
      <c r="CN308" s="462" t="str">
        <f t="shared" si="84"/>
        <v>0330-01</v>
      </c>
    </row>
    <row r="309" spans="1:92" ht="15" thickBot="1" x14ac:dyDescent="0.35">
      <c r="A309" s="376" t="s">
        <v>161</v>
      </c>
      <c r="B309" s="376" t="s">
        <v>162</v>
      </c>
      <c r="C309" s="376" t="s">
        <v>853</v>
      </c>
      <c r="D309" s="376" t="s">
        <v>250</v>
      </c>
      <c r="E309" s="376" t="s">
        <v>931</v>
      </c>
      <c r="F309" s="382" t="s">
        <v>289</v>
      </c>
      <c r="G309" s="376" t="s">
        <v>762</v>
      </c>
      <c r="H309" s="378"/>
      <c r="I309" s="378"/>
      <c r="J309" s="376" t="s">
        <v>185</v>
      </c>
      <c r="K309" s="376" t="s">
        <v>251</v>
      </c>
      <c r="L309" s="376" t="s">
        <v>180</v>
      </c>
      <c r="M309" s="376" t="s">
        <v>170</v>
      </c>
      <c r="N309" s="376" t="s">
        <v>202</v>
      </c>
      <c r="O309" s="379">
        <v>1</v>
      </c>
      <c r="P309" s="460">
        <v>0.9</v>
      </c>
      <c r="Q309" s="460">
        <v>0.9</v>
      </c>
      <c r="R309" s="380">
        <v>80</v>
      </c>
      <c r="S309" s="460">
        <v>0.9</v>
      </c>
      <c r="T309" s="380">
        <v>24252.29</v>
      </c>
      <c r="U309" s="380">
        <v>0</v>
      </c>
      <c r="V309" s="380">
        <v>9473.06</v>
      </c>
      <c r="W309" s="380">
        <v>64041.120000000003</v>
      </c>
      <c r="X309" s="380">
        <v>24981.95</v>
      </c>
      <c r="Y309" s="380">
        <v>64041.120000000003</v>
      </c>
      <c r="Z309" s="380">
        <v>24815.45</v>
      </c>
      <c r="AA309" s="376" t="s">
        <v>854</v>
      </c>
      <c r="AB309" s="376" t="s">
        <v>855</v>
      </c>
      <c r="AC309" s="376" t="s">
        <v>682</v>
      </c>
      <c r="AD309" s="376" t="s">
        <v>856</v>
      </c>
      <c r="AE309" s="376" t="s">
        <v>251</v>
      </c>
      <c r="AF309" s="376" t="s">
        <v>256</v>
      </c>
      <c r="AG309" s="376" t="s">
        <v>177</v>
      </c>
      <c r="AH309" s="381">
        <v>34.21</v>
      </c>
      <c r="AI309" s="381">
        <v>65239.6</v>
      </c>
      <c r="AJ309" s="376" t="s">
        <v>178</v>
      </c>
      <c r="AK309" s="376" t="s">
        <v>179</v>
      </c>
      <c r="AL309" s="376" t="s">
        <v>180</v>
      </c>
      <c r="AM309" s="376" t="s">
        <v>181</v>
      </c>
      <c r="AN309" s="376" t="s">
        <v>68</v>
      </c>
      <c r="AO309" s="379">
        <v>80</v>
      </c>
      <c r="AP309" s="460">
        <v>1</v>
      </c>
      <c r="AQ309" s="460">
        <v>0.9</v>
      </c>
      <c r="AR309" s="458" t="s">
        <v>182</v>
      </c>
      <c r="AS309" s="462">
        <f t="shared" si="68"/>
        <v>0.9</v>
      </c>
      <c r="AT309">
        <f t="shared" si="69"/>
        <v>1</v>
      </c>
      <c r="AU309" s="462">
        <f>IF(AT309=0,"",IF(AND(AT309=1,M309="F",SUMIF(C2:C698,C309,AS2:AS698)&lt;=1),SUMIF(C2:C698,C309,AS2:AS698),IF(AND(AT309=1,M309="F",SUMIF(C2:C698,C309,AS2:AS698)&gt;1),1,"")))</f>
        <v>1</v>
      </c>
      <c r="AV309" s="462" t="str">
        <f>IF(AT309=0,"",IF(AND(AT309=3,M309="F",SUMIF(C2:C698,C309,AS2:AS698)&lt;=1),SUMIF(C2:C698,C309,AS2:AS698),IF(AND(AT309=3,M309="F",SUMIF(C2:C698,C309,AS2:AS698)&gt;1),1,"")))</f>
        <v/>
      </c>
      <c r="AW309" s="462">
        <f>SUMIF(C2:C698,C309,O2:O698)</f>
        <v>3</v>
      </c>
      <c r="AX309" s="462">
        <f>IF(AND(M309="F",AS309&lt;&gt;0),SUMIF(C2:C698,C309,W2:W698),0)</f>
        <v>71156.800000000003</v>
      </c>
      <c r="AY309" s="462">
        <f t="shared" si="70"/>
        <v>64041.120000000003</v>
      </c>
      <c r="AZ309" s="462" t="str">
        <f t="shared" si="71"/>
        <v/>
      </c>
      <c r="BA309" s="462">
        <f t="shared" si="72"/>
        <v>0</v>
      </c>
      <c r="BB309" s="462">
        <f>IF(AND(AT309=1,AK309="E",AU309&gt;=0.75,AW309=1),Health,IF(AND(AT309=1,AK309="E",AU309&gt;=0.75),Health*P309,IF(AND(AT309=1,AK309="E",AU309&gt;=0.5,AW309=1),PTHealth,IF(AND(AT309=1,AK309="E",AU309&gt;=0.5),PTHealth*P309,0))))</f>
        <v>10485</v>
      </c>
      <c r="BC309" s="462">
        <f>IF(AND(AT309=3,AK309="E",AV309&gt;=0.75,AW309=1),Health,IF(AND(AT309=3,AK309="E",AV309&gt;=0.75),Health*P309,IF(AND(AT309=3,AK309="E",AV309&gt;=0.5,AW309=1),PTHealth,IF(AND(AT309=3,AK309="E",AV309&gt;=0.5),PTHealth*P309,0))))</f>
        <v>0</v>
      </c>
      <c r="BD309" s="462">
        <f>IF(AND(AT309&lt;&gt;0,AX309&gt;=MAXSSDI),SSDI*MAXSSDI*P309,IF(AT309&lt;&gt;0,SSDI*W309,0))</f>
        <v>3970.5494400000002</v>
      </c>
      <c r="BE309" s="462">
        <f>IF(AT309&lt;&gt;0,SSHI*W309,0)</f>
        <v>928.59624000000008</v>
      </c>
      <c r="BF309" s="462">
        <f>IF(AND(AT309&lt;&gt;0,AN309&lt;&gt;"NE"),VLOOKUP(AN309,Retirement_Rates,3,FALSE)*W309,0)</f>
        <v>7646.5097280000009</v>
      </c>
      <c r="BG309" s="462">
        <f>IF(AND(AT309&lt;&gt;0,AJ309&lt;&gt;"PF"),Life*W309,0)</f>
        <v>461.73647520000003</v>
      </c>
      <c r="BH309" s="462">
        <f>IF(AND(AT309&lt;&gt;0,AM309="Y"),UI*W309,0)</f>
        <v>313.80148800000001</v>
      </c>
      <c r="BI309" s="462">
        <f>IF(AND(AT309&lt;&gt;0,N309&lt;&gt;"NR"),DHR*W309,0)</f>
        <v>195.96582720000001</v>
      </c>
      <c r="BJ309" s="462">
        <f>IF(AT309&lt;&gt;0,WC*W309,0)</f>
        <v>979.82913599999995</v>
      </c>
      <c r="BK309" s="462">
        <f>IF(OR(AND(AT309&lt;&gt;0,AJ309&lt;&gt;"PF",AN309&lt;&gt;"NE",AG309&lt;&gt;"A"),AND(AL309="E",OR(AT309=1,AT309=3))),Sick*W309,0)</f>
        <v>0</v>
      </c>
      <c r="BL309" s="462">
        <f t="shared" si="73"/>
        <v>14496.988334400001</v>
      </c>
      <c r="BM309" s="462">
        <f t="shared" si="74"/>
        <v>0</v>
      </c>
      <c r="BN309" s="462">
        <f>IF(AND(AT309=1,AK309="E",AU309&gt;=0.75,AW309=1),HealthBY,IF(AND(AT309=1,AK309="E",AU309&gt;=0.75),HealthBY*P309,IF(AND(AT309=1,AK309="E",AU309&gt;=0.5,AW309=1),PTHealthBY,IF(AND(AT309=1,AK309="E",AU309&gt;=0.5),PTHealthBY*P309,0))))</f>
        <v>10485</v>
      </c>
      <c r="BO309" s="462">
        <f>IF(AND(AT309=3,AK309="E",AV309&gt;=0.75,AW309=1),HealthBY,IF(AND(AT309=3,AK309="E",AV309&gt;=0.75),HealthBY*P309,IF(AND(AT309=3,AK309="E",AV309&gt;=0.5,AW309=1),PTHealthBY,IF(AND(AT309=3,AK309="E",AV309&gt;=0.5),PTHealthBY*P309,0))))</f>
        <v>0</v>
      </c>
      <c r="BP309" s="462">
        <f>IF(AND(AT309&lt;&gt;0,(AX309+BA309)&gt;=MAXSSDIBY),SSDIBY*MAXSSDIBY*P309,IF(AT309&lt;&gt;0,SSDIBY*W309,0))</f>
        <v>3970.5494400000002</v>
      </c>
      <c r="BQ309" s="462">
        <f>IF(AT309&lt;&gt;0,SSHIBY*W309,0)</f>
        <v>928.59624000000008</v>
      </c>
      <c r="BR309" s="462">
        <f>IF(AND(AT309&lt;&gt;0,AN309&lt;&gt;"NE"),VLOOKUP(AN309,Retirement_Rates,4,FALSE)*W309,0)</f>
        <v>7646.5097280000009</v>
      </c>
      <c r="BS309" s="462">
        <f>IF(AND(AT309&lt;&gt;0,AJ309&lt;&gt;"PF"),LifeBY*W309,0)</f>
        <v>461.73647520000003</v>
      </c>
      <c r="BT309" s="462">
        <f>IF(AND(AT309&lt;&gt;0,AM309="Y"),UIBY*W309,0)</f>
        <v>0</v>
      </c>
      <c r="BU309" s="462">
        <f>IF(AND(AT309&lt;&gt;0,N309&lt;&gt;"NR"),DHRBY*W309,0)</f>
        <v>195.96582720000001</v>
      </c>
      <c r="BV309" s="462">
        <f>IF(AT309&lt;&gt;0,WCBY*W309,0)</f>
        <v>1127.1237120000001</v>
      </c>
      <c r="BW309" s="462">
        <f>IF(OR(AND(AT309&lt;&gt;0,AJ309&lt;&gt;"PF",AN309&lt;&gt;"NE",AG309&lt;&gt;"A"),AND(AL309="E",OR(AT309=1,AT309=3))),SickBY*W309,0)</f>
        <v>0</v>
      </c>
      <c r="BX309" s="462">
        <f t="shared" si="75"/>
        <v>14330.481422400002</v>
      </c>
      <c r="BY309" s="462">
        <f t="shared" si="76"/>
        <v>0</v>
      </c>
      <c r="BZ309" s="462">
        <f t="shared" si="77"/>
        <v>0</v>
      </c>
      <c r="CA309" s="462">
        <f t="shared" si="78"/>
        <v>0</v>
      </c>
      <c r="CB309" s="462">
        <f t="shared" si="79"/>
        <v>0</v>
      </c>
      <c r="CC309" s="462">
        <f>IF(AT309&lt;&gt;0,SSHICHG*Y309,0)</f>
        <v>0</v>
      </c>
      <c r="CD309" s="462">
        <f>IF(AND(AT309&lt;&gt;0,AN309&lt;&gt;"NE"),VLOOKUP(AN309,Retirement_Rates,5,FALSE)*Y309,0)</f>
        <v>0</v>
      </c>
      <c r="CE309" s="462">
        <f>IF(AND(AT309&lt;&gt;0,AJ309&lt;&gt;"PF"),LifeCHG*Y309,0)</f>
        <v>0</v>
      </c>
      <c r="CF309" s="462">
        <f>IF(AND(AT309&lt;&gt;0,AM309="Y"),UICHG*Y309,0)</f>
        <v>-313.80148800000001</v>
      </c>
      <c r="CG309" s="462">
        <f>IF(AND(AT309&lt;&gt;0,N309&lt;&gt;"NR"),DHRCHG*Y309,0)</f>
        <v>0</v>
      </c>
      <c r="CH309" s="462">
        <f>IF(AT309&lt;&gt;0,WCCHG*Y309,0)</f>
        <v>147.29457600000012</v>
      </c>
      <c r="CI309" s="462">
        <f>IF(OR(AND(AT309&lt;&gt;0,AJ309&lt;&gt;"PF",AN309&lt;&gt;"NE",AG309&lt;&gt;"A"),AND(AL309="E",OR(AT309=1,AT309=3))),SickCHG*Y309,0)</f>
        <v>0</v>
      </c>
      <c r="CJ309" s="462">
        <f t="shared" si="80"/>
        <v>-166.50691199999989</v>
      </c>
      <c r="CK309" s="462" t="str">
        <f t="shared" si="81"/>
        <v/>
      </c>
      <c r="CL309" s="462" t="str">
        <f t="shared" si="82"/>
        <v/>
      </c>
      <c r="CM309" s="462" t="str">
        <f t="shared" si="83"/>
        <v/>
      </c>
      <c r="CN309" s="462" t="str">
        <f t="shared" si="84"/>
        <v>0330-01</v>
      </c>
    </row>
    <row r="310" spans="1:92" ht="15" thickBot="1" x14ac:dyDescent="0.35">
      <c r="A310" s="376" t="s">
        <v>161</v>
      </c>
      <c r="B310" s="376" t="s">
        <v>162</v>
      </c>
      <c r="C310" s="376" t="s">
        <v>876</v>
      </c>
      <c r="D310" s="376" t="s">
        <v>362</v>
      </c>
      <c r="E310" s="376" t="s">
        <v>931</v>
      </c>
      <c r="F310" s="382" t="s">
        <v>289</v>
      </c>
      <c r="G310" s="376" t="s">
        <v>762</v>
      </c>
      <c r="H310" s="378"/>
      <c r="I310" s="378"/>
      <c r="J310" s="376" t="s">
        <v>877</v>
      </c>
      <c r="K310" s="376" t="s">
        <v>363</v>
      </c>
      <c r="L310" s="376" t="s">
        <v>200</v>
      </c>
      <c r="M310" s="376" t="s">
        <v>170</v>
      </c>
      <c r="N310" s="376" t="s">
        <v>202</v>
      </c>
      <c r="O310" s="379">
        <v>1</v>
      </c>
      <c r="P310" s="460">
        <v>0.45</v>
      </c>
      <c r="Q310" s="460">
        <v>0.45</v>
      </c>
      <c r="R310" s="380">
        <v>80</v>
      </c>
      <c r="S310" s="460">
        <v>0.45</v>
      </c>
      <c r="T310" s="380">
        <v>26118.79</v>
      </c>
      <c r="U310" s="380">
        <v>0</v>
      </c>
      <c r="V310" s="380">
        <v>11896.79</v>
      </c>
      <c r="W310" s="380">
        <v>22847.759999999998</v>
      </c>
      <c r="X310" s="380">
        <v>10414.530000000001</v>
      </c>
      <c r="Y310" s="380">
        <v>22847.759999999998</v>
      </c>
      <c r="Z310" s="380">
        <v>10355.129999999999</v>
      </c>
      <c r="AA310" s="376" t="s">
        <v>878</v>
      </c>
      <c r="AB310" s="376" t="s">
        <v>879</v>
      </c>
      <c r="AC310" s="376" t="s">
        <v>880</v>
      </c>
      <c r="AD310" s="376" t="s">
        <v>881</v>
      </c>
      <c r="AE310" s="376" t="s">
        <v>363</v>
      </c>
      <c r="AF310" s="376" t="s">
        <v>210</v>
      </c>
      <c r="AG310" s="376" t="s">
        <v>177</v>
      </c>
      <c r="AH310" s="381">
        <v>24.41</v>
      </c>
      <c r="AI310" s="379">
        <v>38438</v>
      </c>
      <c r="AJ310" s="376" t="s">
        <v>178</v>
      </c>
      <c r="AK310" s="376" t="s">
        <v>179</v>
      </c>
      <c r="AL310" s="376" t="s">
        <v>180</v>
      </c>
      <c r="AM310" s="376" t="s">
        <v>181</v>
      </c>
      <c r="AN310" s="376" t="s">
        <v>68</v>
      </c>
      <c r="AO310" s="379">
        <v>80</v>
      </c>
      <c r="AP310" s="460">
        <v>1</v>
      </c>
      <c r="AQ310" s="460">
        <v>0.45</v>
      </c>
      <c r="AR310" s="458" t="s">
        <v>182</v>
      </c>
      <c r="AS310" s="462">
        <f t="shared" si="68"/>
        <v>0.45</v>
      </c>
      <c r="AT310">
        <f t="shared" si="69"/>
        <v>1</v>
      </c>
      <c r="AU310" s="462">
        <f>IF(AT310=0,"",IF(AND(AT310=1,M310="F",SUMIF(C2:C698,C310,AS2:AS698)&lt;=1),SUMIF(C2:C698,C310,AS2:AS698),IF(AND(AT310=1,M310="F",SUMIF(C2:C698,C310,AS2:AS698)&gt;1),1,"")))</f>
        <v>1</v>
      </c>
      <c r="AV310" s="462" t="str">
        <f>IF(AT310=0,"",IF(AND(AT310=3,M310="F",SUMIF(C2:C698,C310,AS2:AS698)&lt;=1),SUMIF(C2:C698,C310,AS2:AS698),IF(AND(AT310=3,M310="F",SUMIF(C2:C698,C310,AS2:AS698)&gt;1),1,"")))</f>
        <v/>
      </c>
      <c r="AW310" s="462">
        <f>SUMIF(C2:C698,C310,O2:O698)</f>
        <v>8</v>
      </c>
      <c r="AX310" s="462">
        <f>IF(AND(M310="F",AS310&lt;&gt;0),SUMIF(C2:C698,C310,W2:W698),0)</f>
        <v>50772.800000000003</v>
      </c>
      <c r="AY310" s="462">
        <f t="shared" si="70"/>
        <v>22847.759999999998</v>
      </c>
      <c r="AZ310" s="462" t="str">
        <f t="shared" si="71"/>
        <v/>
      </c>
      <c r="BA310" s="462">
        <f t="shared" si="72"/>
        <v>0</v>
      </c>
      <c r="BB310" s="462">
        <f>IF(AND(AT310=1,AK310="E",AU310&gt;=0.75,AW310=1),Health,IF(AND(AT310=1,AK310="E",AU310&gt;=0.75),Health*P310,IF(AND(AT310=1,AK310="E",AU310&gt;=0.5,AW310=1),PTHealth,IF(AND(AT310=1,AK310="E",AU310&gt;=0.5),PTHealth*P310,0))))</f>
        <v>5242.5</v>
      </c>
      <c r="BC310" s="462">
        <f>IF(AND(AT310=3,AK310="E",AV310&gt;=0.75,AW310=1),Health,IF(AND(AT310=3,AK310="E",AV310&gt;=0.75),Health*P310,IF(AND(AT310=3,AK310="E",AV310&gt;=0.5,AW310=1),PTHealth,IF(AND(AT310=3,AK310="E",AV310&gt;=0.5),PTHealth*P310,0))))</f>
        <v>0</v>
      </c>
      <c r="BD310" s="462">
        <f>IF(AND(AT310&lt;&gt;0,AX310&gt;=MAXSSDI),SSDI*MAXSSDI*P310,IF(AT310&lt;&gt;0,SSDI*W310,0))</f>
        <v>1416.5611199999998</v>
      </c>
      <c r="BE310" s="462">
        <f>IF(AT310&lt;&gt;0,SSHI*W310,0)</f>
        <v>331.29251999999997</v>
      </c>
      <c r="BF310" s="462">
        <f>IF(AND(AT310&lt;&gt;0,AN310&lt;&gt;"NE"),VLOOKUP(AN310,Retirement_Rates,3,FALSE)*W310,0)</f>
        <v>2728.0225439999999</v>
      </c>
      <c r="BG310" s="462">
        <f>IF(AND(AT310&lt;&gt;0,AJ310&lt;&gt;"PF"),Life*W310,0)</f>
        <v>164.73234959999999</v>
      </c>
      <c r="BH310" s="462">
        <f>IF(AND(AT310&lt;&gt;0,AM310="Y"),UI*W310,0)</f>
        <v>111.95402399999999</v>
      </c>
      <c r="BI310" s="462">
        <f>IF(AND(AT310&lt;&gt;0,N310&lt;&gt;"NR"),DHR*W310,0)</f>
        <v>69.914145599999983</v>
      </c>
      <c r="BJ310" s="462">
        <f>IF(AT310&lt;&gt;0,WC*W310,0)</f>
        <v>349.57072799999997</v>
      </c>
      <c r="BK310" s="462">
        <f>IF(OR(AND(AT310&lt;&gt;0,AJ310&lt;&gt;"PF",AN310&lt;&gt;"NE",AG310&lt;&gt;"A"),AND(AL310="E",OR(AT310=1,AT310=3))),Sick*W310,0)</f>
        <v>0</v>
      </c>
      <c r="BL310" s="462">
        <f t="shared" si="73"/>
        <v>5172.0474311999988</v>
      </c>
      <c r="BM310" s="462">
        <f t="shared" si="74"/>
        <v>0</v>
      </c>
      <c r="BN310" s="462">
        <f>IF(AND(AT310=1,AK310="E",AU310&gt;=0.75,AW310=1),HealthBY,IF(AND(AT310=1,AK310="E",AU310&gt;=0.75),HealthBY*P310,IF(AND(AT310=1,AK310="E",AU310&gt;=0.5,AW310=1),PTHealthBY,IF(AND(AT310=1,AK310="E",AU310&gt;=0.5),PTHealthBY*P310,0))))</f>
        <v>5242.5</v>
      </c>
      <c r="BO310" s="462">
        <f>IF(AND(AT310=3,AK310="E",AV310&gt;=0.75,AW310=1),HealthBY,IF(AND(AT310=3,AK310="E",AV310&gt;=0.75),HealthBY*P310,IF(AND(AT310=3,AK310="E",AV310&gt;=0.5,AW310=1),PTHealthBY,IF(AND(AT310=3,AK310="E",AV310&gt;=0.5),PTHealthBY*P310,0))))</f>
        <v>0</v>
      </c>
      <c r="BP310" s="462">
        <f>IF(AND(AT310&lt;&gt;0,(AX310+BA310)&gt;=MAXSSDIBY),SSDIBY*MAXSSDIBY*P310,IF(AT310&lt;&gt;0,SSDIBY*W310,0))</f>
        <v>1416.5611199999998</v>
      </c>
      <c r="BQ310" s="462">
        <f>IF(AT310&lt;&gt;0,SSHIBY*W310,0)</f>
        <v>331.29251999999997</v>
      </c>
      <c r="BR310" s="462">
        <f>IF(AND(AT310&lt;&gt;0,AN310&lt;&gt;"NE"),VLOOKUP(AN310,Retirement_Rates,4,FALSE)*W310,0)</f>
        <v>2728.0225439999999</v>
      </c>
      <c r="BS310" s="462">
        <f>IF(AND(AT310&lt;&gt;0,AJ310&lt;&gt;"PF"),LifeBY*W310,0)</f>
        <v>164.73234959999999</v>
      </c>
      <c r="BT310" s="462">
        <f>IF(AND(AT310&lt;&gt;0,AM310="Y"),UIBY*W310,0)</f>
        <v>0</v>
      </c>
      <c r="BU310" s="462">
        <f>IF(AND(AT310&lt;&gt;0,N310&lt;&gt;"NR"),DHRBY*W310,0)</f>
        <v>69.914145599999983</v>
      </c>
      <c r="BV310" s="462">
        <f>IF(AT310&lt;&gt;0,WCBY*W310,0)</f>
        <v>402.12057599999997</v>
      </c>
      <c r="BW310" s="462">
        <f>IF(OR(AND(AT310&lt;&gt;0,AJ310&lt;&gt;"PF",AN310&lt;&gt;"NE",AG310&lt;&gt;"A"),AND(AL310="E",OR(AT310=1,AT310=3))),SickBY*W310,0)</f>
        <v>0</v>
      </c>
      <c r="BX310" s="462">
        <f t="shared" si="75"/>
        <v>5112.6432551999997</v>
      </c>
      <c r="BY310" s="462">
        <f t="shared" si="76"/>
        <v>0</v>
      </c>
      <c r="BZ310" s="462">
        <f t="shared" si="77"/>
        <v>0</v>
      </c>
      <c r="CA310" s="462">
        <f t="shared" si="78"/>
        <v>0</v>
      </c>
      <c r="CB310" s="462">
        <f t="shared" si="79"/>
        <v>0</v>
      </c>
      <c r="CC310" s="462">
        <f>IF(AT310&lt;&gt;0,SSHICHG*Y310,0)</f>
        <v>0</v>
      </c>
      <c r="CD310" s="462">
        <f>IF(AND(AT310&lt;&gt;0,AN310&lt;&gt;"NE"),VLOOKUP(AN310,Retirement_Rates,5,FALSE)*Y310,0)</f>
        <v>0</v>
      </c>
      <c r="CE310" s="462">
        <f>IF(AND(AT310&lt;&gt;0,AJ310&lt;&gt;"PF"),LifeCHG*Y310,0)</f>
        <v>0</v>
      </c>
      <c r="CF310" s="462">
        <f>IF(AND(AT310&lt;&gt;0,AM310="Y"),UICHG*Y310,0)</f>
        <v>-111.95402399999999</v>
      </c>
      <c r="CG310" s="462">
        <f>IF(AND(AT310&lt;&gt;0,N310&lt;&gt;"NR"),DHRCHG*Y310,0)</f>
        <v>0</v>
      </c>
      <c r="CH310" s="462">
        <f>IF(AT310&lt;&gt;0,WCCHG*Y310,0)</f>
        <v>52.549848000000033</v>
      </c>
      <c r="CI310" s="462">
        <f>IF(OR(AND(AT310&lt;&gt;0,AJ310&lt;&gt;"PF",AN310&lt;&gt;"NE",AG310&lt;&gt;"A"),AND(AL310="E",OR(AT310=1,AT310=3))),SickCHG*Y310,0)</f>
        <v>0</v>
      </c>
      <c r="CJ310" s="462">
        <f t="shared" si="80"/>
        <v>-59.404175999999957</v>
      </c>
      <c r="CK310" s="462" t="str">
        <f t="shared" si="81"/>
        <v/>
      </c>
      <c r="CL310" s="462" t="str">
        <f t="shared" si="82"/>
        <v/>
      </c>
      <c r="CM310" s="462" t="str">
        <f t="shared" si="83"/>
        <v/>
      </c>
      <c r="CN310" s="462" t="str">
        <f t="shared" si="84"/>
        <v>0330-01</v>
      </c>
    </row>
    <row r="311" spans="1:92" ht="15" thickBot="1" x14ac:dyDescent="0.35">
      <c r="A311" s="376" t="s">
        <v>161</v>
      </c>
      <c r="B311" s="376" t="s">
        <v>162</v>
      </c>
      <c r="C311" s="376" t="s">
        <v>950</v>
      </c>
      <c r="D311" s="376" t="s">
        <v>937</v>
      </c>
      <c r="E311" s="376" t="s">
        <v>931</v>
      </c>
      <c r="F311" s="382" t="s">
        <v>289</v>
      </c>
      <c r="G311" s="376" t="s">
        <v>762</v>
      </c>
      <c r="H311" s="378"/>
      <c r="I311" s="378"/>
      <c r="J311" s="376" t="s">
        <v>168</v>
      </c>
      <c r="K311" s="376" t="s">
        <v>938</v>
      </c>
      <c r="L311" s="376" t="s">
        <v>166</v>
      </c>
      <c r="M311" s="376" t="s">
        <v>201</v>
      </c>
      <c r="N311" s="376" t="s">
        <v>291</v>
      </c>
      <c r="O311" s="379">
        <v>0</v>
      </c>
      <c r="P311" s="460">
        <v>1</v>
      </c>
      <c r="Q311" s="460">
        <v>0</v>
      </c>
      <c r="R311" s="380">
        <v>0</v>
      </c>
      <c r="S311" s="460">
        <v>0</v>
      </c>
      <c r="T311" s="380">
        <v>0</v>
      </c>
      <c r="U311" s="380">
        <v>0</v>
      </c>
      <c r="V311" s="380">
        <v>0</v>
      </c>
      <c r="W311" s="380">
        <v>0</v>
      </c>
      <c r="X311" s="380">
        <v>0</v>
      </c>
      <c r="Y311" s="380">
        <v>0</v>
      </c>
      <c r="Z311" s="380">
        <v>0</v>
      </c>
      <c r="AA311" s="378"/>
      <c r="AB311" s="376" t="s">
        <v>45</v>
      </c>
      <c r="AC311" s="376" t="s">
        <v>45</v>
      </c>
      <c r="AD311" s="378"/>
      <c r="AE311" s="378"/>
      <c r="AF311" s="378"/>
      <c r="AG311" s="378"/>
      <c r="AH311" s="379">
        <v>0</v>
      </c>
      <c r="AI311" s="379">
        <v>0</v>
      </c>
      <c r="AJ311" s="378"/>
      <c r="AK311" s="378"/>
      <c r="AL311" s="376" t="s">
        <v>180</v>
      </c>
      <c r="AM311" s="378"/>
      <c r="AN311" s="378"/>
      <c r="AO311" s="379">
        <v>0</v>
      </c>
      <c r="AP311" s="460">
        <v>0</v>
      </c>
      <c r="AQ311" s="460">
        <v>0</v>
      </c>
      <c r="AR311" s="459"/>
      <c r="AS311" s="462">
        <f t="shared" si="68"/>
        <v>0</v>
      </c>
      <c r="AT311">
        <f t="shared" si="69"/>
        <v>0</v>
      </c>
      <c r="AU311" s="462" t="str">
        <f>IF(AT311=0,"",IF(AND(AT311=1,M311="F",SUMIF(C2:C698,C311,AS2:AS698)&lt;=1),SUMIF(C2:C698,C311,AS2:AS698),IF(AND(AT311=1,M311="F",SUMIF(C2:C698,C311,AS2:AS698)&gt;1),1,"")))</f>
        <v/>
      </c>
      <c r="AV311" s="462" t="str">
        <f>IF(AT311=0,"",IF(AND(AT311=3,M311="F",SUMIF(C2:C698,C311,AS2:AS698)&lt;=1),SUMIF(C2:C698,C311,AS2:AS698),IF(AND(AT311=3,M311="F",SUMIF(C2:C698,C311,AS2:AS698)&gt;1),1,"")))</f>
        <v/>
      </c>
      <c r="AW311" s="462">
        <f>SUMIF(C2:C698,C311,O2:O698)</f>
        <v>0</v>
      </c>
      <c r="AX311" s="462">
        <f>IF(AND(M311="F",AS311&lt;&gt;0),SUMIF(C2:C698,C311,W2:W698),0)</f>
        <v>0</v>
      </c>
      <c r="AY311" s="462" t="str">
        <f t="shared" si="70"/>
        <v/>
      </c>
      <c r="AZ311" s="462" t="str">
        <f t="shared" si="71"/>
        <v/>
      </c>
      <c r="BA311" s="462">
        <f t="shared" si="72"/>
        <v>0</v>
      </c>
      <c r="BB311" s="462">
        <f>IF(AND(AT311=1,AK311="E",AU311&gt;=0.75,AW311=1),Health,IF(AND(AT311=1,AK311="E",AU311&gt;=0.75),Health*P311,IF(AND(AT311=1,AK311="E",AU311&gt;=0.5,AW311=1),PTHealth,IF(AND(AT311=1,AK311="E",AU311&gt;=0.5),PTHealth*P311,0))))</f>
        <v>0</v>
      </c>
      <c r="BC311" s="462">
        <f>IF(AND(AT311=3,AK311="E",AV311&gt;=0.75,AW311=1),Health,IF(AND(AT311=3,AK311="E",AV311&gt;=0.75),Health*P311,IF(AND(AT311=3,AK311="E",AV311&gt;=0.5,AW311=1),PTHealth,IF(AND(AT311=3,AK311="E",AV311&gt;=0.5),PTHealth*P311,0))))</f>
        <v>0</v>
      </c>
      <c r="BD311" s="462">
        <f>IF(AND(AT311&lt;&gt;0,AX311&gt;=MAXSSDI),SSDI*MAXSSDI*P311,IF(AT311&lt;&gt;0,SSDI*W311,0))</f>
        <v>0</v>
      </c>
      <c r="BE311" s="462">
        <f>IF(AT311&lt;&gt;0,SSHI*W311,0)</f>
        <v>0</v>
      </c>
      <c r="BF311" s="462">
        <f>IF(AND(AT311&lt;&gt;0,AN311&lt;&gt;"NE"),VLOOKUP(AN311,Retirement_Rates,3,FALSE)*W311,0)</f>
        <v>0</v>
      </c>
      <c r="BG311" s="462">
        <f>IF(AND(AT311&lt;&gt;0,AJ311&lt;&gt;"PF"),Life*W311,0)</f>
        <v>0</v>
      </c>
      <c r="BH311" s="462">
        <f>IF(AND(AT311&lt;&gt;0,AM311="Y"),UI*W311,0)</f>
        <v>0</v>
      </c>
      <c r="BI311" s="462">
        <f>IF(AND(AT311&lt;&gt;0,N311&lt;&gt;"NR"),DHR*W311,0)</f>
        <v>0</v>
      </c>
      <c r="BJ311" s="462">
        <f>IF(AT311&lt;&gt;0,WC*W311,0)</f>
        <v>0</v>
      </c>
      <c r="BK311" s="462">
        <f>IF(OR(AND(AT311&lt;&gt;0,AJ311&lt;&gt;"PF",AN311&lt;&gt;"NE",AG311&lt;&gt;"A"),AND(AL311="E",OR(AT311=1,AT311=3))),Sick*W311,0)</f>
        <v>0</v>
      </c>
      <c r="BL311" s="462">
        <f t="shared" si="73"/>
        <v>0</v>
      </c>
      <c r="BM311" s="462">
        <f t="shared" si="74"/>
        <v>0</v>
      </c>
      <c r="BN311" s="462">
        <f>IF(AND(AT311=1,AK311="E",AU311&gt;=0.75,AW311=1),HealthBY,IF(AND(AT311=1,AK311="E",AU311&gt;=0.75),HealthBY*P311,IF(AND(AT311=1,AK311="E",AU311&gt;=0.5,AW311=1),PTHealthBY,IF(AND(AT311=1,AK311="E",AU311&gt;=0.5),PTHealthBY*P311,0))))</f>
        <v>0</v>
      </c>
      <c r="BO311" s="462">
        <f>IF(AND(AT311=3,AK311="E",AV311&gt;=0.75,AW311=1),HealthBY,IF(AND(AT311=3,AK311="E",AV311&gt;=0.75),HealthBY*P311,IF(AND(AT311=3,AK311="E",AV311&gt;=0.5,AW311=1),PTHealthBY,IF(AND(AT311=3,AK311="E",AV311&gt;=0.5),PTHealthBY*P311,0))))</f>
        <v>0</v>
      </c>
      <c r="BP311" s="462">
        <f>IF(AND(AT311&lt;&gt;0,(AX311+BA311)&gt;=MAXSSDIBY),SSDIBY*MAXSSDIBY*P311,IF(AT311&lt;&gt;0,SSDIBY*W311,0))</f>
        <v>0</v>
      </c>
      <c r="BQ311" s="462">
        <f>IF(AT311&lt;&gt;0,SSHIBY*W311,0)</f>
        <v>0</v>
      </c>
      <c r="BR311" s="462">
        <f>IF(AND(AT311&lt;&gt;0,AN311&lt;&gt;"NE"),VLOOKUP(AN311,Retirement_Rates,4,FALSE)*W311,0)</f>
        <v>0</v>
      </c>
      <c r="BS311" s="462">
        <f>IF(AND(AT311&lt;&gt;0,AJ311&lt;&gt;"PF"),LifeBY*W311,0)</f>
        <v>0</v>
      </c>
      <c r="BT311" s="462">
        <f>IF(AND(AT311&lt;&gt;0,AM311="Y"),UIBY*W311,0)</f>
        <v>0</v>
      </c>
      <c r="BU311" s="462">
        <f>IF(AND(AT311&lt;&gt;0,N311&lt;&gt;"NR"),DHRBY*W311,0)</f>
        <v>0</v>
      </c>
      <c r="BV311" s="462">
        <f>IF(AT311&lt;&gt;0,WCBY*W311,0)</f>
        <v>0</v>
      </c>
      <c r="BW311" s="462">
        <f>IF(OR(AND(AT311&lt;&gt;0,AJ311&lt;&gt;"PF",AN311&lt;&gt;"NE",AG311&lt;&gt;"A"),AND(AL311="E",OR(AT311=1,AT311=3))),SickBY*W311,0)</f>
        <v>0</v>
      </c>
      <c r="BX311" s="462">
        <f t="shared" si="75"/>
        <v>0</v>
      </c>
      <c r="BY311" s="462">
        <f t="shared" si="76"/>
        <v>0</v>
      </c>
      <c r="BZ311" s="462">
        <f t="shared" si="77"/>
        <v>0</v>
      </c>
      <c r="CA311" s="462">
        <f t="shared" si="78"/>
        <v>0</v>
      </c>
      <c r="CB311" s="462">
        <f t="shared" si="79"/>
        <v>0</v>
      </c>
      <c r="CC311" s="462">
        <f>IF(AT311&lt;&gt;0,SSHICHG*Y311,0)</f>
        <v>0</v>
      </c>
      <c r="CD311" s="462">
        <f>IF(AND(AT311&lt;&gt;0,AN311&lt;&gt;"NE"),VLOOKUP(AN311,Retirement_Rates,5,FALSE)*Y311,0)</f>
        <v>0</v>
      </c>
      <c r="CE311" s="462">
        <f>IF(AND(AT311&lt;&gt;0,AJ311&lt;&gt;"PF"),LifeCHG*Y311,0)</f>
        <v>0</v>
      </c>
      <c r="CF311" s="462">
        <f>IF(AND(AT311&lt;&gt;0,AM311="Y"),UICHG*Y311,0)</f>
        <v>0</v>
      </c>
      <c r="CG311" s="462">
        <f>IF(AND(AT311&lt;&gt;0,N311&lt;&gt;"NR"),DHRCHG*Y311,0)</f>
        <v>0</v>
      </c>
      <c r="CH311" s="462">
        <f>IF(AT311&lt;&gt;0,WCCHG*Y311,0)</f>
        <v>0</v>
      </c>
      <c r="CI311" s="462">
        <f>IF(OR(AND(AT311&lt;&gt;0,AJ311&lt;&gt;"PF",AN311&lt;&gt;"NE",AG311&lt;&gt;"A"),AND(AL311="E",OR(AT311=1,AT311=3))),SickCHG*Y311,0)</f>
        <v>0</v>
      </c>
      <c r="CJ311" s="462">
        <f t="shared" si="80"/>
        <v>0</v>
      </c>
      <c r="CK311" s="462" t="str">
        <f t="shared" si="81"/>
        <v/>
      </c>
      <c r="CL311" s="462">
        <f t="shared" si="82"/>
        <v>0</v>
      </c>
      <c r="CM311" s="462">
        <f t="shared" si="83"/>
        <v>0</v>
      </c>
      <c r="CN311" s="462" t="str">
        <f t="shared" si="84"/>
        <v>0330-01</v>
      </c>
    </row>
    <row r="312" spans="1:92" ht="15" thickBot="1" x14ac:dyDescent="0.35">
      <c r="A312" s="376" t="s">
        <v>161</v>
      </c>
      <c r="B312" s="376" t="s">
        <v>162</v>
      </c>
      <c r="C312" s="376" t="s">
        <v>883</v>
      </c>
      <c r="D312" s="376" t="s">
        <v>365</v>
      </c>
      <c r="E312" s="376" t="s">
        <v>931</v>
      </c>
      <c r="F312" s="382" t="s">
        <v>289</v>
      </c>
      <c r="G312" s="376" t="s">
        <v>762</v>
      </c>
      <c r="H312" s="378"/>
      <c r="I312" s="378"/>
      <c r="J312" s="376" t="s">
        <v>768</v>
      </c>
      <c r="K312" s="376" t="s">
        <v>366</v>
      </c>
      <c r="L312" s="376" t="s">
        <v>274</v>
      </c>
      <c r="M312" s="376" t="s">
        <v>170</v>
      </c>
      <c r="N312" s="376" t="s">
        <v>202</v>
      </c>
      <c r="O312" s="379">
        <v>1</v>
      </c>
      <c r="P312" s="460">
        <v>0.75</v>
      </c>
      <c r="Q312" s="460">
        <v>0.75</v>
      </c>
      <c r="R312" s="380">
        <v>80</v>
      </c>
      <c r="S312" s="460">
        <v>0.75</v>
      </c>
      <c r="T312" s="380">
        <v>25530.52</v>
      </c>
      <c r="U312" s="380">
        <v>0</v>
      </c>
      <c r="V312" s="380">
        <v>13221.81</v>
      </c>
      <c r="W312" s="380">
        <v>28797.599999999999</v>
      </c>
      <c r="X312" s="380">
        <v>15256.38</v>
      </c>
      <c r="Y312" s="380">
        <v>28797.599999999999</v>
      </c>
      <c r="Z312" s="380">
        <v>15181.5</v>
      </c>
      <c r="AA312" s="376" t="s">
        <v>884</v>
      </c>
      <c r="AB312" s="376" t="s">
        <v>885</v>
      </c>
      <c r="AC312" s="376" t="s">
        <v>886</v>
      </c>
      <c r="AD312" s="376" t="s">
        <v>225</v>
      </c>
      <c r="AE312" s="376" t="s">
        <v>366</v>
      </c>
      <c r="AF312" s="376" t="s">
        <v>279</v>
      </c>
      <c r="AG312" s="376" t="s">
        <v>177</v>
      </c>
      <c r="AH312" s="381">
        <v>18.46</v>
      </c>
      <c r="AI312" s="381">
        <v>27087.200000000001</v>
      </c>
      <c r="AJ312" s="376" t="s">
        <v>178</v>
      </c>
      <c r="AK312" s="376" t="s">
        <v>179</v>
      </c>
      <c r="AL312" s="376" t="s">
        <v>180</v>
      </c>
      <c r="AM312" s="376" t="s">
        <v>181</v>
      </c>
      <c r="AN312" s="376" t="s">
        <v>68</v>
      </c>
      <c r="AO312" s="379">
        <v>80</v>
      </c>
      <c r="AP312" s="460">
        <v>1</v>
      </c>
      <c r="AQ312" s="460">
        <v>0.75</v>
      </c>
      <c r="AR312" s="458" t="s">
        <v>182</v>
      </c>
      <c r="AS312" s="462">
        <f t="shared" si="68"/>
        <v>0.75</v>
      </c>
      <c r="AT312">
        <f t="shared" si="69"/>
        <v>1</v>
      </c>
      <c r="AU312" s="462">
        <f>IF(AT312=0,"",IF(AND(AT312=1,M312="F",SUMIF(C2:C698,C312,AS2:AS698)&lt;=1),SUMIF(C2:C698,C312,AS2:AS698),IF(AND(AT312=1,M312="F",SUMIF(C2:C698,C312,AS2:AS698)&gt;1),1,"")))</f>
        <v>1</v>
      </c>
      <c r="AV312" s="462" t="str">
        <f>IF(AT312=0,"",IF(AND(AT312=3,M312="F",SUMIF(C2:C698,C312,AS2:AS698)&lt;=1),SUMIF(C2:C698,C312,AS2:AS698),IF(AND(AT312=3,M312="F",SUMIF(C2:C698,C312,AS2:AS698)&gt;1),1,"")))</f>
        <v/>
      </c>
      <c r="AW312" s="462">
        <f>SUMIF(C2:C698,C312,O2:O698)</f>
        <v>4</v>
      </c>
      <c r="AX312" s="462">
        <f>IF(AND(M312="F",AS312&lt;&gt;0),SUMIF(C2:C698,C312,W2:W698),0)</f>
        <v>38396.800000000003</v>
      </c>
      <c r="AY312" s="462">
        <f t="shared" si="70"/>
        <v>28797.599999999999</v>
      </c>
      <c r="AZ312" s="462" t="str">
        <f t="shared" si="71"/>
        <v/>
      </c>
      <c r="BA312" s="462">
        <f t="shared" si="72"/>
        <v>0</v>
      </c>
      <c r="BB312" s="462">
        <f>IF(AND(AT312=1,AK312="E",AU312&gt;=0.75,AW312=1),Health,IF(AND(AT312=1,AK312="E",AU312&gt;=0.75),Health*P312,IF(AND(AT312=1,AK312="E",AU312&gt;=0.5,AW312=1),PTHealth,IF(AND(AT312=1,AK312="E",AU312&gt;=0.5),PTHealth*P312,0))))</f>
        <v>8737.5</v>
      </c>
      <c r="BC312" s="462">
        <f>IF(AND(AT312=3,AK312="E",AV312&gt;=0.75,AW312=1),Health,IF(AND(AT312=3,AK312="E",AV312&gt;=0.75),Health*P312,IF(AND(AT312=3,AK312="E",AV312&gt;=0.5,AW312=1),PTHealth,IF(AND(AT312=3,AK312="E",AV312&gt;=0.5),PTHealth*P312,0))))</f>
        <v>0</v>
      </c>
      <c r="BD312" s="462">
        <f>IF(AND(AT312&lt;&gt;0,AX312&gt;=MAXSSDI),SSDI*MAXSSDI*P312,IF(AT312&lt;&gt;0,SSDI*W312,0))</f>
        <v>1785.4512</v>
      </c>
      <c r="BE312" s="462">
        <f>IF(AT312&lt;&gt;0,SSHI*W312,0)</f>
        <v>417.5652</v>
      </c>
      <c r="BF312" s="462">
        <f>IF(AND(AT312&lt;&gt;0,AN312&lt;&gt;"NE"),VLOOKUP(AN312,Retirement_Rates,3,FALSE)*W312,0)</f>
        <v>3438.4334399999998</v>
      </c>
      <c r="BG312" s="462">
        <f>IF(AND(AT312&lt;&gt;0,AJ312&lt;&gt;"PF"),Life*W312,0)</f>
        <v>207.630696</v>
      </c>
      <c r="BH312" s="462">
        <f>IF(AND(AT312&lt;&gt;0,AM312="Y"),UI*W312,0)</f>
        <v>141.10824</v>
      </c>
      <c r="BI312" s="462">
        <f>IF(AND(AT312&lt;&gt;0,N312&lt;&gt;"NR"),DHR*W312,0)</f>
        <v>88.120655999999983</v>
      </c>
      <c r="BJ312" s="462">
        <f>IF(AT312&lt;&gt;0,WC*W312,0)</f>
        <v>440.60327999999998</v>
      </c>
      <c r="BK312" s="462">
        <f>IF(OR(AND(AT312&lt;&gt;0,AJ312&lt;&gt;"PF",AN312&lt;&gt;"NE",AG312&lt;&gt;"A"),AND(AL312="E",OR(AT312=1,AT312=3))),Sick*W312,0)</f>
        <v>0</v>
      </c>
      <c r="BL312" s="462">
        <f t="shared" si="73"/>
        <v>6518.9127119999994</v>
      </c>
      <c r="BM312" s="462">
        <f t="shared" si="74"/>
        <v>0</v>
      </c>
      <c r="BN312" s="462">
        <f>IF(AND(AT312=1,AK312="E",AU312&gt;=0.75,AW312=1),HealthBY,IF(AND(AT312=1,AK312="E",AU312&gt;=0.75),HealthBY*P312,IF(AND(AT312=1,AK312="E",AU312&gt;=0.5,AW312=1),PTHealthBY,IF(AND(AT312=1,AK312="E",AU312&gt;=0.5),PTHealthBY*P312,0))))</f>
        <v>8737.5</v>
      </c>
      <c r="BO312" s="462">
        <f>IF(AND(AT312=3,AK312="E",AV312&gt;=0.75,AW312=1),HealthBY,IF(AND(AT312=3,AK312="E",AV312&gt;=0.75),HealthBY*P312,IF(AND(AT312=3,AK312="E",AV312&gt;=0.5,AW312=1),PTHealthBY,IF(AND(AT312=3,AK312="E",AV312&gt;=0.5),PTHealthBY*P312,0))))</f>
        <v>0</v>
      </c>
      <c r="BP312" s="462">
        <f>IF(AND(AT312&lt;&gt;0,(AX312+BA312)&gt;=MAXSSDIBY),SSDIBY*MAXSSDIBY*P312,IF(AT312&lt;&gt;0,SSDIBY*W312,0))</f>
        <v>1785.4512</v>
      </c>
      <c r="BQ312" s="462">
        <f>IF(AT312&lt;&gt;0,SSHIBY*W312,0)</f>
        <v>417.5652</v>
      </c>
      <c r="BR312" s="462">
        <f>IF(AND(AT312&lt;&gt;0,AN312&lt;&gt;"NE"),VLOOKUP(AN312,Retirement_Rates,4,FALSE)*W312,0)</f>
        <v>3438.4334399999998</v>
      </c>
      <c r="BS312" s="462">
        <f>IF(AND(AT312&lt;&gt;0,AJ312&lt;&gt;"PF"),LifeBY*W312,0)</f>
        <v>207.630696</v>
      </c>
      <c r="BT312" s="462">
        <f>IF(AND(AT312&lt;&gt;0,AM312="Y"),UIBY*W312,0)</f>
        <v>0</v>
      </c>
      <c r="BU312" s="462">
        <f>IF(AND(AT312&lt;&gt;0,N312&lt;&gt;"NR"),DHRBY*W312,0)</f>
        <v>88.120655999999983</v>
      </c>
      <c r="BV312" s="462">
        <f>IF(AT312&lt;&gt;0,WCBY*W312,0)</f>
        <v>506.83776</v>
      </c>
      <c r="BW312" s="462">
        <f>IF(OR(AND(AT312&lt;&gt;0,AJ312&lt;&gt;"PF",AN312&lt;&gt;"NE",AG312&lt;&gt;"A"),AND(AL312="E",OR(AT312=1,AT312=3))),SickBY*W312,0)</f>
        <v>0</v>
      </c>
      <c r="BX312" s="462">
        <f t="shared" si="75"/>
        <v>6444.0389519999999</v>
      </c>
      <c r="BY312" s="462">
        <f t="shared" si="76"/>
        <v>0</v>
      </c>
      <c r="BZ312" s="462">
        <f t="shared" si="77"/>
        <v>0</v>
      </c>
      <c r="CA312" s="462">
        <f t="shared" si="78"/>
        <v>0</v>
      </c>
      <c r="CB312" s="462">
        <f t="shared" si="79"/>
        <v>0</v>
      </c>
      <c r="CC312" s="462">
        <f>IF(AT312&lt;&gt;0,SSHICHG*Y312,0)</f>
        <v>0</v>
      </c>
      <c r="CD312" s="462">
        <f>IF(AND(AT312&lt;&gt;0,AN312&lt;&gt;"NE"),VLOOKUP(AN312,Retirement_Rates,5,FALSE)*Y312,0)</f>
        <v>0</v>
      </c>
      <c r="CE312" s="462">
        <f>IF(AND(AT312&lt;&gt;0,AJ312&lt;&gt;"PF"),LifeCHG*Y312,0)</f>
        <v>0</v>
      </c>
      <c r="CF312" s="462">
        <f>IF(AND(AT312&lt;&gt;0,AM312="Y"),UICHG*Y312,0)</f>
        <v>-141.10824</v>
      </c>
      <c r="CG312" s="462">
        <f>IF(AND(AT312&lt;&gt;0,N312&lt;&gt;"NR"),DHRCHG*Y312,0)</f>
        <v>0</v>
      </c>
      <c r="CH312" s="462">
        <f>IF(AT312&lt;&gt;0,WCCHG*Y312,0)</f>
        <v>66.234480000000048</v>
      </c>
      <c r="CI312" s="462">
        <f>IF(OR(AND(AT312&lt;&gt;0,AJ312&lt;&gt;"PF",AN312&lt;&gt;"NE",AG312&lt;&gt;"A"),AND(AL312="E",OR(AT312=1,AT312=3))),SickCHG*Y312,0)</f>
        <v>0</v>
      </c>
      <c r="CJ312" s="462">
        <f t="shared" si="80"/>
        <v>-74.873759999999947</v>
      </c>
      <c r="CK312" s="462" t="str">
        <f t="shared" si="81"/>
        <v/>
      </c>
      <c r="CL312" s="462" t="str">
        <f t="shared" si="82"/>
        <v/>
      </c>
      <c r="CM312" s="462" t="str">
        <f t="shared" si="83"/>
        <v/>
      </c>
      <c r="CN312" s="462" t="str">
        <f t="shared" si="84"/>
        <v>0330-01</v>
      </c>
    </row>
    <row r="313" spans="1:92" ht="15" thickBot="1" x14ac:dyDescent="0.35">
      <c r="A313" s="376" t="s">
        <v>161</v>
      </c>
      <c r="B313" s="376" t="s">
        <v>162</v>
      </c>
      <c r="C313" s="376" t="s">
        <v>951</v>
      </c>
      <c r="D313" s="376" t="s">
        <v>365</v>
      </c>
      <c r="E313" s="376" t="s">
        <v>931</v>
      </c>
      <c r="F313" s="382" t="s">
        <v>289</v>
      </c>
      <c r="G313" s="376" t="s">
        <v>762</v>
      </c>
      <c r="H313" s="378"/>
      <c r="I313" s="378"/>
      <c r="J313" s="376" t="s">
        <v>168</v>
      </c>
      <c r="K313" s="376" t="s">
        <v>366</v>
      </c>
      <c r="L313" s="376" t="s">
        <v>274</v>
      </c>
      <c r="M313" s="376" t="s">
        <v>201</v>
      </c>
      <c r="N313" s="376" t="s">
        <v>291</v>
      </c>
      <c r="O313" s="379">
        <v>0</v>
      </c>
      <c r="P313" s="460">
        <v>1</v>
      </c>
      <c r="Q313" s="460">
        <v>0</v>
      </c>
      <c r="R313" s="380">
        <v>0</v>
      </c>
      <c r="S313" s="460">
        <v>0</v>
      </c>
      <c r="T313" s="380">
        <v>0</v>
      </c>
      <c r="U313" s="380">
        <v>0</v>
      </c>
      <c r="V313" s="380">
        <v>0</v>
      </c>
      <c r="W313" s="380">
        <v>0</v>
      </c>
      <c r="X313" s="380">
        <v>0</v>
      </c>
      <c r="Y313" s="380">
        <v>0</v>
      </c>
      <c r="Z313" s="380">
        <v>0</v>
      </c>
      <c r="AA313" s="378"/>
      <c r="AB313" s="376" t="s">
        <v>45</v>
      </c>
      <c r="AC313" s="376" t="s">
        <v>45</v>
      </c>
      <c r="AD313" s="378"/>
      <c r="AE313" s="378"/>
      <c r="AF313" s="378"/>
      <c r="AG313" s="378"/>
      <c r="AH313" s="379">
        <v>0</v>
      </c>
      <c r="AI313" s="379">
        <v>0</v>
      </c>
      <c r="AJ313" s="378"/>
      <c r="AK313" s="378"/>
      <c r="AL313" s="376" t="s">
        <v>180</v>
      </c>
      <c r="AM313" s="378"/>
      <c r="AN313" s="378"/>
      <c r="AO313" s="379">
        <v>0</v>
      </c>
      <c r="AP313" s="460">
        <v>0</v>
      </c>
      <c r="AQ313" s="460">
        <v>0</v>
      </c>
      <c r="AR313" s="459"/>
      <c r="AS313" s="462">
        <f t="shared" si="68"/>
        <v>0</v>
      </c>
      <c r="AT313">
        <f t="shared" si="69"/>
        <v>0</v>
      </c>
      <c r="AU313" s="462" t="str">
        <f>IF(AT313=0,"",IF(AND(AT313=1,M313="F",SUMIF(C2:C698,C313,AS2:AS698)&lt;=1),SUMIF(C2:C698,C313,AS2:AS698),IF(AND(AT313=1,M313="F",SUMIF(C2:C698,C313,AS2:AS698)&gt;1),1,"")))</f>
        <v/>
      </c>
      <c r="AV313" s="462" t="str">
        <f>IF(AT313=0,"",IF(AND(AT313=3,M313="F",SUMIF(C2:C698,C313,AS2:AS698)&lt;=1),SUMIF(C2:C698,C313,AS2:AS698),IF(AND(AT313=3,M313="F",SUMIF(C2:C698,C313,AS2:AS698)&gt;1),1,"")))</f>
        <v/>
      </c>
      <c r="AW313" s="462">
        <f>SUMIF(C2:C698,C313,O2:O698)</f>
        <v>0</v>
      </c>
      <c r="AX313" s="462">
        <f>IF(AND(M313="F",AS313&lt;&gt;0),SUMIF(C2:C698,C313,W2:W698),0)</f>
        <v>0</v>
      </c>
      <c r="AY313" s="462" t="str">
        <f t="shared" si="70"/>
        <v/>
      </c>
      <c r="AZ313" s="462" t="str">
        <f t="shared" si="71"/>
        <v/>
      </c>
      <c r="BA313" s="462">
        <f t="shared" si="72"/>
        <v>0</v>
      </c>
      <c r="BB313" s="462">
        <f>IF(AND(AT313=1,AK313="E",AU313&gt;=0.75,AW313=1),Health,IF(AND(AT313=1,AK313="E",AU313&gt;=0.75),Health*P313,IF(AND(AT313=1,AK313="E",AU313&gt;=0.5,AW313=1),PTHealth,IF(AND(AT313=1,AK313="E",AU313&gt;=0.5),PTHealth*P313,0))))</f>
        <v>0</v>
      </c>
      <c r="BC313" s="462">
        <f>IF(AND(AT313=3,AK313="E",AV313&gt;=0.75,AW313=1),Health,IF(AND(AT313=3,AK313="E",AV313&gt;=0.75),Health*P313,IF(AND(AT313=3,AK313="E",AV313&gt;=0.5,AW313=1),PTHealth,IF(AND(AT313=3,AK313="E",AV313&gt;=0.5),PTHealth*P313,0))))</f>
        <v>0</v>
      </c>
      <c r="BD313" s="462">
        <f>IF(AND(AT313&lt;&gt;0,AX313&gt;=MAXSSDI),SSDI*MAXSSDI*P313,IF(AT313&lt;&gt;0,SSDI*W313,0))</f>
        <v>0</v>
      </c>
      <c r="BE313" s="462">
        <f>IF(AT313&lt;&gt;0,SSHI*W313,0)</f>
        <v>0</v>
      </c>
      <c r="BF313" s="462">
        <f>IF(AND(AT313&lt;&gt;0,AN313&lt;&gt;"NE"),VLOOKUP(AN313,Retirement_Rates,3,FALSE)*W313,0)</f>
        <v>0</v>
      </c>
      <c r="BG313" s="462">
        <f>IF(AND(AT313&lt;&gt;0,AJ313&lt;&gt;"PF"),Life*W313,0)</f>
        <v>0</v>
      </c>
      <c r="BH313" s="462">
        <f>IF(AND(AT313&lt;&gt;0,AM313="Y"),UI*W313,0)</f>
        <v>0</v>
      </c>
      <c r="BI313" s="462">
        <f>IF(AND(AT313&lt;&gt;0,N313&lt;&gt;"NR"),DHR*W313,0)</f>
        <v>0</v>
      </c>
      <c r="BJ313" s="462">
        <f>IF(AT313&lt;&gt;0,WC*W313,0)</f>
        <v>0</v>
      </c>
      <c r="BK313" s="462">
        <f>IF(OR(AND(AT313&lt;&gt;0,AJ313&lt;&gt;"PF",AN313&lt;&gt;"NE",AG313&lt;&gt;"A"),AND(AL313="E",OR(AT313=1,AT313=3))),Sick*W313,0)</f>
        <v>0</v>
      </c>
      <c r="BL313" s="462">
        <f t="shared" si="73"/>
        <v>0</v>
      </c>
      <c r="BM313" s="462">
        <f t="shared" si="74"/>
        <v>0</v>
      </c>
      <c r="BN313" s="462">
        <f>IF(AND(AT313=1,AK313="E",AU313&gt;=0.75,AW313=1),HealthBY,IF(AND(AT313=1,AK313="E",AU313&gt;=0.75),HealthBY*P313,IF(AND(AT313=1,AK313="E",AU313&gt;=0.5,AW313=1),PTHealthBY,IF(AND(AT313=1,AK313="E",AU313&gt;=0.5),PTHealthBY*P313,0))))</f>
        <v>0</v>
      </c>
      <c r="BO313" s="462">
        <f>IF(AND(AT313=3,AK313="E",AV313&gt;=0.75,AW313=1),HealthBY,IF(AND(AT313=3,AK313="E",AV313&gt;=0.75),HealthBY*P313,IF(AND(AT313=3,AK313="E",AV313&gt;=0.5,AW313=1),PTHealthBY,IF(AND(AT313=3,AK313="E",AV313&gt;=0.5),PTHealthBY*P313,0))))</f>
        <v>0</v>
      </c>
      <c r="BP313" s="462">
        <f>IF(AND(AT313&lt;&gt;0,(AX313+BA313)&gt;=MAXSSDIBY),SSDIBY*MAXSSDIBY*P313,IF(AT313&lt;&gt;0,SSDIBY*W313,0))</f>
        <v>0</v>
      </c>
      <c r="BQ313" s="462">
        <f>IF(AT313&lt;&gt;0,SSHIBY*W313,0)</f>
        <v>0</v>
      </c>
      <c r="BR313" s="462">
        <f>IF(AND(AT313&lt;&gt;0,AN313&lt;&gt;"NE"),VLOOKUP(AN313,Retirement_Rates,4,FALSE)*W313,0)</f>
        <v>0</v>
      </c>
      <c r="BS313" s="462">
        <f>IF(AND(AT313&lt;&gt;0,AJ313&lt;&gt;"PF"),LifeBY*W313,0)</f>
        <v>0</v>
      </c>
      <c r="BT313" s="462">
        <f>IF(AND(AT313&lt;&gt;0,AM313="Y"),UIBY*W313,0)</f>
        <v>0</v>
      </c>
      <c r="BU313" s="462">
        <f>IF(AND(AT313&lt;&gt;0,N313&lt;&gt;"NR"),DHRBY*W313,0)</f>
        <v>0</v>
      </c>
      <c r="BV313" s="462">
        <f>IF(AT313&lt;&gt;0,WCBY*W313,0)</f>
        <v>0</v>
      </c>
      <c r="BW313" s="462">
        <f>IF(OR(AND(AT313&lt;&gt;0,AJ313&lt;&gt;"PF",AN313&lt;&gt;"NE",AG313&lt;&gt;"A"),AND(AL313="E",OR(AT313=1,AT313=3))),SickBY*W313,0)</f>
        <v>0</v>
      </c>
      <c r="BX313" s="462">
        <f t="shared" si="75"/>
        <v>0</v>
      </c>
      <c r="BY313" s="462">
        <f t="shared" si="76"/>
        <v>0</v>
      </c>
      <c r="BZ313" s="462">
        <f t="shared" si="77"/>
        <v>0</v>
      </c>
      <c r="CA313" s="462">
        <f t="shared" si="78"/>
        <v>0</v>
      </c>
      <c r="CB313" s="462">
        <f t="shared" si="79"/>
        <v>0</v>
      </c>
      <c r="CC313" s="462">
        <f>IF(AT313&lt;&gt;0,SSHICHG*Y313,0)</f>
        <v>0</v>
      </c>
      <c r="CD313" s="462">
        <f>IF(AND(AT313&lt;&gt;0,AN313&lt;&gt;"NE"),VLOOKUP(AN313,Retirement_Rates,5,FALSE)*Y313,0)</f>
        <v>0</v>
      </c>
      <c r="CE313" s="462">
        <f>IF(AND(AT313&lt;&gt;0,AJ313&lt;&gt;"PF"),LifeCHG*Y313,0)</f>
        <v>0</v>
      </c>
      <c r="CF313" s="462">
        <f>IF(AND(AT313&lt;&gt;0,AM313="Y"),UICHG*Y313,0)</f>
        <v>0</v>
      </c>
      <c r="CG313" s="462">
        <f>IF(AND(AT313&lt;&gt;0,N313&lt;&gt;"NR"),DHRCHG*Y313,0)</f>
        <v>0</v>
      </c>
      <c r="CH313" s="462">
        <f>IF(AT313&lt;&gt;0,WCCHG*Y313,0)</f>
        <v>0</v>
      </c>
      <c r="CI313" s="462">
        <f>IF(OR(AND(AT313&lt;&gt;0,AJ313&lt;&gt;"PF",AN313&lt;&gt;"NE",AG313&lt;&gt;"A"),AND(AL313="E",OR(AT313=1,AT313=3))),SickCHG*Y313,0)</f>
        <v>0</v>
      </c>
      <c r="CJ313" s="462">
        <f t="shared" si="80"/>
        <v>0</v>
      </c>
      <c r="CK313" s="462" t="str">
        <f t="shared" si="81"/>
        <v/>
      </c>
      <c r="CL313" s="462">
        <f t="shared" si="82"/>
        <v>0</v>
      </c>
      <c r="CM313" s="462">
        <f t="shared" si="83"/>
        <v>0</v>
      </c>
      <c r="CN313" s="462" t="str">
        <f t="shared" si="84"/>
        <v>0330-01</v>
      </c>
    </row>
    <row r="314" spans="1:92" ht="15" thickBot="1" x14ac:dyDescent="0.35">
      <c r="A314" s="376" t="s">
        <v>161</v>
      </c>
      <c r="B314" s="376" t="s">
        <v>162</v>
      </c>
      <c r="C314" s="376" t="s">
        <v>889</v>
      </c>
      <c r="D314" s="376" t="s">
        <v>362</v>
      </c>
      <c r="E314" s="376" t="s">
        <v>931</v>
      </c>
      <c r="F314" s="382" t="s">
        <v>289</v>
      </c>
      <c r="G314" s="376" t="s">
        <v>762</v>
      </c>
      <c r="H314" s="378"/>
      <c r="I314" s="378"/>
      <c r="J314" s="376" t="s">
        <v>768</v>
      </c>
      <c r="K314" s="376" t="s">
        <v>363</v>
      </c>
      <c r="L314" s="376" t="s">
        <v>200</v>
      </c>
      <c r="M314" s="376" t="s">
        <v>170</v>
      </c>
      <c r="N314" s="376" t="s">
        <v>202</v>
      </c>
      <c r="O314" s="379">
        <v>1</v>
      </c>
      <c r="P314" s="460">
        <v>0.1</v>
      </c>
      <c r="Q314" s="460">
        <v>0.1</v>
      </c>
      <c r="R314" s="380">
        <v>80</v>
      </c>
      <c r="S314" s="460">
        <v>0.1</v>
      </c>
      <c r="T314" s="380">
        <v>6977.33</v>
      </c>
      <c r="U314" s="380">
        <v>0</v>
      </c>
      <c r="V314" s="380">
        <v>3440.57</v>
      </c>
      <c r="W314" s="380">
        <v>4680</v>
      </c>
      <c r="X314" s="380">
        <v>2224.41</v>
      </c>
      <c r="Y314" s="380">
        <v>4680</v>
      </c>
      <c r="Z314" s="380">
        <v>2212.2399999999998</v>
      </c>
      <c r="AA314" s="376" t="s">
        <v>890</v>
      </c>
      <c r="AB314" s="376" t="s">
        <v>891</v>
      </c>
      <c r="AC314" s="376" t="s">
        <v>892</v>
      </c>
      <c r="AD314" s="376" t="s">
        <v>179</v>
      </c>
      <c r="AE314" s="376" t="s">
        <v>363</v>
      </c>
      <c r="AF314" s="376" t="s">
        <v>210</v>
      </c>
      <c r="AG314" s="376" t="s">
        <v>177</v>
      </c>
      <c r="AH314" s="381">
        <v>22.5</v>
      </c>
      <c r="AI314" s="379">
        <v>13048</v>
      </c>
      <c r="AJ314" s="376" t="s">
        <v>178</v>
      </c>
      <c r="AK314" s="376" t="s">
        <v>179</v>
      </c>
      <c r="AL314" s="376" t="s">
        <v>180</v>
      </c>
      <c r="AM314" s="376" t="s">
        <v>181</v>
      </c>
      <c r="AN314" s="376" t="s">
        <v>68</v>
      </c>
      <c r="AO314" s="379">
        <v>80</v>
      </c>
      <c r="AP314" s="460">
        <v>1</v>
      </c>
      <c r="AQ314" s="460">
        <v>0.1</v>
      </c>
      <c r="AR314" s="458" t="s">
        <v>182</v>
      </c>
      <c r="AS314" s="462">
        <f t="shared" si="68"/>
        <v>0.1</v>
      </c>
      <c r="AT314">
        <f t="shared" si="69"/>
        <v>1</v>
      </c>
      <c r="AU314" s="462">
        <f>IF(AT314=0,"",IF(AND(AT314=1,M314="F",SUMIF(C2:C698,C314,AS2:AS698)&lt;=1),SUMIF(C2:C698,C314,AS2:AS698),IF(AND(AT314=1,M314="F",SUMIF(C2:C698,C314,AS2:AS698)&gt;1),1,"")))</f>
        <v>1</v>
      </c>
      <c r="AV314" s="462" t="str">
        <f>IF(AT314=0,"",IF(AND(AT314=3,M314="F",SUMIF(C2:C698,C314,AS2:AS698)&lt;=1),SUMIF(C2:C698,C314,AS2:AS698),IF(AND(AT314=3,M314="F",SUMIF(C2:C698,C314,AS2:AS698)&gt;1),1,"")))</f>
        <v/>
      </c>
      <c r="AW314" s="462">
        <f>SUMIF(C2:C698,C314,O2:O698)</f>
        <v>7</v>
      </c>
      <c r="AX314" s="462">
        <f>IF(AND(M314="F",AS314&lt;&gt;0),SUMIF(C2:C698,C314,W2:W698),0)</f>
        <v>46800</v>
      </c>
      <c r="AY314" s="462">
        <f t="shared" si="70"/>
        <v>4680</v>
      </c>
      <c r="AZ314" s="462" t="str">
        <f t="shared" si="71"/>
        <v/>
      </c>
      <c r="BA314" s="462">
        <f t="shared" si="72"/>
        <v>0</v>
      </c>
      <c r="BB314" s="462">
        <f>IF(AND(AT314=1,AK314="E",AU314&gt;=0.75,AW314=1),Health,IF(AND(AT314=1,AK314="E",AU314&gt;=0.75),Health*P314,IF(AND(AT314=1,AK314="E",AU314&gt;=0.5,AW314=1),PTHealth,IF(AND(AT314=1,AK314="E",AU314&gt;=0.5),PTHealth*P314,0))))</f>
        <v>1165</v>
      </c>
      <c r="BC314" s="462">
        <f>IF(AND(AT314=3,AK314="E",AV314&gt;=0.75,AW314=1),Health,IF(AND(AT314=3,AK314="E",AV314&gt;=0.75),Health*P314,IF(AND(AT314=3,AK314="E",AV314&gt;=0.5,AW314=1),PTHealth,IF(AND(AT314=3,AK314="E",AV314&gt;=0.5),PTHealth*P314,0))))</f>
        <v>0</v>
      </c>
      <c r="BD314" s="462">
        <f>IF(AND(AT314&lt;&gt;0,AX314&gt;=MAXSSDI),SSDI*MAXSSDI*P314,IF(AT314&lt;&gt;0,SSDI*W314,0))</f>
        <v>290.16000000000003</v>
      </c>
      <c r="BE314" s="462">
        <f>IF(AT314&lt;&gt;0,SSHI*W314,0)</f>
        <v>67.86</v>
      </c>
      <c r="BF314" s="462">
        <f>IF(AND(AT314&lt;&gt;0,AN314&lt;&gt;"NE"),VLOOKUP(AN314,Retirement_Rates,3,FALSE)*W314,0)</f>
        <v>558.79200000000003</v>
      </c>
      <c r="BG314" s="462">
        <f>IF(AND(AT314&lt;&gt;0,AJ314&lt;&gt;"PF"),Life*W314,0)</f>
        <v>33.742800000000003</v>
      </c>
      <c r="BH314" s="462">
        <f>IF(AND(AT314&lt;&gt;0,AM314="Y"),UI*W314,0)</f>
        <v>22.931999999999999</v>
      </c>
      <c r="BI314" s="462">
        <f>IF(AND(AT314&lt;&gt;0,N314&lt;&gt;"NR"),DHR*W314,0)</f>
        <v>14.320799999999998</v>
      </c>
      <c r="BJ314" s="462">
        <f>IF(AT314&lt;&gt;0,WC*W314,0)</f>
        <v>71.603999999999999</v>
      </c>
      <c r="BK314" s="462">
        <f>IF(OR(AND(AT314&lt;&gt;0,AJ314&lt;&gt;"PF",AN314&lt;&gt;"NE",AG314&lt;&gt;"A"),AND(AL314="E",OR(AT314=1,AT314=3))),Sick*W314,0)</f>
        <v>0</v>
      </c>
      <c r="BL314" s="462">
        <f t="shared" si="73"/>
        <v>1059.4116000000001</v>
      </c>
      <c r="BM314" s="462">
        <f t="shared" si="74"/>
        <v>0</v>
      </c>
      <c r="BN314" s="462">
        <f>IF(AND(AT314=1,AK314="E",AU314&gt;=0.75,AW314=1),HealthBY,IF(AND(AT314=1,AK314="E",AU314&gt;=0.75),HealthBY*P314,IF(AND(AT314=1,AK314="E",AU314&gt;=0.5,AW314=1),PTHealthBY,IF(AND(AT314=1,AK314="E",AU314&gt;=0.5),PTHealthBY*P314,0))))</f>
        <v>1165</v>
      </c>
      <c r="BO314" s="462">
        <f>IF(AND(AT314=3,AK314="E",AV314&gt;=0.75,AW314=1),HealthBY,IF(AND(AT314=3,AK314="E",AV314&gt;=0.75),HealthBY*P314,IF(AND(AT314=3,AK314="E",AV314&gt;=0.5,AW314=1),PTHealthBY,IF(AND(AT314=3,AK314="E",AV314&gt;=0.5),PTHealthBY*P314,0))))</f>
        <v>0</v>
      </c>
      <c r="BP314" s="462">
        <f>IF(AND(AT314&lt;&gt;0,(AX314+BA314)&gt;=MAXSSDIBY),SSDIBY*MAXSSDIBY*P314,IF(AT314&lt;&gt;0,SSDIBY*W314,0))</f>
        <v>290.16000000000003</v>
      </c>
      <c r="BQ314" s="462">
        <f>IF(AT314&lt;&gt;0,SSHIBY*W314,0)</f>
        <v>67.86</v>
      </c>
      <c r="BR314" s="462">
        <f>IF(AND(AT314&lt;&gt;0,AN314&lt;&gt;"NE"),VLOOKUP(AN314,Retirement_Rates,4,FALSE)*W314,0)</f>
        <v>558.79200000000003</v>
      </c>
      <c r="BS314" s="462">
        <f>IF(AND(AT314&lt;&gt;0,AJ314&lt;&gt;"PF"),LifeBY*W314,0)</f>
        <v>33.742800000000003</v>
      </c>
      <c r="BT314" s="462">
        <f>IF(AND(AT314&lt;&gt;0,AM314="Y"),UIBY*W314,0)</f>
        <v>0</v>
      </c>
      <c r="BU314" s="462">
        <f>IF(AND(AT314&lt;&gt;0,N314&lt;&gt;"NR"),DHRBY*W314,0)</f>
        <v>14.320799999999998</v>
      </c>
      <c r="BV314" s="462">
        <f>IF(AT314&lt;&gt;0,WCBY*W314,0)</f>
        <v>82.368000000000009</v>
      </c>
      <c r="BW314" s="462">
        <f>IF(OR(AND(AT314&lt;&gt;0,AJ314&lt;&gt;"PF",AN314&lt;&gt;"NE",AG314&lt;&gt;"A"),AND(AL314="E",OR(AT314=1,AT314=3))),SickBY*W314,0)</f>
        <v>0</v>
      </c>
      <c r="BX314" s="462">
        <f t="shared" si="75"/>
        <v>1047.2436</v>
      </c>
      <c r="BY314" s="462">
        <f t="shared" si="76"/>
        <v>0</v>
      </c>
      <c r="BZ314" s="462">
        <f t="shared" si="77"/>
        <v>0</v>
      </c>
      <c r="CA314" s="462">
        <f t="shared" si="78"/>
        <v>0</v>
      </c>
      <c r="CB314" s="462">
        <f t="shared" si="79"/>
        <v>0</v>
      </c>
      <c r="CC314" s="462">
        <f>IF(AT314&lt;&gt;0,SSHICHG*Y314,0)</f>
        <v>0</v>
      </c>
      <c r="CD314" s="462">
        <f>IF(AND(AT314&lt;&gt;0,AN314&lt;&gt;"NE"),VLOOKUP(AN314,Retirement_Rates,5,FALSE)*Y314,0)</f>
        <v>0</v>
      </c>
      <c r="CE314" s="462">
        <f>IF(AND(AT314&lt;&gt;0,AJ314&lt;&gt;"PF"),LifeCHG*Y314,0)</f>
        <v>0</v>
      </c>
      <c r="CF314" s="462">
        <f>IF(AND(AT314&lt;&gt;0,AM314="Y"),UICHG*Y314,0)</f>
        <v>-22.931999999999999</v>
      </c>
      <c r="CG314" s="462">
        <f>IF(AND(AT314&lt;&gt;0,N314&lt;&gt;"NR"),DHRCHG*Y314,0)</f>
        <v>0</v>
      </c>
      <c r="CH314" s="462">
        <f>IF(AT314&lt;&gt;0,WCCHG*Y314,0)</f>
        <v>10.764000000000008</v>
      </c>
      <c r="CI314" s="462">
        <f>IF(OR(AND(AT314&lt;&gt;0,AJ314&lt;&gt;"PF",AN314&lt;&gt;"NE",AG314&lt;&gt;"A"),AND(AL314="E",OR(AT314=1,AT314=3))),SickCHG*Y314,0)</f>
        <v>0</v>
      </c>
      <c r="CJ314" s="462">
        <f t="shared" si="80"/>
        <v>-12.16799999999999</v>
      </c>
      <c r="CK314" s="462" t="str">
        <f t="shared" si="81"/>
        <v/>
      </c>
      <c r="CL314" s="462" t="str">
        <f t="shared" si="82"/>
        <v/>
      </c>
      <c r="CM314" s="462" t="str">
        <f t="shared" si="83"/>
        <v/>
      </c>
      <c r="CN314" s="462" t="str">
        <f t="shared" si="84"/>
        <v>0330-01</v>
      </c>
    </row>
    <row r="315" spans="1:92" ht="15" thickBot="1" x14ac:dyDescent="0.35">
      <c r="A315" s="376" t="s">
        <v>161</v>
      </c>
      <c r="B315" s="376" t="s">
        <v>162</v>
      </c>
      <c r="C315" s="376" t="s">
        <v>952</v>
      </c>
      <c r="D315" s="376" t="s">
        <v>250</v>
      </c>
      <c r="E315" s="376" t="s">
        <v>931</v>
      </c>
      <c r="F315" s="382" t="s">
        <v>289</v>
      </c>
      <c r="G315" s="376" t="s">
        <v>762</v>
      </c>
      <c r="H315" s="378"/>
      <c r="I315" s="378"/>
      <c r="J315" s="376" t="s">
        <v>547</v>
      </c>
      <c r="K315" s="376" t="s">
        <v>407</v>
      </c>
      <c r="L315" s="376" t="s">
        <v>247</v>
      </c>
      <c r="M315" s="376" t="s">
        <v>170</v>
      </c>
      <c r="N315" s="376" t="s">
        <v>202</v>
      </c>
      <c r="O315" s="379">
        <v>1</v>
      </c>
      <c r="P315" s="460">
        <v>0</v>
      </c>
      <c r="Q315" s="460">
        <v>0</v>
      </c>
      <c r="R315" s="380">
        <v>80</v>
      </c>
      <c r="S315" s="460">
        <v>0</v>
      </c>
      <c r="T315" s="380">
        <v>86.4</v>
      </c>
      <c r="U315" s="380">
        <v>0</v>
      </c>
      <c r="V315" s="380">
        <v>34.26</v>
      </c>
      <c r="W315" s="380">
        <v>0</v>
      </c>
      <c r="X315" s="380">
        <v>0</v>
      </c>
      <c r="Y315" s="380">
        <v>0</v>
      </c>
      <c r="Z315" s="380">
        <v>0</v>
      </c>
      <c r="AA315" s="376" t="s">
        <v>953</v>
      </c>
      <c r="AB315" s="376" t="s">
        <v>954</v>
      </c>
      <c r="AC315" s="376" t="s">
        <v>955</v>
      </c>
      <c r="AD315" s="376" t="s">
        <v>215</v>
      </c>
      <c r="AE315" s="376" t="s">
        <v>407</v>
      </c>
      <c r="AF315" s="376" t="s">
        <v>299</v>
      </c>
      <c r="AG315" s="376" t="s">
        <v>177</v>
      </c>
      <c r="AH315" s="381">
        <v>30.04</v>
      </c>
      <c r="AI315" s="381">
        <v>16345.7</v>
      </c>
      <c r="AJ315" s="376" t="s">
        <v>178</v>
      </c>
      <c r="AK315" s="376" t="s">
        <v>179</v>
      </c>
      <c r="AL315" s="376" t="s">
        <v>180</v>
      </c>
      <c r="AM315" s="376" t="s">
        <v>181</v>
      </c>
      <c r="AN315" s="376" t="s">
        <v>68</v>
      </c>
      <c r="AO315" s="379">
        <v>80</v>
      </c>
      <c r="AP315" s="460">
        <v>1</v>
      </c>
      <c r="AQ315" s="460">
        <v>0</v>
      </c>
      <c r="AR315" s="458" t="s">
        <v>182</v>
      </c>
      <c r="AS315" s="462">
        <f t="shared" si="68"/>
        <v>0</v>
      </c>
      <c r="AT315">
        <f t="shared" si="69"/>
        <v>0</v>
      </c>
      <c r="AU315" s="462" t="str">
        <f>IF(AT315=0,"",IF(AND(AT315=1,M315="F",SUMIF(C2:C698,C315,AS2:AS698)&lt;=1),SUMIF(C2:C698,C315,AS2:AS698),IF(AND(AT315=1,M315="F",SUMIF(C2:C698,C315,AS2:AS698)&gt;1),1,"")))</f>
        <v/>
      </c>
      <c r="AV315" s="462" t="str">
        <f>IF(AT315=0,"",IF(AND(AT315=3,M315="F",SUMIF(C2:C698,C315,AS2:AS698)&lt;=1),SUMIF(C2:C698,C315,AS2:AS698),IF(AND(AT315=3,M315="F",SUMIF(C2:C698,C315,AS2:AS698)&gt;1),1,"")))</f>
        <v/>
      </c>
      <c r="AW315" s="462">
        <f>SUMIF(C2:C698,C315,O2:O698)</f>
        <v>2</v>
      </c>
      <c r="AX315" s="462">
        <f>IF(AND(M315="F",AS315&lt;&gt;0),SUMIF(C2:C698,C315,W2:W698),0)</f>
        <v>0</v>
      </c>
      <c r="AY315" s="462" t="str">
        <f t="shared" si="70"/>
        <v/>
      </c>
      <c r="AZ315" s="462" t="str">
        <f t="shared" si="71"/>
        <v/>
      </c>
      <c r="BA315" s="462">
        <f t="shared" si="72"/>
        <v>0</v>
      </c>
      <c r="BB315" s="462">
        <f>IF(AND(AT315=1,AK315="E",AU315&gt;=0.75,AW315=1),Health,IF(AND(AT315=1,AK315="E",AU315&gt;=0.75),Health*P315,IF(AND(AT315=1,AK315="E",AU315&gt;=0.5,AW315=1),PTHealth,IF(AND(AT315=1,AK315="E",AU315&gt;=0.5),PTHealth*P315,0))))</f>
        <v>0</v>
      </c>
      <c r="BC315" s="462">
        <f>IF(AND(AT315=3,AK315="E",AV315&gt;=0.75,AW315=1),Health,IF(AND(AT315=3,AK315="E",AV315&gt;=0.75),Health*P315,IF(AND(AT315=3,AK315="E",AV315&gt;=0.5,AW315=1),PTHealth,IF(AND(AT315=3,AK315="E",AV315&gt;=0.5),PTHealth*P315,0))))</f>
        <v>0</v>
      </c>
      <c r="BD315" s="462">
        <f>IF(AND(AT315&lt;&gt;0,AX315&gt;=MAXSSDI),SSDI*MAXSSDI*P315,IF(AT315&lt;&gt;0,SSDI*W315,0))</f>
        <v>0</v>
      </c>
      <c r="BE315" s="462">
        <f>IF(AT315&lt;&gt;0,SSHI*W315,0)</f>
        <v>0</v>
      </c>
      <c r="BF315" s="462">
        <f>IF(AND(AT315&lt;&gt;0,AN315&lt;&gt;"NE"),VLOOKUP(AN315,Retirement_Rates,3,FALSE)*W315,0)</f>
        <v>0</v>
      </c>
      <c r="BG315" s="462">
        <f>IF(AND(AT315&lt;&gt;0,AJ315&lt;&gt;"PF"),Life*W315,0)</f>
        <v>0</v>
      </c>
      <c r="BH315" s="462">
        <f>IF(AND(AT315&lt;&gt;0,AM315="Y"),UI*W315,0)</f>
        <v>0</v>
      </c>
      <c r="BI315" s="462">
        <f>IF(AND(AT315&lt;&gt;0,N315&lt;&gt;"NR"),DHR*W315,0)</f>
        <v>0</v>
      </c>
      <c r="BJ315" s="462">
        <f>IF(AT315&lt;&gt;0,WC*W315,0)</f>
        <v>0</v>
      </c>
      <c r="BK315" s="462">
        <f>IF(OR(AND(AT315&lt;&gt;0,AJ315&lt;&gt;"PF",AN315&lt;&gt;"NE",AG315&lt;&gt;"A"),AND(AL315="E",OR(AT315=1,AT315=3))),Sick*W315,0)</f>
        <v>0</v>
      </c>
      <c r="BL315" s="462">
        <f t="shared" si="73"/>
        <v>0</v>
      </c>
      <c r="BM315" s="462">
        <f t="shared" si="74"/>
        <v>0</v>
      </c>
      <c r="BN315" s="462">
        <f>IF(AND(AT315=1,AK315="E",AU315&gt;=0.75,AW315=1),HealthBY,IF(AND(AT315=1,AK315="E",AU315&gt;=0.75),HealthBY*P315,IF(AND(AT315=1,AK315="E",AU315&gt;=0.5,AW315=1),PTHealthBY,IF(AND(AT315=1,AK315="E",AU315&gt;=0.5),PTHealthBY*P315,0))))</f>
        <v>0</v>
      </c>
      <c r="BO315" s="462">
        <f>IF(AND(AT315=3,AK315="E",AV315&gt;=0.75,AW315=1),HealthBY,IF(AND(AT315=3,AK315="E",AV315&gt;=0.75),HealthBY*P315,IF(AND(AT315=3,AK315="E",AV315&gt;=0.5,AW315=1),PTHealthBY,IF(AND(AT315=3,AK315="E",AV315&gt;=0.5),PTHealthBY*P315,0))))</f>
        <v>0</v>
      </c>
      <c r="BP315" s="462">
        <f>IF(AND(AT315&lt;&gt;0,(AX315+BA315)&gt;=MAXSSDIBY),SSDIBY*MAXSSDIBY*P315,IF(AT315&lt;&gt;0,SSDIBY*W315,0))</f>
        <v>0</v>
      </c>
      <c r="BQ315" s="462">
        <f>IF(AT315&lt;&gt;0,SSHIBY*W315,0)</f>
        <v>0</v>
      </c>
      <c r="BR315" s="462">
        <f>IF(AND(AT315&lt;&gt;0,AN315&lt;&gt;"NE"),VLOOKUP(AN315,Retirement_Rates,4,FALSE)*W315,0)</f>
        <v>0</v>
      </c>
      <c r="BS315" s="462">
        <f>IF(AND(AT315&lt;&gt;0,AJ315&lt;&gt;"PF"),LifeBY*W315,0)</f>
        <v>0</v>
      </c>
      <c r="BT315" s="462">
        <f>IF(AND(AT315&lt;&gt;0,AM315="Y"),UIBY*W315,0)</f>
        <v>0</v>
      </c>
      <c r="BU315" s="462">
        <f>IF(AND(AT315&lt;&gt;0,N315&lt;&gt;"NR"),DHRBY*W315,0)</f>
        <v>0</v>
      </c>
      <c r="BV315" s="462">
        <f>IF(AT315&lt;&gt;0,WCBY*W315,0)</f>
        <v>0</v>
      </c>
      <c r="BW315" s="462">
        <f>IF(OR(AND(AT315&lt;&gt;0,AJ315&lt;&gt;"PF",AN315&lt;&gt;"NE",AG315&lt;&gt;"A"),AND(AL315="E",OR(AT315=1,AT315=3))),SickBY*W315,0)</f>
        <v>0</v>
      </c>
      <c r="BX315" s="462">
        <f t="shared" si="75"/>
        <v>0</v>
      </c>
      <c r="BY315" s="462">
        <f t="shared" si="76"/>
        <v>0</v>
      </c>
      <c r="BZ315" s="462">
        <f t="shared" si="77"/>
        <v>0</v>
      </c>
      <c r="CA315" s="462">
        <f t="shared" si="78"/>
        <v>0</v>
      </c>
      <c r="CB315" s="462">
        <f t="shared" si="79"/>
        <v>0</v>
      </c>
      <c r="CC315" s="462">
        <f>IF(AT315&lt;&gt;0,SSHICHG*Y315,0)</f>
        <v>0</v>
      </c>
      <c r="CD315" s="462">
        <f>IF(AND(AT315&lt;&gt;0,AN315&lt;&gt;"NE"),VLOOKUP(AN315,Retirement_Rates,5,FALSE)*Y315,0)</f>
        <v>0</v>
      </c>
      <c r="CE315" s="462">
        <f>IF(AND(AT315&lt;&gt;0,AJ315&lt;&gt;"PF"),LifeCHG*Y315,0)</f>
        <v>0</v>
      </c>
      <c r="CF315" s="462">
        <f>IF(AND(AT315&lt;&gt;0,AM315="Y"),UICHG*Y315,0)</f>
        <v>0</v>
      </c>
      <c r="CG315" s="462">
        <f>IF(AND(AT315&lt;&gt;0,N315&lt;&gt;"NR"),DHRCHG*Y315,0)</f>
        <v>0</v>
      </c>
      <c r="CH315" s="462">
        <f>IF(AT315&lt;&gt;0,WCCHG*Y315,0)</f>
        <v>0</v>
      </c>
      <c r="CI315" s="462">
        <f>IF(OR(AND(AT315&lt;&gt;0,AJ315&lt;&gt;"PF",AN315&lt;&gt;"NE",AG315&lt;&gt;"A"),AND(AL315="E",OR(AT315=1,AT315=3))),SickCHG*Y315,0)</f>
        <v>0</v>
      </c>
      <c r="CJ315" s="462">
        <f t="shared" si="80"/>
        <v>0</v>
      </c>
      <c r="CK315" s="462" t="str">
        <f t="shared" si="81"/>
        <v/>
      </c>
      <c r="CL315" s="462" t="str">
        <f t="shared" si="82"/>
        <v/>
      </c>
      <c r="CM315" s="462" t="str">
        <f t="shared" si="83"/>
        <v/>
      </c>
      <c r="CN315" s="462" t="str">
        <f t="shared" si="84"/>
        <v>0330-01</v>
      </c>
    </row>
    <row r="316" spans="1:92" ht="15" thickBot="1" x14ac:dyDescent="0.35">
      <c r="A316" s="376" t="s">
        <v>161</v>
      </c>
      <c r="B316" s="376" t="s">
        <v>162</v>
      </c>
      <c r="C316" s="376" t="s">
        <v>542</v>
      </c>
      <c r="D316" s="376" t="s">
        <v>372</v>
      </c>
      <c r="E316" s="376" t="s">
        <v>931</v>
      </c>
      <c r="F316" s="382" t="s">
        <v>289</v>
      </c>
      <c r="G316" s="376" t="s">
        <v>762</v>
      </c>
      <c r="H316" s="378"/>
      <c r="I316" s="378"/>
      <c r="J316" s="376" t="s">
        <v>168</v>
      </c>
      <c r="K316" s="376" t="s">
        <v>373</v>
      </c>
      <c r="L316" s="376" t="s">
        <v>374</v>
      </c>
      <c r="M316" s="376" t="s">
        <v>170</v>
      </c>
      <c r="N316" s="376" t="s">
        <v>202</v>
      </c>
      <c r="O316" s="379">
        <v>1</v>
      </c>
      <c r="P316" s="460">
        <v>0</v>
      </c>
      <c r="Q316" s="460">
        <v>0</v>
      </c>
      <c r="R316" s="380">
        <v>80</v>
      </c>
      <c r="S316" s="460">
        <v>0</v>
      </c>
      <c r="T316" s="380">
        <v>8028.88</v>
      </c>
      <c r="U316" s="380">
        <v>0</v>
      </c>
      <c r="V316" s="380">
        <v>2809.75</v>
      </c>
      <c r="W316" s="380">
        <v>0</v>
      </c>
      <c r="X316" s="380">
        <v>0</v>
      </c>
      <c r="Y316" s="380">
        <v>0</v>
      </c>
      <c r="Z316" s="380">
        <v>0</v>
      </c>
      <c r="AA316" s="376" t="s">
        <v>543</v>
      </c>
      <c r="AB316" s="376" t="s">
        <v>544</v>
      </c>
      <c r="AC316" s="376" t="s">
        <v>231</v>
      </c>
      <c r="AD316" s="376" t="s">
        <v>545</v>
      </c>
      <c r="AE316" s="376" t="s">
        <v>373</v>
      </c>
      <c r="AF316" s="376" t="s">
        <v>378</v>
      </c>
      <c r="AG316" s="376" t="s">
        <v>177</v>
      </c>
      <c r="AH316" s="381">
        <v>41.69</v>
      </c>
      <c r="AI316" s="381">
        <v>50266.5</v>
      </c>
      <c r="AJ316" s="376" t="s">
        <v>178</v>
      </c>
      <c r="AK316" s="376" t="s">
        <v>179</v>
      </c>
      <c r="AL316" s="376" t="s">
        <v>180</v>
      </c>
      <c r="AM316" s="376" t="s">
        <v>181</v>
      </c>
      <c r="AN316" s="376" t="s">
        <v>68</v>
      </c>
      <c r="AO316" s="379">
        <v>80</v>
      </c>
      <c r="AP316" s="460">
        <v>1</v>
      </c>
      <c r="AQ316" s="460">
        <v>0</v>
      </c>
      <c r="AR316" s="458" t="s">
        <v>182</v>
      </c>
      <c r="AS316" s="462">
        <f t="shared" si="68"/>
        <v>0</v>
      </c>
      <c r="AT316">
        <f t="shared" si="69"/>
        <v>0</v>
      </c>
      <c r="AU316" s="462" t="str">
        <f>IF(AT316=0,"",IF(AND(AT316=1,M316="F",SUMIF(C2:C698,C316,AS2:AS698)&lt;=1),SUMIF(C2:C698,C316,AS2:AS698),IF(AND(AT316=1,M316="F",SUMIF(C2:C698,C316,AS2:AS698)&gt;1),1,"")))</f>
        <v/>
      </c>
      <c r="AV316" s="462" t="str">
        <f>IF(AT316=0,"",IF(AND(AT316=3,M316="F",SUMIF(C2:C698,C316,AS2:AS698)&lt;=1),SUMIF(C2:C698,C316,AS2:AS698),IF(AND(AT316=3,M316="F",SUMIF(C2:C698,C316,AS2:AS698)&gt;1),1,"")))</f>
        <v/>
      </c>
      <c r="AW316" s="462">
        <f>SUMIF(C2:C698,C316,O2:O698)</f>
        <v>6</v>
      </c>
      <c r="AX316" s="462">
        <f>IF(AND(M316="F",AS316&lt;&gt;0),SUMIF(C2:C698,C316,W2:W698),0)</f>
        <v>0</v>
      </c>
      <c r="AY316" s="462" t="str">
        <f t="shared" si="70"/>
        <v/>
      </c>
      <c r="AZ316" s="462" t="str">
        <f t="shared" si="71"/>
        <v/>
      </c>
      <c r="BA316" s="462">
        <f t="shared" si="72"/>
        <v>0</v>
      </c>
      <c r="BB316" s="462">
        <f>IF(AND(AT316=1,AK316="E",AU316&gt;=0.75,AW316=1),Health,IF(AND(AT316=1,AK316="E",AU316&gt;=0.75),Health*P316,IF(AND(AT316=1,AK316="E",AU316&gt;=0.5,AW316=1),PTHealth,IF(AND(AT316=1,AK316="E",AU316&gt;=0.5),PTHealth*P316,0))))</f>
        <v>0</v>
      </c>
      <c r="BC316" s="462">
        <f>IF(AND(AT316=3,AK316="E",AV316&gt;=0.75,AW316=1),Health,IF(AND(AT316=3,AK316="E",AV316&gt;=0.75),Health*P316,IF(AND(AT316=3,AK316="E",AV316&gt;=0.5,AW316=1),PTHealth,IF(AND(AT316=3,AK316="E",AV316&gt;=0.5),PTHealth*P316,0))))</f>
        <v>0</v>
      </c>
      <c r="BD316" s="462">
        <f>IF(AND(AT316&lt;&gt;0,AX316&gt;=MAXSSDI),SSDI*MAXSSDI*P316,IF(AT316&lt;&gt;0,SSDI*W316,0))</f>
        <v>0</v>
      </c>
      <c r="BE316" s="462">
        <f>IF(AT316&lt;&gt;0,SSHI*W316,0)</f>
        <v>0</v>
      </c>
      <c r="BF316" s="462">
        <f>IF(AND(AT316&lt;&gt;0,AN316&lt;&gt;"NE"),VLOOKUP(AN316,Retirement_Rates,3,FALSE)*W316,0)</f>
        <v>0</v>
      </c>
      <c r="BG316" s="462">
        <f>IF(AND(AT316&lt;&gt;0,AJ316&lt;&gt;"PF"),Life*W316,0)</f>
        <v>0</v>
      </c>
      <c r="BH316" s="462">
        <f>IF(AND(AT316&lt;&gt;0,AM316="Y"),UI*W316,0)</f>
        <v>0</v>
      </c>
      <c r="BI316" s="462">
        <f>IF(AND(AT316&lt;&gt;0,N316&lt;&gt;"NR"),DHR*W316,0)</f>
        <v>0</v>
      </c>
      <c r="BJ316" s="462">
        <f>IF(AT316&lt;&gt;0,WC*W316,0)</f>
        <v>0</v>
      </c>
      <c r="BK316" s="462">
        <f>IF(OR(AND(AT316&lt;&gt;0,AJ316&lt;&gt;"PF",AN316&lt;&gt;"NE",AG316&lt;&gt;"A"),AND(AL316="E",OR(AT316=1,AT316=3))),Sick*W316,0)</f>
        <v>0</v>
      </c>
      <c r="BL316" s="462">
        <f t="shared" si="73"/>
        <v>0</v>
      </c>
      <c r="BM316" s="462">
        <f t="shared" si="74"/>
        <v>0</v>
      </c>
      <c r="BN316" s="462">
        <f>IF(AND(AT316=1,AK316="E",AU316&gt;=0.75,AW316=1),HealthBY,IF(AND(AT316=1,AK316="E",AU316&gt;=0.75),HealthBY*P316,IF(AND(AT316=1,AK316="E",AU316&gt;=0.5,AW316=1),PTHealthBY,IF(AND(AT316=1,AK316="E",AU316&gt;=0.5),PTHealthBY*P316,0))))</f>
        <v>0</v>
      </c>
      <c r="BO316" s="462">
        <f>IF(AND(AT316=3,AK316="E",AV316&gt;=0.75,AW316=1),HealthBY,IF(AND(AT316=3,AK316="E",AV316&gt;=0.75),HealthBY*P316,IF(AND(AT316=3,AK316="E",AV316&gt;=0.5,AW316=1),PTHealthBY,IF(AND(AT316=3,AK316="E",AV316&gt;=0.5),PTHealthBY*P316,0))))</f>
        <v>0</v>
      </c>
      <c r="BP316" s="462">
        <f>IF(AND(AT316&lt;&gt;0,(AX316+BA316)&gt;=MAXSSDIBY),SSDIBY*MAXSSDIBY*P316,IF(AT316&lt;&gt;0,SSDIBY*W316,0))</f>
        <v>0</v>
      </c>
      <c r="BQ316" s="462">
        <f>IF(AT316&lt;&gt;0,SSHIBY*W316,0)</f>
        <v>0</v>
      </c>
      <c r="BR316" s="462">
        <f>IF(AND(AT316&lt;&gt;0,AN316&lt;&gt;"NE"),VLOOKUP(AN316,Retirement_Rates,4,FALSE)*W316,0)</f>
        <v>0</v>
      </c>
      <c r="BS316" s="462">
        <f>IF(AND(AT316&lt;&gt;0,AJ316&lt;&gt;"PF"),LifeBY*W316,0)</f>
        <v>0</v>
      </c>
      <c r="BT316" s="462">
        <f>IF(AND(AT316&lt;&gt;0,AM316="Y"),UIBY*W316,0)</f>
        <v>0</v>
      </c>
      <c r="BU316" s="462">
        <f>IF(AND(AT316&lt;&gt;0,N316&lt;&gt;"NR"),DHRBY*W316,0)</f>
        <v>0</v>
      </c>
      <c r="BV316" s="462">
        <f>IF(AT316&lt;&gt;0,WCBY*W316,0)</f>
        <v>0</v>
      </c>
      <c r="BW316" s="462">
        <f>IF(OR(AND(AT316&lt;&gt;0,AJ316&lt;&gt;"PF",AN316&lt;&gt;"NE",AG316&lt;&gt;"A"),AND(AL316="E",OR(AT316=1,AT316=3))),SickBY*W316,0)</f>
        <v>0</v>
      </c>
      <c r="BX316" s="462">
        <f t="shared" si="75"/>
        <v>0</v>
      </c>
      <c r="BY316" s="462">
        <f t="shared" si="76"/>
        <v>0</v>
      </c>
      <c r="BZ316" s="462">
        <f t="shared" si="77"/>
        <v>0</v>
      </c>
      <c r="CA316" s="462">
        <f t="shared" si="78"/>
        <v>0</v>
      </c>
      <c r="CB316" s="462">
        <f t="shared" si="79"/>
        <v>0</v>
      </c>
      <c r="CC316" s="462">
        <f>IF(AT316&lt;&gt;0,SSHICHG*Y316,0)</f>
        <v>0</v>
      </c>
      <c r="CD316" s="462">
        <f>IF(AND(AT316&lt;&gt;0,AN316&lt;&gt;"NE"),VLOOKUP(AN316,Retirement_Rates,5,FALSE)*Y316,0)</f>
        <v>0</v>
      </c>
      <c r="CE316" s="462">
        <f>IF(AND(AT316&lt;&gt;0,AJ316&lt;&gt;"PF"),LifeCHG*Y316,0)</f>
        <v>0</v>
      </c>
      <c r="CF316" s="462">
        <f>IF(AND(AT316&lt;&gt;0,AM316="Y"),UICHG*Y316,0)</f>
        <v>0</v>
      </c>
      <c r="CG316" s="462">
        <f>IF(AND(AT316&lt;&gt;0,N316&lt;&gt;"NR"),DHRCHG*Y316,0)</f>
        <v>0</v>
      </c>
      <c r="CH316" s="462">
        <f>IF(AT316&lt;&gt;0,WCCHG*Y316,0)</f>
        <v>0</v>
      </c>
      <c r="CI316" s="462">
        <f>IF(OR(AND(AT316&lt;&gt;0,AJ316&lt;&gt;"PF",AN316&lt;&gt;"NE",AG316&lt;&gt;"A"),AND(AL316="E",OR(AT316=1,AT316=3))),SickCHG*Y316,0)</f>
        <v>0</v>
      </c>
      <c r="CJ316" s="462">
        <f t="shared" si="80"/>
        <v>0</v>
      </c>
      <c r="CK316" s="462" t="str">
        <f t="shared" si="81"/>
        <v/>
      </c>
      <c r="CL316" s="462" t="str">
        <f t="shared" si="82"/>
        <v/>
      </c>
      <c r="CM316" s="462" t="str">
        <f t="shared" si="83"/>
        <v/>
      </c>
      <c r="CN316" s="462" t="str">
        <f t="shared" si="84"/>
        <v>0330-01</v>
      </c>
    </row>
    <row r="317" spans="1:92" ht="15" thickBot="1" x14ac:dyDescent="0.35">
      <c r="A317" s="376" t="s">
        <v>161</v>
      </c>
      <c r="B317" s="376" t="s">
        <v>162</v>
      </c>
      <c r="C317" s="376" t="s">
        <v>920</v>
      </c>
      <c r="D317" s="376" t="s">
        <v>362</v>
      </c>
      <c r="E317" s="376" t="s">
        <v>931</v>
      </c>
      <c r="F317" s="382" t="s">
        <v>289</v>
      </c>
      <c r="G317" s="376" t="s">
        <v>762</v>
      </c>
      <c r="H317" s="378"/>
      <c r="I317" s="378"/>
      <c r="J317" s="376" t="s">
        <v>877</v>
      </c>
      <c r="K317" s="376" t="s">
        <v>363</v>
      </c>
      <c r="L317" s="376" t="s">
        <v>200</v>
      </c>
      <c r="M317" s="376" t="s">
        <v>170</v>
      </c>
      <c r="N317" s="376" t="s">
        <v>202</v>
      </c>
      <c r="O317" s="379">
        <v>1</v>
      </c>
      <c r="P317" s="460">
        <v>0.53</v>
      </c>
      <c r="Q317" s="460">
        <v>0.53</v>
      </c>
      <c r="R317" s="380">
        <v>80</v>
      </c>
      <c r="S317" s="460">
        <v>0.53</v>
      </c>
      <c r="T317" s="380">
        <v>12852.95</v>
      </c>
      <c r="U317" s="380">
        <v>0</v>
      </c>
      <c r="V317" s="380">
        <v>6212.17</v>
      </c>
      <c r="W317" s="380">
        <v>24804</v>
      </c>
      <c r="X317" s="380">
        <v>11789.37</v>
      </c>
      <c r="Y317" s="380">
        <v>24804</v>
      </c>
      <c r="Z317" s="380">
        <v>11724.87</v>
      </c>
      <c r="AA317" s="376" t="s">
        <v>921</v>
      </c>
      <c r="AB317" s="376" t="s">
        <v>922</v>
      </c>
      <c r="AC317" s="376" t="s">
        <v>486</v>
      </c>
      <c r="AD317" s="376" t="s">
        <v>278</v>
      </c>
      <c r="AE317" s="376" t="s">
        <v>363</v>
      </c>
      <c r="AF317" s="376" t="s">
        <v>210</v>
      </c>
      <c r="AG317" s="376" t="s">
        <v>177</v>
      </c>
      <c r="AH317" s="381">
        <v>22.5</v>
      </c>
      <c r="AI317" s="379">
        <v>6896</v>
      </c>
      <c r="AJ317" s="376" t="s">
        <v>178</v>
      </c>
      <c r="AK317" s="376" t="s">
        <v>179</v>
      </c>
      <c r="AL317" s="376" t="s">
        <v>180</v>
      </c>
      <c r="AM317" s="376" t="s">
        <v>181</v>
      </c>
      <c r="AN317" s="376" t="s">
        <v>68</v>
      </c>
      <c r="AO317" s="379">
        <v>80</v>
      </c>
      <c r="AP317" s="460">
        <v>1</v>
      </c>
      <c r="AQ317" s="460">
        <v>0.53</v>
      </c>
      <c r="AR317" s="458" t="s">
        <v>182</v>
      </c>
      <c r="AS317" s="462">
        <f t="shared" si="68"/>
        <v>0.53</v>
      </c>
      <c r="AT317">
        <f t="shared" si="69"/>
        <v>1</v>
      </c>
      <c r="AU317" s="462">
        <f>IF(AT317=0,"",IF(AND(AT317=1,M317="F",SUMIF(C2:C698,C317,AS2:AS698)&lt;=1),SUMIF(C2:C698,C317,AS2:AS698),IF(AND(AT317=1,M317="F",SUMIF(C2:C698,C317,AS2:AS698)&gt;1),1,"")))</f>
        <v>1</v>
      </c>
      <c r="AV317" s="462" t="str">
        <f>IF(AT317=0,"",IF(AND(AT317=3,M317="F",SUMIF(C2:C698,C317,AS2:AS698)&lt;=1),SUMIF(C2:C698,C317,AS2:AS698),IF(AND(AT317=3,M317="F",SUMIF(C2:C698,C317,AS2:AS698)&gt;1),1,"")))</f>
        <v/>
      </c>
      <c r="AW317" s="462">
        <f>SUMIF(C2:C698,C317,O2:O698)</f>
        <v>6</v>
      </c>
      <c r="AX317" s="462">
        <f>IF(AND(M317="F",AS317&lt;&gt;0),SUMIF(C2:C698,C317,W2:W698),0)</f>
        <v>46800</v>
      </c>
      <c r="AY317" s="462">
        <f t="shared" si="70"/>
        <v>24804</v>
      </c>
      <c r="AZ317" s="462" t="str">
        <f t="shared" si="71"/>
        <v/>
      </c>
      <c r="BA317" s="462">
        <f t="shared" si="72"/>
        <v>0</v>
      </c>
      <c r="BB317" s="462">
        <f>IF(AND(AT317=1,AK317="E",AU317&gt;=0.75,AW317=1),Health,IF(AND(AT317=1,AK317="E",AU317&gt;=0.75),Health*P317,IF(AND(AT317=1,AK317="E",AU317&gt;=0.5,AW317=1),PTHealth,IF(AND(AT317=1,AK317="E",AU317&gt;=0.5),PTHealth*P317,0))))</f>
        <v>6174.5</v>
      </c>
      <c r="BC317" s="462">
        <f>IF(AND(AT317=3,AK317="E",AV317&gt;=0.75,AW317=1),Health,IF(AND(AT317=3,AK317="E",AV317&gt;=0.75),Health*P317,IF(AND(AT317=3,AK317="E",AV317&gt;=0.5,AW317=1),PTHealth,IF(AND(AT317=3,AK317="E",AV317&gt;=0.5),PTHealth*P317,0))))</f>
        <v>0</v>
      </c>
      <c r="BD317" s="462">
        <f>IF(AND(AT317&lt;&gt;0,AX317&gt;=MAXSSDI),SSDI*MAXSSDI*P317,IF(AT317&lt;&gt;0,SSDI*W317,0))</f>
        <v>1537.848</v>
      </c>
      <c r="BE317" s="462">
        <f>IF(AT317&lt;&gt;0,SSHI*W317,0)</f>
        <v>359.65800000000002</v>
      </c>
      <c r="BF317" s="462">
        <f>IF(AND(AT317&lt;&gt;0,AN317&lt;&gt;"NE"),VLOOKUP(AN317,Retirement_Rates,3,FALSE)*W317,0)</f>
        <v>2961.5976000000001</v>
      </c>
      <c r="BG317" s="462">
        <f>IF(AND(AT317&lt;&gt;0,AJ317&lt;&gt;"PF"),Life*W317,0)</f>
        <v>178.83684</v>
      </c>
      <c r="BH317" s="462">
        <f>IF(AND(AT317&lt;&gt;0,AM317="Y"),UI*W317,0)</f>
        <v>121.53959999999999</v>
      </c>
      <c r="BI317" s="462">
        <f>IF(AND(AT317&lt;&gt;0,N317&lt;&gt;"NR"),DHR*W317,0)</f>
        <v>75.900239999999997</v>
      </c>
      <c r="BJ317" s="462">
        <f>IF(AT317&lt;&gt;0,WC*W317,0)</f>
        <v>379.50119999999998</v>
      </c>
      <c r="BK317" s="462">
        <f>IF(OR(AND(AT317&lt;&gt;0,AJ317&lt;&gt;"PF",AN317&lt;&gt;"NE",AG317&lt;&gt;"A"),AND(AL317="E",OR(AT317=1,AT317=3))),Sick*W317,0)</f>
        <v>0</v>
      </c>
      <c r="BL317" s="462">
        <f t="shared" si="73"/>
        <v>5614.88148</v>
      </c>
      <c r="BM317" s="462">
        <f t="shared" si="74"/>
        <v>0</v>
      </c>
      <c r="BN317" s="462">
        <f>IF(AND(AT317=1,AK317="E",AU317&gt;=0.75,AW317=1),HealthBY,IF(AND(AT317=1,AK317="E",AU317&gt;=0.75),HealthBY*P317,IF(AND(AT317=1,AK317="E",AU317&gt;=0.5,AW317=1),PTHealthBY,IF(AND(AT317=1,AK317="E",AU317&gt;=0.5),PTHealthBY*P317,0))))</f>
        <v>6174.5</v>
      </c>
      <c r="BO317" s="462">
        <f>IF(AND(AT317=3,AK317="E",AV317&gt;=0.75,AW317=1),HealthBY,IF(AND(AT317=3,AK317="E",AV317&gt;=0.75),HealthBY*P317,IF(AND(AT317=3,AK317="E",AV317&gt;=0.5,AW317=1),PTHealthBY,IF(AND(AT317=3,AK317="E",AV317&gt;=0.5),PTHealthBY*P317,0))))</f>
        <v>0</v>
      </c>
      <c r="BP317" s="462">
        <f>IF(AND(AT317&lt;&gt;0,(AX317+BA317)&gt;=MAXSSDIBY),SSDIBY*MAXSSDIBY*P317,IF(AT317&lt;&gt;0,SSDIBY*W317,0))</f>
        <v>1537.848</v>
      </c>
      <c r="BQ317" s="462">
        <f>IF(AT317&lt;&gt;0,SSHIBY*W317,0)</f>
        <v>359.65800000000002</v>
      </c>
      <c r="BR317" s="462">
        <f>IF(AND(AT317&lt;&gt;0,AN317&lt;&gt;"NE"),VLOOKUP(AN317,Retirement_Rates,4,FALSE)*W317,0)</f>
        <v>2961.5976000000001</v>
      </c>
      <c r="BS317" s="462">
        <f>IF(AND(AT317&lt;&gt;0,AJ317&lt;&gt;"PF"),LifeBY*W317,0)</f>
        <v>178.83684</v>
      </c>
      <c r="BT317" s="462">
        <f>IF(AND(AT317&lt;&gt;0,AM317="Y"),UIBY*W317,0)</f>
        <v>0</v>
      </c>
      <c r="BU317" s="462">
        <f>IF(AND(AT317&lt;&gt;0,N317&lt;&gt;"NR"),DHRBY*W317,0)</f>
        <v>75.900239999999997</v>
      </c>
      <c r="BV317" s="462">
        <f>IF(AT317&lt;&gt;0,WCBY*W317,0)</f>
        <v>436.55040000000002</v>
      </c>
      <c r="BW317" s="462">
        <f>IF(OR(AND(AT317&lt;&gt;0,AJ317&lt;&gt;"PF",AN317&lt;&gt;"NE",AG317&lt;&gt;"A"),AND(AL317="E",OR(AT317=1,AT317=3))),SickBY*W317,0)</f>
        <v>0</v>
      </c>
      <c r="BX317" s="462">
        <f t="shared" si="75"/>
        <v>5550.3910800000003</v>
      </c>
      <c r="BY317" s="462">
        <f t="shared" si="76"/>
        <v>0</v>
      </c>
      <c r="BZ317" s="462">
        <f t="shared" si="77"/>
        <v>0</v>
      </c>
      <c r="CA317" s="462">
        <f t="shared" si="78"/>
        <v>0</v>
      </c>
      <c r="CB317" s="462">
        <f t="shared" si="79"/>
        <v>0</v>
      </c>
      <c r="CC317" s="462">
        <f>IF(AT317&lt;&gt;0,SSHICHG*Y317,0)</f>
        <v>0</v>
      </c>
      <c r="CD317" s="462">
        <f>IF(AND(AT317&lt;&gt;0,AN317&lt;&gt;"NE"),VLOOKUP(AN317,Retirement_Rates,5,FALSE)*Y317,0)</f>
        <v>0</v>
      </c>
      <c r="CE317" s="462">
        <f>IF(AND(AT317&lt;&gt;0,AJ317&lt;&gt;"PF"),LifeCHG*Y317,0)</f>
        <v>0</v>
      </c>
      <c r="CF317" s="462">
        <f>IF(AND(AT317&lt;&gt;0,AM317="Y"),UICHG*Y317,0)</f>
        <v>-121.53959999999999</v>
      </c>
      <c r="CG317" s="462">
        <f>IF(AND(AT317&lt;&gt;0,N317&lt;&gt;"NR"),DHRCHG*Y317,0)</f>
        <v>0</v>
      </c>
      <c r="CH317" s="462">
        <f>IF(AT317&lt;&gt;0,WCCHG*Y317,0)</f>
        <v>57.049200000000042</v>
      </c>
      <c r="CI317" s="462">
        <f>IF(OR(AND(AT317&lt;&gt;0,AJ317&lt;&gt;"PF",AN317&lt;&gt;"NE",AG317&lt;&gt;"A"),AND(AL317="E",OR(AT317=1,AT317=3))),SickCHG*Y317,0)</f>
        <v>0</v>
      </c>
      <c r="CJ317" s="462">
        <f t="shared" si="80"/>
        <v>-64.490399999999951</v>
      </c>
      <c r="CK317" s="462" t="str">
        <f t="shared" si="81"/>
        <v/>
      </c>
      <c r="CL317" s="462" t="str">
        <f t="shared" si="82"/>
        <v/>
      </c>
      <c r="CM317" s="462" t="str">
        <f t="shared" si="83"/>
        <v/>
      </c>
      <c r="CN317" s="462" t="str">
        <f t="shared" si="84"/>
        <v>0330-01</v>
      </c>
    </row>
    <row r="318" spans="1:92" ht="15" thickBot="1" x14ac:dyDescent="0.35">
      <c r="A318" s="376" t="s">
        <v>161</v>
      </c>
      <c r="B318" s="376" t="s">
        <v>162</v>
      </c>
      <c r="C318" s="376" t="s">
        <v>956</v>
      </c>
      <c r="D318" s="376" t="s">
        <v>761</v>
      </c>
      <c r="E318" s="376" t="s">
        <v>931</v>
      </c>
      <c r="F318" s="382" t="s">
        <v>289</v>
      </c>
      <c r="G318" s="376" t="s">
        <v>762</v>
      </c>
      <c r="H318" s="378"/>
      <c r="I318" s="378"/>
      <c r="J318" s="376" t="s">
        <v>168</v>
      </c>
      <c r="K318" s="376" t="s">
        <v>763</v>
      </c>
      <c r="L318" s="376" t="s">
        <v>166</v>
      </c>
      <c r="M318" s="376" t="s">
        <v>201</v>
      </c>
      <c r="N318" s="376" t="s">
        <v>291</v>
      </c>
      <c r="O318" s="379">
        <v>0</v>
      </c>
      <c r="P318" s="460">
        <v>1</v>
      </c>
      <c r="Q318" s="460">
        <v>0</v>
      </c>
      <c r="R318" s="380">
        <v>0</v>
      </c>
      <c r="S318" s="460">
        <v>0</v>
      </c>
      <c r="T318" s="380">
        <v>0</v>
      </c>
      <c r="U318" s="380">
        <v>0</v>
      </c>
      <c r="V318" s="380">
        <v>0</v>
      </c>
      <c r="W318" s="380">
        <v>0</v>
      </c>
      <c r="X318" s="380">
        <v>0</v>
      </c>
      <c r="Y318" s="380">
        <v>0</v>
      </c>
      <c r="Z318" s="380">
        <v>0</v>
      </c>
      <c r="AA318" s="378"/>
      <c r="AB318" s="376" t="s">
        <v>45</v>
      </c>
      <c r="AC318" s="376" t="s">
        <v>45</v>
      </c>
      <c r="AD318" s="378"/>
      <c r="AE318" s="378"/>
      <c r="AF318" s="378"/>
      <c r="AG318" s="378"/>
      <c r="AH318" s="379">
        <v>0</v>
      </c>
      <c r="AI318" s="379">
        <v>0</v>
      </c>
      <c r="AJ318" s="378"/>
      <c r="AK318" s="378"/>
      <c r="AL318" s="376" t="s">
        <v>180</v>
      </c>
      <c r="AM318" s="378"/>
      <c r="AN318" s="378"/>
      <c r="AO318" s="379">
        <v>0</v>
      </c>
      <c r="AP318" s="460">
        <v>0</v>
      </c>
      <c r="AQ318" s="460">
        <v>0</v>
      </c>
      <c r="AR318" s="459"/>
      <c r="AS318" s="462">
        <f t="shared" si="68"/>
        <v>0</v>
      </c>
      <c r="AT318">
        <f t="shared" si="69"/>
        <v>0</v>
      </c>
      <c r="AU318" s="462" t="str">
        <f>IF(AT318=0,"",IF(AND(AT318=1,M318="F",SUMIF(C2:C698,C318,AS2:AS698)&lt;=1),SUMIF(C2:C698,C318,AS2:AS698),IF(AND(AT318=1,M318="F",SUMIF(C2:C698,C318,AS2:AS698)&gt;1),1,"")))</f>
        <v/>
      </c>
      <c r="AV318" s="462" t="str">
        <f>IF(AT318=0,"",IF(AND(AT318=3,M318="F",SUMIF(C2:C698,C318,AS2:AS698)&lt;=1),SUMIF(C2:C698,C318,AS2:AS698),IF(AND(AT318=3,M318="F",SUMIF(C2:C698,C318,AS2:AS698)&gt;1),1,"")))</f>
        <v/>
      </c>
      <c r="AW318" s="462">
        <f>SUMIF(C2:C698,C318,O2:O698)</f>
        <v>0</v>
      </c>
      <c r="AX318" s="462">
        <f>IF(AND(M318="F",AS318&lt;&gt;0),SUMIF(C2:C698,C318,W2:W698),0)</f>
        <v>0</v>
      </c>
      <c r="AY318" s="462" t="str">
        <f t="shared" si="70"/>
        <v/>
      </c>
      <c r="AZ318" s="462" t="str">
        <f t="shared" si="71"/>
        <v/>
      </c>
      <c r="BA318" s="462">
        <f t="shared" si="72"/>
        <v>0</v>
      </c>
      <c r="BB318" s="462">
        <f>IF(AND(AT318=1,AK318="E",AU318&gt;=0.75,AW318=1),Health,IF(AND(AT318=1,AK318="E",AU318&gt;=0.75),Health*P318,IF(AND(AT318=1,AK318="E",AU318&gt;=0.5,AW318=1),PTHealth,IF(AND(AT318=1,AK318="E",AU318&gt;=0.5),PTHealth*P318,0))))</f>
        <v>0</v>
      </c>
      <c r="BC318" s="462">
        <f>IF(AND(AT318=3,AK318="E",AV318&gt;=0.75,AW318=1),Health,IF(AND(AT318=3,AK318="E",AV318&gt;=0.75),Health*P318,IF(AND(AT318=3,AK318="E",AV318&gt;=0.5,AW318=1),PTHealth,IF(AND(AT318=3,AK318="E",AV318&gt;=0.5),PTHealth*P318,0))))</f>
        <v>0</v>
      </c>
      <c r="BD318" s="462">
        <f>IF(AND(AT318&lt;&gt;0,AX318&gt;=MAXSSDI),SSDI*MAXSSDI*P318,IF(AT318&lt;&gt;0,SSDI*W318,0))</f>
        <v>0</v>
      </c>
      <c r="BE318" s="462">
        <f>IF(AT318&lt;&gt;0,SSHI*W318,0)</f>
        <v>0</v>
      </c>
      <c r="BF318" s="462">
        <f>IF(AND(AT318&lt;&gt;0,AN318&lt;&gt;"NE"),VLOOKUP(AN318,Retirement_Rates,3,FALSE)*W318,0)</f>
        <v>0</v>
      </c>
      <c r="BG318" s="462">
        <f>IF(AND(AT318&lt;&gt;0,AJ318&lt;&gt;"PF"),Life*W318,0)</f>
        <v>0</v>
      </c>
      <c r="BH318" s="462">
        <f>IF(AND(AT318&lt;&gt;0,AM318="Y"),UI*W318,0)</f>
        <v>0</v>
      </c>
      <c r="BI318" s="462">
        <f>IF(AND(AT318&lt;&gt;0,N318&lt;&gt;"NR"),DHR*W318,0)</f>
        <v>0</v>
      </c>
      <c r="BJ318" s="462">
        <f>IF(AT318&lt;&gt;0,WC*W318,0)</f>
        <v>0</v>
      </c>
      <c r="BK318" s="462">
        <f>IF(OR(AND(AT318&lt;&gt;0,AJ318&lt;&gt;"PF",AN318&lt;&gt;"NE",AG318&lt;&gt;"A"),AND(AL318="E",OR(AT318=1,AT318=3))),Sick*W318,0)</f>
        <v>0</v>
      </c>
      <c r="BL318" s="462">
        <f t="shared" si="73"/>
        <v>0</v>
      </c>
      <c r="BM318" s="462">
        <f t="shared" si="74"/>
        <v>0</v>
      </c>
      <c r="BN318" s="462">
        <f>IF(AND(AT318=1,AK318="E",AU318&gt;=0.75,AW318=1),HealthBY,IF(AND(AT318=1,AK318="E",AU318&gt;=0.75),HealthBY*P318,IF(AND(AT318=1,AK318="E",AU318&gt;=0.5,AW318=1),PTHealthBY,IF(AND(AT318=1,AK318="E",AU318&gt;=0.5),PTHealthBY*P318,0))))</f>
        <v>0</v>
      </c>
      <c r="BO318" s="462">
        <f>IF(AND(AT318=3,AK318="E",AV318&gt;=0.75,AW318=1),HealthBY,IF(AND(AT318=3,AK318="E",AV318&gt;=0.75),HealthBY*P318,IF(AND(AT318=3,AK318="E",AV318&gt;=0.5,AW318=1),PTHealthBY,IF(AND(AT318=3,AK318="E",AV318&gt;=0.5),PTHealthBY*P318,0))))</f>
        <v>0</v>
      </c>
      <c r="BP318" s="462">
        <f>IF(AND(AT318&lt;&gt;0,(AX318+BA318)&gt;=MAXSSDIBY),SSDIBY*MAXSSDIBY*P318,IF(AT318&lt;&gt;0,SSDIBY*W318,0))</f>
        <v>0</v>
      </c>
      <c r="BQ318" s="462">
        <f>IF(AT318&lt;&gt;0,SSHIBY*W318,0)</f>
        <v>0</v>
      </c>
      <c r="BR318" s="462">
        <f>IF(AND(AT318&lt;&gt;0,AN318&lt;&gt;"NE"),VLOOKUP(AN318,Retirement_Rates,4,FALSE)*W318,0)</f>
        <v>0</v>
      </c>
      <c r="BS318" s="462">
        <f>IF(AND(AT318&lt;&gt;0,AJ318&lt;&gt;"PF"),LifeBY*W318,0)</f>
        <v>0</v>
      </c>
      <c r="BT318" s="462">
        <f>IF(AND(AT318&lt;&gt;0,AM318="Y"),UIBY*W318,0)</f>
        <v>0</v>
      </c>
      <c r="BU318" s="462">
        <f>IF(AND(AT318&lt;&gt;0,N318&lt;&gt;"NR"),DHRBY*W318,0)</f>
        <v>0</v>
      </c>
      <c r="BV318" s="462">
        <f>IF(AT318&lt;&gt;0,WCBY*W318,0)</f>
        <v>0</v>
      </c>
      <c r="BW318" s="462">
        <f>IF(OR(AND(AT318&lt;&gt;0,AJ318&lt;&gt;"PF",AN318&lt;&gt;"NE",AG318&lt;&gt;"A"),AND(AL318="E",OR(AT318=1,AT318=3))),SickBY*W318,0)</f>
        <v>0</v>
      </c>
      <c r="BX318" s="462">
        <f t="shared" si="75"/>
        <v>0</v>
      </c>
      <c r="BY318" s="462">
        <f t="shared" si="76"/>
        <v>0</v>
      </c>
      <c r="BZ318" s="462">
        <f t="shared" si="77"/>
        <v>0</v>
      </c>
      <c r="CA318" s="462">
        <f t="shared" si="78"/>
        <v>0</v>
      </c>
      <c r="CB318" s="462">
        <f t="shared" si="79"/>
        <v>0</v>
      </c>
      <c r="CC318" s="462">
        <f>IF(AT318&lt;&gt;0,SSHICHG*Y318,0)</f>
        <v>0</v>
      </c>
      <c r="CD318" s="462">
        <f>IF(AND(AT318&lt;&gt;0,AN318&lt;&gt;"NE"),VLOOKUP(AN318,Retirement_Rates,5,FALSE)*Y318,0)</f>
        <v>0</v>
      </c>
      <c r="CE318" s="462">
        <f>IF(AND(AT318&lt;&gt;0,AJ318&lt;&gt;"PF"),LifeCHG*Y318,0)</f>
        <v>0</v>
      </c>
      <c r="CF318" s="462">
        <f>IF(AND(AT318&lt;&gt;0,AM318="Y"),UICHG*Y318,0)</f>
        <v>0</v>
      </c>
      <c r="CG318" s="462">
        <f>IF(AND(AT318&lt;&gt;0,N318&lt;&gt;"NR"),DHRCHG*Y318,0)</f>
        <v>0</v>
      </c>
      <c r="CH318" s="462">
        <f>IF(AT318&lt;&gt;0,WCCHG*Y318,0)</f>
        <v>0</v>
      </c>
      <c r="CI318" s="462">
        <f>IF(OR(AND(AT318&lt;&gt;0,AJ318&lt;&gt;"PF",AN318&lt;&gt;"NE",AG318&lt;&gt;"A"),AND(AL318="E",OR(AT318=1,AT318=3))),SickCHG*Y318,0)</f>
        <v>0</v>
      </c>
      <c r="CJ318" s="462">
        <f t="shared" si="80"/>
        <v>0</v>
      </c>
      <c r="CK318" s="462" t="str">
        <f t="shared" si="81"/>
        <v/>
      </c>
      <c r="CL318" s="462">
        <f t="shared" si="82"/>
        <v>0</v>
      </c>
      <c r="CM318" s="462">
        <f t="shared" si="83"/>
        <v>0</v>
      </c>
      <c r="CN318" s="462" t="str">
        <f t="shared" si="84"/>
        <v>0330-01</v>
      </c>
    </row>
    <row r="319" spans="1:92" ht="15" thickBot="1" x14ac:dyDescent="0.35">
      <c r="A319" s="376" t="s">
        <v>161</v>
      </c>
      <c r="B319" s="376" t="s">
        <v>162</v>
      </c>
      <c r="C319" s="376" t="s">
        <v>923</v>
      </c>
      <c r="D319" s="376" t="s">
        <v>362</v>
      </c>
      <c r="E319" s="376" t="s">
        <v>931</v>
      </c>
      <c r="F319" s="382" t="s">
        <v>289</v>
      </c>
      <c r="G319" s="376" t="s">
        <v>762</v>
      </c>
      <c r="H319" s="378"/>
      <c r="I319" s="378"/>
      <c r="J319" s="376" t="s">
        <v>168</v>
      </c>
      <c r="K319" s="376" t="s">
        <v>363</v>
      </c>
      <c r="L319" s="376" t="s">
        <v>200</v>
      </c>
      <c r="M319" s="376" t="s">
        <v>170</v>
      </c>
      <c r="N319" s="376" t="s">
        <v>202</v>
      </c>
      <c r="O319" s="379">
        <v>1</v>
      </c>
      <c r="P319" s="460">
        <v>0</v>
      </c>
      <c r="Q319" s="460">
        <v>0</v>
      </c>
      <c r="R319" s="380">
        <v>80</v>
      </c>
      <c r="S319" s="460">
        <v>0</v>
      </c>
      <c r="T319" s="380">
        <v>28526.21</v>
      </c>
      <c r="U319" s="380">
        <v>0</v>
      </c>
      <c r="V319" s="380">
        <v>13788.83</v>
      </c>
      <c r="W319" s="380">
        <v>0</v>
      </c>
      <c r="X319" s="380">
        <v>0</v>
      </c>
      <c r="Y319" s="380">
        <v>0</v>
      </c>
      <c r="Z319" s="380">
        <v>0</v>
      </c>
      <c r="AA319" s="376" t="s">
        <v>924</v>
      </c>
      <c r="AB319" s="376" t="s">
        <v>925</v>
      </c>
      <c r="AC319" s="376" t="s">
        <v>926</v>
      </c>
      <c r="AD319" s="376" t="s">
        <v>177</v>
      </c>
      <c r="AE319" s="376" t="s">
        <v>363</v>
      </c>
      <c r="AF319" s="376" t="s">
        <v>210</v>
      </c>
      <c r="AG319" s="376" t="s">
        <v>177</v>
      </c>
      <c r="AH319" s="381">
        <v>22.5</v>
      </c>
      <c r="AI319" s="381">
        <v>13298.5</v>
      </c>
      <c r="AJ319" s="376" t="s">
        <v>178</v>
      </c>
      <c r="AK319" s="376" t="s">
        <v>179</v>
      </c>
      <c r="AL319" s="376" t="s">
        <v>180</v>
      </c>
      <c r="AM319" s="376" t="s">
        <v>181</v>
      </c>
      <c r="AN319" s="376" t="s">
        <v>68</v>
      </c>
      <c r="AO319" s="379">
        <v>80</v>
      </c>
      <c r="AP319" s="460">
        <v>1</v>
      </c>
      <c r="AQ319" s="460">
        <v>0</v>
      </c>
      <c r="AR319" s="458" t="s">
        <v>182</v>
      </c>
      <c r="AS319" s="462">
        <f t="shared" si="68"/>
        <v>0</v>
      </c>
      <c r="AT319">
        <f t="shared" si="69"/>
        <v>0</v>
      </c>
      <c r="AU319" s="462" t="str">
        <f>IF(AT319=0,"",IF(AND(AT319=1,M319="F",SUMIF(C2:C698,C319,AS2:AS698)&lt;=1),SUMIF(C2:C698,C319,AS2:AS698),IF(AND(AT319=1,M319="F",SUMIF(C2:C698,C319,AS2:AS698)&gt;1),1,"")))</f>
        <v/>
      </c>
      <c r="AV319" s="462" t="str">
        <f>IF(AT319=0,"",IF(AND(AT319=3,M319="F",SUMIF(C2:C698,C319,AS2:AS698)&lt;=1),SUMIF(C2:C698,C319,AS2:AS698),IF(AND(AT319=3,M319="F",SUMIF(C2:C698,C319,AS2:AS698)&gt;1),1,"")))</f>
        <v/>
      </c>
      <c r="AW319" s="462">
        <f>SUMIF(C2:C698,C319,O2:O698)</f>
        <v>9</v>
      </c>
      <c r="AX319" s="462">
        <f>IF(AND(M319="F",AS319&lt;&gt;0),SUMIF(C2:C698,C319,W2:W698),0)</f>
        <v>0</v>
      </c>
      <c r="AY319" s="462" t="str">
        <f t="shared" si="70"/>
        <v/>
      </c>
      <c r="AZ319" s="462" t="str">
        <f t="shared" si="71"/>
        <v/>
      </c>
      <c r="BA319" s="462">
        <f t="shared" si="72"/>
        <v>0</v>
      </c>
      <c r="BB319" s="462">
        <f>IF(AND(AT319=1,AK319="E",AU319&gt;=0.75,AW319=1),Health,IF(AND(AT319=1,AK319="E",AU319&gt;=0.75),Health*P319,IF(AND(AT319=1,AK319="E",AU319&gt;=0.5,AW319=1),PTHealth,IF(AND(AT319=1,AK319="E",AU319&gt;=0.5),PTHealth*P319,0))))</f>
        <v>0</v>
      </c>
      <c r="BC319" s="462">
        <f>IF(AND(AT319=3,AK319="E",AV319&gt;=0.75,AW319=1),Health,IF(AND(AT319=3,AK319="E",AV319&gt;=0.75),Health*P319,IF(AND(AT319=3,AK319="E",AV319&gt;=0.5,AW319=1),PTHealth,IF(AND(AT319=3,AK319="E",AV319&gt;=0.5),PTHealth*P319,0))))</f>
        <v>0</v>
      </c>
      <c r="BD319" s="462">
        <f>IF(AND(AT319&lt;&gt;0,AX319&gt;=MAXSSDI),SSDI*MAXSSDI*P319,IF(AT319&lt;&gt;0,SSDI*W319,0))</f>
        <v>0</v>
      </c>
      <c r="BE319" s="462">
        <f>IF(AT319&lt;&gt;0,SSHI*W319,0)</f>
        <v>0</v>
      </c>
      <c r="BF319" s="462">
        <f>IF(AND(AT319&lt;&gt;0,AN319&lt;&gt;"NE"),VLOOKUP(AN319,Retirement_Rates,3,FALSE)*W319,0)</f>
        <v>0</v>
      </c>
      <c r="BG319" s="462">
        <f>IF(AND(AT319&lt;&gt;0,AJ319&lt;&gt;"PF"),Life*W319,0)</f>
        <v>0</v>
      </c>
      <c r="BH319" s="462">
        <f>IF(AND(AT319&lt;&gt;0,AM319="Y"),UI*W319,0)</f>
        <v>0</v>
      </c>
      <c r="BI319" s="462">
        <f>IF(AND(AT319&lt;&gt;0,N319&lt;&gt;"NR"),DHR*W319,0)</f>
        <v>0</v>
      </c>
      <c r="BJ319" s="462">
        <f>IF(AT319&lt;&gt;0,WC*W319,0)</f>
        <v>0</v>
      </c>
      <c r="BK319" s="462">
        <f>IF(OR(AND(AT319&lt;&gt;0,AJ319&lt;&gt;"PF",AN319&lt;&gt;"NE",AG319&lt;&gt;"A"),AND(AL319="E",OR(AT319=1,AT319=3))),Sick*W319,0)</f>
        <v>0</v>
      </c>
      <c r="BL319" s="462">
        <f t="shared" si="73"/>
        <v>0</v>
      </c>
      <c r="BM319" s="462">
        <f t="shared" si="74"/>
        <v>0</v>
      </c>
      <c r="BN319" s="462">
        <f>IF(AND(AT319=1,AK319="E",AU319&gt;=0.75,AW319=1),HealthBY,IF(AND(AT319=1,AK319="E",AU319&gt;=0.75),HealthBY*P319,IF(AND(AT319=1,AK319="E",AU319&gt;=0.5,AW319=1),PTHealthBY,IF(AND(AT319=1,AK319="E",AU319&gt;=0.5),PTHealthBY*P319,0))))</f>
        <v>0</v>
      </c>
      <c r="BO319" s="462">
        <f>IF(AND(AT319=3,AK319="E",AV319&gt;=0.75,AW319=1),HealthBY,IF(AND(AT319=3,AK319="E",AV319&gt;=0.75),HealthBY*P319,IF(AND(AT319=3,AK319="E",AV319&gt;=0.5,AW319=1),PTHealthBY,IF(AND(AT319=3,AK319="E",AV319&gt;=0.5),PTHealthBY*P319,0))))</f>
        <v>0</v>
      </c>
      <c r="BP319" s="462">
        <f>IF(AND(AT319&lt;&gt;0,(AX319+BA319)&gt;=MAXSSDIBY),SSDIBY*MAXSSDIBY*P319,IF(AT319&lt;&gt;0,SSDIBY*W319,0))</f>
        <v>0</v>
      </c>
      <c r="BQ319" s="462">
        <f>IF(AT319&lt;&gt;0,SSHIBY*W319,0)</f>
        <v>0</v>
      </c>
      <c r="BR319" s="462">
        <f>IF(AND(AT319&lt;&gt;0,AN319&lt;&gt;"NE"),VLOOKUP(AN319,Retirement_Rates,4,FALSE)*W319,0)</f>
        <v>0</v>
      </c>
      <c r="BS319" s="462">
        <f>IF(AND(AT319&lt;&gt;0,AJ319&lt;&gt;"PF"),LifeBY*W319,0)</f>
        <v>0</v>
      </c>
      <c r="BT319" s="462">
        <f>IF(AND(AT319&lt;&gt;0,AM319="Y"),UIBY*W319,0)</f>
        <v>0</v>
      </c>
      <c r="BU319" s="462">
        <f>IF(AND(AT319&lt;&gt;0,N319&lt;&gt;"NR"),DHRBY*W319,0)</f>
        <v>0</v>
      </c>
      <c r="BV319" s="462">
        <f>IF(AT319&lt;&gt;0,WCBY*W319,0)</f>
        <v>0</v>
      </c>
      <c r="BW319" s="462">
        <f>IF(OR(AND(AT319&lt;&gt;0,AJ319&lt;&gt;"PF",AN319&lt;&gt;"NE",AG319&lt;&gt;"A"),AND(AL319="E",OR(AT319=1,AT319=3))),SickBY*W319,0)</f>
        <v>0</v>
      </c>
      <c r="BX319" s="462">
        <f t="shared" si="75"/>
        <v>0</v>
      </c>
      <c r="BY319" s="462">
        <f t="shared" si="76"/>
        <v>0</v>
      </c>
      <c r="BZ319" s="462">
        <f t="shared" si="77"/>
        <v>0</v>
      </c>
      <c r="CA319" s="462">
        <f t="shared" si="78"/>
        <v>0</v>
      </c>
      <c r="CB319" s="462">
        <f t="shared" si="79"/>
        <v>0</v>
      </c>
      <c r="CC319" s="462">
        <f>IF(AT319&lt;&gt;0,SSHICHG*Y319,0)</f>
        <v>0</v>
      </c>
      <c r="CD319" s="462">
        <f>IF(AND(AT319&lt;&gt;0,AN319&lt;&gt;"NE"),VLOOKUP(AN319,Retirement_Rates,5,FALSE)*Y319,0)</f>
        <v>0</v>
      </c>
      <c r="CE319" s="462">
        <f>IF(AND(AT319&lt;&gt;0,AJ319&lt;&gt;"PF"),LifeCHG*Y319,0)</f>
        <v>0</v>
      </c>
      <c r="CF319" s="462">
        <f>IF(AND(AT319&lt;&gt;0,AM319="Y"),UICHG*Y319,0)</f>
        <v>0</v>
      </c>
      <c r="CG319" s="462">
        <f>IF(AND(AT319&lt;&gt;0,N319&lt;&gt;"NR"),DHRCHG*Y319,0)</f>
        <v>0</v>
      </c>
      <c r="CH319" s="462">
        <f>IF(AT319&lt;&gt;0,WCCHG*Y319,0)</f>
        <v>0</v>
      </c>
      <c r="CI319" s="462">
        <f>IF(OR(AND(AT319&lt;&gt;0,AJ319&lt;&gt;"PF",AN319&lt;&gt;"NE",AG319&lt;&gt;"A"),AND(AL319="E",OR(AT319=1,AT319=3))),SickCHG*Y319,0)</f>
        <v>0</v>
      </c>
      <c r="CJ319" s="462">
        <f t="shared" si="80"/>
        <v>0</v>
      </c>
      <c r="CK319" s="462" t="str">
        <f t="shared" si="81"/>
        <v/>
      </c>
      <c r="CL319" s="462" t="str">
        <f t="shared" si="82"/>
        <v/>
      </c>
      <c r="CM319" s="462" t="str">
        <f t="shared" si="83"/>
        <v/>
      </c>
      <c r="CN319" s="462" t="str">
        <f t="shared" si="84"/>
        <v>0330-01</v>
      </c>
    </row>
    <row r="320" spans="1:92" ht="15" thickBot="1" x14ac:dyDescent="0.35">
      <c r="A320" s="376" t="s">
        <v>161</v>
      </c>
      <c r="B320" s="376" t="s">
        <v>162</v>
      </c>
      <c r="C320" s="376" t="s">
        <v>957</v>
      </c>
      <c r="D320" s="376" t="s">
        <v>287</v>
      </c>
      <c r="E320" s="376" t="s">
        <v>931</v>
      </c>
      <c r="F320" s="382" t="s">
        <v>289</v>
      </c>
      <c r="G320" s="376" t="s">
        <v>762</v>
      </c>
      <c r="H320" s="378"/>
      <c r="I320" s="378"/>
      <c r="J320" s="376" t="s">
        <v>168</v>
      </c>
      <c r="K320" s="376" t="s">
        <v>290</v>
      </c>
      <c r="L320" s="376" t="s">
        <v>166</v>
      </c>
      <c r="M320" s="376" t="s">
        <v>201</v>
      </c>
      <c r="N320" s="376" t="s">
        <v>291</v>
      </c>
      <c r="O320" s="379">
        <v>0</v>
      </c>
      <c r="P320" s="460">
        <v>1</v>
      </c>
      <c r="Q320" s="460">
        <v>0</v>
      </c>
      <c r="R320" s="380">
        <v>0</v>
      </c>
      <c r="S320" s="460">
        <v>0</v>
      </c>
      <c r="T320" s="380">
        <v>0</v>
      </c>
      <c r="U320" s="380">
        <v>0</v>
      </c>
      <c r="V320" s="380">
        <v>0</v>
      </c>
      <c r="W320" s="380">
        <v>0</v>
      </c>
      <c r="X320" s="380">
        <v>0</v>
      </c>
      <c r="Y320" s="380">
        <v>0</v>
      </c>
      <c r="Z320" s="380">
        <v>0</v>
      </c>
      <c r="AA320" s="378"/>
      <c r="AB320" s="376" t="s">
        <v>45</v>
      </c>
      <c r="AC320" s="376" t="s">
        <v>45</v>
      </c>
      <c r="AD320" s="378"/>
      <c r="AE320" s="378"/>
      <c r="AF320" s="378"/>
      <c r="AG320" s="378"/>
      <c r="AH320" s="379">
        <v>0</v>
      </c>
      <c r="AI320" s="379">
        <v>0</v>
      </c>
      <c r="AJ320" s="378"/>
      <c r="AK320" s="378"/>
      <c r="AL320" s="376" t="s">
        <v>180</v>
      </c>
      <c r="AM320" s="378"/>
      <c r="AN320" s="378"/>
      <c r="AO320" s="379">
        <v>0</v>
      </c>
      <c r="AP320" s="460">
        <v>0</v>
      </c>
      <c r="AQ320" s="460">
        <v>0</v>
      </c>
      <c r="AR320" s="459"/>
      <c r="AS320" s="462">
        <f t="shared" si="68"/>
        <v>0</v>
      </c>
      <c r="AT320">
        <f t="shared" si="69"/>
        <v>0</v>
      </c>
      <c r="AU320" s="462" t="str">
        <f>IF(AT320=0,"",IF(AND(AT320=1,M320="F",SUMIF(C2:C698,C320,AS2:AS698)&lt;=1),SUMIF(C2:C698,C320,AS2:AS698),IF(AND(AT320=1,M320="F",SUMIF(C2:C698,C320,AS2:AS698)&gt;1),1,"")))</f>
        <v/>
      </c>
      <c r="AV320" s="462" t="str">
        <f>IF(AT320=0,"",IF(AND(AT320=3,M320="F",SUMIF(C2:C698,C320,AS2:AS698)&lt;=1),SUMIF(C2:C698,C320,AS2:AS698),IF(AND(AT320=3,M320="F",SUMIF(C2:C698,C320,AS2:AS698)&gt;1),1,"")))</f>
        <v/>
      </c>
      <c r="AW320" s="462">
        <f>SUMIF(C2:C698,C320,O2:O698)</f>
        <v>0</v>
      </c>
      <c r="AX320" s="462">
        <f>IF(AND(M320="F",AS320&lt;&gt;0),SUMIF(C2:C698,C320,W2:W698),0)</f>
        <v>0</v>
      </c>
      <c r="AY320" s="462" t="str">
        <f t="shared" si="70"/>
        <v/>
      </c>
      <c r="AZ320" s="462" t="str">
        <f t="shared" si="71"/>
        <v/>
      </c>
      <c r="BA320" s="462">
        <f t="shared" si="72"/>
        <v>0</v>
      </c>
      <c r="BB320" s="462">
        <f>IF(AND(AT320=1,AK320="E",AU320&gt;=0.75,AW320=1),Health,IF(AND(AT320=1,AK320="E",AU320&gt;=0.75),Health*P320,IF(AND(AT320=1,AK320="E",AU320&gt;=0.5,AW320=1),PTHealth,IF(AND(AT320=1,AK320="E",AU320&gt;=0.5),PTHealth*P320,0))))</f>
        <v>0</v>
      </c>
      <c r="BC320" s="462">
        <f>IF(AND(AT320=3,AK320="E",AV320&gt;=0.75,AW320=1),Health,IF(AND(AT320=3,AK320="E",AV320&gt;=0.75),Health*P320,IF(AND(AT320=3,AK320="E",AV320&gt;=0.5,AW320=1),PTHealth,IF(AND(AT320=3,AK320="E",AV320&gt;=0.5),PTHealth*P320,0))))</f>
        <v>0</v>
      </c>
      <c r="BD320" s="462">
        <f>IF(AND(AT320&lt;&gt;0,AX320&gt;=MAXSSDI),SSDI*MAXSSDI*P320,IF(AT320&lt;&gt;0,SSDI*W320,0))</f>
        <v>0</v>
      </c>
      <c r="BE320" s="462">
        <f>IF(AT320&lt;&gt;0,SSHI*W320,0)</f>
        <v>0</v>
      </c>
      <c r="BF320" s="462">
        <f>IF(AND(AT320&lt;&gt;0,AN320&lt;&gt;"NE"),VLOOKUP(AN320,Retirement_Rates,3,FALSE)*W320,0)</f>
        <v>0</v>
      </c>
      <c r="BG320" s="462">
        <f>IF(AND(AT320&lt;&gt;0,AJ320&lt;&gt;"PF"),Life*W320,0)</f>
        <v>0</v>
      </c>
      <c r="BH320" s="462">
        <f>IF(AND(AT320&lt;&gt;0,AM320="Y"),UI*W320,0)</f>
        <v>0</v>
      </c>
      <c r="BI320" s="462">
        <f>IF(AND(AT320&lt;&gt;0,N320&lt;&gt;"NR"),DHR*W320,0)</f>
        <v>0</v>
      </c>
      <c r="BJ320" s="462">
        <f>IF(AT320&lt;&gt;0,WC*W320,0)</f>
        <v>0</v>
      </c>
      <c r="BK320" s="462">
        <f>IF(OR(AND(AT320&lt;&gt;0,AJ320&lt;&gt;"PF",AN320&lt;&gt;"NE",AG320&lt;&gt;"A"),AND(AL320="E",OR(AT320=1,AT320=3))),Sick*W320,0)</f>
        <v>0</v>
      </c>
      <c r="BL320" s="462">
        <f t="shared" si="73"/>
        <v>0</v>
      </c>
      <c r="BM320" s="462">
        <f t="shared" si="74"/>
        <v>0</v>
      </c>
      <c r="BN320" s="462">
        <f>IF(AND(AT320=1,AK320="E",AU320&gt;=0.75,AW320=1),HealthBY,IF(AND(AT320=1,AK320="E",AU320&gt;=0.75),HealthBY*P320,IF(AND(AT320=1,AK320="E",AU320&gt;=0.5,AW320=1),PTHealthBY,IF(AND(AT320=1,AK320="E",AU320&gt;=0.5),PTHealthBY*P320,0))))</f>
        <v>0</v>
      </c>
      <c r="BO320" s="462">
        <f>IF(AND(AT320=3,AK320="E",AV320&gt;=0.75,AW320=1),HealthBY,IF(AND(AT320=3,AK320="E",AV320&gt;=0.75),HealthBY*P320,IF(AND(AT320=3,AK320="E",AV320&gt;=0.5,AW320=1),PTHealthBY,IF(AND(AT320=3,AK320="E",AV320&gt;=0.5),PTHealthBY*P320,0))))</f>
        <v>0</v>
      </c>
      <c r="BP320" s="462">
        <f>IF(AND(AT320&lt;&gt;0,(AX320+BA320)&gt;=MAXSSDIBY),SSDIBY*MAXSSDIBY*P320,IF(AT320&lt;&gt;0,SSDIBY*W320,0))</f>
        <v>0</v>
      </c>
      <c r="BQ320" s="462">
        <f>IF(AT320&lt;&gt;0,SSHIBY*W320,0)</f>
        <v>0</v>
      </c>
      <c r="BR320" s="462">
        <f>IF(AND(AT320&lt;&gt;0,AN320&lt;&gt;"NE"),VLOOKUP(AN320,Retirement_Rates,4,FALSE)*W320,0)</f>
        <v>0</v>
      </c>
      <c r="BS320" s="462">
        <f>IF(AND(AT320&lt;&gt;0,AJ320&lt;&gt;"PF"),LifeBY*W320,0)</f>
        <v>0</v>
      </c>
      <c r="BT320" s="462">
        <f>IF(AND(AT320&lt;&gt;0,AM320="Y"),UIBY*W320,0)</f>
        <v>0</v>
      </c>
      <c r="BU320" s="462">
        <f>IF(AND(AT320&lt;&gt;0,N320&lt;&gt;"NR"),DHRBY*W320,0)</f>
        <v>0</v>
      </c>
      <c r="BV320" s="462">
        <f>IF(AT320&lt;&gt;0,WCBY*W320,0)</f>
        <v>0</v>
      </c>
      <c r="BW320" s="462">
        <f>IF(OR(AND(AT320&lt;&gt;0,AJ320&lt;&gt;"PF",AN320&lt;&gt;"NE",AG320&lt;&gt;"A"),AND(AL320="E",OR(AT320=1,AT320=3))),SickBY*W320,0)</f>
        <v>0</v>
      </c>
      <c r="BX320" s="462">
        <f t="shared" si="75"/>
        <v>0</v>
      </c>
      <c r="BY320" s="462">
        <f t="shared" si="76"/>
        <v>0</v>
      </c>
      <c r="BZ320" s="462">
        <f t="shared" si="77"/>
        <v>0</v>
      </c>
      <c r="CA320" s="462">
        <f t="shared" si="78"/>
        <v>0</v>
      </c>
      <c r="CB320" s="462">
        <f t="shared" si="79"/>
        <v>0</v>
      </c>
      <c r="CC320" s="462">
        <f>IF(AT320&lt;&gt;0,SSHICHG*Y320,0)</f>
        <v>0</v>
      </c>
      <c r="CD320" s="462">
        <f>IF(AND(AT320&lt;&gt;0,AN320&lt;&gt;"NE"),VLOOKUP(AN320,Retirement_Rates,5,FALSE)*Y320,0)</f>
        <v>0</v>
      </c>
      <c r="CE320" s="462">
        <f>IF(AND(AT320&lt;&gt;0,AJ320&lt;&gt;"PF"),LifeCHG*Y320,0)</f>
        <v>0</v>
      </c>
      <c r="CF320" s="462">
        <f>IF(AND(AT320&lt;&gt;0,AM320="Y"),UICHG*Y320,0)</f>
        <v>0</v>
      </c>
      <c r="CG320" s="462">
        <f>IF(AND(AT320&lt;&gt;0,N320&lt;&gt;"NR"),DHRCHG*Y320,0)</f>
        <v>0</v>
      </c>
      <c r="CH320" s="462">
        <f>IF(AT320&lt;&gt;0,WCCHG*Y320,0)</f>
        <v>0</v>
      </c>
      <c r="CI320" s="462">
        <f>IF(OR(AND(AT320&lt;&gt;0,AJ320&lt;&gt;"PF",AN320&lt;&gt;"NE",AG320&lt;&gt;"A"),AND(AL320="E",OR(AT320=1,AT320=3))),SickCHG*Y320,0)</f>
        <v>0</v>
      </c>
      <c r="CJ320" s="462">
        <f t="shared" si="80"/>
        <v>0</v>
      </c>
      <c r="CK320" s="462" t="str">
        <f t="shared" si="81"/>
        <v/>
      </c>
      <c r="CL320" s="462">
        <f t="shared" si="82"/>
        <v>0</v>
      </c>
      <c r="CM320" s="462">
        <f t="shared" si="83"/>
        <v>0</v>
      </c>
      <c r="CN320" s="462" t="str">
        <f t="shared" si="84"/>
        <v>0330-01</v>
      </c>
    </row>
    <row r="321" spans="1:92" ht="15" thickBot="1" x14ac:dyDescent="0.35">
      <c r="A321" s="376" t="s">
        <v>161</v>
      </c>
      <c r="B321" s="376" t="s">
        <v>162</v>
      </c>
      <c r="C321" s="376" t="s">
        <v>958</v>
      </c>
      <c r="D321" s="376" t="s">
        <v>858</v>
      </c>
      <c r="E321" s="376" t="s">
        <v>931</v>
      </c>
      <c r="F321" s="382" t="s">
        <v>344</v>
      </c>
      <c r="G321" s="376" t="s">
        <v>762</v>
      </c>
      <c r="H321" s="378"/>
      <c r="I321" s="378"/>
      <c r="J321" s="376" t="s">
        <v>168</v>
      </c>
      <c r="K321" s="376" t="s">
        <v>859</v>
      </c>
      <c r="L321" s="376" t="s">
        <v>166</v>
      </c>
      <c r="M321" s="376" t="s">
        <v>170</v>
      </c>
      <c r="N321" s="376" t="s">
        <v>291</v>
      </c>
      <c r="O321" s="379">
        <v>0</v>
      </c>
      <c r="P321" s="460">
        <v>0</v>
      </c>
      <c r="Q321" s="460">
        <v>0</v>
      </c>
      <c r="R321" s="380">
        <v>0</v>
      </c>
      <c r="S321" s="460">
        <v>0</v>
      </c>
      <c r="T321" s="380">
        <v>11.55</v>
      </c>
      <c r="U321" s="380">
        <v>0</v>
      </c>
      <c r="V321" s="380">
        <v>6.22</v>
      </c>
      <c r="W321" s="380">
        <v>0</v>
      </c>
      <c r="X321" s="380">
        <v>0</v>
      </c>
      <c r="Y321" s="380">
        <v>0</v>
      </c>
      <c r="Z321" s="380">
        <v>0</v>
      </c>
      <c r="AA321" s="378"/>
      <c r="AB321" s="376" t="s">
        <v>45</v>
      </c>
      <c r="AC321" s="376" t="s">
        <v>45</v>
      </c>
      <c r="AD321" s="378"/>
      <c r="AE321" s="378"/>
      <c r="AF321" s="378"/>
      <c r="AG321" s="378"/>
      <c r="AH321" s="379">
        <v>0</v>
      </c>
      <c r="AI321" s="379">
        <v>0</v>
      </c>
      <c r="AJ321" s="378"/>
      <c r="AK321" s="378"/>
      <c r="AL321" s="376" t="s">
        <v>180</v>
      </c>
      <c r="AM321" s="378"/>
      <c r="AN321" s="378"/>
      <c r="AO321" s="379">
        <v>0</v>
      </c>
      <c r="AP321" s="460">
        <v>0</v>
      </c>
      <c r="AQ321" s="460">
        <v>0</v>
      </c>
      <c r="AR321" s="459"/>
      <c r="AS321" s="462">
        <f t="shared" si="68"/>
        <v>0</v>
      </c>
      <c r="AT321">
        <f t="shared" si="69"/>
        <v>0</v>
      </c>
      <c r="AU321" s="462" t="str">
        <f>IF(AT321=0,"",IF(AND(AT321=1,M321="F",SUMIF(C2:C698,C321,AS2:AS698)&lt;=1),SUMIF(C2:C698,C321,AS2:AS698),IF(AND(AT321=1,M321="F",SUMIF(C2:C698,C321,AS2:AS698)&gt;1),1,"")))</f>
        <v/>
      </c>
      <c r="AV321" s="462" t="str">
        <f>IF(AT321=0,"",IF(AND(AT321=3,M321="F",SUMIF(C2:C698,C321,AS2:AS698)&lt;=1),SUMIF(C2:C698,C321,AS2:AS698),IF(AND(AT321=3,M321="F",SUMIF(C2:C698,C321,AS2:AS698)&gt;1),1,"")))</f>
        <v/>
      </c>
      <c r="AW321" s="462">
        <f>SUMIF(C2:C698,C321,O2:O698)</f>
        <v>0</v>
      </c>
      <c r="AX321" s="462">
        <f>IF(AND(M321="F",AS321&lt;&gt;0),SUMIF(C2:C698,C321,W2:W698),0)</f>
        <v>0</v>
      </c>
      <c r="AY321" s="462" t="str">
        <f t="shared" si="70"/>
        <v/>
      </c>
      <c r="AZ321" s="462" t="str">
        <f t="shared" si="71"/>
        <v/>
      </c>
      <c r="BA321" s="462">
        <f t="shared" si="72"/>
        <v>0</v>
      </c>
      <c r="BB321" s="462">
        <f>IF(AND(AT321=1,AK321="E",AU321&gt;=0.75,AW321=1),Health,IF(AND(AT321=1,AK321="E",AU321&gt;=0.75),Health*P321,IF(AND(AT321=1,AK321="E",AU321&gt;=0.5,AW321=1),PTHealth,IF(AND(AT321=1,AK321="E",AU321&gt;=0.5),PTHealth*P321,0))))</f>
        <v>0</v>
      </c>
      <c r="BC321" s="462">
        <f>IF(AND(AT321=3,AK321="E",AV321&gt;=0.75,AW321=1),Health,IF(AND(AT321=3,AK321="E",AV321&gt;=0.75),Health*P321,IF(AND(AT321=3,AK321="E",AV321&gt;=0.5,AW321=1),PTHealth,IF(AND(AT321=3,AK321="E",AV321&gt;=0.5),PTHealth*P321,0))))</f>
        <v>0</v>
      </c>
      <c r="BD321" s="462">
        <f>IF(AND(AT321&lt;&gt;0,AX321&gt;=MAXSSDI),SSDI*MAXSSDI*P321,IF(AT321&lt;&gt;0,SSDI*W321,0))</f>
        <v>0</v>
      </c>
      <c r="BE321" s="462">
        <f>IF(AT321&lt;&gt;0,SSHI*W321,0)</f>
        <v>0</v>
      </c>
      <c r="BF321" s="462">
        <f>IF(AND(AT321&lt;&gt;0,AN321&lt;&gt;"NE"),VLOOKUP(AN321,Retirement_Rates,3,FALSE)*W321,0)</f>
        <v>0</v>
      </c>
      <c r="BG321" s="462">
        <f>IF(AND(AT321&lt;&gt;0,AJ321&lt;&gt;"PF"),Life*W321,0)</f>
        <v>0</v>
      </c>
      <c r="BH321" s="462">
        <f>IF(AND(AT321&lt;&gt;0,AM321="Y"),UI*W321,0)</f>
        <v>0</v>
      </c>
      <c r="BI321" s="462">
        <f>IF(AND(AT321&lt;&gt;0,N321&lt;&gt;"NR"),DHR*W321,0)</f>
        <v>0</v>
      </c>
      <c r="BJ321" s="462">
        <f>IF(AT321&lt;&gt;0,WC*W321,0)</f>
        <v>0</v>
      </c>
      <c r="BK321" s="462">
        <f>IF(OR(AND(AT321&lt;&gt;0,AJ321&lt;&gt;"PF",AN321&lt;&gt;"NE",AG321&lt;&gt;"A"),AND(AL321="E",OR(AT321=1,AT321=3))),Sick*W321,0)</f>
        <v>0</v>
      </c>
      <c r="BL321" s="462">
        <f t="shared" si="73"/>
        <v>0</v>
      </c>
      <c r="BM321" s="462">
        <f t="shared" si="74"/>
        <v>0</v>
      </c>
      <c r="BN321" s="462">
        <f>IF(AND(AT321=1,AK321="E",AU321&gt;=0.75,AW321=1),HealthBY,IF(AND(AT321=1,AK321="E",AU321&gt;=0.75),HealthBY*P321,IF(AND(AT321=1,AK321="E",AU321&gt;=0.5,AW321=1),PTHealthBY,IF(AND(AT321=1,AK321="E",AU321&gt;=0.5),PTHealthBY*P321,0))))</f>
        <v>0</v>
      </c>
      <c r="BO321" s="462">
        <f>IF(AND(AT321=3,AK321="E",AV321&gt;=0.75,AW321=1),HealthBY,IF(AND(AT321=3,AK321="E",AV321&gt;=0.75),HealthBY*P321,IF(AND(AT321=3,AK321="E",AV321&gt;=0.5,AW321=1),PTHealthBY,IF(AND(AT321=3,AK321="E",AV321&gt;=0.5),PTHealthBY*P321,0))))</f>
        <v>0</v>
      </c>
      <c r="BP321" s="462">
        <f>IF(AND(AT321&lt;&gt;0,(AX321+BA321)&gt;=MAXSSDIBY),SSDIBY*MAXSSDIBY*P321,IF(AT321&lt;&gt;0,SSDIBY*W321,0))</f>
        <v>0</v>
      </c>
      <c r="BQ321" s="462">
        <f>IF(AT321&lt;&gt;0,SSHIBY*W321,0)</f>
        <v>0</v>
      </c>
      <c r="BR321" s="462">
        <f>IF(AND(AT321&lt;&gt;0,AN321&lt;&gt;"NE"),VLOOKUP(AN321,Retirement_Rates,4,FALSE)*W321,0)</f>
        <v>0</v>
      </c>
      <c r="BS321" s="462">
        <f>IF(AND(AT321&lt;&gt;0,AJ321&lt;&gt;"PF"),LifeBY*W321,0)</f>
        <v>0</v>
      </c>
      <c r="BT321" s="462">
        <f>IF(AND(AT321&lt;&gt;0,AM321="Y"),UIBY*W321,0)</f>
        <v>0</v>
      </c>
      <c r="BU321" s="462">
        <f>IF(AND(AT321&lt;&gt;0,N321&lt;&gt;"NR"),DHRBY*W321,0)</f>
        <v>0</v>
      </c>
      <c r="BV321" s="462">
        <f>IF(AT321&lt;&gt;0,WCBY*W321,0)</f>
        <v>0</v>
      </c>
      <c r="BW321" s="462">
        <f>IF(OR(AND(AT321&lt;&gt;0,AJ321&lt;&gt;"PF",AN321&lt;&gt;"NE",AG321&lt;&gt;"A"),AND(AL321="E",OR(AT321=1,AT321=3))),SickBY*W321,0)</f>
        <v>0</v>
      </c>
      <c r="BX321" s="462">
        <f t="shared" si="75"/>
        <v>0</v>
      </c>
      <c r="BY321" s="462">
        <f t="shared" si="76"/>
        <v>0</v>
      </c>
      <c r="BZ321" s="462">
        <f t="shared" si="77"/>
        <v>0</v>
      </c>
      <c r="CA321" s="462">
        <f t="shared" si="78"/>
        <v>0</v>
      </c>
      <c r="CB321" s="462">
        <f t="shared" si="79"/>
        <v>0</v>
      </c>
      <c r="CC321" s="462">
        <f>IF(AT321&lt;&gt;0,SSHICHG*Y321,0)</f>
        <v>0</v>
      </c>
      <c r="CD321" s="462">
        <f>IF(AND(AT321&lt;&gt;0,AN321&lt;&gt;"NE"),VLOOKUP(AN321,Retirement_Rates,5,FALSE)*Y321,0)</f>
        <v>0</v>
      </c>
      <c r="CE321" s="462">
        <f>IF(AND(AT321&lt;&gt;0,AJ321&lt;&gt;"PF"),LifeCHG*Y321,0)</f>
        <v>0</v>
      </c>
      <c r="CF321" s="462">
        <f>IF(AND(AT321&lt;&gt;0,AM321="Y"),UICHG*Y321,0)</f>
        <v>0</v>
      </c>
      <c r="CG321" s="462">
        <f>IF(AND(AT321&lt;&gt;0,N321&lt;&gt;"NR"),DHRCHG*Y321,0)</f>
        <v>0</v>
      </c>
      <c r="CH321" s="462">
        <f>IF(AT321&lt;&gt;0,WCCHG*Y321,0)</f>
        <v>0</v>
      </c>
      <c r="CI321" s="462">
        <f>IF(OR(AND(AT321&lt;&gt;0,AJ321&lt;&gt;"PF",AN321&lt;&gt;"NE",AG321&lt;&gt;"A"),AND(AL321="E",OR(AT321=1,AT321=3))),SickCHG*Y321,0)</f>
        <v>0</v>
      </c>
      <c r="CJ321" s="462">
        <f t="shared" si="80"/>
        <v>0</v>
      </c>
      <c r="CK321" s="462" t="str">
        <f t="shared" si="81"/>
        <v/>
      </c>
      <c r="CL321" s="462">
        <f t="shared" si="82"/>
        <v>11.55</v>
      </c>
      <c r="CM321" s="462">
        <f t="shared" si="83"/>
        <v>6.22</v>
      </c>
      <c r="CN321" s="462" t="str">
        <f t="shared" si="84"/>
        <v>0330-02</v>
      </c>
    </row>
    <row r="322" spans="1:92" ht="15" thickBot="1" x14ac:dyDescent="0.35">
      <c r="A322" s="376" t="s">
        <v>161</v>
      </c>
      <c r="B322" s="376" t="s">
        <v>162</v>
      </c>
      <c r="C322" s="376" t="s">
        <v>412</v>
      </c>
      <c r="D322" s="376" t="s">
        <v>287</v>
      </c>
      <c r="E322" s="376" t="s">
        <v>931</v>
      </c>
      <c r="F322" s="382" t="s">
        <v>344</v>
      </c>
      <c r="G322" s="376" t="s">
        <v>762</v>
      </c>
      <c r="H322" s="378"/>
      <c r="I322" s="378"/>
      <c r="J322" s="376" t="s">
        <v>168</v>
      </c>
      <c r="K322" s="376" t="s">
        <v>290</v>
      </c>
      <c r="L322" s="376" t="s">
        <v>166</v>
      </c>
      <c r="M322" s="376" t="s">
        <v>201</v>
      </c>
      <c r="N322" s="376" t="s">
        <v>291</v>
      </c>
      <c r="O322" s="379">
        <v>0</v>
      </c>
      <c r="P322" s="460">
        <v>1</v>
      </c>
      <c r="Q322" s="460">
        <v>0</v>
      </c>
      <c r="R322" s="380">
        <v>0</v>
      </c>
      <c r="S322" s="460">
        <v>0</v>
      </c>
      <c r="T322" s="380">
        <v>0</v>
      </c>
      <c r="U322" s="380">
        <v>0</v>
      </c>
      <c r="V322" s="380">
        <v>0</v>
      </c>
      <c r="W322" s="380">
        <v>10905</v>
      </c>
      <c r="X322" s="380">
        <v>1085.0899999999999</v>
      </c>
      <c r="Y322" s="380">
        <v>10905</v>
      </c>
      <c r="Z322" s="380">
        <v>1085.0899999999999</v>
      </c>
      <c r="AA322" s="378"/>
      <c r="AB322" s="376" t="s">
        <v>45</v>
      </c>
      <c r="AC322" s="376" t="s">
        <v>45</v>
      </c>
      <c r="AD322" s="378"/>
      <c r="AE322" s="378"/>
      <c r="AF322" s="378"/>
      <c r="AG322" s="378"/>
      <c r="AH322" s="379">
        <v>0</v>
      </c>
      <c r="AI322" s="379">
        <v>0</v>
      </c>
      <c r="AJ322" s="378"/>
      <c r="AK322" s="378"/>
      <c r="AL322" s="376" t="s">
        <v>180</v>
      </c>
      <c r="AM322" s="378"/>
      <c r="AN322" s="378"/>
      <c r="AO322" s="379">
        <v>0</v>
      </c>
      <c r="AP322" s="460">
        <v>0</v>
      </c>
      <c r="AQ322" s="460">
        <v>0</v>
      </c>
      <c r="AR322" s="459"/>
      <c r="AS322" s="462">
        <f t="shared" si="68"/>
        <v>0</v>
      </c>
      <c r="AT322">
        <f t="shared" si="69"/>
        <v>0</v>
      </c>
      <c r="AU322" s="462" t="str">
        <f>IF(AT322=0,"",IF(AND(AT322=1,M322="F",SUMIF(C2:C698,C322,AS2:AS698)&lt;=1),SUMIF(C2:C698,C322,AS2:AS698),IF(AND(AT322=1,M322="F",SUMIF(C2:C698,C322,AS2:AS698)&gt;1),1,"")))</f>
        <v/>
      </c>
      <c r="AV322" s="462" t="str">
        <f>IF(AT322=0,"",IF(AND(AT322=3,M322="F",SUMIF(C2:C698,C322,AS2:AS698)&lt;=1),SUMIF(C2:C698,C322,AS2:AS698),IF(AND(AT322=3,M322="F",SUMIF(C2:C698,C322,AS2:AS698)&gt;1),1,"")))</f>
        <v/>
      </c>
      <c r="AW322" s="462">
        <f>SUMIF(C2:C698,C322,O2:O698)</f>
        <v>0</v>
      </c>
      <c r="AX322" s="462">
        <f>IF(AND(M322="F",AS322&lt;&gt;0),SUMIF(C2:C698,C322,W2:W698),0)</f>
        <v>0</v>
      </c>
      <c r="AY322" s="462" t="str">
        <f t="shared" si="70"/>
        <v/>
      </c>
      <c r="AZ322" s="462" t="str">
        <f t="shared" si="71"/>
        <v/>
      </c>
      <c r="BA322" s="462">
        <f t="shared" si="72"/>
        <v>0</v>
      </c>
      <c r="BB322" s="462">
        <f>IF(AND(AT322=1,AK322="E",AU322&gt;=0.75,AW322=1),Health,IF(AND(AT322=1,AK322="E",AU322&gt;=0.75),Health*P322,IF(AND(AT322=1,AK322="E",AU322&gt;=0.5,AW322=1),PTHealth,IF(AND(AT322=1,AK322="E",AU322&gt;=0.5),PTHealth*P322,0))))</f>
        <v>0</v>
      </c>
      <c r="BC322" s="462">
        <f>IF(AND(AT322=3,AK322="E",AV322&gt;=0.75,AW322=1),Health,IF(AND(AT322=3,AK322="E",AV322&gt;=0.75),Health*P322,IF(AND(AT322=3,AK322="E",AV322&gt;=0.5,AW322=1),PTHealth,IF(AND(AT322=3,AK322="E",AV322&gt;=0.5),PTHealth*P322,0))))</f>
        <v>0</v>
      </c>
      <c r="BD322" s="462">
        <f>IF(AND(AT322&lt;&gt;0,AX322&gt;=MAXSSDI),SSDI*MAXSSDI*P322,IF(AT322&lt;&gt;0,SSDI*W322,0))</f>
        <v>0</v>
      </c>
      <c r="BE322" s="462">
        <f>IF(AT322&lt;&gt;0,SSHI*W322,0)</f>
        <v>0</v>
      </c>
      <c r="BF322" s="462">
        <f>IF(AND(AT322&lt;&gt;0,AN322&lt;&gt;"NE"),VLOOKUP(AN322,Retirement_Rates,3,FALSE)*W322,0)</f>
        <v>0</v>
      </c>
      <c r="BG322" s="462">
        <f>IF(AND(AT322&lt;&gt;0,AJ322&lt;&gt;"PF"),Life*W322,0)</f>
        <v>0</v>
      </c>
      <c r="BH322" s="462">
        <f>IF(AND(AT322&lt;&gt;0,AM322="Y"),UI*W322,0)</f>
        <v>0</v>
      </c>
      <c r="BI322" s="462">
        <f>IF(AND(AT322&lt;&gt;0,N322&lt;&gt;"NR"),DHR*W322,0)</f>
        <v>0</v>
      </c>
      <c r="BJ322" s="462">
        <f>IF(AT322&lt;&gt;0,WC*W322,0)</f>
        <v>0</v>
      </c>
      <c r="BK322" s="462">
        <f>IF(OR(AND(AT322&lt;&gt;0,AJ322&lt;&gt;"PF",AN322&lt;&gt;"NE",AG322&lt;&gt;"A"),AND(AL322="E",OR(AT322=1,AT322=3))),Sick*W322,0)</f>
        <v>0</v>
      </c>
      <c r="BL322" s="462">
        <f t="shared" si="73"/>
        <v>0</v>
      </c>
      <c r="BM322" s="462">
        <f t="shared" si="74"/>
        <v>0</v>
      </c>
      <c r="BN322" s="462">
        <f>IF(AND(AT322=1,AK322="E",AU322&gt;=0.75,AW322=1),HealthBY,IF(AND(AT322=1,AK322="E",AU322&gt;=0.75),HealthBY*P322,IF(AND(AT322=1,AK322="E",AU322&gt;=0.5,AW322=1),PTHealthBY,IF(AND(AT322=1,AK322="E",AU322&gt;=0.5),PTHealthBY*P322,0))))</f>
        <v>0</v>
      </c>
      <c r="BO322" s="462">
        <f>IF(AND(AT322=3,AK322="E",AV322&gt;=0.75,AW322=1),HealthBY,IF(AND(AT322=3,AK322="E",AV322&gt;=0.75),HealthBY*P322,IF(AND(AT322=3,AK322="E",AV322&gt;=0.5,AW322=1),PTHealthBY,IF(AND(AT322=3,AK322="E",AV322&gt;=0.5),PTHealthBY*P322,0))))</f>
        <v>0</v>
      </c>
      <c r="BP322" s="462">
        <f>IF(AND(AT322&lt;&gt;0,(AX322+BA322)&gt;=MAXSSDIBY),SSDIBY*MAXSSDIBY*P322,IF(AT322&lt;&gt;0,SSDIBY*W322,0))</f>
        <v>0</v>
      </c>
      <c r="BQ322" s="462">
        <f>IF(AT322&lt;&gt;0,SSHIBY*W322,0)</f>
        <v>0</v>
      </c>
      <c r="BR322" s="462">
        <f>IF(AND(AT322&lt;&gt;0,AN322&lt;&gt;"NE"),VLOOKUP(AN322,Retirement_Rates,4,FALSE)*W322,0)</f>
        <v>0</v>
      </c>
      <c r="BS322" s="462">
        <f>IF(AND(AT322&lt;&gt;0,AJ322&lt;&gt;"PF"),LifeBY*W322,0)</f>
        <v>0</v>
      </c>
      <c r="BT322" s="462">
        <f>IF(AND(AT322&lt;&gt;0,AM322="Y"),UIBY*W322,0)</f>
        <v>0</v>
      </c>
      <c r="BU322" s="462">
        <f>IF(AND(AT322&lt;&gt;0,N322&lt;&gt;"NR"),DHRBY*W322,0)</f>
        <v>0</v>
      </c>
      <c r="BV322" s="462">
        <f>IF(AT322&lt;&gt;0,WCBY*W322,0)</f>
        <v>0</v>
      </c>
      <c r="BW322" s="462">
        <f>IF(OR(AND(AT322&lt;&gt;0,AJ322&lt;&gt;"PF",AN322&lt;&gt;"NE",AG322&lt;&gt;"A"),AND(AL322="E",OR(AT322=1,AT322=3))),SickBY*W322,0)</f>
        <v>0</v>
      </c>
      <c r="BX322" s="462">
        <f t="shared" si="75"/>
        <v>0</v>
      </c>
      <c r="BY322" s="462">
        <f t="shared" si="76"/>
        <v>0</v>
      </c>
      <c r="BZ322" s="462">
        <f t="shared" si="77"/>
        <v>0</v>
      </c>
      <c r="CA322" s="462">
        <f t="shared" si="78"/>
        <v>0</v>
      </c>
      <c r="CB322" s="462">
        <f t="shared" si="79"/>
        <v>0</v>
      </c>
      <c r="CC322" s="462">
        <f>IF(AT322&lt;&gt;0,SSHICHG*Y322,0)</f>
        <v>0</v>
      </c>
      <c r="CD322" s="462">
        <f>IF(AND(AT322&lt;&gt;0,AN322&lt;&gt;"NE"),VLOOKUP(AN322,Retirement_Rates,5,FALSE)*Y322,0)</f>
        <v>0</v>
      </c>
      <c r="CE322" s="462">
        <f>IF(AND(AT322&lt;&gt;0,AJ322&lt;&gt;"PF"),LifeCHG*Y322,0)</f>
        <v>0</v>
      </c>
      <c r="CF322" s="462">
        <f>IF(AND(AT322&lt;&gt;0,AM322="Y"),UICHG*Y322,0)</f>
        <v>0</v>
      </c>
      <c r="CG322" s="462">
        <f>IF(AND(AT322&lt;&gt;0,N322&lt;&gt;"NR"),DHRCHG*Y322,0)</f>
        <v>0</v>
      </c>
      <c r="CH322" s="462">
        <f>IF(AT322&lt;&gt;0,WCCHG*Y322,0)</f>
        <v>0</v>
      </c>
      <c r="CI322" s="462">
        <f>IF(OR(AND(AT322&lt;&gt;0,AJ322&lt;&gt;"PF",AN322&lt;&gt;"NE",AG322&lt;&gt;"A"),AND(AL322="E",OR(AT322=1,AT322=3))),SickCHG*Y322,0)</f>
        <v>0</v>
      </c>
      <c r="CJ322" s="462">
        <f t="shared" si="80"/>
        <v>0</v>
      </c>
      <c r="CK322" s="462" t="str">
        <f t="shared" si="81"/>
        <v/>
      </c>
      <c r="CL322" s="462">
        <f t="shared" si="82"/>
        <v>0</v>
      </c>
      <c r="CM322" s="462">
        <f t="shared" si="83"/>
        <v>0</v>
      </c>
      <c r="CN322" s="462" t="str">
        <f t="shared" si="84"/>
        <v>0330-02</v>
      </c>
    </row>
    <row r="323" spans="1:92" ht="15" thickBot="1" x14ac:dyDescent="0.35">
      <c r="A323" s="376" t="s">
        <v>161</v>
      </c>
      <c r="B323" s="376" t="s">
        <v>162</v>
      </c>
      <c r="C323" s="376" t="s">
        <v>826</v>
      </c>
      <c r="D323" s="376" t="s">
        <v>791</v>
      </c>
      <c r="E323" s="376" t="s">
        <v>931</v>
      </c>
      <c r="F323" s="382" t="s">
        <v>344</v>
      </c>
      <c r="G323" s="376" t="s">
        <v>762</v>
      </c>
      <c r="H323" s="378"/>
      <c r="I323" s="378"/>
      <c r="J323" s="376" t="s">
        <v>168</v>
      </c>
      <c r="K323" s="376" t="s">
        <v>792</v>
      </c>
      <c r="L323" s="376" t="s">
        <v>200</v>
      </c>
      <c r="M323" s="376" t="s">
        <v>170</v>
      </c>
      <c r="N323" s="376" t="s">
        <v>202</v>
      </c>
      <c r="O323" s="379">
        <v>1</v>
      </c>
      <c r="P323" s="460">
        <v>0</v>
      </c>
      <c r="Q323" s="460">
        <v>0</v>
      </c>
      <c r="R323" s="380">
        <v>80</v>
      </c>
      <c r="S323" s="460">
        <v>0</v>
      </c>
      <c r="T323" s="380">
        <v>48000</v>
      </c>
      <c r="U323" s="380">
        <v>0</v>
      </c>
      <c r="V323" s="380">
        <v>11281.2</v>
      </c>
      <c r="W323" s="380">
        <v>0</v>
      </c>
      <c r="X323" s="380">
        <v>0</v>
      </c>
      <c r="Y323" s="380">
        <v>0</v>
      </c>
      <c r="Z323" s="380">
        <v>0</v>
      </c>
      <c r="AA323" s="376" t="s">
        <v>827</v>
      </c>
      <c r="AB323" s="376" t="s">
        <v>828</v>
      </c>
      <c r="AC323" s="376" t="s">
        <v>829</v>
      </c>
      <c r="AD323" s="376" t="s">
        <v>374</v>
      </c>
      <c r="AE323" s="376" t="s">
        <v>792</v>
      </c>
      <c r="AF323" s="376" t="s">
        <v>210</v>
      </c>
      <c r="AG323" s="376" t="s">
        <v>177</v>
      </c>
      <c r="AH323" s="381">
        <v>28.32</v>
      </c>
      <c r="AI323" s="381">
        <v>36799.699999999997</v>
      </c>
      <c r="AJ323" s="376" t="s">
        <v>313</v>
      </c>
      <c r="AK323" s="376" t="s">
        <v>179</v>
      </c>
      <c r="AL323" s="376" t="s">
        <v>180</v>
      </c>
      <c r="AM323" s="376" t="s">
        <v>181</v>
      </c>
      <c r="AN323" s="376" t="s">
        <v>68</v>
      </c>
      <c r="AO323" s="379">
        <v>70</v>
      </c>
      <c r="AP323" s="460">
        <v>1</v>
      </c>
      <c r="AQ323" s="460">
        <v>0</v>
      </c>
      <c r="AR323" s="458" t="s">
        <v>182</v>
      </c>
      <c r="AS323" s="462">
        <f t="shared" ref="AS323:AS386" si="85">IF(((AO323/80)*AP323*P323)&gt;1,AQ323,((AO323/80)*AP323*P323))</f>
        <v>0</v>
      </c>
      <c r="AT323">
        <f t="shared" ref="AT323:AT386" si="86">IF(AND(M323="F",N323&lt;&gt;"NG",AS323&lt;&gt;0,AND(AR323&lt;&gt;6,AR323&lt;&gt;36,AR323&lt;&gt;56),AG323&lt;&gt;"A",OR(AG323="H",AJ323="FS")),1,IF(AND(M323="F",N323&lt;&gt;"NG",AS323&lt;&gt;0,AG323="A"),3,0))</f>
        <v>0</v>
      </c>
      <c r="AU323" s="462" t="str">
        <f>IF(AT323=0,"",IF(AND(AT323=1,M323="F",SUMIF(C2:C698,C323,AS2:AS698)&lt;=1),SUMIF(C2:C698,C323,AS2:AS698),IF(AND(AT323=1,M323="F",SUMIF(C2:C698,C323,AS2:AS698)&gt;1),1,"")))</f>
        <v/>
      </c>
      <c r="AV323" s="462" t="str">
        <f>IF(AT323=0,"",IF(AND(AT323=3,M323="F",SUMIF(C2:C698,C323,AS2:AS698)&lt;=1),SUMIF(C2:C698,C323,AS2:AS698),IF(AND(AT323=3,M323="F",SUMIF(C2:C698,C323,AS2:AS698)&gt;1),1,"")))</f>
        <v/>
      </c>
      <c r="AW323" s="462">
        <f>SUMIF(C2:C698,C323,O2:O698)</f>
        <v>3</v>
      </c>
      <c r="AX323" s="462">
        <f>IF(AND(M323="F",AS323&lt;&gt;0),SUMIF(C2:C698,C323,W2:W698),0)</f>
        <v>0</v>
      </c>
      <c r="AY323" s="462" t="str">
        <f t="shared" ref="AY323:AY386" si="87">IF(AT323=1,W323,"")</f>
        <v/>
      </c>
      <c r="AZ323" s="462" t="str">
        <f t="shared" ref="AZ323:AZ386" si="88">IF(AT323=3,W323,"")</f>
        <v/>
      </c>
      <c r="BA323" s="462">
        <f t="shared" ref="BA323:BA386" si="89">IF(AT323=1,Y323-W323,0)</f>
        <v>0</v>
      </c>
      <c r="BB323" s="462">
        <f>IF(AND(AT323=1,AK323="E",AU323&gt;=0.75,AW323=1),Health,IF(AND(AT323=1,AK323="E",AU323&gt;=0.75),Health*P323,IF(AND(AT323=1,AK323="E",AU323&gt;=0.5,AW323=1),PTHealth,IF(AND(AT323=1,AK323="E",AU323&gt;=0.5),PTHealth*P323,0))))</f>
        <v>0</v>
      </c>
      <c r="BC323" s="462">
        <f>IF(AND(AT323=3,AK323="E",AV323&gt;=0.75,AW323=1),Health,IF(AND(AT323=3,AK323="E",AV323&gt;=0.75),Health*P323,IF(AND(AT323=3,AK323="E",AV323&gt;=0.5,AW323=1),PTHealth,IF(AND(AT323=3,AK323="E",AV323&gt;=0.5),PTHealth*P323,0))))</f>
        <v>0</v>
      </c>
      <c r="BD323" s="462">
        <f>IF(AND(AT323&lt;&gt;0,AX323&gt;=MAXSSDI),SSDI*MAXSSDI*P323,IF(AT323&lt;&gt;0,SSDI*W323,0))</f>
        <v>0</v>
      </c>
      <c r="BE323" s="462">
        <f>IF(AT323&lt;&gt;0,SSHI*W323,0)</f>
        <v>0</v>
      </c>
      <c r="BF323" s="462">
        <f>IF(AND(AT323&lt;&gt;0,AN323&lt;&gt;"NE"),VLOOKUP(AN323,Retirement_Rates,3,FALSE)*W323,0)</f>
        <v>0</v>
      </c>
      <c r="BG323" s="462">
        <f>IF(AND(AT323&lt;&gt;0,AJ323&lt;&gt;"PF"),Life*W323,0)</f>
        <v>0</v>
      </c>
      <c r="BH323" s="462">
        <f>IF(AND(AT323&lt;&gt;0,AM323="Y"),UI*W323,0)</f>
        <v>0</v>
      </c>
      <c r="BI323" s="462">
        <f>IF(AND(AT323&lt;&gt;0,N323&lt;&gt;"NR"),DHR*W323,0)</f>
        <v>0</v>
      </c>
      <c r="BJ323" s="462">
        <f>IF(AT323&lt;&gt;0,WC*W323,0)</f>
        <v>0</v>
      </c>
      <c r="BK323" s="462">
        <f>IF(OR(AND(AT323&lt;&gt;0,AJ323&lt;&gt;"PF",AN323&lt;&gt;"NE",AG323&lt;&gt;"A"),AND(AL323="E",OR(AT323=1,AT323=3))),Sick*W323,0)</f>
        <v>0</v>
      </c>
      <c r="BL323" s="462">
        <f t="shared" ref="BL323:BL386" si="90">IF(AT323=1,SUM(BD323:BK323),0)</f>
        <v>0</v>
      </c>
      <c r="BM323" s="462">
        <f t="shared" ref="BM323:BM386" si="91">IF(AT323=3,SUM(BD323:BK323),0)</f>
        <v>0</v>
      </c>
      <c r="BN323" s="462">
        <f>IF(AND(AT323=1,AK323="E",AU323&gt;=0.75,AW323=1),HealthBY,IF(AND(AT323=1,AK323="E",AU323&gt;=0.75),HealthBY*P323,IF(AND(AT323=1,AK323="E",AU323&gt;=0.5,AW323=1),PTHealthBY,IF(AND(AT323=1,AK323="E",AU323&gt;=0.5),PTHealthBY*P323,0))))</f>
        <v>0</v>
      </c>
      <c r="BO323" s="462">
        <f>IF(AND(AT323=3,AK323="E",AV323&gt;=0.75,AW323=1),HealthBY,IF(AND(AT323=3,AK323="E",AV323&gt;=0.75),HealthBY*P323,IF(AND(AT323=3,AK323="E",AV323&gt;=0.5,AW323=1),PTHealthBY,IF(AND(AT323=3,AK323="E",AV323&gt;=0.5),PTHealthBY*P323,0))))</f>
        <v>0</v>
      </c>
      <c r="BP323" s="462">
        <f>IF(AND(AT323&lt;&gt;0,(AX323+BA323)&gt;=MAXSSDIBY),SSDIBY*MAXSSDIBY*P323,IF(AT323&lt;&gt;0,SSDIBY*W323,0))</f>
        <v>0</v>
      </c>
      <c r="BQ323" s="462">
        <f>IF(AT323&lt;&gt;0,SSHIBY*W323,0)</f>
        <v>0</v>
      </c>
      <c r="BR323" s="462">
        <f>IF(AND(AT323&lt;&gt;0,AN323&lt;&gt;"NE"),VLOOKUP(AN323,Retirement_Rates,4,FALSE)*W323,0)</f>
        <v>0</v>
      </c>
      <c r="BS323" s="462">
        <f>IF(AND(AT323&lt;&gt;0,AJ323&lt;&gt;"PF"),LifeBY*W323,0)</f>
        <v>0</v>
      </c>
      <c r="BT323" s="462">
        <f>IF(AND(AT323&lt;&gt;0,AM323="Y"),UIBY*W323,0)</f>
        <v>0</v>
      </c>
      <c r="BU323" s="462">
        <f>IF(AND(AT323&lt;&gt;0,N323&lt;&gt;"NR"),DHRBY*W323,0)</f>
        <v>0</v>
      </c>
      <c r="BV323" s="462">
        <f>IF(AT323&lt;&gt;0,WCBY*W323,0)</f>
        <v>0</v>
      </c>
      <c r="BW323" s="462">
        <f>IF(OR(AND(AT323&lt;&gt;0,AJ323&lt;&gt;"PF",AN323&lt;&gt;"NE",AG323&lt;&gt;"A"),AND(AL323="E",OR(AT323=1,AT323=3))),SickBY*W323,0)</f>
        <v>0</v>
      </c>
      <c r="BX323" s="462">
        <f t="shared" ref="BX323:BX386" si="92">IF(AT323=1,SUM(BP323:BW323),0)</f>
        <v>0</v>
      </c>
      <c r="BY323" s="462">
        <f t="shared" ref="BY323:BY386" si="93">IF(AT323=3,SUM(BP323:BW323),0)</f>
        <v>0</v>
      </c>
      <c r="BZ323" s="462">
        <f t="shared" ref="BZ323:BZ386" si="94">IF(AT323=1,BN323-BB323,0)</f>
        <v>0</v>
      </c>
      <c r="CA323" s="462">
        <f t="shared" ref="CA323:CA386" si="95">IF(AT323=3,BO323-BC323,0)</f>
        <v>0</v>
      </c>
      <c r="CB323" s="462">
        <f t="shared" ref="CB323:CB386" si="96">BP323-BD323</f>
        <v>0</v>
      </c>
      <c r="CC323" s="462">
        <f>IF(AT323&lt;&gt;0,SSHICHG*Y323,0)</f>
        <v>0</v>
      </c>
      <c r="CD323" s="462">
        <f>IF(AND(AT323&lt;&gt;0,AN323&lt;&gt;"NE"),VLOOKUP(AN323,Retirement_Rates,5,FALSE)*Y323,0)</f>
        <v>0</v>
      </c>
      <c r="CE323" s="462">
        <f>IF(AND(AT323&lt;&gt;0,AJ323&lt;&gt;"PF"),LifeCHG*Y323,0)</f>
        <v>0</v>
      </c>
      <c r="CF323" s="462">
        <f>IF(AND(AT323&lt;&gt;0,AM323="Y"),UICHG*Y323,0)</f>
        <v>0</v>
      </c>
      <c r="CG323" s="462">
        <f>IF(AND(AT323&lt;&gt;0,N323&lt;&gt;"NR"),DHRCHG*Y323,0)</f>
        <v>0</v>
      </c>
      <c r="CH323" s="462">
        <f>IF(AT323&lt;&gt;0,WCCHG*Y323,0)</f>
        <v>0</v>
      </c>
      <c r="CI323" s="462">
        <f>IF(OR(AND(AT323&lt;&gt;0,AJ323&lt;&gt;"PF",AN323&lt;&gt;"NE",AG323&lt;&gt;"A"),AND(AL323="E",OR(AT323=1,AT323=3))),SickCHG*Y323,0)</f>
        <v>0</v>
      </c>
      <c r="CJ323" s="462">
        <f t="shared" ref="CJ323:CJ386" si="97">IF(AT323=1,SUM(CB323:CI323),0)</f>
        <v>0</v>
      </c>
      <c r="CK323" s="462" t="str">
        <f t="shared" ref="CK323:CK386" si="98">IF(AT323=3,SUM(CB323:CI323),"")</f>
        <v/>
      </c>
      <c r="CL323" s="462" t="str">
        <f t="shared" ref="CL323:CL386" si="99">IF(OR(N323="NG",AG323="D"),(T323+U323),"")</f>
        <v/>
      </c>
      <c r="CM323" s="462" t="str">
        <f t="shared" ref="CM323:CM386" si="100">IF(OR(N323="NG",AG323="D"),V323,"")</f>
        <v/>
      </c>
      <c r="CN323" s="462" t="str">
        <f t="shared" ref="CN323:CN386" si="101">E323 &amp; "-" &amp; F323</f>
        <v>0330-02</v>
      </c>
    </row>
    <row r="324" spans="1:92" ht="15" thickBot="1" x14ac:dyDescent="0.35">
      <c r="A324" s="376" t="s">
        <v>161</v>
      </c>
      <c r="B324" s="376" t="s">
        <v>162</v>
      </c>
      <c r="C324" s="376" t="s">
        <v>849</v>
      </c>
      <c r="D324" s="376" t="s">
        <v>362</v>
      </c>
      <c r="E324" s="376" t="s">
        <v>931</v>
      </c>
      <c r="F324" s="382" t="s">
        <v>344</v>
      </c>
      <c r="G324" s="376" t="s">
        <v>762</v>
      </c>
      <c r="H324" s="378"/>
      <c r="I324" s="378"/>
      <c r="J324" s="376" t="s">
        <v>782</v>
      </c>
      <c r="K324" s="376" t="s">
        <v>363</v>
      </c>
      <c r="L324" s="376" t="s">
        <v>200</v>
      </c>
      <c r="M324" s="376" t="s">
        <v>170</v>
      </c>
      <c r="N324" s="376" t="s">
        <v>202</v>
      </c>
      <c r="O324" s="379">
        <v>1</v>
      </c>
      <c r="P324" s="460">
        <v>0</v>
      </c>
      <c r="Q324" s="460">
        <v>0</v>
      </c>
      <c r="R324" s="380">
        <v>80</v>
      </c>
      <c r="S324" s="460">
        <v>0</v>
      </c>
      <c r="T324" s="380">
        <v>1064.0899999999999</v>
      </c>
      <c r="U324" s="380">
        <v>0</v>
      </c>
      <c r="V324" s="380">
        <v>504.75</v>
      </c>
      <c r="W324" s="380">
        <v>0</v>
      </c>
      <c r="X324" s="380">
        <v>0</v>
      </c>
      <c r="Y324" s="380">
        <v>0</v>
      </c>
      <c r="Z324" s="380">
        <v>0</v>
      </c>
      <c r="AA324" s="376" t="s">
        <v>850</v>
      </c>
      <c r="AB324" s="376" t="s">
        <v>851</v>
      </c>
      <c r="AC324" s="376" t="s">
        <v>529</v>
      </c>
      <c r="AD324" s="376" t="s">
        <v>278</v>
      </c>
      <c r="AE324" s="376" t="s">
        <v>363</v>
      </c>
      <c r="AF324" s="376" t="s">
        <v>210</v>
      </c>
      <c r="AG324" s="376" t="s">
        <v>177</v>
      </c>
      <c r="AH324" s="381">
        <v>22.5</v>
      </c>
      <c r="AI324" s="381">
        <v>13789.6</v>
      </c>
      <c r="AJ324" s="376" t="s">
        <v>178</v>
      </c>
      <c r="AK324" s="376" t="s">
        <v>179</v>
      </c>
      <c r="AL324" s="376" t="s">
        <v>180</v>
      </c>
      <c r="AM324" s="376" t="s">
        <v>181</v>
      </c>
      <c r="AN324" s="376" t="s">
        <v>68</v>
      </c>
      <c r="AO324" s="379">
        <v>80</v>
      </c>
      <c r="AP324" s="460">
        <v>1</v>
      </c>
      <c r="AQ324" s="460">
        <v>0</v>
      </c>
      <c r="AR324" s="458" t="s">
        <v>182</v>
      </c>
      <c r="AS324" s="462">
        <f t="shared" si="85"/>
        <v>0</v>
      </c>
      <c r="AT324">
        <f t="shared" si="86"/>
        <v>0</v>
      </c>
      <c r="AU324" s="462" t="str">
        <f>IF(AT324=0,"",IF(AND(AT324=1,M324="F",SUMIF(C2:C698,C324,AS2:AS698)&lt;=1),SUMIF(C2:C698,C324,AS2:AS698),IF(AND(AT324=1,M324="F",SUMIF(C2:C698,C324,AS2:AS698)&gt;1),1,"")))</f>
        <v/>
      </c>
      <c r="AV324" s="462" t="str">
        <f>IF(AT324=0,"",IF(AND(AT324=3,M324="F",SUMIF(C2:C698,C324,AS2:AS698)&lt;=1),SUMIF(C2:C698,C324,AS2:AS698),IF(AND(AT324=3,M324="F",SUMIF(C2:C698,C324,AS2:AS698)&gt;1),1,"")))</f>
        <v/>
      </c>
      <c r="AW324" s="462">
        <f>SUMIF(C2:C698,C324,O2:O698)</f>
        <v>7</v>
      </c>
      <c r="AX324" s="462">
        <f>IF(AND(M324="F",AS324&lt;&gt;0),SUMIF(C2:C698,C324,W2:W698),0)</f>
        <v>0</v>
      </c>
      <c r="AY324" s="462" t="str">
        <f t="shared" si="87"/>
        <v/>
      </c>
      <c r="AZ324" s="462" t="str">
        <f t="shared" si="88"/>
        <v/>
      </c>
      <c r="BA324" s="462">
        <f t="shared" si="89"/>
        <v>0</v>
      </c>
      <c r="BB324" s="462">
        <f>IF(AND(AT324=1,AK324="E",AU324&gt;=0.75,AW324=1),Health,IF(AND(AT324=1,AK324="E",AU324&gt;=0.75),Health*P324,IF(AND(AT324=1,AK324="E",AU324&gt;=0.5,AW324=1),PTHealth,IF(AND(AT324=1,AK324="E",AU324&gt;=0.5),PTHealth*P324,0))))</f>
        <v>0</v>
      </c>
      <c r="BC324" s="462">
        <f>IF(AND(AT324=3,AK324="E",AV324&gt;=0.75,AW324=1),Health,IF(AND(AT324=3,AK324="E",AV324&gt;=0.75),Health*P324,IF(AND(AT324=3,AK324="E",AV324&gt;=0.5,AW324=1),PTHealth,IF(AND(AT324=3,AK324="E",AV324&gt;=0.5),PTHealth*P324,0))))</f>
        <v>0</v>
      </c>
      <c r="BD324" s="462">
        <f>IF(AND(AT324&lt;&gt;0,AX324&gt;=MAXSSDI),SSDI*MAXSSDI*P324,IF(AT324&lt;&gt;0,SSDI*W324,0))</f>
        <v>0</v>
      </c>
      <c r="BE324" s="462">
        <f>IF(AT324&lt;&gt;0,SSHI*W324,0)</f>
        <v>0</v>
      </c>
      <c r="BF324" s="462">
        <f>IF(AND(AT324&lt;&gt;0,AN324&lt;&gt;"NE"),VLOOKUP(AN324,Retirement_Rates,3,FALSE)*W324,0)</f>
        <v>0</v>
      </c>
      <c r="BG324" s="462">
        <f>IF(AND(AT324&lt;&gt;0,AJ324&lt;&gt;"PF"),Life*W324,0)</f>
        <v>0</v>
      </c>
      <c r="BH324" s="462">
        <f>IF(AND(AT324&lt;&gt;0,AM324="Y"),UI*W324,0)</f>
        <v>0</v>
      </c>
      <c r="BI324" s="462">
        <f>IF(AND(AT324&lt;&gt;0,N324&lt;&gt;"NR"),DHR*W324,0)</f>
        <v>0</v>
      </c>
      <c r="BJ324" s="462">
        <f>IF(AT324&lt;&gt;0,WC*W324,0)</f>
        <v>0</v>
      </c>
      <c r="BK324" s="462">
        <f>IF(OR(AND(AT324&lt;&gt;0,AJ324&lt;&gt;"PF",AN324&lt;&gt;"NE",AG324&lt;&gt;"A"),AND(AL324="E",OR(AT324=1,AT324=3))),Sick*W324,0)</f>
        <v>0</v>
      </c>
      <c r="BL324" s="462">
        <f t="shared" si="90"/>
        <v>0</v>
      </c>
      <c r="BM324" s="462">
        <f t="shared" si="91"/>
        <v>0</v>
      </c>
      <c r="BN324" s="462">
        <f>IF(AND(AT324=1,AK324="E",AU324&gt;=0.75,AW324=1),HealthBY,IF(AND(AT324=1,AK324="E",AU324&gt;=0.75),HealthBY*P324,IF(AND(AT324=1,AK324="E",AU324&gt;=0.5,AW324=1),PTHealthBY,IF(AND(AT324=1,AK324="E",AU324&gt;=0.5),PTHealthBY*P324,0))))</f>
        <v>0</v>
      </c>
      <c r="BO324" s="462">
        <f>IF(AND(AT324=3,AK324="E",AV324&gt;=0.75,AW324=1),HealthBY,IF(AND(AT324=3,AK324="E",AV324&gt;=0.75),HealthBY*P324,IF(AND(AT324=3,AK324="E",AV324&gt;=0.5,AW324=1),PTHealthBY,IF(AND(AT324=3,AK324="E",AV324&gt;=0.5),PTHealthBY*P324,0))))</f>
        <v>0</v>
      </c>
      <c r="BP324" s="462">
        <f>IF(AND(AT324&lt;&gt;0,(AX324+BA324)&gt;=MAXSSDIBY),SSDIBY*MAXSSDIBY*P324,IF(AT324&lt;&gt;0,SSDIBY*W324,0))</f>
        <v>0</v>
      </c>
      <c r="BQ324" s="462">
        <f>IF(AT324&lt;&gt;0,SSHIBY*W324,0)</f>
        <v>0</v>
      </c>
      <c r="BR324" s="462">
        <f>IF(AND(AT324&lt;&gt;0,AN324&lt;&gt;"NE"),VLOOKUP(AN324,Retirement_Rates,4,FALSE)*W324,0)</f>
        <v>0</v>
      </c>
      <c r="BS324" s="462">
        <f>IF(AND(AT324&lt;&gt;0,AJ324&lt;&gt;"PF"),LifeBY*W324,0)</f>
        <v>0</v>
      </c>
      <c r="BT324" s="462">
        <f>IF(AND(AT324&lt;&gt;0,AM324="Y"),UIBY*W324,0)</f>
        <v>0</v>
      </c>
      <c r="BU324" s="462">
        <f>IF(AND(AT324&lt;&gt;0,N324&lt;&gt;"NR"),DHRBY*W324,0)</f>
        <v>0</v>
      </c>
      <c r="BV324" s="462">
        <f>IF(AT324&lt;&gt;0,WCBY*W324,0)</f>
        <v>0</v>
      </c>
      <c r="BW324" s="462">
        <f>IF(OR(AND(AT324&lt;&gt;0,AJ324&lt;&gt;"PF",AN324&lt;&gt;"NE",AG324&lt;&gt;"A"),AND(AL324="E",OR(AT324=1,AT324=3))),SickBY*W324,0)</f>
        <v>0</v>
      </c>
      <c r="BX324" s="462">
        <f t="shared" si="92"/>
        <v>0</v>
      </c>
      <c r="BY324" s="462">
        <f t="shared" si="93"/>
        <v>0</v>
      </c>
      <c r="BZ324" s="462">
        <f t="shared" si="94"/>
        <v>0</v>
      </c>
      <c r="CA324" s="462">
        <f t="shared" si="95"/>
        <v>0</v>
      </c>
      <c r="CB324" s="462">
        <f t="shared" si="96"/>
        <v>0</v>
      </c>
      <c r="CC324" s="462">
        <f>IF(AT324&lt;&gt;0,SSHICHG*Y324,0)</f>
        <v>0</v>
      </c>
      <c r="CD324" s="462">
        <f>IF(AND(AT324&lt;&gt;0,AN324&lt;&gt;"NE"),VLOOKUP(AN324,Retirement_Rates,5,FALSE)*Y324,0)</f>
        <v>0</v>
      </c>
      <c r="CE324" s="462">
        <f>IF(AND(AT324&lt;&gt;0,AJ324&lt;&gt;"PF"),LifeCHG*Y324,0)</f>
        <v>0</v>
      </c>
      <c r="CF324" s="462">
        <f>IF(AND(AT324&lt;&gt;0,AM324="Y"),UICHG*Y324,0)</f>
        <v>0</v>
      </c>
      <c r="CG324" s="462">
        <f>IF(AND(AT324&lt;&gt;0,N324&lt;&gt;"NR"),DHRCHG*Y324,0)</f>
        <v>0</v>
      </c>
      <c r="CH324" s="462">
        <f>IF(AT324&lt;&gt;0,WCCHG*Y324,0)</f>
        <v>0</v>
      </c>
      <c r="CI324" s="462">
        <f>IF(OR(AND(AT324&lt;&gt;0,AJ324&lt;&gt;"PF",AN324&lt;&gt;"NE",AG324&lt;&gt;"A"),AND(AL324="E",OR(AT324=1,AT324=3))),SickCHG*Y324,0)</f>
        <v>0</v>
      </c>
      <c r="CJ324" s="462">
        <f t="shared" si="97"/>
        <v>0</v>
      </c>
      <c r="CK324" s="462" t="str">
        <f t="shared" si="98"/>
        <v/>
      </c>
      <c r="CL324" s="462" t="str">
        <f t="shared" si="99"/>
        <v/>
      </c>
      <c r="CM324" s="462" t="str">
        <f t="shared" si="100"/>
        <v/>
      </c>
      <c r="CN324" s="462" t="str">
        <f t="shared" si="101"/>
        <v>0330-02</v>
      </c>
    </row>
    <row r="325" spans="1:92" ht="15" thickBot="1" x14ac:dyDescent="0.35">
      <c r="A325" s="376" t="s">
        <v>161</v>
      </c>
      <c r="B325" s="376" t="s">
        <v>162</v>
      </c>
      <c r="C325" s="376" t="s">
        <v>876</v>
      </c>
      <c r="D325" s="376" t="s">
        <v>362</v>
      </c>
      <c r="E325" s="376" t="s">
        <v>931</v>
      </c>
      <c r="F325" s="382" t="s">
        <v>344</v>
      </c>
      <c r="G325" s="376" t="s">
        <v>762</v>
      </c>
      <c r="H325" s="378"/>
      <c r="I325" s="378"/>
      <c r="J325" s="376" t="s">
        <v>877</v>
      </c>
      <c r="K325" s="376" t="s">
        <v>363</v>
      </c>
      <c r="L325" s="376" t="s">
        <v>200</v>
      </c>
      <c r="M325" s="376" t="s">
        <v>170</v>
      </c>
      <c r="N325" s="376" t="s">
        <v>202</v>
      </c>
      <c r="O325" s="379">
        <v>1</v>
      </c>
      <c r="P325" s="460">
        <v>0</v>
      </c>
      <c r="Q325" s="460">
        <v>0</v>
      </c>
      <c r="R325" s="380">
        <v>80</v>
      </c>
      <c r="S325" s="460">
        <v>0</v>
      </c>
      <c r="T325" s="380">
        <v>190.24</v>
      </c>
      <c r="U325" s="380">
        <v>0</v>
      </c>
      <c r="V325" s="380">
        <v>80.760000000000005</v>
      </c>
      <c r="W325" s="380">
        <v>0</v>
      </c>
      <c r="X325" s="380">
        <v>0</v>
      </c>
      <c r="Y325" s="380">
        <v>0</v>
      </c>
      <c r="Z325" s="380">
        <v>0</v>
      </c>
      <c r="AA325" s="376" t="s">
        <v>878</v>
      </c>
      <c r="AB325" s="376" t="s">
        <v>879</v>
      </c>
      <c r="AC325" s="376" t="s">
        <v>880</v>
      </c>
      <c r="AD325" s="376" t="s">
        <v>881</v>
      </c>
      <c r="AE325" s="376" t="s">
        <v>363</v>
      </c>
      <c r="AF325" s="376" t="s">
        <v>210</v>
      </c>
      <c r="AG325" s="376" t="s">
        <v>177</v>
      </c>
      <c r="AH325" s="381">
        <v>24.41</v>
      </c>
      <c r="AI325" s="379">
        <v>38438</v>
      </c>
      <c r="AJ325" s="376" t="s">
        <v>178</v>
      </c>
      <c r="AK325" s="376" t="s">
        <v>179</v>
      </c>
      <c r="AL325" s="376" t="s">
        <v>180</v>
      </c>
      <c r="AM325" s="376" t="s">
        <v>181</v>
      </c>
      <c r="AN325" s="376" t="s">
        <v>68</v>
      </c>
      <c r="AO325" s="379">
        <v>80</v>
      </c>
      <c r="AP325" s="460">
        <v>1</v>
      </c>
      <c r="AQ325" s="460">
        <v>0</v>
      </c>
      <c r="AR325" s="458" t="s">
        <v>182</v>
      </c>
      <c r="AS325" s="462">
        <f t="shared" si="85"/>
        <v>0</v>
      </c>
      <c r="AT325">
        <f t="shared" si="86"/>
        <v>0</v>
      </c>
      <c r="AU325" s="462" t="str">
        <f>IF(AT325=0,"",IF(AND(AT325=1,M325="F",SUMIF(C2:C698,C325,AS2:AS698)&lt;=1),SUMIF(C2:C698,C325,AS2:AS698),IF(AND(AT325=1,M325="F",SUMIF(C2:C698,C325,AS2:AS698)&gt;1),1,"")))</f>
        <v/>
      </c>
      <c r="AV325" s="462" t="str">
        <f>IF(AT325=0,"",IF(AND(AT325=3,M325="F",SUMIF(C2:C698,C325,AS2:AS698)&lt;=1),SUMIF(C2:C698,C325,AS2:AS698),IF(AND(AT325=3,M325="F",SUMIF(C2:C698,C325,AS2:AS698)&gt;1),1,"")))</f>
        <v/>
      </c>
      <c r="AW325" s="462">
        <f>SUMIF(C2:C698,C325,O2:O698)</f>
        <v>8</v>
      </c>
      <c r="AX325" s="462">
        <f>IF(AND(M325="F",AS325&lt;&gt;0),SUMIF(C2:C698,C325,W2:W698),0)</f>
        <v>0</v>
      </c>
      <c r="AY325" s="462" t="str">
        <f t="shared" si="87"/>
        <v/>
      </c>
      <c r="AZ325" s="462" t="str">
        <f t="shared" si="88"/>
        <v/>
      </c>
      <c r="BA325" s="462">
        <f t="shared" si="89"/>
        <v>0</v>
      </c>
      <c r="BB325" s="462">
        <f>IF(AND(AT325=1,AK325="E",AU325&gt;=0.75,AW325=1),Health,IF(AND(AT325=1,AK325="E",AU325&gt;=0.75),Health*P325,IF(AND(AT325=1,AK325="E",AU325&gt;=0.5,AW325=1),PTHealth,IF(AND(AT325=1,AK325="E",AU325&gt;=0.5),PTHealth*P325,0))))</f>
        <v>0</v>
      </c>
      <c r="BC325" s="462">
        <f>IF(AND(AT325=3,AK325="E",AV325&gt;=0.75,AW325=1),Health,IF(AND(AT325=3,AK325="E",AV325&gt;=0.75),Health*P325,IF(AND(AT325=3,AK325="E",AV325&gt;=0.5,AW325=1),PTHealth,IF(AND(AT325=3,AK325="E",AV325&gt;=0.5),PTHealth*P325,0))))</f>
        <v>0</v>
      </c>
      <c r="BD325" s="462">
        <f>IF(AND(AT325&lt;&gt;0,AX325&gt;=MAXSSDI),SSDI*MAXSSDI*P325,IF(AT325&lt;&gt;0,SSDI*W325,0))</f>
        <v>0</v>
      </c>
      <c r="BE325" s="462">
        <f>IF(AT325&lt;&gt;0,SSHI*W325,0)</f>
        <v>0</v>
      </c>
      <c r="BF325" s="462">
        <f>IF(AND(AT325&lt;&gt;0,AN325&lt;&gt;"NE"),VLOOKUP(AN325,Retirement_Rates,3,FALSE)*W325,0)</f>
        <v>0</v>
      </c>
      <c r="BG325" s="462">
        <f>IF(AND(AT325&lt;&gt;0,AJ325&lt;&gt;"PF"),Life*W325,0)</f>
        <v>0</v>
      </c>
      <c r="BH325" s="462">
        <f>IF(AND(AT325&lt;&gt;0,AM325="Y"),UI*W325,0)</f>
        <v>0</v>
      </c>
      <c r="BI325" s="462">
        <f>IF(AND(AT325&lt;&gt;0,N325&lt;&gt;"NR"),DHR*W325,0)</f>
        <v>0</v>
      </c>
      <c r="BJ325" s="462">
        <f>IF(AT325&lt;&gt;0,WC*W325,0)</f>
        <v>0</v>
      </c>
      <c r="BK325" s="462">
        <f>IF(OR(AND(AT325&lt;&gt;0,AJ325&lt;&gt;"PF",AN325&lt;&gt;"NE",AG325&lt;&gt;"A"),AND(AL325="E",OR(AT325=1,AT325=3))),Sick*W325,0)</f>
        <v>0</v>
      </c>
      <c r="BL325" s="462">
        <f t="shared" si="90"/>
        <v>0</v>
      </c>
      <c r="BM325" s="462">
        <f t="shared" si="91"/>
        <v>0</v>
      </c>
      <c r="BN325" s="462">
        <f>IF(AND(AT325=1,AK325="E",AU325&gt;=0.75,AW325=1),HealthBY,IF(AND(AT325=1,AK325="E",AU325&gt;=0.75),HealthBY*P325,IF(AND(AT325=1,AK325="E",AU325&gt;=0.5,AW325=1),PTHealthBY,IF(AND(AT325=1,AK325="E",AU325&gt;=0.5),PTHealthBY*P325,0))))</f>
        <v>0</v>
      </c>
      <c r="BO325" s="462">
        <f>IF(AND(AT325=3,AK325="E",AV325&gt;=0.75,AW325=1),HealthBY,IF(AND(AT325=3,AK325="E",AV325&gt;=0.75),HealthBY*P325,IF(AND(AT325=3,AK325="E",AV325&gt;=0.5,AW325=1),PTHealthBY,IF(AND(AT325=3,AK325="E",AV325&gt;=0.5),PTHealthBY*P325,0))))</f>
        <v>0</v>
      </c>
      <c r="BP325" s="462">
        <f>IF(AND(AT325&lt;&gt;0,(AX325+BA325)&gt;=MAXSSDIBY),SSDIBY*MAXSSDIBY*P325,IF(AT325&lt;&gt;0,SSDIBY*W325,0))</f>
        <v>0</v>
      </c>
      <c r="BQ325" s="462">
        <f>IF(AT325&lt;&gt;0,SSHIBY*W325,0)</f>
        <v>0</v>
      </c>
      <c r="BR325" s="462">
        <f>IF(AND(AT325&lt;&gt;0,AN325&lt;&gt;"NE"),VLOOKUP(AN325,Retirement_Rates,4,FALSE)*W325,0)</f>
        <v>0</v>
      </c>
      <c r="BS325" s="462">
        <f>IF(AND(AT325&lt;&gt;0,AJ325&lt;&gt;"PF"),LifeBY*W325,0)</f>
        <v>0</v>
      </c>
      <c r="BT325" s="462">
        <f>IF(AND(AT325&lt;&gt;0,AM325="Y"),UIBY*W325,0)</f>
        <v>0</v>
      </c>
      <c r="BU325" s="462">
        <f>IF(AND(AT325&lt;&gt;0,N325&lt;&gt;"NR"),DHRBY*W325,0)</f>
        <v>0</v>
      </c>
      <c r="BV325" s="462">
        <f>IF(AT325&lt;&gt;0,WCBY*W325,0)</f>
        <v>0</v>
      </c>
      <c r="BW325" s="462">
        <f>IF(OR(AND(AT325&lt;&gt;0,AJ325&lt;&gt;"PF",AN325&lt;&gt;"NE",AG325&lt;&gt;"A"),AND(AL325="E",OR(AT325=1,AT325=3))),SickBY*W325,0)</f>
        <v>0</v>
      </c>
      <c r="BX325" s="462">
        <f t="shared" si="92"/>
        <v>0</v>
      </c>
      <c r="BY325" s="462">
        <f t="shared" si="93"/>
        <v>0</v>
      </c>
      <c r="BZ325" s="462">
        <f t="shared" si="94"/>
        <v>0</v>
      </c>
      <c r="CA325" s="462">
        <f t="shared" si="95"/>
        <v>0</v>
      </c>
      <c r="CB325" s="462">
        <f t="shared" si="96"/>
        <v>0</v>
      </c>
      <c r="CC325" s="462">
        <f>IF(AT325&lt;&gt;0,SSHICHG*Y325,0)</f>
        <v>0</v>
      </c>
      <c r="CD325" s="462">
        <f>IF(AND(AT325&lt;&gt;0,AN325&lt;&gt;"NE"),VLOOKUP(AN325,Retirement_Rates,5,FALSE)*Y325,0)</f>
        <v>0</v>
      </c>
      <c r="CE325" s="462">
        <f>IF(AND(AT325&lt;&gt;0,AJ325&lt;&gt;"PF"),LifeCHG*Y325,0)</f>
        <v>0</v>
      </c>
      <c r="CF325" s="462">
        <f>IF(AND(AT325&lt;&gt;0,AM325="Y"),UICHG*Y325,0)</f>
        <v>0</v>
      </c>
      <c r="CG325" s="462">
        <f>IF(AND(AT325&lt;&gt;0,N325&lt;&gt;"NR"),DHRCHG*Y325,0)</f>
        <v>0</v>
      </c>
      <c r="CH325" s="462">
        <f>IF(AT325&lt;&gt;0,WCCHG*Y325,0)</f>
        <v>0</v>
      </c>
      <c r="CI325" s="462">
        <f>IF(OR(AND(AT325&lt;&gt;0,AJ325&lt;&gt;"PF",AN325&lt;&gt;"NE",AG325&lt;&gt;"A"),AND(AL325="E",OR(AT325=1,AT325=3))),SickCHG*Y325,0)</f>
        <v>0</v>
      </c>
      <c r="CJ325" s="462">
        <f t="shared" si="97"/>
        <v>0</v>
      </c>
      <c r="CK325" s="462" t="str">
        <f t="shared" si="98"/>
        <v/>
      </c>
      <c r="CL325" s="462" t="str">
        <f t="shared" si="99"/>
        <v/>
      </c>
      <c r="CM325" s="462" t="str">
        <f t="shared" si="100"/>
        <v/>
      </c>
      <c r="CN325" s="462" t="str">
        <f t="shared" si="101"/>
        <v>0330-02</v>
      </c>
    </row>
    <row r="326" spans="1:92" ht="15" thickBot="1" x14ac:dyDescent="0.35">
      <c r="A326" s="376" t="s">
        <v>161</v>
      </c>
      <c r="B326" s="376" t="s">
        <v>162</v>
      </c>
      <c r="C326" s="376" t="s">
        <v>889</v>
      </c>
      <c r="D326" s="376" t="s">
        <v>362</v>
      </c>
      <c r="E326" s="376" t="s">
        <v>931</v>
      </c>
      <c r="F326" s="382" t="s">
        <v>344</v>
      </c>
      <c r="G326" s="376" t="s">
        <v>762</v>
      </c>
      <c r="H326" s="378"/>
      <c r="I326" s="378"/>
      <c r="J326" s="376" t="s">
        <v>768</v>
      </c>
      <c r="K326" s="376" t="s">
        <v>363</v>
      </c>
      <c r="L326" s="376" t="s">
        <v>200</v>
      </c>
      <c r="M326" s="376" t="s">
        <v>170</v>
      </c>
      <c r="N326" s="376" t="s">
        <v>202</v>
      </c>
      <c r="O326" s="379">
        <v>1</v>
      </c>
      <c r="P326" s="460">
        <v>0</v>
      </c>
      <c r="Q326" s="460">
        <v>0</v>
      </c>
      <c r="R326" s="380">
        <v>80</v>
      </c>
      <c r="S326" s="460">
        <v>0</v>
      </c>
      <c r="T326" s="380">
        <v>235.51</v>
      </c>
      <c r="U326" s="380">
        <v>0</v>
      </c>
      <c r="V326" s="380">
        <v>116.55</v>
      </c>
      <c r="W326" s="380">
        <v>0</v>
      </c>
      <c r="X326" s="380">
        <v>0</v>
      </c>
      <c r="Y326" s="380">
        <v>0</v>
      </c>
      <c r="Z326" s="380">
        <v>0</v>
      </c>
      <c r="AA326" s="376" t="s">
        <v>890</v>
      </c>
      <c r="AB326" s="376" t="s">
        <v>891</v>
      </c>
      <c r="AC326" s="376" t="s">
        <v>892</v>
      </c>
      <c r="AD326" s="376" t="s">
        <v>179</v>
      </c>
      <c r="AE326" s="376" t="s">
        <v>363</v>
      </c>
      <c r="AF326" s="376" t="s">
        <v>210</v>
      </c>
      <c r="AG326" s="376" t="s">
        <v>177</v>
      </c>
      <c r="AH326" s="381">
        <v>22.5</v>
      </c>
      <c r="AI326" s="379">
        <v>13048</v>
      </c>
      <c r="AJ326" s="376" t="s">
        <v>178</v>
      </c>
      <c r="AK326" s="376" t="s">
        <v>179</v>
      </c>
      <c r="AL326" s="376" t="s">
        <v>180</v>
      </c>
      <c r="AM326" s="376" t="s">
        <v>181</v>
      </c>
      <c r="AN326" s="376" t="s">
        <v>68</v>
      </c>
      <c r="AO326" s="379">
        <v>80</v>
      </c>
      <c r="AP326" s="460">
        <v>1</v>
      </c>
      <c r="AQ326" s="460">
        <v>0</v>
      </c>
      <c r="AR326" s="458" t="s">
        <v>182</v>
      </c>
      <c r="AS326" s="462">
        <f t="shared" si="85"/>
        <v>0</v>
      </c>
      <c r="AT326">
        <f t="shared" si="86"/>
        <v>0</v>
      </c>
      <c r="AU326" s="462" t="str">
        <f>IF(AT326=0,"",IF(AND(AT326=1,M326="F",SUMIF(C2:C698,C326,AS2:AS698)&lt;=1),SUMIF(C2:C698,C326,AS2:AS698),IF(AND(AT326=1,M326="F",SUMIF(C2:C698,C326,AS2:AS698)&gt;1),1,"")))</f>
        <v/>
      </c>
      <c r="AV326" s="462" t="str">
        <f>IF(AT326=0,"",IF(AND(AT326=3,M326="F",SUMIF(C2:C698,C326,AS2:AS698)&lt;=1),SUMIF(C2:C698,C326,AS2:AS698),IF(AND(AT326=3,M326="F",SUMIF(C2:C698,C326,AS2:AS698)&gt;1),1,"")))</f>
        <v/>
      </c>
      <c r="AW326" s="462">
        <f>SUMIF(C2:C698,C326,O2:O698)</f>
        <v>7</v>
      </c>
      <c r="AX326" s="462">
        <f>IF(AND(M326="F",AS326&lt;&gt;0),SUMIF(C2:C698,C326,W2:W698),0)</f>
        <v>0</v>
      </c>
      <c r="AY326" s="462" t="str">
        <f t="shared" si="87"/>
        <v/>
      </c>
      <c r="AZ326" s="462" t="str">
        <f t="shared" si="88"/>
        <v/>
      </c>
      <c r="BA326" s="462">
        <f t="shared" si="89"/>
        <v>0</v>
      </c>
      <c r="BB326" s="462">
        <f>IF(AND(AT326=1,AK326="E",AU326&gt;=0.75,AW326=1),Health,IF(AND(AT326=1,AK326="E",AU326&gt;=0.75),Health*P326,IF(AND(AT326=1,AK326="E",AU326&gt;=0.5,AW326=1),PTHealth,IF(AND(AT326=1,AK326="E",AU326&gt;=0.5),PTHealth*P326,0))))</f>
        <v>0</v>
      </c>
      <c r="BC326" s="462">
        <f>IF(AND(AT326=3,AK326="E",AV326&gt;=0.75,AW326=1),Health,IF(AND(AT326=3,AK326="E",AV326&gt;=0.75),Health*P326,IF(AND(AT326=3,AK326="E",AV326&gt;=0.5,AW326=1),PTHealth,IF(AND(AT326=3,AK326="E",AV326&gt;=0.5),PTHealth*P326,0))))</f>
        <v>0</v>
      </c>
      <c r="BD326" s="462">
        <f>IF(AND(AT326&lt;&gt;0,AX326&gt;=MAXSSDI),SSDI*MAXSSDI*P326,IF(AT326&lt;&gt;0,SSDI*W326,0))</f>
        <v>0</v>
      </c>
      <c r="BE326" s="462">
        <f>IF(AT326&lt;&gt;0,SSHI*W326,0)</f>
        <v>0</v>
      </c>
      <c r="BF326" s="462">
        <f>IF(AND(AT326&lt;&gt;0,AN326&lt;&gt;"NE"),VLOOKUP(AN326,Retirement_Rates,3,FALSE)*W326,0)</f>
        <v>0</v>
      </c>
      <c r="BG326" s="462">
        <f>IF(AND(AT326&lt;&gt;0,AJ326&lt;&gt;"PF"),Life*W326,0)</f>
        <v>0</v>
      </c>
      <c r="BH326" s="462">
        <f>IF(AND(AT326&lt;&gt;0,AM326="Y"),UI*W326,0)</f>
        <v>0</v>
      </c>
      <c r="BI326" s="462">
        <f>IF(AND(AT326&lt;&gt;0,N326&lt;&gt;"NR"),DHR*W326,0)</f>
        <v>0</v>
      </c>
      <c r="BJ326" s="462">
        <f>IF(AT326&lt;&gt;0,WC*W326,0)</f>
        <v>0</v>
      </c>
      <c r="BK326" s="462">
        <f>IF(OR(AND(AT326&lt;&gt;0,AJ326&lt;&gt;"PF",AN326&lt;&gt;"NE",AG326&lt;&gt;"A"),AND(AL326="E",OR(AT326=1,AT326=3))),Sick*W326,0)</f>
        <v>0</v>
      </c>
      <c r="BL326" s="462">
        <f t="shared" si="90"/>
        <v>0</v>
      </c>
      <c r="BM326" s="462">
        <f t="shared" si="91"/>
        <v>0</v>
      </c>
      <c r="BN326" s="462">
        <f>IF(AND(AT326=1,AK326="E",AU326&gt;=0.75,AW326=1),HealthBY,IF(AND(AT326=1,AK326="E",AU326&gt;=0.75),HealthBY*P326,IF(AND(AT326=1,AK326="E",AU326&gt;=0.5,AW326=1),PTHealthBY,IF(AND(AT326=1,AK326="E",AU326&gt;=0.5),PTHealthBY*P326,0))))</f>
        <v>0</v>
      </c>
      <c r="BO326" s="462">
        <f>IF(AND(AT326=3,AK326="E",AV326&gt;=0.75,AW326=1),HealthBY,IF(AND(AT326=3,AK326="E",AV326&gt;=0.75),HealthBY*P326,IF(AND(AT326=3,AK326="E",AV326&gt;=0.5,AW326=1),PTHealthBY,IF(AND(AT326=3,AK326="E",AV326&gt;=0.5),PTHealthBY*P326,0))))</f>
        <v>0</v>
      </c>
      <c r="BP326" s="462">
        <f>IF(AND(AT326&lt;&gt;0,(AX326+BA326)&gt;=MAXSSDIBY),SSDIBY*MAXSSDIBY*P326,IF(AT326&lt;&gt;0,SSDIBY*W326,0))</f>
        <v>0</v>
      </c>
      <c r="BQ326" s="462">
        <f>IF(AT326&lt;&gt;0,SSHIBY*W326,0)</f>
        <v>0</v>
      </c>
      <c r="BR326" s="462">
        <f>IF(AND(AT326&lt;&gt;0,AN326&lt;&gt;"NE"),VLOOKUP(AN326,Retirement_Rates,4,FALSE)*W326,0)</f>
        <v>0</v>
      </c>
      <c r="BS326" s="462">
        <f>IF(AND(AT326&lt;&gt;0,AJ326&lt;&gt;"PF"),LifeBY*W326,0)</f>
        <v>0</v>
      </c>
      <c r="BT326" s="462">
        <f>IF(AND(AT326&lt;&gt;0,AM326="Y"),UIBY*W326,0)</f>
        <v>0</v>
      </c>
      <c r="BU326" s="462">
        <f>IF(AND(AT326&lt;&gt;0,N326&lt;&gt;"NR"),DHRBY*W326,0)</f>
        <v>0</v>
      </c>
      <c r="BV326" s="462">
        <f>IF(AT326&lt;&gt;0,WCBY*W326,0)</f>
        <v>0</v>
      </c>
      <c r="BW326" s="462">
        <f>IF(OR(AND(AT326&lt;&gt;0,AJ326&lt;&gt;"PF",AN326&lt;&gt;"NE",AG326&lt;&gt;"A"),AND(AL326="E",OR(AT326=1,AT326=3))),SickBY*W326,0)</f>
        <v>0</v>
      </c>
      <c r="BX326" s="462">
        <f t="shared" si="92"/>
        <v>0</v>
      </c>
      <c r="BY326" s="462">
        <f t="shared" si="93"/>
        <v>0</v>
      </c>
      <c r="BZ326" s="462">
        <f t="shared" si="94"/>
        <v>0</v>
      </c>
      <c r="CA326" s="462">
        <f t="shared" si="95"/>
        <v>0</v>
      </c>
      <c r="CB326" s="462">
        <f t="shared" si="96"/>
        <v>0</v>
      </c>
      <c r="CC326" s="462">
        <f>IF(AT326&lt;&gt;0,SSHICHG*Y326,0)</f>
        <v>0</v>
      </c>
      <c r="CD326" s="462">
        <f>IF(AND(AT326&lt;&gt;0,AN326&lt;&gt;"NE"),VLOOKUP(AN326,Retirement_Rates,5,FALSE)*Y326,0)</f>
        <v>0</v>
      </c>
      <c r="CE326" s="462">
        <f>IF(AND(AT326&lt;&gt;0,AJ326&lt;&gt;"PF"),LifeCHG*Y326,0)</f>
        <v>0</v>
      </c>
      <c r="CF326" s="462">
        <f>IF(AND(AT326&lt;&gt;0,AM326="Y"),UICHG*Y326,0)</f>
        <v>0</v>
      </c>
      <c r="CG326" s="462">
        <f>IF(AND(AT326&lt;&gt;0,N326&lt;&gt;"NR"),DHRCHG*Y326,0)</f>
        <v>0</v>
      </c>
      <c r="CH326" s="462">
        <f>IF(AT326&lt;&gt;0,WCCHG*Y326,0)</f>
        <v>0</v>
      </c>
      <c r="CI326" s="462">
        <f>IF(OR(AND(AT326&lt;&gt;0,AJ326&lt;&gt;"PF",AN326&lt;&gt;"NE",AG326&lt;&gt;"A"),AND(AL326="E",OR(AT326=1,AT326=3))),SickCHG*Y326,0)</f>
        <v>0</v>
      </c>
      <c r="CJ326" s="462">
        <f t="shared" si="97"/>
        <v>0</v>
      </c>
      <c r="CK326" s="462" t="str">
        <f t="shared" si="98"/>
        <v/>
      </c>
      <c r="CL326" s="462" t="str">
        <f t="shared" si="99"/>
        <v/>
      </c>
      <c r="CM326" s="462" t="str">
        <f t="shared" si="100"/>
        <v/>
      </c>
      <c r="CN326" s="462" t="str">
        <f t="shared" si="101"/>
        <v>0330-02</v>
      </c>
    </row>
    <row r="327" spans="1:92" ht="15" thickBot="1" x14ac:dyDescent="0.35">
      <c r="A327" s="376" t="s">
        <v>161</v>
      </c>
      <c r="B327" s="376" t="s">
        <v>162</v>
      </c>
      <c r="C327" s="376" t="s">
        <v>542</v>
      </c>
      <c r="D327" s="376" t="s">
        <v>372</v>
      </c>
      <c r="E327" s="376" t="s">
        <v>931</v>
      </c>
      <c r="F327" s="382" t="s">
        <v>344</v>
      </c>
      <c r="G327" s="376" t="s">
        <v>762</v>
      </c>
      <c r="H327" s="378"/>
      <c r="I327" s="378"/>
      <c r="J327" s="376" t="s">
        <v>168</v>
      </c>
      <c r="K327" s="376" t="s">
        <v>373</v>
      </c>
      <c r="L327" s="376" t="s">
        <v>374</v>
      </c>
      <c r="M327" s="376" t="s">
        <v>170</v>
      </c>
      <c r="N327" s="376" t="s">
        <v>202</v>
      </c>
      <c r="O327" s="379">
        <v>1</v>
      </c>
      <c r="P327" s="460">
        <v>0</v>
      </c>
      <c r="Q327" s="460">
        <v>0</v>
      </c>
      <c r="R327" s="380">
        <v>80</v>
      </c>
      <c r="S327" s="460">
        <v>0</v>
      </c>
      <c r="T327" s="380">
        <v>20072.21</v>
      </c>
      <c r="U327" s="380">
        <v>0</v>
      </c>
      <c r="V327" s="380">
        <v>7024.39</v>
      </c>
      <c r="W327" s="380">
        <v>0</v>
      </c>
      <c r="X327" s="380">
        <v>0</v>
      </c>
      <c r="Y327" s="380">
        <v>0</v>
      </c>
      <c r="Z327" s="380">
        <v>0</v>
      </c>
      <c r="AA327" s="376" t="s">
        <v>543</v>
      </c>
      <c r="AB327" s="376" t="s">
        <v>544</v>
      </c>
      <c r="AC327" s="376" t="s">
        <v>231</v>
      </c>
      <c r="AD327" s="376" t="s">
        <v>545</v>
      </c>
      <c r="AE327" s="376" t="s">
        <v>373</v>
      </c>
      <c r="AF327" s="376" t="s">
        <v>378</v>
      </c>
      <c r="AG327" s="376" t="s">
        <v>177</v>
      </c>
      <c r="AH327" s="381">
        <v>41.69</v>
      </c>
      <c r="AI327" s="381">
        <v>50266.5</v>
      </c>
      <c r="AJ327" s="376" t="s">
        <v>178</v>
      </c>
      <c r="AK327" s="376" t="s">
        <v>179</v>
      </c>
      <c r="AL327" s="376" t="s">
        <v>180</v>
      </c>
      <c r="AM327" s="376" t="s">
        <v>181</v>
      </c>
      <c r="AN327" s="376" t="s">
        <v>68</v>
      </c>
      <c r="AO327" s="379">
        <v>80</v>
      </c>
      <c r="AP327" s="460">
        <v>1</v>
      </c>
      <c r="AQ327" s="460">
        <v>0</v>
      </c>
      <c r="AR327" s="458" t="s">
        <v>182</v>
      </c>
      <c r="AS327" s="462">
        <f t="shared" si="85"/>
        <v>0</v>
      </c>
      <c r="AT327">
        <f t="shared" si="86"/>
        <v>0</v>
      </c>
      <c r="AU327" s="462" t="str">
        <f>IF(AT327=0,"",IF(AND(AT327=1,M327="F",SUMIF(C2:C698,C327,AS2:AS698)&lt;=1),SUMIF(C2:C698,C327,AS2:AS698),IF(AND(AT327=1,M327="F",SUMIF(C2:C698,C327,AS2:AS698)&gt;1),1,"")))</f>
        <v/>
      </c>
      <c r="AV327" s="462" t="str">
        <f>IF(AT327=0,"",IF(AND(AT327=3,M327="F",SUMIF(C2:C698,C327,AS2:AS698)&lt;=1),SUMIF(C2:C698,C327,AS2:AS698),IF(AND(AT327=3,M327="F",SUMIF(C2:C698,C327,AS2:AS698)&gt;1),1,"")))</f>
        <v/>
      </c>
      <c r="AW327" s="462">
        <f>SUMIF(C2:C698,C327,O2:O698)</f>
        <v>6</v>
      </c>
      <c r="AX327" s="462">
        <f>IF(AND(M327="F",AS327&lt;&gt;0),SUMIF(C2:C698,C327,W2:W698),0)</f>
        <v>0</v>
      </c>
      <c r="AY327" s="462" t="str">
        <f t="shared" si="87"/>
        <v/>
      </c>
      <c r="AZ327" s="462" t="str">
        <f t="shared" si="88"/>
        <v/>
      </c>
      <c r="BA327" s="462">
        <f t="shared" si="89"/>
        <v>0</v>
      </c>
      <c r="BB327" s="462">
        <f>IF(AND(AT327=1,AK327="E",AU327&gt;=0.75,AW327=1),Health,IF(AND(AT327=1,AK327="E",AU327&gt;=0.75),Health*P327,IF(AND(AT327=1,AK327="E",AU327&gt;=0.5,AW327=1),PTHealth,IF(AND(AT327=1,AK327="E",AU327&gt;=0.5),PTHealth*P327,0))))</f>
        <v>0</v>
      </c>
      <c r="BC327" s="462">
        <f>IF(AND(AT327=3,AK327="E",AV327&gt;=0.75,AW327=1),Health,IF(AND(AT327=3,AK327="E",AV327&gt;=0.75),Health*P327,IF(AND(AT327=3,AK327="E",AV327&gt;=0.5,AW327=1),PTHealth,IF(AND(AT327=3,AK327="E",AV327&gt;=0.5),PTHealth*P327,0))))</f>
        <v>0</v>
      </c>
      <c r="BD327" s="462">
        <f>IF(AND(AT327&lt;&gt;0,AX327&gt;=MAXSSDI),SSDI*MAXSSDI*P327,IF(AT327&lt;&gt;0,SSDI*W327,0))</f>
        <v>0</v>
      </c>
      <c r="BE327" s="462">
        <f>IF(AT327&lt;&gt;0,SSHI*W327,0)</f>
        <v>0</v>
      </c>
      <c r="BF327" s="462">
        <f>IF(AND(AT327&lt;&gt;0,AN327&lt;&gt;"NE"),VLOOKUP(AN327,Retirement_Rates,3,FALSE)*W327,0)</f>
        <v>0</v>
      </c>
      <c r="BG327" s="462">
        <f>IF(AND(AT327&lt;&gt;0,AJ327&lt;&gt;"PF"),Life*W327,0)</f>
        <v>0</v>
      </c>
      <c r="BH327" s="462">
        <f>IF(AND(AT327&lt;&gt;0,AM327="Y"),UI*W327,0)</f>
        <v>0</v>
      </c>
      <c r="BI327" s="462">
        <f>IF(AND(AT327&lt;&gt;0,N327&lt;&gt;"NR"),DHR*W327,0)</f>
        <v>0</v>
      </c>
      <c r="BJ327" s="462">
        <f>IF(AT327&lt;&gt;0,WC*W327,0)</f>
        <v>0</v>
      </c>
      <c r="BK327" s="462">
        <f>IF(OR(AND(AT327&lt;&gt;0,AJ327&lt;&gt;"PF",AN327&lt;&gt;"NE",AG327&lt;&gt;"A"),AND(AL327="E",OR(AT327=1,AT327=3))),Sick*W327,0)</f>
        <v>0</v>
      </c>
      <c r="BL327" s="462">
        <f t="shared" si="90"/>
        <v>0</v>
      </c>
      <c r="BM327" s="462">
        <f t="shared" si="91"/>
        <v>0</v>
      </c>
      <c r="BN327" s="462">
        <f>IF(AND(AT327=1,AK327="E",AU327&gt;=0.75,AW327=1),HealthBY,IF(AND(AT327=1,AK327="E",AU327&gt;=0.75),HealthBY*P327,IF(AND(AT327=1,AK327="E",AU327&gt;=0.5,AW327=1),PTHealthBY,IF(AND(AT327=1,AK327="E",AU327&gt;=0.5),PTHealthBY*P327,0))))</f>
        <v>0</v>
      </c>
      <c r="BO327" s="462">
        <f>IF(AND(AT327=3,AK327="E",AV327&gt;=0.75,AW327=1),HealthBY,IF(AND(AT327=3,AK327="E",AV327&gt;=0.75),HealthBY*P327,IF(AND(AT327=3,AK327="E",AV327&gt;=0.5,AW327=1),PTHealthBY,IF(AND(AT327=3,AK327="E",AV327&gt;=0.5),PTHealthBY*P327,0))))</f>
        <v>0</v>
      </c>
      <c r="BP327" s="462">
        <f>IF(AND(AT327&lt;&gt;0,(AX327+BA327)&gt;=MAXSSDIBY),SSDIBY*MAXSSDIBY*P327,IF(AT327&lt;&gt;0,SSDIBY*W327,0))</f>
        <v>0</v>
      </c>
      <c r="BQ327" s="462">
        <f>IF(AT327&lt;&gt;0,SSHIBY*W327,0)</f>
        <v>0</v>
      </c>
      <c r="BR327" s="462">
        <f>IF(AND(AT327&lt;&gt;0,AN327&lt;&gt;"NE"),VLOOKUP(AN327,Retirement_Rates,4,FALSE)*W327,0)</f>
        <v>0</v>
      </c>
      <c r="BS327" s="462">
        <f>IF(AND(AT327&lt;&gt;0,AJ327&lt;&gt;"PF"),LifeBY*W327,0)</f>
        <v>0</v>
      </c>
      <c r="BT327" s="462">
        <f>IF(AND(AT327&lt;&gt;0,AM327="Y"),UIBY*W327,0)</f>
        <v>0</v>
      </c>
      <c r="BU327" s="462">
        <f>IF(AND(AT327&lt;&gt;0,N327&lt;&gt;"NR"),DHRBY*W327,0)</f>
        <v>0</v>
      </c>
      <c r="BV327" s="462">
        <f>IF(AT327&lt;&gt;0,WCBY*W327,0)</f>
        <v>0</v>
      </c>
      <c r="BW327" s="462">
        <f>IF(OR(AND(AT327&lt;&gt;0,AJ327&lt;&gt;"PF",AN327&lt;&gt;"NE",AG327&lt;&gt;"A"),AND(AL327="E",OR(AT327=1,AT327=3))),SickBY*W327,0)</f>
        <v>0</v>
      </c>
      <c r="BX327" s="462">
        <f t="shared" si="92"/>
        <v>0</v>
      </c>
      <c r="BY327" s="462">
        <f t="shared" si="93"/>
        <v>0</v>
      </c>
      <c r="BZ327" s="462">
        <f t="shared" si="94"/>
        <v>0</v>
      </c>
      <c r="CA327" s="462">
        <f t="shared" si="95"/>
        <v>0</v>
      </c>
      <c r="CB327" s="462">
        <f t="shared" si="96"/>
        <v>0</v>
      </c>
      <c r="CC327" s="462">
        <f>IF(AT327&lt;&gt;0,SSHICHG*Y327,0)</f>
        <v>0</v>
      </c>
      <c r="CD327" s="462">
        <f>IF(AND(AT327&lt;&gt;0,AN327&lt;&gt;"NE"),VLOOKUP(AN327,Retirement_Rates,5,FALSE)*Y327,0)</f>
        <v>0</v>
      </c>
      <c r="CE327" s="462">
        <f>IF(AND(AT327&lt;&gt;0,AJ327&lt;&gt;"PF"),LifeCHG*Y327,0)</f>
        <v>0</v>
      </c>
      <c r="CF327" s="462">
        <f>IF(AND(AT327&lt;&gt;0,AM327="Y"),UICHG*Y327,0)</f>
        <v>0</v>
      </c>
      <c r="CG327" s="462">
        <f>IF(AND(AT327&lt;&gt;0,N327&lt;&gt;"NR"),DHRCHG*Y327,0)</f>
        <v>0</v>
      </c>
      <c r="CH327" s="462">
        <f>IF(AT327&lt;&gt;0,WCCHG*Y327,0)</f>
        <v>0</v>
      </c>
      <c r="CI327" s="462">
        <f>IF(OR(AND(AT327&lt;&gt;0,AJ327&lt;&gt;"PF",AN327&lt;&gt;"NE",AG327&lt;&gt;"A"),AND(AL327="E",OR(AT327=1,AT327=3))),SickCHG*Y327,0)</f>
        <v>0</v>
      </c>
      <c r="CJ327" s="462">
        <f t="shared" si="97"/>
        <v>0</v>
      </c>
      <c r="CK327" s="462" t="str">
        <f t="shared" si="98"/>
        <v/>
      </c>
      <c r="CL327" s="462" t="str">
        <f t="shared" si="99"/>
        <v/>
      </c>
      <c r="CM327" s="462" t="str">
        <f t="shared" si="100"/>
        <v/>
      </c>
      <c r="CN327" s="462" t="str">
        <f t="shared" si="101"/>
        <v>0330-02</v>
      </c>
    </row>
    <row r="328" spans="1:92" ht="15" thickBot="1" x14ac:dyDescent="0.35">
      <c r="A328" s="376" t="s">
        <v>161</v>
      </c>
      <c r="B328" s="376" t="s">
        <v>162</v>
      </c>
      <c r="C328" s="376" t="s">
        <v>920</v>
      </c>
      <c r="D328" s="376" t="s">
        <v>362</v>
      </c>
      <c r="E328" s="376" t="s">
        <v>931</v>
      </c>
      <c r="F328" s="382" t="s">
        <v>344</v>
      </c>
      <c r="G328" s="376" t="s">
        <v>762</v>
      </c>
      <c r="H328" s="378"/>
      <c r="I328" s="378"/>
      <c r="J328" s="376" t="s">
        <v>877</v>
      </c>
      <c r="K328" s="376" t="s">
        <v>363</v>
      </c>
      <c r="L328" s="376" t="s">
        <v>200</v>
      </c>
      <c r="M328" s="376" t="s">
        <v>170</v>
      </c>
      <c r="N328" s="376" t="s">
        <v>202</v>
      </c>
      <c r="O328" s="379">
        <v>1</v>
      </c>
      <c r="P328" s="460">
        <v>0</v>
      </c>
      <c r="Q328" s="460">
        <v>0</v>
      </c>
      <c r="R328" s="380">
        <v>80</v>
      </c>
      <c r="S328" s="460">
        <v>0</v>
      </c>
      <c r="T328" s="380">
        <v>2261.6999999999998</v>
      </c>
      <c r="U328" s="380">
        <v>0</v>
      </c>
      <c r="V328" s="380">
        <v>1094.26</v>
      </c>
      <c r="W328" s="380">
        <v>0</v>
      </c>
      <c r="X328" s="380">
        <v>0</v>
      </c>
      <c r="Y328" s="380">
        <v>0</v>
      </c>
      <c r="Z328" s="380">
        <v>0</v>
      </c>
      <c r="AA328" s="376" t="s">
        <v>921</v>
      </c>
      <c r="AB328" s="376" t="s">
        <v>922</v>
      </c>
      <c r="AC328" s="376" t="s">
        <v>486</v>
      </c>
      <c r="AD328" s="376" t="s">
        <v>278</v>
      </c>
      <c r="AE328" s="376" t="s">
        <v>363</v>
      </c>
      <c r="AF328" s="376" t="s">
        <v>210</v>
      </c>
      <c r="AG328" s="376" t="s">
        <v>177</v>
      </c>
      <c r="AH328" s="381">
        <v>22.5</v>
      </c>
      <c r="AI328" s="379">
        <v>6896</v>
      </c>
      <c r="AJ328" s="376" t="s">
        <v>178</v>
      </c>
      <c r="AK328" s="376" t="s">
        <v>179</v>
      </c>
      <c r="AL328" s="376" t="s">
        <v>180</v>
      </c>
      <c r="AM328" s="376" t="s">
        <v>181</v>
      </c>
      <c r="AN328" s="376" t="s">
        <v>68</v>
      </c>
      <c r="AO328" s="379">
        <v>80</v>
      </c>
      <c r="AP328" s="460">
        <v>1</v>
      </c>
      <c r="AQ328" s="460">
        <v>0</v>
      </c>
      <c r="AR328" s="458" t="s">
        <v>182</v>
      </c>
      <c r="AS328" s="462">
        <f t="shared" si="85"/>
        <v>0</v>
      </c>
      <c r="AT328">
        <f t="shared" si="86"/>
        <v>0</v>
      </c>
      <c r="AU328" s="462" t="str">
        <f>IF(AT328=0,"",IF(AND(AT328=1,M328="F",SUMIF(C2:C698,C328,AS2:AS698)&lt;=1),SUMIF(C2:C698,C328,AS2:AS698),IF(AND(AT328=1,M328="F",SUMIF(C2:C698,C328,AS2:AS698)&gt;1),1,"")))</f>
        <v/>
      </c>
      <c r="AV328" s="462" t="str">
        <f>IF(AT328=0,"",IF(AND(AT328=3,M328="F",SUMIF(C2:C698,C328,AS2:AS698)&lt;=1),SUMIF(C2:C698,C328,AS2:AS698),IF(AND(AT328=3,M328="F",SUMIF(C2:C698,C328,AS2:AS698)&gt;1),1,"")))</f>
        <v/>
      </c>
      <c r="AW328" s="462">
        <f>SUMIF(C2:C698,C328,O2:O698)</f>
        <v>6</v>
      </c>
      <c r="AX328" s="462">
        <f>IF(AND(M328="F",AS328&lt;&gt;0),SUMIF(C2:C698,C328,W2:W698),0)</f>
        <v>0</v>
      </c>
      <c r="AY328" s="462" t="str">
        <f t="shared" si="87"/>
        <v/>
      </c>
      <c r="AZ328" s="462" t="str">
        <f t="shared" si="88"/>
        <v/>
      </c>
      <c r="BA328" s="462">
        <f t="shared" si="89"/>
        <v>0</v>
      </c>
      <c r="BB328" s="462">
        <f>IF(AND(AT328=1,AK328="E",AU328&gt;=0.75,AW328=1),Health,IF(AND(AT328=1,AK328="E",AU328&gt;=0.75),Health*P328,IF(AND(AT328=1,AK328="E",AU328&gt;=0.5,AW328=1),PTHealth,IF(AND(AT328=1,AK328="E",AU328&gt;=0.5),PTHealth*P328,0))))</f>
        <v>0</v>
      </c>
      <c r="BC328" s="462">
        <f>IF(AND(AT328=3,AK328="E",AV328&gt;=0.75,AW328=1),Health,IF(AND(AT328=3,AK328="E",AV328&gt;=0.75),Health*P328,IF(AND(AT328=3,AK328="E",AV328&gt;=0.5,AW328=1),PTHealth,IF(AND(AT328=3,AK328="E",AV328&gt;=0.5),PTHealth*P328,0))))</f>
        <v>0</v>
      </c>
      <c r="BD328" s="462">
        <f>IF(AND(AT328&lt;&gt;0,AX328&gt;=MAXSSDI),SSDI*MAXSSDI*P328,IF(AT328&lt;&gt;0,SSDI*W328,0))</f>
        <v>0</v>
      </c>
      <c r="BE328" s="462">
        <f>IF(AT328&lt;&gt;0,SSHI*W328,0)</f>
        <v>0</v>
      </c>
      <c r="BF328" s="462">
        <f>IF(AND(AT328&lt;&gt;0,AN328&lt;&gt;"NE"),VLOOKUP(AN328,Retirement_Rates,3,FALSE)*W328,0)</f>
        <v>0</v>
      </c>
      <c r="BG328" s="462">
        <f>IF(AND(AT328&lt;&gt;0,AJ328&lt;&gt;"PF"),Life*W328,0)</f>
        <v>0</v>
      </c>
      <c r="BH328" s="462">
        <f>IF(AND(AT328&lt;&gt;0,AM328="Y"),UI*W328,0)</f>
        <v>0</v>
      </c>
      <c r="BI328" s="462">
        <f>IF(AND(AT328&lt;&gt;0,N328&lt;&gt;"NR"),DHR*W328,0)</f>
        <v>0</v>
      </c>
      <c r="BJ328" s="462">
        <f>IF(AT328&lt;&gt;0,WC*W328,0)</f>
        <v>0</v>
      </c>
      <c r="BK328" s="462">
        <f>IF(OR(AND(AT328&lt;&gt;0,AJ328&lt;&gt;"PF",AN328&lt;&gt;"NE",AG328&lt;&gt;"A"),AND(AL328="E",OR(AT328=1,AT328=3))),Sick*W328,0)</f>
        <v>0</v>
      </c>
      <c r="BL328" s="462">
        <f t="shared" si="90"/>
        <v>0</v>
      </c>
      <c r="BM328" s="462">
        <f t="shared" si="91"/>
        <v>0</v>
      </c>
      <c r="BN328" s="462">
        <f>IF(AND(AT328=1,AK328="E",AU328&gt;=0.75,AW328=1),HealthBY,IF(AND(AT328=1,AK328="E",AU328&gt;=0.75),HealthBY*P328,IF(AND(AT328=1,AK328="E",AU328&gt;=0.5,AW328=1),PTHealthBY,IF(AND(AT328=1,AK328="E",AU328&gt;=0.5),PTHealthBY*P328,0))))</f>
        <v>0</v>
      </c>
      <c r="BO328" s="462">
        <f>IF(AND(AT328=3,AK328="E",AV328&gt;=0.75,AW328=1),HealthBY,IF(AND(AT328=3,AK328="E",AV328&gt;=0.75),HealthBY*P328,IF(AND(AT328=3,AK328="E",AV328&gt;=0.5,AW328=1),PTHealthBY,IF(AND(AT328=3,AK328="E",AV328&gt;=0.5),PTHealthBY*P328,0))))</f>
        <v>0</v>
      </c>
      <c r="BP328" s="462">
        <f>IF(AND(AT328&lt;&gt;0,(AX328+BA328)&gt;=MAXSSDIBY),SSDIBY*MAXSSDIBY*P328,IF(AT328&lt;&gt;0,SSDIBY*W328,0))</f>
        <v>0</v>
      </c>
      <c r="BQ328" s="462">
        <f>IF(AT328&lt;&gt;0,SSHIBY*W328,0)</f>
        <v>0</v>
      </c>
      <c r="BR328" s="462">
        <f>IF(AND(AT328&lt;&gt;0,AN328&lt;&gt;"NE"),VLOOKUP(AN328,Retirement_Rates,4,FALSE)*W328,0)</f>
        <v>0</v>
      </c>
      <c r="BS328" s="462">
        <f>IF(AND(AT328&lt;&gt;0,AJ328&lt;&gt;"PF"),LifeBY*W328,0)</f>
        <v>0</v>
      </c>
      <c r="BT328" s="462">
        <f>IF(AND(AT328&lt;&gt;0,AM328="Y"),UIBY*W328,0)</f>
        <v>0</v>
      </c>
      <c r="BU328" s="462">
        <f>IF(AND(AT328&lt;&gt;0,N328&lt;&gt;"NR"),DHRBY*W328,0)</f>
        <v>0</v>
      </c>
      <c r="BV328" s="462">
        <f>IF(AT328&lt;&gt;0,WCBY*W328,0)</f>
        <v>0</v>
      </c>
      <c r="BW328" s="462">
        <f>IF(OR(AND(AT328&lt;&gt;0,AJ328&lt;&gt;"PF",AN328&lt;&gt;"NE",AG328&lt;&gt;"A"),AND(AL328="E",OR(AT328=1,AT328=3))),SickBY*W328,0)</f>
        <v>0</v>
      </c>
      <c r="BX328" s="462">
        <f t="shared" si="92"/>
        <v>0</v>
      </c>
      <c r="BY328" s="462">
        <f t="shared" si="93"/>
        <v>0</v>
      </c>
      <c r="BZ328" s="462">
        <f t="shared" si="94"/>
        <v>0</v>
      </c>
      <c r="CA328" s="462">
        <f t="shared" si="95"/>
        <v>0</v>
      </c>
      <c r="CB328" s="462">
        <f t="shared" si="96"/>
        <v>0</v>
      </c>
      <c r="CC328" s="462">
        <f>IF(AT328&lt;&gt;0,SSHICHG*Y328,0)</f>
        <v>0</v>
      </c>
      <c r="CD328" s="462">
        <f>IF(AND(AT328&lt;&gt;0,AN328&lt;&gt;"NE"),VLOOKUP(AN328,Retirement_Rates,5,FALSE)*Y328,0)</f>
        <v>0</v>
      </c>
      <c r="CE328" s="462">
        <f>IF(AND(AT328&lt;&gt;0,AJ328&lt;&gt;"PF"),LifeCHG*Y328,0)</f>
        <v>0</v>
      </c>
      <c r="CF328" s="462">
        <f>IF(AND(AT328&lt;&gt;0,AM328="Y"),UICHG*Y328,0)</f>
        <v>0</v>
      </c>
      <c r="CG328" s="462">
        <f>IF(AND(AT328&lt;&gt;0,N328&lt;&gt;"NR"),DHRCHG*Y328,0)</f>
        <v>0</v>
      </c>
      <c r="CH328" s="462">
        <f>IF(AT328&lt;&gt;0,WCCHG*Y328,0)</f>
        <v>0</v>
      </c>
      <c r="CI328" s="462">
        <f>IF(OR(AND(AT328&lt;&gt;0,AJ328&lt;&gt;"PF",AN328&lt;&gt;"NE",AG328&lt;&gt;"A"),AND(AL328="E",OR(AT328=1,AT328=3))),SickCHG*Y328,0)</f>
        <v>0</v>
      </c>
      <c r="CJ328" s="462">
        <f t="shared" si="97"/>
        <v>0</v>
      </c>
      <c r="CK328" s="462" t="str">
        <f t="shared" si="98"/>
        <v/>
      </c>
      <c r="CL328" s="462" t="str">
        <f t="shared" si="99"/>
        <v/>
      </c>
      <c r="CM328" s="462" t="str">
        <f t="shared" si="100"/>
        <v/>
      </c>
      <c r="CN328" s="462" t="str">
        <f t="shared" si="101"/>
        <v>0330-02</v>
      </c>
    </row>
    <row r="329" spans="1:92" ht="15" thickBot="1" x14ac:dyDescent="0.35">
      <c r="A329" s="376" t="s">
        <v>161</v>
      </c>
      <c r="B329" s="376" t="s">
        <v>162</v>
      </c>
      <c r="C329" s="376" t="s">
        <v>923</v>
      </c>
      <c r="D329" s="376" t="s">
        <v>362</v>
      </c>
      <c r="E329" s="376" t="s">
        <v>931</v>
      </c>
      <c r="F329" s="382" t="s">
        <v>344</v>
      </c>
      <c r="G329" s="376" t="s">
        <v>762</v>
      </c>
      <c r="H329" s="378"/>
      <c r="I329" s="378"/>
      <c r="J329" s="376" t="s">
        <v>168</v>
      </c>
      <c r="K329" s="376" t="s">
        <v>363</v>
      </c>
      <c r="L329" s="376" t="s">
        <v>200</v>
      </c>
      <c r="M329" s="376" t="s">
        <v>170</v>
      </c>
      <c r="N329" s="376" t="s">
        <v>202</v>
      </c>
      <c r="O329" s="379">
        <v>1</v>
      </c>
      <c r="P329" s="460">
        <v>0</v>
      </c>
      <c r="Q329" s="460">
        <v>0</v>
      </c>
      <c r="R329" s="380">
        <v>80</v>
      </c>
      <c r="S329" s="460">
        <v>0</v>
      </c>
      <c r="T329" s="380">
        <v>74.59</v>
      </c>
      <c r="U329" s="380">
        <v>0</v>
      </c>
      <c r="V329" s="380">
        <v>37.07</v>
      </c>
      <c r="W329" s="380">
        <v>0</v>
      </c>
      <c r="X329" s="380">
        <v>0</v>
      </c>
      <c r="Y329" s="380">
        <v>0</v>
      </c>
      <c r="Z329" s="380">
        <v>0</v>
      </c>
      <c r="AA329" s="376" t="s">
        <v>924</v>
      </c>
      <c r="AB329" s="376" t="s">
        <v>925</v>
      </c>
      <c r="AC329" s="376" t="s">
        <v>926</v>
      </c>
      <c r="AD329" s="376" t="s">
        <v>177</v>
      </c>
      <c r="AE329" s="376" t="s">
        <v>363</v>
      </c>
      <c r="AF329" s="376" t="s">
        <v>210</v>
      </c>
      <c r="AG329" s="376" t="s">
        <v>177</v>
      </c>
      <c r="AH329" s="381">
        <v>22.5</v>
      </c>
      <c r="AI329" s="381">
        <v>13298.5</v>
      </c>
      <c r="AJ329" s="376" t="s">
        <v>178</v>
      </c>
      <c r="AK329" s="376" t="s">
        <v>179</v>
      </c>
      <c r="AL329" s="376" t="s">
        <v>180</v>
      </c>
      <c r="AM329" s="376" t="s">
        <v>181</v>
      </c>
      <c r="AN329" s="376" t="s">
        <v>68</v>
      </c>
      <c r="AO329" s="379">
        <v>80</v>
      </c>
      <c r="AP329" s="460">
        <v>1</v>
      </c>
      <c r="AQ329" s="460">
        <v>0</v>
      </c>
      <c r="AR329" s="458" t="s">
        <v>182</v>
      </c>
      <c r="AS329" s="462">
        <f t="shared" si="85"/>
        <v>0</v>
      </c>
      <c r="AT329">
        <f t="shared" si="86"/>
        <v>0</v>
      </c>
      <c r="AU329" s="462" t="str">
        <f>IF(AT329=0,"",IF(AND(AT329=1,M329="F",SUMIF(C2:C698,C329,AS2:AS698)&lt;=1),SUMIF(C2:C698,C329,AS2:AS698),IF(AND(AT329=1,M329="F",SUMIF(C2:C698,C329,AS2:AS698)&gt;1),1,"")))</f>
        <v/>
      </c>
      <c r="AV329" s="462" t="str">
        <f>IF(AT329=0,"",IF(AND(AT329=3,M329="F",SUMIF(C2:C698,C329,AS2:AS698)&lt;=1),SUMIF(C2:C698,C329,AS2:AS698),IF(AND(AT329=3,M329="F",SUMIF(C2:C698,C329,AS2:AS698)&gt;1),1,"")))</f>
        <v/>
      </c>
      <c r="AW329" s="462">
        <f>SUMIF(C2:C698,C329,O2:O698)</f>
        <v>9</v>
      </c>
      <c r="AX329" s="462">
        <f>IF(AND(M329="F",AS329&lt;&gt;0),SUMIF(C2:C698,C329,W2:W698),0)</f>
        <v>0</v>
      </c>
      <c r="AY329" s="462" t="str">
        <f t="shared" si="87"/>
        <v/>
      </c>
      <c r="AZ329" s="462" t="str">
        <f t="shared" si="88"/>
        <v/>
      </c>
      <c r="BA329" s="462">
        <f t="shared" si="89"/>
        <v>0</v>
      </c>
      <c r="BB329" s="462">
        <f>IF(AND(AT329=1,AK329="E",AU329&gt;=0.75,AW329=1),Health,IF(AND(AT329=1,AK329="E",AU329&gt;=0.75),Health*P329,IF(AND(AT329=1,AK329="E",AU329&gt;=0.5,AW329=1),PTHealth,IF(AND(AT329=1,AK329="E",AU329&gt;=0.5),PTHealth*P329,0))))</f>
        <v>0</v>
      </c>
      <c r="BC329" s="462">
        <f>IF(AND(AT329=3,AK329="E",AV329&gt;=0.75,AW329=1),Health,IF(AND(AT329=3,AK329="E",AV329&gt;=0.75),Health*P329,IF(AND(AT329=3,AK329="E",AV329&gt;=0.5,AW329=1),PTHealth,IF(AND(AT329=3,AK329="E",AV329&gt;=0.5),PTHealth*P329,0))))</f>
        <v>0</v>
      </c>
      <c r="BD329" s="462">
        <f>IF(AND(AT329&lt;&gt;0,AX329&gt;=MAXSSDI),SSDI*MAXSSDI*P329,IF(AT329&lt;&gt;0,SSDI*W329,0))</f>
        <v>0</v>
      </c>
      <c r="BE329" s="462">
        <f>IF(AT329&lt;&gt;0,SSHI*W329,0)</f>
        <v>0</v>
      </c>
      <c r="BF329" s="462">
        <f>IF(AND(AT329&lt;&gt;0,AN329&lt;&gt;"NE"),VLOOKUP(AN329,Retirement_Rates,3,FALSE)*W329,0)</f>
        <v>0</v>
      </c>
      <c r="BG329" s="462">
        <f>IF(AND(AT329&lt;&gt;0,AJ329&lt;&gt;"PF"),Life*W329,0)</f>
        <v>0</v>
      </c>
      <c r="BH329" s="462">
        <f>IF(AND(AT329&lt;&gt;0,AM329="Y"),UI*W329,0)</f>
        <v>0</v>
      </c>
      <c r="BI329" s="462">
        <f>IF(AND(AT329&lt;&gt;0,N329&lt;&gt;"NR"),DHR*W329,0)</f>
        <v>0</v>
      </c>
      <c r="BJ329" s="462">
        <f>IF(AT329&lt;&gt;0,WC*W329,0)</f>
        <v>0</v>
      </c>
      <c r="BK329" s="462">
        <f>IF(OR(AND(AT329&lt;&gt;0,AJ329&lt;&gt;"PF",AN329&lt;&gt;"NE",AG329&lt;&gt;"A"),AND(AL329="E",OR(AT329=1,AT329=3))),Sick*W329,0)</f>
        <v>0</v>
      </c>
      <c r="BL329" s="462">
        <f t="shared" si="90"/>
        <v>0</v>
      </c>
      <c r="BM329" s="462">
        <f t="shared" si="91"/>
        <v>0</v>
      </c>
      <c r="BN329" s="462">
        <f>IF(AND(AT329=1,AK329="E",AU329&gt;=0.75,AW329=1),HealthBY,IF(AND(AT329=1,AK329="E",AU329&gt;=0.75),HealthBY*P329,IF(AND(AT329=1,AK329="E",AU329&gt;=0.5,AW329=1),PTHealthBY,IF(AND(AT329=1,AK329="E",AU329&gt;=0.5),PTHealthBY*P329,0))))</f>
        <v>0</v>
      </c>
      <c r="BO329" s="462">
        <f>IF(AND(AT329=3,AK329="E",AV329&gt;=0.75,AW329=1),HealthBY,IF(AND(AT329=3,AK329="E",AV329&gt;=0.75),HealthBY*P329,IF(AND(AT329=3,AK329="E",AV329&gt;=0.5,AW329=1),PTHealthBY,IF(AND(AT329=3,AK329="E",AV329&gt;=0.5),PTHealthBY*P329,0))))</f>
        <v>0</v>
      </c>
      <c r="BP329" s="462">
        <f>IF(AND(AT329&lt;&gt;0,(AX329+BA329)&gt;=MAXSSDIBY),SSDIBY*MAXSSDIBY*P329,IF(AT329&lt;&gt;0,SSDIBY*W329,0))</f>
        <v>0</v>
      </c>
      <c r="BQ329" s="462">
        <f>IF(AT329&lt;&gt;0,SSHIBY*W329,0)</f>
        <v>0</v>
      </c>
      <c r="BR329" s="462">
        <f>IF(AND(AT329&lt;&gt;0,AN329&lt;&gt;"NE"),VLOOKUP(AN329,Retirement_Rates,4,FALSE)*W329,0)</f>
        <v>0</v>
      </c>
      <c r="BS329" s="462">
        <f>IF(AND(AT329&lt;&gt;0,AJ329&lt;&gt;"PF"),LifeBY*W329,0)</f>
        <v>0</v>
      </c>
      <c r="BT329" s="462">
        <f>IF(AND(AT329&lt;&gt;0,AM329="Y"),UIBY*W329,0)</f>
        <v>0</v>
      </c>
      <c r="BU329" s="462">
        <f>IF(AND(AT329&lt;&gt;0,N329&lt;&gt;"NR"),DHRBY*W329,0)</f>
        <v>0</v>
      </c>
      <c r="BV329" s="462">
        <f>IF(AT329&lt;&gt;0,WCBY*W329,0)</f>
        <v>0</v>
      </c>
      <c r="BW329" s="462">
        <f>IF(OR(AND(AT329&lt;&gt;0,AJ329&lt;&gt;"PF",AN329&lt;&gt;"NE",AG329&lt;&gt;"A"),AND(AL329="E",OR(AT329=1,AT329=3))),SickBY*W329,0)</f>
        <v>0</v>
      </c>
      <c r="BX329" s="462">
        <f t="shared" si="92"/>
        <v>0</v>
      </c>
      <c r="BY329" s="462">
        <f t="shared" si="93"/>
        <v>0</v>
      </c>
      <c r="BZ329" s="462">
        <f t="shared" si="94"/>
        <v>0</v>
      </c>
      <c r="CA329" s="462">
        <f t="shared" si="95"/>
        <v>0</v>
      </c>
      <c r="CB329" s="462">
        <f t="shared" si="96"/>
        <v>0</v>
      </c>
      <c r="CC329" s="462">
        <f>IF(AT329&lt;&gt;0,SSHICHG*Y329,0)</f>
        <v>0</v>
      </c>
      <c r="CD329" s="462">
        <f>IF(AND(AT329&lt;&gt;0,AN329&lt;&gt;"NE"),VLOOKUP(AN329,Retirement_Rates,5,FALSE)*Y329,0)</f>
        <v>0</v>
      </c>
      <c r="CE329" s="462">
        <f>IF(AND(AT329&lt;&gt;0,AJ329&lt;&gt;"PF"),LifeCHG*Y329,0)</f>
        <v>0</v>
      </c>
      <c r="CF329" s="462">
        <f>IF(AND(AT329&lt;&gt;0,AM329="Y"),UICHG*Y329,0)</f>
        <v>0</v>
      </c>
      <c r="CG329" s="462">
        <f>IF(AND(AT329&lt;&gt;0,N329&lt;&gt;"NR"),DHRCHG*Y329,0)</f>
        <v>0</v>
      </c>
      <c r="CH329" s="462">
        <f>IF(AT329&lt;&gt;0,WCCHG*Y329,0)</f>
        <v>0</v>
      </c>
      <c r="CI329" s="462">
        <f>IF(OR(AND(AT329&lt;&gt;0,AJ329&lt;&gt;"PF",AN329&lt;&gt;"NE",AG329&lt;&gt;"A"),AND(AL329="E",OR(AT329=1,AT329=3))),SickCHG*Y329,0)</f>
        <v>0</v>
      </c>
      <c r="CJ329" s="462">
        <f t="shared" si="97"/>
        <v>0</v>
      </c>
      <c r="CK329" s="462" t="str">
        <f t="shared" si="98"/>
        <v/>
      </c>
      <c r="CL329" s="462" t="str">
        <f t="shared" si="99"/>
        <v/>
      </c>
      <c r="CM329" s="462" t="str">
        <f t="shared" si="100"/>
        <v/>
      </c>
      <c r="CN329" s="462" t="str">
        <f t="shared" si="101"/>
        <v>0330-02</v>
      </c>
    </row>
    <row r="330" spans="1:92" ht="15" thickBot="1" x14ac:dyDescent="0.35">
      <c r="A330" s="376" t="s">
        <v>161</v>
      </c>
      <c r="B330" s="376" t="s">
        <v>162</v>
      </c>
      <c r="C330" s="376" t="s">
        <v>872</v>
      </c>
      <c r="D330" s="376" t="s">
        <v>362</v>
      </c>
      <c r="E330" s="376" t="s">
        <v>931</v>
      </c>
      <c r="F330" s="382" t="s">
        <v>344</v>
      </c>
      <c r="G330" s="376" t="s">
        <v>762</v>
      </c>
      <c r="H330" s="378"/>
      <c r="I330" s="378"/>
      <c r="J330" s="376" t="s">
        <v>168</v>
      </c>
      <c r="K330" s="376" t="s">
        <v>363</v>
      </c>
      <c r="L330" s="376" t="s">
        <v>200</v>
      </c>
      <c r="M330" s="376" t="s">
        <v>201</v>
      </c>
      <c r="N330" s="376" t="s">
        <v>202</v>
      </c>
      <c r="O330" s="379">
        <v>0</v>
      </c>
      <c r="P330" s="460">
        <v>0</v>
      </c>
      <c r="Q330" s="460">
        <v>0</v>
      </c>
      <c r="R330" s="380">
        <v>80</v>
      </c>
      <c r="S330" s="460">
        <v>0</v>
      </c>
      <c r="T330" s="380">
        <v>230.04</v>
      </c>
      <c r="U330" s="380">
        <v>0</v>
      </c>
      <c r="V330" s="380">
        <v>113.94</v>
      </c>
      <c r="W330" s="380">
        <v>0</v>
      </c>
      <c r="X330" s="380">
        <v>0</v>
      </c>
      <c r="Y330" s="380">
        <v>0</v>
      </c>
      <c r="Z330" s="380">
        <v>0</v>
      </c>
      <c r="AA330" s="378"/>
      <c r="AB330" s="376" t="s">
        <v>45</v>
      </c>
      <c r="AC330" s="376" t="s">
        <v>45</v>
      </c>
      <c r="AD330" s="378"/>
      <c r="AE330" s="378"/>
      <c r="AF330" s="378"/>
      <c r="AG330" s="378"/>
      <c r="AH330" s="379">
        <v>0</v>
      </c>
      <c r="AI330" s="379">
        <v>0</v>
      </c>
      <c r="AJ330" s="378"/>
      <c r="AK330" s="378"/>
      <c r="AL330" s="376" t="s">
        <v>180</v>
      </c>
      <c r="AM330" s="378"/>
      <c r="AN330" s="378"/>
      <c r="AO330" s="379">
        <v>0</v>
      </c>
      <c r="AP330" s="460">
        <v>0</v>
      </c>
      <c r="AQ330" s="460">
        <v>0</v>
      </c>
      <c r="AR330" s="459"/>
      <c r="AS330" s="462">
        <f t="shared" si="85"/>
        <v>0</v>
      </c>
      <c r="AT330">
        <f t="shared" si="86"/>
        <v>0</v>
      </c>
      <c r="AU330" s="462" t="str">
        <f>IF(AT330=0,"",IF(AND(AT330=1,M330="F",SUMIF(C2:C698,C330,AS2:AS698)&lt;=1),SUMIF(C2:C698,C330,AS2:AS698),IF(AND(AT330=1,M330="F",SUMIF(C2:C698,C330,AS2:AS698)&gt;1),1,"")))</f>
        <v/>
      </c>
      <c r="AV330" s="462" t="str">
        <f>IF(AT330=0,"",IF(AND(AT330=3,M330="F",SUMIF(C2:C698,C330,AS2:AS698)&lt;=1),SUMIF(C2:C698,C330,AS2:AS698),IF(AND(AT330=3,M330="F",SUMIF(C2:C698,C330,AS2:AS698)&gt;1),1,"")))</f>
        <v/>
      </c>
      <c r="AW330" s="462">
        <f>SUMIF(C2:C698,C330,O2:O698)</f>
        <v>0</v>
      </c>
      <c r="AX330" s="462">
        <f>IF(AND(M330="F",AS330&lt;&gt;0),SUMIF(C2:C698,C330,W2:W698),0)</f>
        <v>0</v>
      </c>
      <c r="AY330" s="462" t="str">
        <f t="shared" si="87"/>
        <v/>
      </c>
      <c r="AZ330" s="462" t="str">
        <f t="shared" si="88"/>
        <v/>
      </c>
      <c r="BA330" s="462">
        <f t="shared" si="89"/>
        <v>0</v>
      </c>
      <c r="BB330" s="462">
        <f>IF(AND(AT330=1,AK330="E",AU330&gt;=0.75,AW330=1),Health,IF(AND(AT330=1,AK330="E",AU330&gt;=0.75),Health*P330,IF(AND(AT330=1,AK330="E",AU330&gt;=0.5,AW330=1),PTHealth,IF(AND(AT330=1,AK330="E",AU330&gt;=0.5),PTHealth*P330,0))))</f>
        <v>0</v>
      </c>
      <c r="BC330" s="462">
        <f>IF(AND(AT330=3,AK330="E",AV330&gt;=0.75,AW330=1),Health,IF(AND(AT330=3,AK330="E",AV330&gt;=0.75),Health*P330,IF(AND(AT330=3,AK330="E",AV330&gt;=0.5,AW330=1),PTHealth,IF(AND(AT330=3,AK330="E",AV330&gt;=0.5),PTHealth*P330,0))))</f>
        <v>0</v>
      </c>
      <c r="BD330" s="462">
        <f>IF(AND(AT330&lt;&gt;0,AX330&gt;=MAXSSDI),SSDI*MAXSSDI*P330,IF(AT330&lt;&gt;0,SSDI*W330,0))</f>
        <v>0</v>
      </c>
      <c r="BE330" s="462">
        <f>IF(AT330&lt;&gt;0,SSHI*W330,0)</f>
        <v>0</v>
      </c>
      <c r="BF330" s="462">
        <f>IF(AND(AT330&lt;&gt;0,AN330&lt;&gt;"NE"),VLOOKUP(AN330,Retirement_Rates,3,FALSE)*W330,0)</f>
        <v>0</v>
      </c>
      <c r="BG330" s="462">
        <f>IF(AND(AT330&lt;&gt;0,AJ330&lt;&gt;"PF"),Life*W330,0)</f>
        <v>0</v>
      </c>
      <c r="BH330" s="462">
        <f>IF(AND(AT330&lt;&gt;0,AM330="Y"),UI*W330,0)</f>
        <v>0</v>
      </c>
      <c r="BI330" s="462">
        <f>IF(AND(AT330&lt;&gt;0,N330&lt;&gt;"NR"),DHR*W330,0)</f>
        <v>0</v>
      </c>
      <c r="BJ330" s="462">
        <f>IF(AT330&lt;&gt;0,WC*W330,0)</f>
        <v>0</v>
      </c>
      <c r="BK330" s="462">
        <f>IF(OR(AND(AT330&lt;&gt;0,AJ330&lt;&gt;"PF",AN330&lt;&gt;"NE",AG330&lt;&gt;"A"),AND(AL330="E",OR(AT330=1,AT330=3))),Sick*W330,0)</f>
        <v>0</v>
      </c>
      <c r="BL330" s="462">
        <f t="shared" si="90"/>
        <v>0</v>
      </c>
      <c r="BM330" s="462">
        <f t="shared" si="91"/>
        <v>0</v>
      </c>
      <c r="BN330" s="462">
        <f>IF(AND(AT330=1,AK330="E",AU330&gt;=0.75,AW330=1),HealthBY,IF(AND(AT330=1,AK330="E",AU330&gt;=0.75),HealthBY*P330,IF(AND(AT330=1,AK330="E",AU330&gt;=0.5,AW330=1),PTHealthBY,IF(AND(AT330=1,AK330="E",AU330&gt;=0.5),PTHealthBY*P330,0))))</f>
        <v>0</v>
      </c>
      <c r="BO330" s="462">
        <f>IF(AND(AT330=3,AK330="E",AV330&gt;=0.75,AW330=1),HealthBY,IF(AND(AT330=3,AK330="E",AV330&gt;=0.75),HealthBY*P330,IF(AND(AT330=3,AK330="E",AV330&gt;=0.5,AW330=1),PTHealthBY,IF(AND(AT330=3,AK330="E",AV330&gt;=0.5),PTHealthBY*P330,0))))</f>
        <v>0</v>
      </c>
      <c r="BP330" s="462">
        <f>IF(AND(AT330&lt;&gt;0,(AX330+BA330)&gt;=MAXSSDIBY),SSDIBY*MAXSSDIBY*P330,IF(AT330&lt;&gt;0,SSDIBY*W330,0))</f>
        <v>0</v>
      </c>
      <c r="BQ330" s="462">
        <f>IF(AT330&lt;&gt;0,SSHIBY*W330,0)</f>
        <v>0</v>
      </c>
      <c r="BR330" s="462">
        <f>IF(AND(AT330&lt;&gt;0,AN330&lt;&gt;"NE"),VLOOKUP(AN330,Retirement_Rates,4,FALSE)*W330,0)</f>
        <v>0</v>
      </c>
      <c r="BS330" s="462">
        <f>IF(AND(AT330&lt;&gt;0,AJ330&lt;&gt;"PF"),LifeBY*W330,0)</f>
        <v>0</v>
      </c>
      <c r="BT330" s="462">
        <f>IF(AND(AT330&lt;&gt;0,AM330="Y"),UIBY*W330,0)</f>
        <v>0</v>
      </c>
      <c r="BU330" s="462">
        <f>IF(AND(AT330&lt;&gt;0,N330&lt;&gt;"NR"),DHRBY*W330,0)</f>
        <v>0</v>
      </c>
      <c r="BV330" s="462">
        <f>IF(AT330&lt;&gt;0,WCBY*W330,0)</f>
        <v>0</v>
      </c>
      <c r="BW330" s="462">
        <f>IF(OR(AND(AT330&lt;&gt;0,AJ330&lt;&gt;"PF",AN330&lt;&gt;"NE",AG330&lt;&gt;"A"),AND(AL330="E",OR(AT330=1,AT330=3))),SickBY*W330,0)</f>
        <v>0</v>
      </c>
      <c r="BX330" s="462">
        <f t="shared" si="92"/>
        <v>0</v>
      </c>
      <c r="BY330" s="462">
        <f t="shared" si="93"/>
        <v>0</v>
      </c>
      <c r="BZ330" s="462">
        <f t="shared" si="94"/>
        <v>0</v>
      </c>
      <c r="CA330" s="462">
        <f t="shared" si="95"/>
        <v>0</v>
      </c>
      <c r="CB330" s="462">
        <f t="shared" si="96"/>
        <v>0</v>
      </c>
      <c r="CC330" s="462">
        <f>IF(AT330&lt;&gt;0,SSHICHG*Y330,0)</f>
        <v>0</v>
      </c>
      <c r="CD330" s="462">
        <f>IF(AND(AT330&lt;&gt;0,AN330&lt;&gt;"NE"),VLOOKUP(AN330,Retirement_Rates,5,FALSE)*Y330,0)</f>
        <v>0</v>
      </c>
      <c r="CE330" s="462">
        <f>IF(AND(AT330&lt;&gt;0,AJ330&lt;&gt;"PF"),LifeCHG*Y330,0)</f>
        <v>0</v>
      </c>
      <c r="CF330" s="462">
        <f>IF(AND(AT330&lt;&gt;0,AM330="Y"),UICHG*Y330,0)</f>
        <v>0</v>
      </c>
      <c r="CG330" s="462">
        <f>IF(AND(AT330&lt;&gt;0,N330&lt;&gt;"NR"),DHRCHG*Y330,0)</f>
        <v>0</v>
      </c>
      <c r="CH330" s="462">
        <f>IF(AT330&lt;&gt;0,WCCHG*Y330,0)</f>
        <v>0</v>
      </c>
      <c r="CI330" s="462">
        <f>IF(OR(AND(AT330&lt;&gt;0,AJ330&lt;&gt;"PF",AN330&lt;&gt;"NE",AG330&lt;&gt;"A"),AND(AL330="E",OR(AT330=1,AT330=3))),SickCHG*Y330,0)</f>
        <v>0</v>
      </c>
      <c r="CJ330" s="462">
        <f t="shared" si="97"/>
        <v>0</v>
      </c>
      <c r="CK330" s="462" t="str">
        <f t="shared" si="98"/>
        <v/>
      </c>
      <c r="CL330" s="462" t="str">
        <f t="shared" si="99"/>
        <v/>
      </c>
      <c r="CM330" s="462" t="str">
        <f t="shared" si="100"/>
        <v/>
      </c>
      <c r="CN330" s="462" t="str">
        <f t="shared" si="101"/>
        <v>0330-02</v>
      </c>
    </row>
    <row r="331" spans="1:92" ht="15" thickBot="1" x14ac:dyDescent="0.35">
      <c r="A331" s="376" t="s">
        <v>161</v>
      </c>
      <c r="B331" s="376" t="s">
        <v>162</v>
      </c>
      <c r="C331" s="376" t="s">
        <v>767</v>
      </c>
      <c r="D331" s="376" t="s">
        <v>362</v>
      </c>
      <c r="E331" s="376" t="s">
        <v>931</v>
      </c>
      <c r="F331" s="382" t="s">
        <v>344</v>
      </c>
      <c r="G331" s="376" t="s">
        <v>762</v>
      </c>
      <c r="H331" s="378"/>
      <c r="I331" s="378"/>
      <c r="J331" s="376" t="s">
        <v>768</v>
      </c>
      <c r="K331" s="376" t="s">
        <v>363</v>
      </c>
      <c r="L331" s="376" t="s">
        <v>200</v>
      </c>
      <c r="M331" s="376" t="s">
        <v>170</v>
      </c>
      <c r="N331" s="376" t="s">
        <v>202</v>
      </c>
      <c r="O331" s="379">
        <v>1</v>
      </c>
      <c r="P331" s="460">
        <v>0</v>
      </c>
      <c r="Q331" s="460">
        <v>0</v>
      </c>
      <c r="R331" s="380">
        <v>80</v>
      </c>
      <c r="S331" s="460">
        <v>0</v>
      </c>
      <c r="T331" s="380">
        <v>115.86</v>
      </c>
      <c r="U331" s="380">
        <v>0</v>
      </c>
      <c r="V331" s="380">
        <v>47.06</v>
      </c>
      <c r="W331" s="380">
        <v>0</v>
      </c>
      <c r="X331" s="380">
        <v>0</v>
      </c>
      <c r="Y331" s="380">
        <v>0</v>
      </c>
      <c r="Z331" s="380">
        <v>0</v>
      </c>
      <c r="AA331" s="376" t="s">
        <v>769</v>
      </c>
      <c r="AB331" s="376" t="s">
        <v>770</v>
      </c>
      <c r="AC331" s="376" t="s">
        <v>771</v>
      </c>
      <c r="AD331" s="376" t="s">
        <v>278</v>
      </c>
      <c r="AE331" s="376" t="s">
        <v>363</v>
      </c>
      <c r="AF331" s="376" t="s">
        <v>210</v>
      </c>
      <c r="AG331" s="376" t="s">
        <v>177</v>
      </c>
      <c r="AH331" s="381">
        <v>24.17</v>
      </c>
      <c r="AI331" s="379">
        <v>25188</v>
      </c>
      <c r="AJ331" s="376" t="s">
        <v>178</v>
      </c>
      <c r="AK331" s="376" t="s">
        <v>179</v>
      </c>
      <c r="AL331" s="376" t="s">
        <v>180</v>
      </c>
      <c r="AM331" s="376" t="s">
        <v>181</v>
      </c>
      <c r="AN331" s="376" t="s">
        <v>68</v>
      </c>
      <c r="AO331" s="379">
        <v>80</v>
      </c>
      <c r="AP331" s="460">
        <v>1</v>
      </c>
      <c r="AQ331" s="460">
        <v>0</v>
      </c>
      <c r="AR331" s="458" t="s">
        <v>182</v>
      </c>
      <c r="AS331" s="462">
        <f t="shared" si="85"/>
        <v>0</v>
      </c>
      <c r="AT331">
        <f t="shared" si="86"/>
        <v>0</v>
      </c>
      <c r="AU331" s="462" t="str">
        <f>IF(AT331=0,"",IF(AND(AT331=1,M331="F",SUMIF(C2:C698,C331,AS2:AS698)&lt;=1),SUMIF(C2:C698,C331,AS2:AS698),IF(AND(AT331=1,M331="F",SUMIF(C2:C698,C331,AS2:AS698)&gt;1),1,"")))</f>
        <v/>
      </c>
      <c r="AV331" s="462" t="str">
        <f>IF(AT331=0,"",IF(AND(AT331=3,M331="F",SUMIF(C2:C698,C331,AS2:AS698)&lt;=1),SUMIF(C2:C698,C331,AS2:AS698),IF(AND(AT331=3,M331="F",SUMIF(C2:C698,C331,AS2:AS698)&gt;1),1,"")))</f>
        <v/>
      </c>
      <c r="AW331" s="462">
        <f>SUMIF(C2:C698,C331,O2:O698)</f>
        <v>7</v>
      </c>
      <c r="AX331" s="462">
        <f>IF(AND(M331="F",AS331&lt;&gt;0),SUMIF(C2:C698,C331,W2:W698),0)</f>
        <v>0</v>
      </c>
      <c r="AY331" s="462" t="str">
        <f t="shared" si="87"/>
        <v/>
      </c>
      <c r="AZ331" s="462" t="str">
        <f t="shared" si="88"/>
        <v/>
      </c>
      <c r="BA331" s="462">
        <f t="shared" si="89"/>
        <v>0</v>
      </c>
      <c r="BB331" s="462">
        <f>IF(AND(AT331=1,AK331="E",AU331&gt;=0.75,AW331=1),Health,IF(AND(AT331=1,AK331="E",AU331&gt;=0.75),Health*P331,IF(AND(AT331=1,AK331="E",AU331&gt;=0.5,AW331=1),PTHealth,IF(AND(AT331=1,AK331="E",AU331&gt;=0.5),PTHealth*P331,0))))</f>
        <v>0</v>
      </c>
      <c r="BC331" s="462">
        <f>IF(AND(AT331=3,AK331="E",AV331&gt;=0.75,AW331=1),Health,IF(AND(AT331=3,AK331="E",AV331&gt;=0.75),Health*P331,IF(AND(AT331=3,AK331="E",AV331&gt;=0.5,AW331=1),PTHealth,IF(AND(AT331=3,AK331="E",AV331&gt;=0.5),PTHealth*P331,0))))</f>
        <v>0</v>
      </c>
      <c r="BD331" s="462">
        <f>IF(AND(AT331&lt;&gt;0,AX331&gt;=MAXSSDI),SSDI*MAXSSDI*P331,IF(AT331&lt;&gt;0,SSDI*W331,0))</f>
        <v>0</v>
      </c>
      <c r="BE331" s="462">
        <f>IF(AT331&lt;&gt;0,SSHI*W331,0)</f>
        <v>0</v>
      </c>
      <c r="BF331" s="462">
        <f>IF(AND(AT331&lt;&gt;0,AN331&lt;&gt;"NE"),VLOOKUP(AN331,Retirement_Rates,3,FALSE)*W331,0)</f>
        <v>0</v>
      </c>
      <c r="BG331" s="462">
        <f>IF(AND(AT331&lt;&gt;0,AJ331&lt;&gt;"PF"),Life*W331,0)</f>
        <v>0</v>
      </c>
      <c r="BH331" s="462">
        <f>IF(AND(AT331&lt;&gt;0,AM331="Y"),UI*W331,0)</f>
        <v>0</v>
      </c>
      <c r="BI331" s="462">
        <f>IF(AND(AT331&lt;&gt;0,N331&lt;&gt;"NR"),DHR*W331,0)</f>
        <v>0</v>
      </c>
      <c r="BJ331" s="462">
        <f>IF(AT331&lt;&gt;0,WC*W331,0)</f>
        <v>0</v>
      </c>
      <c r="BK331" s="462">
        <f>IF(OR(AND(AT331&lt;&gt;0,AJ331&lt;&gt;"PF",AN331&lt;&gt;"NE",AG331&lt;&gt;"A"),AND(AL331="E",OR(AT331=1,AT331=3))),Sick*W331,0)</f>
        <v>0</v>
      </c>
      <c r="BL331" s="462">
        <f t="shared" si="90"/>
        <v>0</v>
      </c>
      <c r="BM331" s="462">
        <f t="shared" si="91"/>
        <v>0</v>
      </c>
      <c r="BN331" s="462">
        <f>IF(AND(AT331=1,AK331="E",AU331&gt;=0.75,AW331=1),HealthBY,IF(AND(AT331=1,AK331="E",AU331&gt;=0.75),HealthBY*P331,IF(AND(AT331=1,AK331="E",AU331&gt;=0.5,AW331=1),PTHealthBY,IF(AND(AT331=1,AK331="E",AU331&gt;=0.5),PTHealthBY*P331,0))))</f>
        <v>0</v>
      </c>
      <c r="BO331" s="462">
        <f>IF(AND(AT331=3,AK331="E",AV331&gt;=0.75,AW331=1),HealthBY,IF(AND(AT331=3,AK331="E",AV331&gt;=0.75),HealthBY*P331,IF(AND(AT331=3,AK331="E",AV331&gt;=0.5,AW331=1),PTHealthBY,IF(AND(AT331=3,AK331="E",AV331&gt;=0.5),PTHealthBY*P331,0))))</f>
        <v>0</v>
      </c>
      <c r="BP331" s="462">
        <f>IF(AND(AT331&lt;&gt;0,(AX331+BA331)&gt;=MAXSSDIBY),SSDIBY*MAXSSDIBY*P331,IF(AT331&lt;&gt;0,SSDIBY*W331,0))</f>
        <v>0</v>
      </c>
      <c r="BQ331" s="462">
        <f>IF(AT331&lt;&gt;0,SSHIBY*W331,0)</f>
        <v>0</v>
      </c>
      <c r="BR331" s="462">
        <f>IF(AND(AT331&lt;&gt;0,AN331&lt;&gt;"NE"),VLOOKUP(AN331,Retirement_Rates,4,FALSE)*W331,0)</f>
        <v>0</v>
      </c>
      <c r="BS331" s="462">
        <f>IF(AND(AT331&lt;&gt;0,AJ331&lt;&gt;"PF"),LifeBY*W331,0)</f>
        <v>0</v>
      </c>
      <c r="BT331" s="462">
        <f>IF(AND(AT331&lt;&gt;0,AM331="Y"),UIBY*W331,0)</f>
        <v>0</v>
      </c>
      <c r="BU331" s="462">
        <f>IF(AND(AT331&lt;&gt;0,N331&lt;&gt;"NR"),DHRBY*W331,0)</f>
        <v>0</v>
      </c>
      <c r="BV331" s="462">
        <f>IF(AT331&lt;&gt;0,WCBY*W331,0)</f>
        <v>0</v>
      </c>
      <c r="BW331" s="462">
        <f>IF(OR(AND(AT331&lt;&gt;0,AJ331&lt;&gt;"PF",AN331&lt;&gt;"NE",AG331&lt;&gt;"A"),AND(AL331="E",OR(AT331=1,AT331=3))),SickBY*W331,0)</f>
        <v>0</v>
      </c>
      <c r="BX331" s="462">
        <f t="shared" si="92"/>
        <v>0</v>
      </c>
      <c r="BY331" s="462">
        <f t="shared" si="93"/>
        <v>0</v>
      </c>
      <c r="BZ331" s="462">
        <f t="shared" si="94"/>
        <v>0</v>
      </c>
      <c r="CA331" s="462">
        <f t="shared" si="95"/>
        <v>0</v>
      </c>
      <c r="CB331" s="462">
        <f t="shared" si="96"/>
        <v>0</v>
      </c>
      <c r="CC331" s="462">
        <f>IF(AT331&lt;&gt;0,SSHICHG*Y331,0)</f>
        <v>0</v>
      </c>
      <c r="CD331" s="462">
        <f>IF(AND(AT331&lt;&gt;0,AN331&lt;&gt;"NE"),VLOOKUP(AN331,Retirement_Rates,5,FALSE)*Y331,0)</f>
        <v>0</v>
      </c>
      <c r="CE331" s="462">
        <f>IF(AND(AT331&lt;&gt;0,AJ331&lt;&gt;"PF"),LifeCHG*Y331,0)</f>
        <v>0</v>
      </c>
      <c r="CF331" s="462">
        <f>IF(AND(AT331&lt;&gt;0,AM331="Y"),UICHG*Y331,0)</f>
        <v>0</v>
      </c>
      <c r="CG331" s="462">
        <f>IF(AND(AT331&lt;&gt;0,N331&lt;&gt;"NR"),DHRCHG*Y331,0)</f>
        <v>0</v>
      </c>
      <c r="CH331" s="462">
        <f>IF(AT331&lt;&gt;0,WCCHG*Y331,0)</f>
        <v>0</v>
      </c>
      <c r="CI331" s="462">
        <f>IF(OR(AND(AT331&lt;&gt;0,AJ331&lt;&gt;"PF",AN331&lt;&gt;"NE",AG331&lt;&gt;"A"),AND(AL331="E",OR(AT331=1,AT331=3))),SickCHG*Y331,0)</f>
        <v>0</v>
      </c>
      <c r="CJ331" s="462">
        <f t="shared" si="97"/>
        <v>0</v>
      </c>
      <c r="CK331" s="462" t="str">
        <f t="shared" si="98"/>
        <v/>
      </c>
      <c r="CL331" s="462" t="str">
        <f t="shared" si="99"/>
        <v/>
      </c>
      <c r="CM331" s="462" t="str">
        <f t="shared" si="100"/>
        <v/>
      </c>
      <c r="CN331" s="462" t="str">
        <f t="shared" si="101"/>
        <v>0330-02</v>
      </c>
    </row>
    <row r="332" spans="1:92" ht="15" thickBot="1" x14ac:dyDescent="0.35">
      <c r="A332" s="376" t="s">
        <v>161</v>
      </c>
      <c r="B332" s="376" t="s">
        <v>162</v>
      </c>
      <c r="C332" s="376" t="s">
        <v>772</v>
      </c>
      <c r="D332" s="376" t="s">
        <v>362</v>
      </c>
      <c r="E332" s="376" t="s">
        <v>931</v>
      </c>
      <c r="F332" s="382" t="s">
        <v>344</v>
      </c>
      <c r="G332" s="376" t="s">
        <v>762</v>
      </c>
      <c r="H332" s="378"/>
      <c r="I332" s="378"/>
      <c r="J332" s="376" t="s">
        <v>547</v>
      </c>
      <c r="K332" s="376" t="s">
        <v>363</v>
      </c>
      <c r="L332" s="376" t="s">
        <v>200</v>
      </c>
      <c r="M332" s="376" t="s">
        <v>170</v>
      </c>
      <c r="N332" s="376" t="s">
        <v>202</v>
      </c>
      <c r="O332" s="379">
        <v>1</v>
      </c>
      <c r="P332" s="460">
        <v>0</v>
      </c>
      <c r="Q332" s="460">
        <v>0</v>
      </c>
      <c r="R332" s="380">
        <v>80</v>
      </c>
      <c r="S332" s="460">
        <v>0</v>
      </c>
      <c r="T332" s="380">
        <v>277.02999999999997</v>
      </c>
      <c r="U332" s="380">
        <v>0</v>
      </c>
      <c r="V332" s="380">
        <v>138.07</v>
      </c>
      <c r="W332" s="380">
        <v>0</v>
      </c>
      <c r="X332" s="380">
        <v>0</v>
      </c>
      <c r="Y332" s="380">
        <v>0</v>
      </c>
      <c r="Z332" s="380">
        <v>0</v>
      </c>
      <c r="AA332" s="376" t="s">
        <v>773</v>
      </c>
      <c r="AB332" s="376" t="s">
        <v>774</v>
      </c>
      <c r="AC332" s="376" t="s">
        <v>690</v>
      </c>
      <c r="AD332" s="376" t="s">
        <v>225</v>
      </c>
      <c r="AE332" s="376" t="s">
        <v>363</v>
      </c>
      <c r="AF332" s="376" t="s">
        <v>210</v>
      </c>
      <c r="AG332" s="376" t="s">
        <v>177</v>
      </c>
      <c r="AH332" s="381">
        <v>22.5</v>
      </c>
      <c r="AI332" s="379">
        <v>9056</v>
      </c>
      <c r="AJ332" s="376" t="s">
        <v>178</v>
      </c>
      <c r="AK332" s="376" t="s">
        <v>179</v>
      </c>
      <c r="AL332" s="376" t="s">
        <v>180</v>
      </c>
      <c r="AM332" s="376" t="s">
        <v>181</v>
      </c>
      <c r="AN332" s="376" t="s">
        <v>68</v>
      </c>
      <c r="AO332" s="379">
        <v>80</v>
      </c>
      <c r="AP332" s="460">
        <v>1</v>
      </c>
      <c r="AQ332" s="460">
        <v>0</v>
      </c>
      <c r="AR332" s="458" t="s">
        <v>182</v>
      </c>
      <c r="AS332" s="462">
        <f t="shared" si="85"/>
        <v>0</v>
      </c>
      <c r="AT332">
        <f t="shared" si="86"/>
        <v>0</v>
      </c>
      <c r="AU332" s="462" t="str">
        <f>IF(AT332=0,"",IF(AND(AT332=1,M332="F",SUMIF(C2:C698,C332,AS2:AS698)&lt;=1),SUMIF(C2:C698,C332,AS2:AS698),IF(AND(AT332=1,M332="F",SUMIF(C2:C698,C332,AS2:AS698)&gt;1),1,"")))</f>
        <v/>
      </c>
      <c r="AV332" s="462" t="str">
        <f>IF(AT332=0,"",IF(AND(AT332=3,M332="F",SUMIF(C2:C698,C332,AS2:AS698)&lt;=1),SUMIF(C2:C698,C332,AS2:AS698),IF(AND(AT332=3,M332="F",SUMIF(C2:C698,C332,AS2:AS698)&gt;1),1,"")))</f>
        <v/>
      </c>
      <c r="AW332" s="462">
        <f>SUMIF(C2:C698,C332,O2:O698)</f>
        <v>7</v>
      </c>
      <c r="AX332" s="462">
        <f>IF(AND(M332="F",AS332&lt;&gt;0),SUMIF(C2:C698,C332,W2:W698),0)</f>
        <v>0</v>
      </c>
      <c r="AY332" s="462" t="str">
        <f t="shared" si="87"/>
        <v/>
      </c>
      <c r="AZ332" s="462" t="str">
        <f t="shared" si="88"/>
        <v/>
      </c>
      <c r="BA332" s="462">
        <f t="shared" si="89"/>
        <v>0</v>
      </c>
      <c r="BB332" s="462">
        <f>IF(AND(AT332=1,AK332="E",AU332&gt;=0.75,AW332=1),Health,IF(AND(AT332=1,AK332="E",AU332&gt;=0.75),Health*P332,IF(AND(AT332=1,AK332="E",AU332&gt;=0.5,AW332=1),PTHealth,IF(AND(AT332=1,AK332="E",AU332&gt;=0.5),PTHealth*P332,0))))</f>
        <v>0</v>
      </c>
      <c r="BC332" s="462">
        <f>IF(AND(AT332=3,AK332="E",AV332&gt;=0.75,AW332=1),Health,IF(AND(AT332=3,AK332="E",AV332&gt;=0.75),Health*P332,IF(AND(AT332=3,AK332="E",AV332&gt;=0.5,AW332=1),PTHealth,IF(AND(AT332=3,AK332="E",AV332&gt;=0.5),PTHealth*P332,0))))</f>
        <v>0</v>
      </c>
      <c r="BD332" s="462">
        <f>IF(AND(AT332&lt;&gt;0,AX332&gt;=MAXSSDI),SSDI*MAXSSDI*P332,IF(AT332&lt;&gt;0,SSDI*W332,0))</f>
        <v>0</v>
      </c>
      <c r="BE332" s="462">
        <f>IF(AT332&lt;&gt;0,SSHI*W332,0)</f>
        <v>0</v>
      </c>
      <c r="BF332" s="462">
        <f>IF(AND(AT332&lt;&gt;0,AN332&lt;&gt;"NE"),VLOOKUP(AN332,Retirement_Rates,3,FALSE)*W332,0)</f>
        <v>0</v>
      </c>
      <c r="BG332" s="462">
        <f>IF(AND(AT332&lt;&gt;0,AJ332&lt;&gt;"PF"),Life*W332,0)</f>
        <v>0</v>
      </c>
      <c r="BH332" s="462">
        <f>IF(AND(AT332&lt;&gt;0,AM332="Y"),UI*W332,0)</f>
        <v>0</v>
      </c>
      <c r="BI332" s="462">
        <f>IF(AND(AT332&lt;&gt;0,N332&lt;&gt;"NR"),DHR*W332,0)</f>
        <v>0</v>
      </c>
      <c r="BJ332" s="462">
        <f>IF(AT332&lt;&gt;0,WC*W332,0)</f>
        <v>0</v>
      </c>
      <c r="BK332" s="462">
        <f>IF(OR(AND(AT332&lt;&gt;0,AJ332&lt;&gt;"PF",AN332&lt;&gt;"NE",AG332&lt;&gt;"A"),AND(AL332="E",OR(AT332=1,AT332=3))),Sick*W332,0)</f>
        <v>0</v>
      </c>
      <c r="BL332" s="462">
        <f t="shared" si="90"/>
        <v>0</v>
      </c>
      <c r="BM332" s="462">
        <f t="shared" si="91"/>
        <v>0</v>
      </c>
      <c r="BN332" s="462">
        <f>IF(AND(AT332=1,AK332="E",AU332&gt;=0.75,AW332=1),HealthBY,IF(AND(AT332=1,AK332="E",AU332&gt;=0.75),HealthBY*P332,IF(AND(AT332=1,AK332="E",AU332&gt;=0.5,AW332=1),PTHealthBY,IF(AND(AT332=1,AK332="E",AU332&gt;=0.5),PTHealthBY*P332,0))))</f>
        <v>0</v>
      </c>
      <c r="BO332" s="462">
        <f>IF(AND(AT332=3,AK332="E",AV332&gt;=0.75,AW332=1),HealthBY,IF(AND(AT332=3,AK332="E",AV332&gt;=0.75),HealthBY*P332,IF(AND(AT332=3,AK332="E",AV332&gt;=0.5,AW332=1),PTHealthBY,IF(AND(AT332=3,AK332="E",AV332&gt;=0.5),PTHealthBY*P332,0))))</f>
        <v>0</v>
      </c>
      <c r="BP332" s="462">
        <f>IF(AND(AT332&lt;&gt;0,(AX332+BA332)&gt;=MAXSSDIBY),SSDIBY*MAXSSDIBY*P332,IF(AT332&lt;&gt;0,SSDIBY*W332,0))</f>
        <v>0</v>
      </c>
      <c r="BQ332" s="462">
        <f>IF(AT332&lt;&gt;0,SSHIBY*W332,0)</f>
        <v>0</v>
      </c>
      <c r="BR332" s="462">
        <f>IF(AND(AT332&lt;&gt;0,AN332&lt;&gt;"NE"),VLOOKUP(AN332,Retirement_Rates,4,FALSE)*W332,0)</f>
        <v>0</v>
      </c>
      <c r="BS332" s="462">
        <f>IF(AND(AT332&lt;&gt;0,AJ332&lt;&gt;"PF"),LifeBY*W332,0)</f>
        <v>0</v>
      </c>
      <c r="BT332" s="462">
        <f>IF(AND(AT332&lt;&gt;0,AM332="Y"),UIBY*W332,0)</f>
        <v>0</v>
      </c>
      <c r="BU332" s="462">
        <f>IF(AND(AT332&lt;&gt;0,N332&lt;&gt;"NR"),DHRBY*W332,0)</f>
        <v>0</v>
      </c>
      <c r="BV332" s="462">
        <f>IF(AT332&lt;&gt;0,WCBY*W332,0)</f>
        <v>0</v>
      </c>
      <c r="BW332" s="462">
        <f>IF(OR(AND(AT332&lt;&gt;0,AJ332&lt;&gt;"PF",AN332&lt;&gt;"NE",AG332&lt;&gt;"A"),AND(AL332="E",OR(AT332=1,AT332=3))),SickBY*W332,0)</f>
        <v>0</v>
      </c>
      <c r="BX332" s="462">
        <f t="shared" si="92"/>
        <v>0</v>
      </c>
      <c r="BY332" s="462">
        <f t="shared" si="93"/>
        <v>0</v>
      </c>
      <c r="BZ332" s="462">
        <f t="shared" si="94"/>
        <v>0</v>
      </c>
      <c r="CA332" s="462">
        <f t="shared" si="95"/>
        <v>0</v>
      </c>
      <c r="CB332" s="462">
        <f t="shared" si="96"/>
        <v>0</v>
      </c>
      <c r="CC332" s="462">
        <f>IF(AT332&lt;&gt;0,SSHICHG*Y332,0)</f>
        <v>0</v>
      </c>
      <c r="CD332" s="462">
        <f>IF(AND(AT332&lt;&gt;0,AN332&lt;&gt;"NE"),VLOOKUP(AN332,Retirement_Rates,5,FALSE)*Y332,0)</f>
        <v>0</v>
      </c>
      <c r="CE332" s="462">
        <f>IF(AND(AT332&lt;&gt;0,AJ332&lt;&gt;"PF"),LifeCHG*Y332,0)</f>
        <v>0</v>
      </c>
      <c r="CF332" s="462">
        <f>IF(AND(AT332&lt;&gt;0,AM332="Y"),UICHG*Y332,0)</f>
        <v>0</v>
      </c>
      <c r="CG332" s="462">
        <f>IF(AND(AT332&lt;&gt;0,N332&lt;&gt;"NR"),DHRCHG*Y332,0)</f>
        <v>0</v>
      </c>
      <c r="CH332" s="462">
        <f>IF(AT332&lt;&gt;0,WCCHG*Y332,0)</f>
        <v>0</v>
      </c>
      <c r="CI332" s="462">
        <f>IF(OR(AND(AT332&lt;&gt;0,AJ332&lt;&gt;"PF",AN332&lt;&gt;"NE",AG332&lt;&gt;"A"),AND(AL332="E",OR(AT332=1,AT332=3))),SickCHG*Y332,0)</f>
        <v>0</v>
      </c>
      <c r="CJ332" s="462">
        <f t="shared" si="97"/>
        <v>0</v>
      </c>
      <c r="CK332" s="462" t="str">
        <f t="shared" si="98"/>
        <v/>
      </c>
      <c r="CL332" s="462" t="str">
        <f t="shared" si="99"/>
        <v/>
      </c>
      <c r="CM332" s="462" t="str">
        <f t="shared" si="100"/>
        <v/>
      </c>
      <c r="CN332" s="462" t="str">
        <f t="shared" si="101"/>
        <v>0330-02</v>
      </c>
    </row>
    <row r="333" spans="1:92" ht="15" thickBot="1" x14ac:dyDescent="0.35">
      <c r="A333" s="376" t="s">
        <v>161</v>
      </c>
      <c r="B333" s="376" t="s">
        <v>162</v>
      </c>
      <c r="C333" s="376" t="s">
        <v>781</v>
      </c>
      <c r="D333" s="376" t="s">
        <v>362</v>
      </c>
      <c r="E333" s="376" t="s">
        <v>931</v>
      </c>
      <c r="F333" s="382" t="s">
        <v>344</v>
      </c>
      <c r="G333" s="376" t="s">
        <v>762</v>
      </c>
      <c r="H333" s="378"/>
      <c r="I333" s="378"/>
      <c r="J333" s="376" t="s">
        <v>782</v>
      </c>
      <c r="K333" s="376" t="s">
        <v>363</v>
      </c>
      <c r="L333" s="376" t="s">
        <v>200</v>
      </c>
      <c r="M333" s="376" t="s">
        <v>170</v>
      </c>
      <c r="N333" s="376" t="s">
        <v>202</v>
      </c>
      <c r="O333" s="379">
        <v>1</v>
      </c>
      <c r="P333" s="460">
        <v>0</v>
      </c>
      <c r="Q333" s="460">
        <v>0</v>
      </c>
      <c r="R333" s="380">
        <v>80</v>
      </c>
      <c r="S333" s="460">
        <v>0</v>
      </c>
      <c r="T333" s="380">
        <v>178.5</v>
      </c>
      <c r="U333" s="380">
        <v>0</v>
      </c>
      <c r="V333" s="380">
        <v>89.39</v>
      </c>
      <c r="W333" s="380">
        <v>0</v>
      </c>
      <c r="X333" s="380">
        <v>0</v>
      </c>
      <c r="Y333" s="380">
        <v>0</v>
      </c>
      <c r="Z333" s="380">
        <v>0</v>
      </c>
      <c r="AA333" s="376" t="s">
        <v>783</v>
      </c>
      <c r="AB333" s="376" t="s">
        <v>784</v>
      </c>
      <c r="AC333" s="376" t="s">
        <v>690</v>
      </c>
      <c r="AD333" s="376" t="s">
        <v>215</v>
      </c>
      <c r="AE333" s="376" t="s">
        <v>363</v>
      </c>
      <c r="AF333" s="376" t="s">
        <v>210</v>
      </c>
      <c r="AG333" s="376" t="s">
        <v>177</v>
      </c>
      <c r="AH333" s="381">
        <v>22.5</v>
      </c>
      <c r="AI333" s="379">
        <v>3768</v>
      </c>
      <c r="AJ333" s="376" t="s">
        <v>178</v>
      </c>
      <c r="AK333" s="376" t="s">
        <v>179</v>
      </c>
      <c r="AL333" s="376" t="s">
        <v>180</v>
      </c>
      <c r="AM333" s="376" t="s">
        <v>181</v>
      </c>
      <c r="AN333" s="376" t="s">
        <v>68</v>
      </c>
      <c r="AO333" s="379">
        <v>80</v>
      </c>
      <c r="AP333" s="460">
        <v>1</v>
      </c>
      <c r="AQ333" s="460">
        <v>0</v>
      </c>
      <c r="AR333" s="458" t="s">
        <v>182</v>
      </c>
      <c r="AS333" s="462">
        <f t="shared" si="85"/>
        <v>0</v>
      </c>
      <c r="AT333">
        <f t="shared" si="86"/>
        <v>0</v>
      </c>
      <c r="AU333" s="462" t="str">
        <f>IF(AT333=0,"",IF(AND(AT333=1,M333="F",SUMIF(C2:C698,C333,AS2:AS698)&lt;=1),SUMIF(C2:C698,C333,AS2:AS698),IF(AND(AT333=1,M333="F",SUMIF(C2:C698,C333,AS2:AS698)&gt;1),1,"")))</f>
        <v/>
      </c>
      <c r="AV333" s="462" t="str">
        <f>IF(AT333=0,"",IF(AND(AT333=3,M333="F",SUMIF(C2:C698,C333,AS2:AS698)&lt;=1),SUMIF(C2:C698,C333,AS2:AS698),IF(AND(AT333=3,M333="F",SUMIF(C2:C698,C333,AS2:AS698)&gt;1),1,"")))</f>
        <v/>
      </c>
      <c r="AW333" s="462">
        <f>SUMIF(C2:C698,C333,O2:O698)</f>
        <v>7</v>
      </c>
      <c r="AX333" s="462">
        <f>IF(AND(M333="F",AS333&lt;&gt;0),SUMIF(C2:C698,C333,W2:W698),0)</f>
        <v>0</v>
      </c>
      <c r="AY333" s="462" t="str">
        <f t="shared" si="87"/>
        <v/>
      </c>
      <c r="AZ333" s="462" t="str">
        <f t="shared" si="88"/>
        <v/>
      </c>
      <c r="BA333" s="462">
        <f t="shared" si="89"/>
        <v>0</v>
      </c>
      <c r="BB333" s="462">
        <f>IF(AND(AT333=1,AK333="E",AU333&gt;=0.75,AW333=1),Health,IF(AND(AT333=1,AK333="E",AU333&gt;=0.75),Health*P333,IF(AND(AT333=1,AK333="E",AU333&gt;=0.5,AW333=1),PTHealth,IF(AND(AT333=1,AK333="E",AU333&gt;=0.5),PTHealth*P333,0))))</f>
        <v>0</v>
      </c>
      <c r="BC333" s="462">
        <f>IF(AND(AT333=3,AK333="E",AV333&gt;=0.75,AW333=1),Health,IF(AND(AT333=3,AK333="E",AV333&gt;=0.75),Health*P333,IF(AND(AT333=3,AK333="E",AV333&gt;=0.5,AW333=1),PTHealth,IF(AND(AT333=3,AK333="E",AV333&gt;=0.5),PTHealth*P333,0))))</f>
        <v>0</v>
      </c>
      <c r="BD333" s="462">
        <f>IF(AND(AT333&lt;&gt;0,AX333&gt;=MAXSSDI),SSDI*MAXSSDI*P333,IF(AT333&lt;&gt;0,SSDI*W333,0))</f>
        <v>0</v>
      </c>
      <c r="BE333" s="462">
        <f>IF(AT333&lt;&gt;0,SSHI*W333,0)</f>
        <v>0</v>
      </c>
      <c r="BF333" s="462">
        <f>IF(AND(AT333&lt;&gt;0,AN333&lt;&gt;"NE"),VLOOKUP(AN333,Retirement_Rates,3,FALSE)*W333,0)</f>
        <v>0</v>
      </c>
      <c r="BG333" s="462">
        <f>IF(AND(AT333&lt;&gt;0,AJ333&lt;&gt;"PF"),Life*W333,0)</f>
        <v>0</v>
      </c>
      <c r="BH333" s="462">
        <f>IF(AND(AT333&lt;&gt;0,AM333="Y"),UI*W333,0)</f>
        <v>0</v>
      </c>
      <c r="BI333" s="462">
        <f>IF(AND(AT333&lt;&gt;0,N333&lt;&gt;"NR"),DHR*W333,0)</f>
        <v>0</v>
      </c>
      <c r="BJ333" s="462">
        <f>IF(AT333&lt;&gt;0,WC*W333,0)</f>
        <v>0</v>
      </c>
      <c r="BK333" s="462">
        <f>IF(OR(AND(AT333&lt;&gt;0,AJ333&lt;&gt;"PF",AN333&lt;&gt;"NE",AG333&lt;&gt;"A"),AND(AL333="E",OR(AT333=1,AT333=3))),Sick*W333,0)</f>
        <v>0</v>
      </c>
      <c r="BL333" s="462">
        <f t="shared" si="90"/>
        <v>0</v>
      </c>
      <c r="BM333" s="462">
        <f t="shared" si="91"/>
        <v>0</v>
      </c>
      <c r="BN333" s="462">
        <f>IF(AND(AT333=1,AK333="E",AU333&gt;=0.75,AW333=1),HealthBY,IF(AND(AT333=1,AK333="E",AU333&gt;=0.75),HealthBY*P333,IF(AND(AT333=1,AK333="E",AU333&gt;=0.5,AW333=1),PTHealthBY,IF(AND(AT333=1,AK333="E",AU333&gt;=0.5),PTHealthBY*P333,0))))</f>
        <v>0</v>
      </c>
      <c r="BO333" s="462">
        <f>IF(AND(AT333=3,AK333="E",AV333&gt;=0.75,AW333=1),HealthBY,IF(AND(AT333=3,AK333="E",AV333&gt;=0.75),HealthBY*P333,IF(AND(AT333=3,AK333="E",AV333&gt;=0.5,AW333=1),PTHealthBY,IF(AND(AT333=3,AK333="E",AV333&gt;=0.5),PTHealthBY*P333,0))))</f>
        <v>0</v>
      </c>
      <c r="BP333" s="462">
        <f>IF(AND(AT333&lt;&gt;0,(AX333+BA333)&gt;=MAXSSDIBY),SSDIBY*MAXSSDIBY*P333,IF(AT333&lt;&gt;0,SSDIBY*W333,0))</f>
        <v>0</v>
      </c>
      <c r="BQ333" s="462">
        <f>IF(AT333&lt;&gt;0,SSHIBY*W333,0)</f>
        <v>0</v>
      </c>
      <c r="BR333" s="462">
        <f>IF(AND(AT333&lt;&gt;0,AN333&lt;&gt;"NE"),VLOOKUP(AN333,Retirement_Rates,4,FALSE)*W333,0)</f>
        <v>0</v>
      </c>
      <c r="BS333" s="462">
        <f>IF(AND(AT333&lt;&gt;0,AJ333&lt;&gt;"PF"),LifeBY*W333,0)</f>
        <v>0</v>
      </c>
      <c r="BT333" s="462">
        <f>IF(AND(AT333&lt;&gt;0,AM333="Y"),UIBY*W333,0)</f>
        <v>0</v>
      </c>
      <c r="BU333" s="462">
        <f>IF(AND(AT333&lt;&gt;0,N333&lt;&gt;"NR"),DHRBY*W333,0)</f>
        <v>0</v>
      </c>
      <c r="BV333" s="462">
        <f>IF(AT333&lt;&gt;0,WCBY*W333,0)</f>
        <v>0</v>
      </c>
      <c r="BW333" s="462">
        <f>IF(OR(AND(AT333&lt;&gt;0,AJ333&lt;&gt;"PF",AN333&lt;&gt;"NE",AG333&lt;&gt;"A"),AND(AL333="E",OR(AT333=1,AT333=3))),SickBY*W333,0)</f>
        <v>0</v>
      </c>
      <c r="BX333" s="462">
        <f t="shared" si="92"/>
        <v>0</v>
      </c>
      <c r="BY333" s="462">
        <f t="shared" si="93"/>
        <v>0</v>
      </c>
      <c r="BZ333" s="462">
        <f t="shared" si="94"/>
        <v>0</v>
      </c>
      <c r="CA333" s="462">
        <f t="shared" si="95"/>
        <v>0</v>
      </c>
      <c r="CB333" s="462">
        <f t="shared" si="96"/>
        <v>0</v>
      </c>
      <c r="CC333" s="462">
        <f>IF(AT333&lt;&gt;0,SSHICHG*Y333,0)</f>
        <v>0</v>
      </c>
      <c r="CD333" s="462">
        <f>IF(AND(AT333&lt;&gt;0,AN333&lt;&gt;"NE"),VLOOKUP(AN333,Retirement_Rates,5,FALSE)*Y333,0)</f>
        <v>0</v>
      </c>
      <c r="CE333" s="462">
        <f>IF(AND(AT333&lt;&gt;0,AJ333&lt;&gt;"PF"),LifeCHG*Y333,0)</f>
        <v>0</v>
      </c>
      <c r="CF333" s="462">
        <f>IF(AND(AT333&lt;&gt;0,AM333="Y"),UICHG*Y333,0)</f>
        <v>0</v>
      </c>
      <c r="CG333" s="462">
        <f>IF(AND(AT333&lt;&gt;0,N333&lt;&gt;"NR"),DHRCHG*Y333,0)</f>
        <v>0</v>
      </c>
      <c r="CH333" s="462">
        <f>IF(AT333&lt;&gt;0,WCCHG*Y333,0)</f>
        <v>0</v>
      </c>
      <c r="CI333" s="462">
        <f>IF(OR(AND(AT333&lt;&gt;0,AJ333&lt;&gt;"PF",AN333&lt;&gt;"NE",AG333&lt;&gt;"A"),AND(AL333="E",OR(AT333=1,AT333=3))),SickCHG*Y333,0)</f>
        <v>0</v>
      </c>
      <c r="CJ333" s="462">
        <f t="shared" si="97"/>
        <v>0</v>
      </c>
      <c r="CK333" s="462" t="str">
        <f t="shared" si="98"/>
        <v/>
      </c>
      <c r="CL333" s="462" t="str">
        <f t="shared" si="99"/>
        <v/>
      </c>
      <c r="CM333" s="462" t="str">
        <f t="shared" si="100"/>
        <v/>
      </c>
      <c r="CN333" s="462" t="str">
        <f t="shared" si="101"/>
        <v>0330-02</v>
      </c>
    </row>
    <row r="334" spans="1:92" ht="15" thickBot="1" x14ac:dyDescent="0.35">
      <c r="A334" s="376" t="s">
        <v>161</v>
      </c>
      <c r="B334" s="376" t="s">
        <v>162</v>
      </c>
      <c r="C334" s="376" t="s">
        <v>785</v>
      </c>
      <c r="D334" s="376" t="s">
        <v>250</v>
      </c>
      <c r="E334" s="376" t="s">
        <v>931</v>
      </c>
      <c r="F334" s="382" t="s">
        <v>344</v>
      </c>
      <c r="G334" s="376" t="s">
        <v>762</v>
      </c>
      <c r="H334" s="378"/>
      <c r="I334" s="378"/>
      <c r="J334" s="376" t="s">
        <v>768</v>
      </c>
      <c r="K334" s="376" t="s">
        <v>407</v>
      </c>
      <c r="L334" s="376" t="s">
        <v>247</v>
      </c>
      <c r="M334" s="376" t="s">
        <v>170</v>
      </c>
      <c r="N334" s="376" t="s">
        <v>202</v>
      </c>
      <c r="O334" s="379">
        <v>1</v>
      </c>
      <c r="P334" s="460">
        <v>0</v>
      </c>
      <c r="Q334" s="460">
        <v>0</v>
      </c>
      <c r="R334" s="380">
        <v>80</v>
      </c>
      <c r="S334" s="460">
        <v>0</v>
      </c>
      <c r="T334" s="380">
        <v>961.8</v>
      </c>
      <c r="U334" s="380">
        <v>0</v>
      </c>
      <c r="V334" s="380">
        <v>397.28</v>
      </c>
      <c r="W334" s="380">
        <v>0</v>
      </c>
      <c r="X334" s="380">
        <v>0</v>
      </c>
      <c r="Y334" s="380">
        <v>0</v>
      </c>
      <c r="Z334" s="380">
        <v>0</v>
      </c>
      <c r="AA334" s="376" t="s">
        <v>786</v>
      </c>
      <c r="AB334" s="376" t="s">
        <v>787</v>
      </c>
      <c r="AC334" s="376" t="s">
        <v>788</v>
      </c>
      <c r="AD334" s="376" t="s">
        <v>325</v>
      </c>
      <c r="AE334" s="376" t="s">
        <v>407</v>
      </c>
      <c r="AF334" s="376" t="s">
        <v>299</v>
      </c>
      <c r="AG334" s="376" t="s">
        <v>177</v>
      </c>
      <c r="AH334" s="381">
        <v>30.18</v>
      </c>
      <c r="AI334" s="381">
        <v>73366.600000000006</v>
      </c>
      <c r="AJ334" s="376" t="s">
        <v>178</v>
      </c>
      <c r="AK334" s="376" t="s">
        <v>179</v>
      </c>
      <c r="AL334" s="376" t="s">
        <v>180</v>
      </c>
      <c r="AM334" s="376" t="s">
        <v>181</v>
      </c>
      <c r="AN334" s="376" t="s">
        <v>68</v>
      </c>
      <c r="AO334" s="379">
        <v>80</v>
      </c>
      <c r="AP334" s="460">
        <v>1</v>
      </c>
      <c r="AQ334" s="460">
        <v>0</v>
      </c>
      <c r="AR334" s="458" t="s">
        <v>182</v>
      </c>
      <c r="AS334" s="462">
        <f t="shared" si="85"/>
        <v>0</v>
      </c>
      <c r="AT334">
        <f t="shared" si="86"/>
        <v>0</v>
      </c>
      <c r="AU334" s="462" t="str">
        <f>IF(AT334=0,"",IF(AND(AT334=1,M334="F",SUMIF(C2:C698,C334,AS2:AS698)&lt;=1),SUMIF(C2:C698,C334,AS2:AS698),IF(AND(AT334=1,M334="F",SUMIF(C2:C698,C334,AS2:AS698)&gt;1),1,"")))</f>
        <v/>
      </c>
      <c r="AV334" s="462" t="str">
        <f>IF(AT334=0,"",IF(AND(AT334=3,M334="F",SUMIF(C2:C698,C334,AS2:AS698)&lt;=1),SUMIF(C2:C698,C334,AS2:AS698),IF(AND(AT334=3,M334="F",SUMIF(C2:C698,C334,AS2:AS698)&gt;1),1,"")))</f>
        <v/>
      </c>
      <c r="AW334" s="462">
        <f>SUMIF(C2:C698,C334,O2:O698)</f>
        <v>7</v>
      </c>
      <c r="AX334" s="462">
        <f>IF(AND(M334="F",AS334&lt;&gt;0),SUMIF(C2:C698,C334,W2:W698),0)</f>
        <v>0</v>
      </c>
      <c r="AY334" s="462" t="str">
        <f t="shared" si="87"/>
        <v/>
      </c>
      <c r="AZ334" s="462" t="str">
        <f t="shared" si="88"/>
        <v/>
      </c>
      <c r="BA334" s="462">
        <f t="shared" si="89"/>
        <v>0</v>
      </c>
      <c r="BB334" s="462">
        <f>IF(AND(AT334=1,AK334="E",AU334&gt;=0.75,AW334=1),Health,IF(AND(AT334=1,AK334="E",AU334&gt;=0.75),Health*P334,IF(AND(AT334=1,AK334="E",AU334&gt;=0.5,AW334=1),PTHealth,IF(AND(AT334=1,AK334="E",AU334&gt;=0.5),PTHealth*P334,0))))</f>
        <v>0</v>
      </c>
      <c r="BC334" s="462">
        <f>IF(AND(AT334=3,AK334="E",AV334&gt;=0.75,AW334=1),Health,IF(AND(AT334=3,AK334="E",AV334&gt;=0.75),Health*P334,IF(AND(AT334=3,AK334="E",AV334&gt;=0.5,AW334=1),PTHealth,IF(AND(AT334=3,AK334="E",AV334&gt;=0.5),PTHealth*P334,0))))</f>
        <v>0</v>
      </c>
      <c r="BD334" s="462">
        <f>IF(AND(AT334&lt;&gt;0,AX334&gt;=MAXSSDI),SSDI*MAXSSDI*P334,IF(AT334&lt;&gt;0,SSDI*W334,0))</f>
        <v>0</v>
      </c>
      <c r="BE334" s="462">
        <f>IF(AT334&lt;&gt;0,SSHI*W334,0)</f>
        <v>0</v>
      </c>
      <c r="BF334" s="462">
        <f>IF(AND(AT334&lt;&gt;0,AN334&lt;&gt;"NE"),VLOOKUP(AN334,Retirement_Rates,3,FALSE)*W334,0)</f>
        <v>0</v>
      </c>
      <c r="BG334" s="462">
        <f>IF(AND(AT334&lt;&gt;0,AJ334&lt;&gt;"PF"),Life*W334,0)</f>
        <v>0</v>
      </c>
      <c r="BH334" s="462">
        <f>IF(AND(AT334&lt;&gt;0,AM334="Y"),UI*W334,0)</f>
        <v>0</v>
      </c>
      <c r="BI334" s="462">
        <f>IF(AND(AT334&lt;&gt;0,N334&lt;&gt;"NR"),DHR*W334,0)</f>
        <v>0</v>
      </c>
      <c r="BJ334" s="462">
        <f>IF(AT334&lt;&gt;0,WC*W334,0)</f>
        <v>0</v>
      </c>
      <c r="BK334" s="462">
        <f>IF(OR(AND(AT334&lt;&gt;0,AJ334&lt;&gt;"PF",AN334&lt;&gt;"NE",AG334&lt;&gt;"A"),AND(AL334="E",OR(AT334=1,AT334=3))),Sick*W334,0)</f>
        <v>0</v>
      </c>
      <c r="BL334" s="462">
        <f t="shared" si="90"/>
        <v>0</v>
      </c>
      <c r="BM334" s="462">
        <f t="shared" si="91"/>
        <v>0</v>
      </c>
      <c r="BN334" s="462">
        <f>IF(AND(AT334=1,AK334="E",AU334&gt;=0.75,AW334=1),HealthBY,IF(AND(AT334=1,AK334="E",AU334&gt;=0.75),HealthBY*P334,IF(AND(AT334=1,AK334="E",AU334&gt;=0.5,AW334=1),PTHealthBY,IF(AND(AT334=1,AK334="E",AU334&gt;=0.5),PTHealthBY*P334,0))))</f>
        <v>0</v>
      </c>
      <c r="BO334" s="462">
        <f>IF(AND(AT334=3,AK334="E",AV334&gt;=0.75,AW334=1),HealthBY,IF(AND(AT334=3,AK334="E",AV334&gt;=0.75),HealthBY*P334,IF(AND(AT334=3,AK334="E",AV334&gt;=0.5,AW334=1),PTHealthBY,IF(AND(AT334=3,AK334="E",AV334&gt;=0.5),PTHealthBY*P334,0))))</f>
        <v>0</v>
      </c>
      <c r="BP334" s="462">
        <f>IF(AND(AT334&lt;&gt;0,(AX334+BA334)&gt;=MAXSSDIBY),SSDIBY*MAXSSDIBY*P334,IF(AT334&lt;&gt;0,SSDIBY*W334,0))</f>
        <v>0</v>
      </c>
      <c r="BQ334" s="462">
        <f>IF(AT334&lt;&gt;0,SSHIBY*W334,0)</f>
        <v>0</v>
      </c>
      <c r="BR334" s="462">
        <f>IF(AND(AT334&lt;&gt;0,AN334&lt;&gt;"NE"),VLOOKUP(AN334,Retirement_Rates,4,FALSE)*W334,0)</f>
        <v>0</v>
      </c>
      <c r="BS334" s="462">
        <f>IF(AND(AT334&lt;&gt;0,AJ334&lt;&gt;"PF"),LifeBY*W334,0)</f>
        <v>0</v>
      </c>
      <c r="BT334" s="462">
        <f>IF(AND(AT334&lt;&gt;0,AM334="Y"),UIBY*W334,0)</f>
        <v>0</v>
      </c>
      <c r="BU334" s="462">
        <f>IF(AND(AT334&lt;&gt;0,N334&lt;&gt;"NR"),DHRBY*W334,0)</f>
        <v>0</v>
      </c>
      <c r="BV334" s="462">
        <f>IF(AT334&lt;&gt;0,WCBY*W334,0)</f>
        <v>0</v>
      </c>
      <c r="BW334" s="462">
        <f>IF(OR(AND(AT334&lt;&gt;0,AJ334&lt;&gt;"PF",AN334&lt;&gt;"NE",AG334&lt;&gt;"A"),AND(AL334="E",OR(AT334=1,AT334=3))),SickBY*W334,0)</f>
        <v>0</v>
      </c>
      <c r="BX334" s="462">
        <f t="shared" si="92"/>
        <v>0</v>
      </c>
      <c r="BY334" s="462">
        <f t="shared" si="93"/>
        <v>0</v>
      </c>
      <c r="BZ334" s="462">
        <f t="shared" si="94"/>
        <v>0</v>
      </c>
      <c r="CA334" s="462">
        <f t="shared" si="95"/>
        <v>0</v>
      </c>
      <c r="CB334" s="462">
        <f t="shared" si="96"/>
        <v>0</v>
      </c>
      <c r="CC334" s="462">
        <f>IF(AT334&lt;&gt;0,SSHICHG*Y334,0)</f>
        <v>0</v>
      </c>
      <c r="CD334" s="462">
        <f>IF(AND(AT334&lt;&gt;0,AN334&lt;&gt;"NE"),VLOOKUP(AN334,Retirement_Rates,5,FALSE)*Y334,0)</f>
        <v>0</v>
      </c>
      <c r="CE334" s="462">
        <f>IF(AND(AT334&lt;&gt;0,AJ334&lt;&gt;"PF"),LifeCHG*Y334,0)</f>
        <v>0</v>
      </c>
      <c r="CF334" s="462">
        <f>IF(AND(AT334&lt;&gt;0,AM334="Y"),UICHG*Y334,0)</f>
        <v>0</v>
      </c>
      <c r="CG334" s="462">
        <f>IF(AND(AT334&lt;&gt;0,N334&lt;&gt;"NR"),DHRCHG*Y334,0)</f>
        <v>0</v>
      </c>
      <c r="CH334" s="462">
        <f>IF(AT334&lt;&gt;0,WCCHG*Y334,0)</f>
        <v>0</v>
      </c>
      <c r="CI334" s="462">
        <f>IF(OR(AND(AT334&lt;&gt;0,AJ334&lt;&gt;"PF",AN334&lt;&gt;"NE",AG334&lt;&gt;"A"),AND(AL334="E",OR(AT334=1,AT334=3))),SickCHG*Y334,0)</f>
        <v>0</v>
      </c>
      <c r="CJ334" s="462">
        <f t="shared" si="97"/>
        <v>0</v>
      </c>
      <c r="CK334" s="462" t="str">
        <f t="shared" si="98"/>
        <v/>
      </c>
      <c r="CL334" s="462" t="str">
        <f t="shared" si="99"/>
        <v/>
      </c>
      <c r="CM334" s="462" t="str">
        <f t="shared" si="100"/>
        <v/>
      </c>
      <c r="CN334" s="462" t="str">
        <f t="shared" si="101"/>
        <v>0330-02</v>
      </c>
    </row>
    <row r="335" spans="1:92" ht="15" thickBot="1" x14ac:dyDescent="0.35">
      <c r="A335" s="376" t="s">
        <v>161</v>
      </c>
      <c r="B335" s="376" t="s">
        <v>162</v>
      </c>
      <c r="C335" s="376" t="s">
        <v>552</v>
      </c>
      <c r="D335" s="376" t="s">
        <v>553</v>
      </c>
      <c r="E335" s="376" t="s">
        <v>931</v>
      </c>
      <c r="F335" s="382" t="s">
        <v>344</v>
      </c>
      <c r="G335" s="376" t="s">
        <v>762</v>
      </c>
      <c r="H335" s="378"/>
      <c r="I335" s="378"/>
      <c r="J335" s="376" t="s">
        <v>547</v>
      </c>
      <c r="K335" s="376" t="s">
        <v>554</v>
      </c>
      <c r="L335" s="376" t="s">
        <v>180</v>
      </c>
      <c r="M335" s="376" t="s">
        <v>170</v>
      </c>
      <c r="N335" s="376" t="s">
        <v>202</v>
      </c>
      <c r="O335" s="379">
        <v>1</v>
      </c>
      <c r="P335" s="460">
        <v>0.35</v>
      </c>
      <c r="Q335" s="460">
        <v>0.35</v>
      </c>
      <c r="R335" s="380">
        <v>80</v>
      </c>
      <c r="S335" s="460">
        <v>0.35</v>
      </c>
      <c r="T335" s="380">
        <v>22597.84</v>
      </c>
      <c r="U335" s="380">
        <v>0</v>
      </c>
      <c r="V335" s="380">
        <v>8846.8799999999992</v>
      </c>
      <c r="W335" s="380">
        <v>23550.799999999999</v>
      </c>
      <c r="X335" s="380">
        <v>9408.68</v>
      </c>
      <c r="Y335" s="380">
        <v>23550.799999999999</v>
      </c>
      <c r="Z335" s="380">
        <v>9347.4500000000007</v>
      </c>
      <c r="AA335" s="376" t="s">
        <v>555</v>
      </c>
      <c r="AB335" s="376" t="s">
        <v>556</v>
      </c>
      <c r="AC335" s="376" t="s">
        <v>557</v>
      </c>
      <c r="AD335" s="376" t="s">
        <v>558</v>
      </c>
      <c r="AE335" s="376" t="s">
        <v>554</v>
      </c>
      <c r="AF335" s="376" t="s">
        <v>256</v>
      </c>
      <c r="AG335" s="376" t="s">
        <v>177</v>
      </c>
      <c r="AH335" s="381">
        <v>32.35</v>
      </c>
      <c r="AI335" s="381">
        <v>20350.900000000001</v>
      </c>
      <c r="AJ335" s="376" t="s">
        <v>178</v>
      </c>
      <c r="AK335" s="376" t="s">
        <v>179</v>
      </c>
      <c r="AL335" s="376" t="s">
        <v>180</v>
      </c>
      <c r="AM335" s="376" t="s">
        <v>181</v>
      </c>
      <c r="AN335" s="376" t="s">
        <v>68</v>
      </c>
      <c r="AO335" s="379">
        <v>80</v>
      </c>
      <c r="AP335" s="460">
        <v>1</v>
      </c>
      <c r="AQ335" s="460">
        <v>0.35</v>
      </c>
      <c r="AR335" s="458" t="s">
        <v>182</v>
      </c>
      <c r="AS335" s="462">
        <f t="shared" si="85"/>
        <v>0.35</v>
      </c>
      <c r="AT335">
        <f t="shared" si="86"/>
        <v>1</v>
      </c>
      <c r="AU335" s="462">
        <f>IF(AT335=0,"",IF(AND(AT335=1,M335="F",SUMIF(C2:C698,C335,AS2:AS698)&lt;=1),SUMIF(C2:C698,C335,AS2:AS698),IF(AND(AT335=1,M335="F",SUMIF(C2:C698,C335,AS2:AS698)&gt;1),1,"")))</f>
        <v>0.99999999999999989</v>
      </c>
      <c r="AV335" s="462" t="str">
        <f>IF(AT335=0,"",IF(AND(AT335=3,M335="F",SUMIF(C2:C698,C335,AS2:AS698)&lt;=1),SUMIF(C2:C698,C335,AS2:AS698),IF(AND(AT335=3,M335="F",SUMIF(C2:C698,C335,AS2:AS698)&gt;1),1,"")))</f>
        <v/>
      </c>
      <c r="AW335" s="462">
        <f>SUMIF(C2:C698,C335,O2:O698)</f>
        <v>3</v>
      </c>
      <c r="AX335" s="462">
        <f>IF(AND(M335="F",AS335&lt;&gt;0),SUMIF(C2:C698,C335,W2:W698),0)</f>
        <v>67288</v>
      </c>
      <c r="AY335" s="462">
        <f t="shared" si="87"/>
        <v>23550.799999999999</v>
      </c>
      <c r="AZ335" s="462" t="str">
        <f t="shared" si="88"/>
        <v/>
      </c>
      <c r="BA335" s="462">
        <f t="shared" si="89"/>
        <v>0</v>
      </c>
      <c r="BB335" s="462">
        <f>IF(AND(AT335=1,AK335="E",AU335&gt;=0.75,AW335=1),Health,IF(AND(AT335=1,AK335="E",AU335&gt;=0.75),Health*P335,IF(AND(AT335=1,AK335="E",AU335&gt;=0.5,AW335=1),PTHealth,IF(AND(AT335=1,AK335="E",AU335&gt;=0.5),PTHealth*P335,0))))</f>
        <v>4077.4999999999995</v>
      </c>
      <c r="BC335" s="462">
        <f>IF(AND(AT335=3,AK335="E",AV335&gt;=0.75,AW335=1),Health,IF(AND(AT335=3,AK335="E",AV335&gt;=0.75),Health*P335,IF(AND(AT335=3,AK335="E",AV335&gt;=0.5,AW335=1),PTHealth,IF(AND(AT335=3,AK335="E",AV335&gt;=0.5),PTHealth*P335,0))))</f>
        <v>0</v>
      </c>
      <c r="BD335" s="462">
        <f>IF(AND(AT335&lt;&gt;0,AX335&gt;=MAXSSDI),SSDI*MAXSSDI*P335,IF(AT335&lt;&gt;0,SSDI*W335,0))</f>
        <v>1460.1496</v>
      </c>
      <c r="BE335" s="462">
        <f>IF(AT335&lt;&gt;0,SSHI*W335,0)</f>
        <v>341.48660000000001</v>
      </c>
      <c r="BF335" s="462">
        <f>IF(AND(AT335&lt;&gt;0,AN335&lt;&gt;"NE"),VLOOKUP(AN335,Retirement_Rates,3,FALSE)*W335,0)</f>
        <v>2811.9655200000002</v>
      </c>
      <c r="BG335" s="462">
        <f>IF(AND(AT335&lt;&gt;0,AJ335&lt;&gt;"PF"),Life*W335,0)</f>
        <v>169.80126799999999</v>
      </c>
      <c r="BH335" s="462">
        <f>IF(AND(AT335&lt;&gt;0,AM335="Y"),UI*W335,0)</f>
        <v>115.39891999999999</v>
      </c>
      <c r="BI335" s="462">
        <f>IF(AND(AT335&lt;&gt;0,N335&lt;&gt;"NR"),DHR*W335,0)</f>
        <v>72.065447999999989</v>
      </c>
      <c r="BJ335" s="462">
        <f>IF(AT335&lt;&gt;0,WC*W335,0)</f>
        <v>360.32723999999996</v>
      </c>
      <c r="BK335" s="462">
        <f>IF(OR(AND(AT335&lt;&gt;0,AJ335&lt;&gt;"PF",AN335&lt;&gt;"NE",AG335&lt;&gt;"A"),AND(AL335="E",OR(AT335=1,AT335=3))),Sick*W335,0)</f>
        <v>0</v>
      </c>
      <c r="BL335" s="462">
        <f t="shared" si="90"/>
        <v>5331.1945960000003</v>
      </c>
      <c r="BM335" s="462">
        <f t="shared" si="91"/>
        <v>0</v>
      </c>
      <c r="BN335" s="462">
        <f>IF(AND(AT335=1,AK335="E",AU335&gt;=0.75,AW335=1),HealthBY,IF(AND(AT335=1,AK335="E",AU335&gt;=0.75),HealthBY*P335,IF(AND(AT335=1,AK335="E",AU335&gt;=0.5,AW335=1),PTHealthBY,IF(AND(AT335=1,AK335="E",AU335&gt;=0.5),PTHealthBY*P335,0))))</f>
        <v>4077.4999999999995</v>
      </c>
      <c r="BO335" s="462">
        <f>IF(AND(AT335=3,AK335="E",AV335&gt;=0.75,AW335=1),HealthBY,IF(AND(AT335=3,AK335="E",AV335&gt;=0.75),HealthBY*P335,IF(AND(AT335=3,AK335="E",AV335&gt;=0.5,AW335=1),PTHealthBY,IF(AND(AT335=3,AK335="E",AV335&gt;=0.5),PTHealthBY*P335,0))))</f>
        <v>0</v>
      </c>
      <c r="BP335" s="462">
        <f>IF(AND(AT335&lt;&gt;0,(AX335+BA335)&gt;=MAXSSDIBY),SSDIBY*MAXSSDIBY*P335,IF(AT335&lt;&gt;0,SSDIBY*W335,0))</f>
        <v>1460.1496</v>
      </c>
      <c r="BQ335" s="462">
        <f>IF(AT335&lt;&gt;0,SSHIBY*W335,0)</f>
        <v>341.48660000000001</v>
      </c>
      <c r="BR335" s="462">
        <f>IF(AND(AT335&lt;&gt;0,AN335&lt;&gt;"NE"),VLOOKUP(AN335,Retirement_Rates,4,FALSE)*W335,0)</f>
        <v>2811.9655200000002</v>
      </c>
      <c r="BS335" s="462">
        <f>IF(AND(AT335&lt;&gt;0,AJ335&lt;&gt;"PF"),LifeBY*W335,0)</f>
        <v>169.80126799999999</v>
      </c>
      <c r="BT335" s="462">
        <f>IF(AND(AT335&lt;&gt;0,AM335="Y"),UIBY*W335,0)</f>
        <v>0</v>
      </c>
      <c r="BU335" s="462">
        <f>IF(AND(AT335&lt;&gt;0,N335&lt;&gt;"NR"),DHRBY*W335,0)</f>
        <v>72.065447999999989</v>
      </c>
      <c r="BV335" s="462">
        <f>IF(AT335&lt;&gt;0,WCBY*W335,0)</f>
        <v>414.49408</v>
      </c>
      <c r="BW335" s="462">
        <f>IF(OR(AND(AT335&lt;&gt;0,AJ335&lt;&gt;"PF",AN335&lt;&gt;"NE",AG335&lt;&gt;"A"),AND(AL335="E",OR(AT335=1,AT335=3))),SickBY*W335,0)</f>
        <v>0</v>
      </c>
      <c r="BX335" s="462">
        <f t="shared" si="92"/>
        <v>5269.9625160000014</v>
      </c>
      <c r="BY335" s="462">
        <f t="shared" si="93"/>
        <v>0</v>
      </c>
      <c r="BZ335" s="462">
        <f t="shared" si="94"/>
        <v>0</v>
      </c>
      <c r="CA335" s="462">
        <f t="shared" si="95"/>
        <v>0</v>
      </c>
      <c r="CB335" s="462">
        <f t="shared" si="96"/>
        <v>0</v>
      </c>
      <c r="CC335" s="462">
        <f>IF(AT335&lt;&gt;0,SSHICHG*Y335,0)</f>
        <v>0</v>
      </c>
      <c r="CD335" s="462">
        <f>IF(AND(AT335&lt;&gt;0,AN335&lt;&gt;"NE"),VLOOKUP(AN335,Retirement_Rates,5,FALSE)*Y335,0)</f>
        <v>0</v>
      </c>
      <c r="CE335" s="462">
        <f>IF(AND(AT335&lt;&gt;0,AJ335&lt;&gt;"PF"),LifeCHG*Y335,0)</f>
        <v>0</v>
      </c>
      <c r="CF335" s="462">
        <f>IF(AND(AT335&lt;&gt;0,AM335="Y"),UICHG*Y335,0)</f>
        <v>-115.39891999999999</v>
      </c>
      <c r="CG335" s="462">
        <f>IF(AND(AT335&lt;&gt;0,N335&lt;&gt;"NR"),DHRCHG*Y335,0)</f>
        <v>0</v>
      </c>
      <c r="CH335" s="462">
        <f>IF(AT335&lt;&gt;0,WCCHG*Y335,0)</f>
        <v>54.166840000000036</v>
      </c>
      <c r="CI335" s="462">
        <f>IF(OR(AND(AT335&lt;&gt;0,AJ335&lt;&gt;"PF",AN335&lt;&gt;"NE",AG335&lt;&gt;"A"),AND(AL335="E",OR(AT335=1,AT335=3))),SickCHG*Y335,0)</f>
        <v>0</v>
      </c>
      <c r="CJ335" s="462">
        <f t="shared" si="97"/>
        <v>-61.232079999999954</v>
      </c>
      <c r="CK335" s="462" t="str">
        <f t="shared" si="98"/>
        <v/>
      </c>
      <c r="CL335" s="462" t="str">
        <f t="shared" si="99"/>
        <v/>
      </c>
      <c r="CM335" s="462" t="str">
        <f t="shared" si="100"/>
        <v/>
      </c>
      <c r="CN335" s="462" t="str">
        <f t="shared" si="101"/>
        <v>0330-02</v>
      </c>
    </row>
    <row r="336" spans="1:92" ht="15" thickBot="1" x14ac:dyDescent="0.35">
      <c r="A336" s="376" t="s">
        <v>161</v>
      </c>
      <c r="B336" s="376" t="s">
        <v>162</v>
      </c>
      <c r="C336" s="376" t="s">
        <v>863</v>
      </c>
      <c r="D336" s="376" t="s">
        <v>365</v>
      </c>
      <c r="E336" s="376" t="s">
        <v>931</v>
      </c>
      <c r="F336" s="382" t="s">
        <v>344</v>
      </c>
      <c r="G336" s="376" t="s">
        <v>762</v>
      </c>
      <c r="H336" s="378"/>
      <c r="I336" s="378"/>
      <c r="J336" s="376" t="s">
        <v>168</v>
      </c>
      <c r="K336" s="376" t="s">
        <v>366</v>
      </c>
      <c r="L336" s="376" t="s">
        <v>274</v>
      </c>
      <c r="M336" s="376" t="s">
        <v>170</v>
      </c>
      <c r="N336" s="376" t="s">
        <v>202</v>
      </c>
      <c r="O336" s="379">
        <v>1</v>
      </c>
      <c r="P336" s="460">
        <v>0</v>
      </c>
      <c r="Q336" s="460">
        <v>0</v>
      </c>
      <c r="R336" s="380">
        <v>80</v>
      </c>
      <c r="S336" s="460">
        <v>0</v>
      </c>
      <c r="T336" s="380">
        <v>1340</v>
      </c>
      <c r="U336" s="380">
        <v>0</v>
      </c>
      <c r="V336" s="380">
        <v>778.15</v>
      </c>
      <c r="W336" s="380">
        <v>0</v>
      </c>
      <c r="X336" s="380">
        <v>0</v>
      </c>
      <c r="Y336" s="380">
        <v>0</v>
      </c>
      <c r="Z336" s="380">
        <v>0</v>
      </c>
      <c r="AA336" s="376" t="s">
        <v>864</v>
      </c>
      <c r="AB336" s="376" t="s">
        <v>865</v>
      </c>
      <c r="AC336" s="376" t="s">
        <v>866</v>
      </c>
      <c r="AD336" s="376" t="s">
        <v>215</v>
      </c>
      <c r="AE336" s="376" t="s">
        <v>366</v>
      </c>
      <c r="AF336" s="376" t="s">
        <v>279</v>
      </c>
      <c r="AG336" s="376" t="s">
        <v>177</v>
      </c>
      <c r="AH336" s="381">
        <v>17.5</v>
      </c>
      <c r="AI336" s="379">
        <v>2120</v>
      </c>
      <c r="AJ336" s="376" t="s">
        <v>178</v>
      </c>
      <c r="AK336" s="376" t="s">
        <v>179</v>
      </c>
      <c r="AL336" s="376" t="s">
        <v>180</v>
      </c>
      <c r="AM336" s="376" t="s">
        <v>181</v>
      </c>
      <c r="AN336" s="376" t="s">
        <v>68</v>
      </c>
      <c r="AO336" s="379">
        <v>80</v>
      </c>
      <c r="AP336" s="460">
        <v>1</v>
      </c>
      <c r="AQ336" s="460">
        <v>0</v>
      </c>
      <c r="AR336" s="458" t="s">
        <v>182</v>
      </c>
      <c r="AS336" s="462">
        <f t="shared" si="85"/>
        <v>0</v>
      </c>
      <c r="AT336">
        <f t="shared" si="86"/>
        <v>0</v>
      </c>
      <c r="AU336" s="462" t="str">
        <f>IF(AT336=0,"",IF(AND(AT336=1,M336="F",SUMIF(C2:C698,C336,AS2:AS698)&lt;=1),SUMIF(C2:C698,C336,AS2:AS698),IF(AND(AT336=1,M336="F",SUMIF(C2:C698,C336,AS2:AS698)&gt;1),1,"")))</f>
        <v/>
      </c>
      <c r="AV336" s="462" t="str">
        <f>IF(AT336=0,"",IF(AND(AT336=3,M336="F",SUMIF(C2:C698,C336,AS2:AS698)&lt;=1),SUMIF(C2:C698,C336,AS2:AS698),IF(AND(AT336=3,M336="F",SUMIF(C2:C698,C336,AS2:AS698)&gt;1),1,"")))</f>
        <v/>
      </c>
      <c r="AW336" s="462">
        <f>SUMIF(C2:C698,C336,O2:O698)</f>
        <v>2</v>
      </c>
      <c r="AX336" s="462">
        <f>IF(AND(M336="F",AS336&lt;&gt;0),SUMIF(C2:C698,C336,W2:W698),0)</f>
        <v>0</v>
      </c>
      <c r="AY336" s="462" t="str">
        <f t="shared" si="87"/>
        <v/>
      </c>
      <c r="AZ336" s="462" t="str">
        <f t="shared" si="88"/>
        <v/>
      </c>
      <c r="BA336" s="462">
        <f t="shared" si="89"/>
        <v>0</v>
      </c>
      <c r="BB336" s="462">
        <f>IF(AND(AT336=1,AK336="E",AU336&gt;=0.75,AW336=1),Health,IF(AND(AT336=1,AK336="E",AU336&gt;=0.75),Health*P336,IF(AND(AT336=1,AK336="E",AU336&gt;=0.5,AW336=1),PTHealth,IF(AND(AT336=1,AK336="E",AU336&gt;=0.5),PTHealth*P336,0))))</f>
        <v>0</v>
      </c>
      <c r="BC336" s="462">
        <f>IF(AND(AT336=3,AK336="E",AV336&gt;=0.75,AW336=1),Health,IF(AND(AT336=3,AK336="E",AV336&gt;=0.75),Health*P336,IF(AND(AT336=3,AK336="E",AV336&gt;=0.5,AW336=1),PTHealth,IF(AND(AT336=3,AK336="E",AV336&gt;=0.5),PTHealth*P336,0))))</f>
        <v>0</v>
      </c>
      <c r="BD336" s="462">
        <f>IF(AND(AT336&lt;&gt;0,AX336&gt;=MAXSSDI),SSDI*MAXSSDI*P336,IF(AT336&lt;&gt;0,SSDI*W336,0))</f>
        <v>0</v>
      </c>
      <c r="BE336" s="462">
        <f>IF(AT336&lt;&gt;0,SSHI*W336,0)</f>
        <v>0</v>
      </c>
      <c r="BF336" s="462">
        <f>IF(AND(AT336&lt;&gt;0,AN336&lt;&gt;"NE"),VLOOKUP(AN336,Retirement_Rates,3,FALSE)*W336,0)</f>
        <v>0</v>
      </c>
      <c r="BG336" s="462">
        <f>IF(AND(AT336&lt;&gt;0,AJ336&lt;&gt;"PF"),Life*W336,0)</f>
        <v>0</v>
      </c>
      <c r="BH336" s="462">
        <f>IF(AND(AT336&lt;&gt;0,AM336="Y"),UI*W336,0)</f>
        <v>0</v>
      </c>
      <c r="BI336" s="462">
        <f>IF(AND(AT336&lt;&gt;0,N336&lt;&gt;"NR"),DHR*W336,0)</f>
        <v>0</v>
      </c>
      <c r="BJ336" s="462">
        <f>IF(AT336&lt;&gt;0,WC*W336,0)</f>
        <v>0</v>
      </c>
      <c r="BK336" s="462">
        <f>IF(OR(AND(AT336&lt;&gt;0,AJ336&lt;&gt;"PF",AN336&lt;&gt;"NE",AG336&lt;&gt;"A"),AND(AL336="E",OR(AT336=1,AT336=3))),Sick*W336,0)</f>
        <v>0</v>
      </c>
      <c r="BL336" s="462">
        <f t="shared" si="90"/>
        <v>0</v>
      </c>
      <c r="BM336" s="462">
        <f t="shared" si="91"/>
        <v>0</v>
      </c>
      <c r="BN336" s="462">
        <f>IF(AND(AT336=1,AK336="E",AU336&gt;=0.75,AW336=1),HealthBY,IF(AND(AT336=1,AK336="E",AU336&gt;=0.75),HealthBY*P336,IF(AND(AT336=1,AK336="E",AU336&gt;=0.5,AW336=1),PTHealthBY,IF(AND(AT336=1,AK336="E",AU336&gt;=0.5),PTHealthBY*P336,0))))</f>
        <v>0</v>
      </c>
      <c r="BO336" s="462">
        <f>IF(AND(AT336=3,AK336="E",AV336&gt;=0.75,AW336=1),HealthBY,IF(AND(AT336=3,AK336="E",AV336&gt;=0.75),HealthBY*P336,IF(AND(AT336=3,AK336="E",AV336&gt;=0.5,AW336=1),PTHealthBY,IF(AND(AT336=3,AK336="E",AV336&gt;=0.5),PTHealthBY*P336,0))))</f>
        <v>0</v>
      </c>
      <c r="BP336" s="462">
        <f>IF(AND(AT336&lt;&gt;0,(AX336+BA336)&gt;=MAXSSDIBY),SSDIBY*MAXSSDIBY*P336,IF(AT336&lt;&gt;0,SSDIBY*W336,0))</f>
        <v>0</v>
      </c>
      <c r="BQ336" s="462">
        <f>IF(AT336&lt;&gt;0,SSHIBY*W336,0)</f>
        <v>0</v>
      </c>
      <c r="BR336" s="462">
        <f>IF(AND(AT336&lt;&gt;0,AN336&lt;&gt;"NE"),VLOOKUP(AN336,Retirement_Rates,4,FALSE)*W336,0)</f>
        <v>0</v>
      </c>
      <c r="BS336" s="462">
        <f>IF(AND(AT336&lt;&gt;0,AJ336&lt;&gt;"PF"),LifeBY*W336,0)</f>
        <v>0</v>
      </c>
      <c r="BT336" s="462">
        <f>IF(AND(AT336&lt;&gt;0,AM336="Y"),UIBY*W336,0)</f>
        <v>0</v>
      </c>
      <c r="BU336" s="462">
        <f>IF(AND(AT336&lt;&gt;0,N336&lt;&gt;"NR"),DHRBY*W336,0)</f>
        <v>0</v>
      </c>
      <c r="BV336" s="462">
        <f>IF(AT336&lt;&gt;0,WCBY*W336,0)</f>
        <v>0</v>
      </c>
      <c r="BW336" s="462">
        <f>IF(OR(AND(AT336&lt;&gt;0,AJ336&lt;&gt;"PF",AN336&lt;&gt;"NE",AG336&lt;&gt;"A"),AND(AL336="E",OR(AT336=1,AT336=3))),SickBY*W336,0)</f>
        <v>0</v>
      </c>
      <c r="BX336" s="462">
        <f t="shared" si="92"/>
        <v>0</v>
      </c>
      <c r="BY336" s="462">
        <f t="shared" si="93"/>
        <v>0</v>
      </c>
      <c r="BZ336" s="462">
        <f t="shared" si="94"/>
        <v>0</v>
      </c>
      <c r="CA336" s="462">
        <f t="shared" si="95"/>
        <v>0</v>
      </c>
      <c r="CB336" s="462">
        <f t="shared" si="96"/>
        <v>0</v>
      </c>
      <c r="CC336" s="462">
        <f>IF(AT336&lt;&gt;0,SSHICHG*Y336,0)</f>
        <v>0</v>
      </c>
      <c r="CD336" s="462">
        <f>IF(AND(AT336&lt;&gt;0,AN336&lt;&gt;"NE"),VLOOKUP(AN336,Retirement_Rates,5,FALSE)*Y336,0)</f>
        <v>0</v>
      </c>
      <c r="CE336" s="462">
        <f>IF(AND(AT336&lt;&gt;0,AJ336&lt;&gt;"PF"),LifeCHG*Y336,0)</f>
        <v>0</v>
      </c>
      <c r="CF336" s="462">
        <f>IF(AND(AT336&lt;&gt;0,AM336="Y"),UICHG*Y336,0)</f>
        <v>0</v>
      </c>
      <c r="CG336" s="462">
        <f>IF(AND(AT336&lt;&gt;0,N336&lt;&gt;"NR"),DHRCHG*Y336,0)</f>
        <v>0</v>
      </c>
      <c r="CH336" s="462">
        <f>IF(AT336&lt;&gt;0,WCCHG*Y336,0)</f>
        <v>0</v>
      </c>
      <c r="CI336" s="462">
        <f>IF(OR(AND(AT336&lt;&gt;0,AJ336&lt;&gt;"PF",AN336&lt;&gt;"NE",AG336&lt;&gt;"A"),AND(AL336="E",OR(AT336=1,AT336=3))),SickCHG*Y336,0)</f>
        <v>0</v>
      </c>
      <c r="CJ336" s="462">
        <f t="shared" si="97"/>
        <v>0</v>
      </c>
      <c r="CK336" s="462" t="str">
        <f t="shared" si="98"/>
        <v/>
      </c>
      <c r="CL336" s="462" t="str">
        <f t="shared" si="99"/>
        <v/>
      </c>
      <c r="CM336" s="462" t="str">
        <f t="shared" si="100"/>
        <v/>
      </c>
      <c r="CN336" s="462" t="str">
        <f t="shared" si="101"/>
        <v>0330-02</v>
      </c>
    </row>
    <row r="337" spans="1:92" ht="15" thickBot="1" x14ac:dyDescent="0.35">
      <c r="A337" s="376" t="s">
        <v>161</v>
      </c>
      <c r="B337" s="376" t="s">
        <v>162</v>
      </c>
      <c r="C337" s="376" t="s">
        <v>853</v>
      </c>
      <c r="D337" s="376" t="s">
        <v>250</v>
      </c>
      <c r="E337" s="376" t="s">
        <v>931</v>
      </c>
      <c r="F337" s="382" t="s">
        <v>659</v>
      </c>
      <c r="G337" s="376" t="s">
        <v>762</v>
      </c>
      <c r="H337" s="378"/>
      <c r="I337" s="378"/>
      <c r="J337" s="376" t="s">
        <v>185</v>
      </c>
      <c r="K337" s="376" t="s">
        <v>251</v>
      </c>
      <c r="L337" s="376" t="s">
        <v>180</v>
      </c>
      <c r="M337" s="376" t="s">
        <v>170</v>
      </c>
      <c r="N337" s="376" t="s">
        <v>202</v>
      </c>
      <c r="O337" s="379">
        <v>1</v>
      </c>
      <c r="P337" s="460">
        <v>0</v>
      </c>
      <c r="Q337" s="460">
        <v>0</v>
      </c>
      <c r="R337" s="380">
        <v>80</v>
      </c>
      <c r="S337" s="460">
        <v>0</v>
      </c>
      <c r="T337" s="380">
        <v>262.39999999999998</v>
      </c>
      <c r="U337" s="380">
        <v>0</v>
      </c>
      <c r="V337" s="380">
        <v>100.21</v>
      </c>
      <c r="W337" s="380">
        <v>0</v>
      </c>
      <c r="X337" s="380">
        <v>0</v>
      </c>
      <c r="Y337" s="380">
        <v>0</v>
      </c>
      <c r="Z337" s="380">
        <v>0</v>
      </c>
      <c r="AA337" s="376" t="s">
        <v>854</v>
      </c>
      <c r="AB337" s="376" t="s">
        <v>855</v>
      </c>
      <c r="AC337" s="376" t="s">
        <v>682</v>
      </c>
      <c r="AD337" s="376" t="s">
        <v>856</v>
      </c>
      <c r="AE337" s="376" t="s">
        <v>251</v>
      </c>
      <c r="AF337" s="376" t="s">
        <v>256</v>
      </c>
      <c r="AG337" s="376" t="s">
        <v>177</v>
      </c>
      <c r="AH337" s="381">
        <v>34.21</v>
      </c>
      <c r="AI337" s="381">
        <v>65239.6</v>
      </c>
      <c r="AJ337" s="376" t="s">
        <v>178</v>
      </c>
      <c r="AK337" s="376" t="s">
        <v>179</v>
      </c>
      <c r="AL337" s="376" t="s">
        <v>180</v>
      </c>
      <c r="AM337" s="376" t="s">
        <v>181</v>
      </c>
      <c r="AN337" s="376" t="s">
        <v>68</v>
      </c>
      <c r="AO337" s="379">
        <v>80</v>
      </c>
      <c r="AP337" s="460">
        <v>1</v>
      </c>
      <c r="AQ337" s="460">
        <v>0</v>
      </c>
      <c r="AR337" s="458" t="s">
        <v>182</v>
      </c>
      <c r="AS337" s="462">
        <f t="shared" si="85"/>
        <v>0</v>
      </c>
      <c r="AT337">
        <f t="shared" si="86"/>
        <v>0</v>
      </c>
      <c r="AU337" s="462" t="str">
        <f>IF(AT337=0,"",IF(AND(AT337=1,M337="F",SUMIF(C2:C698,C337,AS2:AS698)&lt;=1),SUMIF(C2:C698,C337,AS2:AS698),IF(AND(AT337=1,M337="F",SUMIF(C2:C698,C337,AS2:AS698)&gt;1),1,"")))</f>
        <v/>
      </c>
      <c r="AV337" s="462" t="str">
        <f>IF(AT337=0,"",IF(AND(AT337=3,M337="F",SUMIF(C2:C698,C337,AS2:AS698)&lt;=1),SUMIF(C2:C698,C337,AS2:AS698),IF(AND(AT337=3,M337="F",SUMIF(C2:C698,C337,AS2:AS698)&gt;1),1,"")))</f>
        <v/>
      </c>
      <c r="AW337" s="462">
        <f>SUMIF(C2:C698,C337,O2:O698)</f>
        <v>3</v>
      </c>
      <c r="AX337" s="462">
        <f>IF(AND(M337="F",AS337&lt;&gt;0),SUMIF(C2:C698,C337,W2:W698),0)</f>
        <v>0</v>
      </c>
      <c r="AY337" s="462" t="str">
        <f t="shared" si="87"/>
        <v/>
      </c>
      <c r="AZ337" s="462" t="str">
        <f t="shared" si="88"/>
        <v/>
      </c>
      <c r="BA337" s="462">
        <f t="shared" si="89"/>
        <v>0</v>
      </c>
      <c r="BB337" s="462">
        <f>IF(AND(AT337=1,AK337="E",AU337&gt;=0.75,AW337=1),Health,IF(AND(AT337=1,AK337="E",AU337&gt;=0.75),Health*P337,IF(AND(AT337=1,AK337="E",AU337&gt;=0.5,AW337=1),PTHealth,IF(AND(AT337=1,AK337="E",AU337&gt;=0.5),PTHealth*P337,0))))</f>
        <v>0</v>
      </c>
      <c r="BC337" s="462">
        <f>IF(AND(AT337=3,AK337="E",AV337&gt;=0.75,AW337=1),Health,IF(AND(AT337=3,AK337="E",AV337&gt;=0.75),Health*P337,IF(AND(AT337=3,AK337="E",AV337&gt;=0.5,AW337=1),PTHealth,IF(AND(AT337=3,AK337="E",AV337&gt;=0.5),PTHealth*P337,0))))</f>
        <v>0</v>
      </c>
      <c r="BD337" s="462">
        <f>IF(AND(AT337&lt;&gt;0,AX337&gt;=MAXSSDI),SSDI*MAXSSDI*P337,IF(AT337&lt;&gt;0,SSDI*W337,0))</f>
        <v>0</v>
      </c>
      <c r="BE337" s="462">
        <f>IF(AT337&lt;&gt;0,SSHI*W337,0)</f>
        <v>0</v>
      </c>
      <c r="BF337" s="462">
        <f>IF(AND(AT337&lt;&gt;0,AN337&lt;&gt;"NE"),VLOOKUP(AN337,Retirement_Rates,3,FALSE)*W337,0)</f>
        <v>0</v>
      </c>
      <c r="BG337" s="462">
        <f>IF(AND(AT337&lt;&gt;0,AJ337&lt;&gt;"PF"),Life*W337,0)</f>
        <v>0</v>
      </c>
      <c r="BH337" s="462">
        <f>IF(AND(AT337&lt;&gt;0,AM337="Y"),UI*W337,0)</f>
        <v>0</v>
      </c>
      <c r="BI337" s="462">
        <f>IF(AND(AT337&lt;&gt;0,N337&lt;&gt;"NR"),DHR*W337,0)</f>
        <v>0</v>
      </c>
      <c r="BJ337" s="462">
        <f>IF(AT337&lt;&gt;0,WC*W337,0)</f>
        <v>0</v>
      </c>
      <c r="BK337" s="462">
        <f>IF(OR(AND(AT337&lt;&gt;0,AJ337&lt;&gt;"PF",AN337&lt;&gt;"NE",AG337&lt;&gt;"A"),AND(AL337="E",OR(AT337=1,AT337=3))),Sick*W337,0)</f>
        <v>0</v>
      </c>
      <c r="BL337" s="462">
        <f t="shared" si="90"/>
        <v>0</v>
      </c>
      <c r="BM337" s="462">
        <f t="shared" si="91"/>
        <v>0</v>
      </c>
      <c r="BN337" s="462">
        <f>IF(AND(AT337=1,AK337="E",AU337&gt;=0.75,AW337=1),HealthBY,IF(AND(AT337=1,AK337="E",AU337&gt;=0.75),HealthBY*P337,IF(AND(AT337=1,AK337="E",AU337&gt;=0.5,AW337=1),PTHealthBY,IF(AND(AT337=1,AK337="E",AU337&gt;=0.5),PTHealthBY*P337,0))))</f>
        <v>0</v>
      </c>
      <c r="BO337" s="462">
        <f>IF(AND(AT337=3,AK337="E",AV337&gt;=0.75,AW337=1),HealthBY,IF(AND(AT337=3,AK337="E",AV337&gt;=0.75),HealthBY*P337,IF(AND(AT337=3,AK337="E",AV337&gt;=0.5,AW337=1),PTHealthBY,IF(AND(AT337=3,AK337="E",AV337&gt;=0.5),PTHealthBY*P337,0))))</f>
        <v>0</v>
      </c>
      <c r="BP337" s="462">
        <f>IF(AND(AT337&lt;&gt;0,(AX337+BA337)&gt;=MAXSSDIBY),SSDIBY*MAXSSDIBY*P337,IF(AT337&lt;&gt;0,SSDIBY*W337,0))</f>
        <v>0</v>
      </c>
      <c r="BQ337" s="462">
        <f>IF(AT337&lt;&gt;0,SSHIBY*W337,0)</f>
        <v>0</v>
      </c>
      <c r="BR337" s="462">
        <f>IF(AND(AT337&lt;&gt;0,AN337&lt;&gt;"NE"),VLOOKUP(AN337,Retirement_Rates,4,FALSE)*W337,0)</f>
        <v>0</v>
      </c>
      <c r="BS337" s="462">
        <f>IF(AND(AT337&lt;&gt;0,AJ337&lt;&gt;"PF"),LifeBY*W337,0)</f>
        <v>0</v>
      </c>
      <c r="BT337" s="462">
        <f>IF(AND(AT337&lt;&gt;0,AM337="Y"),UIBY*W337,0)</f>
        <v>0</v>
      </c>
      <c r="BU337" s="462">
        <f>IF(AND(AT337&lt;&gt;0,N337&lt;&gt;"NR"),DHRBY*W337,0)</f>
        <v>0</v>
      </c>
      <c r="BV337" s="462">
        <f>IF(AT337&lt;&gt;0,WCBY*W337,0)</f>
        <v>0</v>
      </c>
      <c r="BW337" s="462">
        <f>IF(OR(AND(AT337&lt;&gt;0,AJ337&lt;&gt;"PF",AN337&lt;&gt;"NE",AG337&lt;&gt;"A"),AND(AL337="E",OR(AT337=1,AT337=3))),SickBY*W337,0)</f>
        <v>0</v>
      </c>
      <c r="BX337" s="462">
        <f t="shared" si="92"/>
        <v>0</v>
      </c>
      <c r="BY337" s="462">
        <f t="shared" si="93"/>
        <v>0</v>
      </c>
      <c r="BZ337" s="462">
        <f t="shared" si="94"/>
        <v>0</v>
      </c>
      <c r="CA337" s="462">
        <f t="shared" si="95"/>
        <v>0</v>
      </c>
      <c r="CB337" s="462">
        <f t="shared" si="96"/>
        <v>0</v>
      </c>
      <c r="CC337" s="462">
        <f>IF(AT337&lt;&gt;0,SSHICHG*Y337,0)</f>
        <v>0</v>
      </c>
      <c r="CD337" s="462">
        <f>IF(AND(AT337&lt;&gt;0,AN337&lt;&gt;"NE"),VLOOKUP(AN337,Retirement_Rates,5,FALSE)*Y337,0)</f>
        <v>0</v>
      </c>
      <c r="CE337" s="462">
        <f>IF(AND(AT337&lt;&gt;0,AJ337&lt;&gt;"PF"),LifeCHG*Y337,0)</f>
        <v>0</v>
      </c>
      <c r="CF337" s="462">
        <f>IF(AND(AT337&lt;&gt;0,AM337="Y"),UICHG*Y337,0)</f>
        <v>0</v>
      </c>
      <c r="CG337" s="462">
        <f>IF(AND(AT337&lt;&gt;0,N337&lt;&gt;"NR"),DHRCHG*Y337,0)</f>
        <v>0</v>
      </c>
      <c r="CH337" s="462">
        <f>IF(AT337&lt;&gt;0,WCCHG*Y337,0)</f>
        <v>0</v>
      </c>
      <c r="CI337" s="462">
        <f>IF(OR(AND(AT337&lt;&gt;0,AJ337&lt;&gt;"PF",AN337&lt;&gt;"NE",AG337&lt;&gt;"A"),AND(AL337="E",OR(AT337=1,AT337=3))),SickCHG*Y337,0)</f>
        <v>0</v>
      </c>
      <c r="CJ337" s="462">
        <f t="shared" si="97"/>
        <v>0</v>
      </c>
      <c r="CK337" s="462" t="str">
        <f t="shared" si="98"/>
        <v/>
      </c>
      <c r="CL337" s="462" t="str">
        <f t="shared" si="99"/>
        <v/>
      </c>
      <c r="CM337" s="462" t="str">
        <f t="shared" si="100"/>
        <v/>
      </c>
      <c r="CN337" s="462" t="str">
        <f t="shared" si="101"/>
        <v>0330-05</v>
      </c>
    </row>
    <row r="338" spans="1:92" ht="15" thickBot="1" x14ac:dyDescent="0.35">
      <c r="A338" s="376" t="s">
        <v>161</v>
      </c>
      <c r="B338" s="376" t="s">
        <v>162</v>
      </c>
      <c r="C338" s="376" t="s">
        <v>466</v>
      </c>
      <c r="D338" s="376" t="s">
        <v>467</v>
      </c>
      <c r="E338" s="376" t="s">
        <v>931</v>
      </c>
      <c r="F338" s="382" t="s">
        <v>659</v>
      </c>
      <c r="G338" s="376" t="s">
        <v>762</v>
      </c>
      <c r="H338" s="378"/>
      <c r="I338" s="378"/>
      <c r="J338" s="376" t="s">
        <v>185</v>
      </c>
      <c r="K338" s="376" t="s">
        <v>468</v>
      </c>
      <c r="L338" s="376" t="s">
        <v>224</v>
      </c>
      <c r="M338" s="376" t="s">
        <v>170</v>
      </c>
      <c r="N338" s="376" t="s">
        <v>202</v>
      </c>
      <c r="O338" s="379">
        <v>1</v>
      </c>
      <c r="P338" s="460">
        <v>0</v>
      </c>
      <c r="Q338" s="460">
        <v>0</v>
      </c>
      <c r="R338" s="380">
        <v>80</v>
      </c>
      <c r="S338" s="460">
        <v>0</v>
      </c>
      <c r="T338" s="380">
        <v>192.8</v>
      </c>
      <c r="U338" s="380">
        <v>0</v>
      </c>
      <c r="V338" s="380">
        <v>88.43</v>
      </c>
      <c r="W338" s="380">
        <v>0</v>
      </c>
      <c r="X338" s="380">
        <v>0</v>
      </c>
      <c r="Y338" s="380">
        <v>0</v>
      </c>
      <c r="Z338" s="380">
        <v>0</v>
      </c>
      <c r="AA338" s="376" t="s">
        <v>469</v>
      </c>
      <c r="AB338" s="376" t="s">
        <v>470</v>
      </c>
      <c r="AC338" s="376" t="s">
        <v>471</v>
      </c>
      <c r="AD338" s="376" t="s">
        <v>215</v>
      </c>
      <c r="AE338" s="376" t="s">
        <v>468</v>
      </c>
      <c r="AF338" s="376" t="s">
        <v>232</v>
      </c>
      <c r="AG338" s="376" t="s">
        <v>177</v>
      </c>
      <c r="AH338" s="381">
        <v>25.14</v>
      </c>
      <c r="AI338" s="381">
        <v>6495.4</v>
      </c>
      <c r="AJ338" s="376" t="s">
        <v>178</v>
      </c>
      <c r="AK338" s="376" t="s">
        <v>179</v>
      </c>
      <c r="AL338" s="376" t="s">
        <v>180</v>
      </c>
      <c r="AM338" s="376" t="s">
        <v>181</v>
      </c>
      <c r="AN338" s="376" t="s">
        <v>68</v>
      </c>
      <c r="AO338" s="379">
        <v>80</v>
      </c>
      <c r="AP338" s="460">
        <v>1</v>
      </c>
      <c r="AQ338" s="460">
        <v>0</v>
      </c>
      <c r="AR338" s="458" t="s">
        <v>182</v>
      </c>
      <c r="AS338" s="462">
        <f t="shared" si="85"/>
        <v>0</v>
      </c>
      <c r="AT338">
        <f t="shared" si="86"/>
        <v>0</v>
      </c>
      <c r="AU338" s="462" t="str">
        <f>IF(AT338=0,"",IF(AND(AT338=1,M338="F",SUMIF(C2:C698,C338,AS2:AS698)&lt;=1),SUMIF(C2:C698,C338,AS2:AS698),IF(AND(AT338=1,M338="F",SUMIF(C2:C698,C338,AS2:AS698)&gt;1),1,"")))</f>
        <v/>
      </c>
      <c r="AV338" s="462" t="str">
        <f>IF(AT338=0,"",IF(AND(AT338=3,M338="F",SUMIF(C2:C698,C338,AS2:AS698)&lt;=1),SUMIF(C2:C698,C338,AS2:AS698),IF(AND(AT338=3,M338="F",SUMIF(C2:C698,C338,AS2:AS698)&gt;1),1,"")))</f>
        <v/>
      </c>
      <c r="AW338" s="462">
        <f>SUMIF(C2:C698,C338,O2:O698)</f>
        <v>4</v>
      </c>
      <c r="AX338" s="462">
        <f>IF(AND(M338="F",AS338&lt;&gt;0),SUMIF(C2:C698,C338,W2:W698),0)</f>
        <v>0</v>
      </c>
      <c r="AY338" s="462" t="str">
        <f t="shared" si="87"/>
        <v/>
      </c>
      <c r="AZ338" s="462" t="str">
        <f t="shared" si="88"/>
        <v/>
      </c>
      <c r="BA338" s="462">
        <f t="shared" si="89"/>
        <v>0</v>
      </c>
      <c r="BB338" s="462">
        <f>IF(AND(AT338=1,AK338="E",AU338&gt;=0.75,AW338=1),Health,IF(AND(AT338=1,AK338="E",AU338&gt;=0.75),Health*P338,IF(AND(AT338=1,AK338="E",AU338&gt;=0.5,AW338=1),PTHealth,IF(AND(AT338=1,AK338="E",AU338&gt;=0.5),PTHealth*P338,0))))</f>
        <v>0</v>
      </c>
      <c r="BC338" s="462">
        <f>IF(AND(AT338=3,AK338="E",AV338&gt;=0.75,AW338=1),Health,IF(AND(AT338=3,AK338="E",AV338&gt;=0.75),Health*P338,IF(AND(AT338=3,AK338="E",AV338&gt;=0.5,AW338=1),PTHealth,IF(AND(AT338=3,AK338="E",AV338&gt;=0.5),PTHealth*P338,0))))</f>
        <v>0</v>
      </c>
      <c r="BD338" s="462">
        <f>IF(AND(AT338&lt;&gt;0,AX338&gt;=MAXSSDI),SSDI*MAXSSDI*P338,IF(AT338&lt;&gt;0,SSDI*W338,0))</f>
        <v>0</v>
      </c>
      <c r="BE338" s="462">
        <f>IF(AT338&lt;&gt;0,SSHI*W338,0)</f>
        <v>0</v>
      </c>
      <c r="BF338" s="462">
        <f>IF(AND(AT338&lt;&gt;0,AN338&lt;&gt;"NE"),VLOOKUP(AN338,Retirement_Rates,3,FALSE)*W338,0)</f>
        <v>0</v>
      </c>
      <c r="BG338" s="462">
        <f>IF(AND(AT338&lt;&gt;0,AJ338&lt;&gt;"PF"),Life*W338,0)</f>
        <v>0</v>
      </c>
      <c r="BH338" s="462">
        <f>IF(AND(AT338&lt;&gt;0,AM338="Y"),UI*W338,0)</f>
        <v>0</v>
      </c>
      <c r="BI338" s="462">
        <f>IF(AND(AT338&lt;&gt;0,N338&lt;&gt;"NR"),DHR*W338,0)</f>
        <v>0</v>
      </c>
      <c r="BJ338" s="462">
        <f>IF(AT338&lt;&gt;0,WC*W338,0)</f>
        <v>0</v>
      </c>
      <c r="BK338" s="462">
        <f>IF(OR(AND(AT338&lt;&gt;0,AJ338&lt;&gt;"PF",AN338&lt;&gt;"NE",AG338&lt;&gt;"A"),AND(AL338="E",OR(AT338=1,AT338=3))),Sick*W338,0)</f>
        <v>0</v>
      </c>
      <c r="BL338" s="462">
        <f t="shared" si="90"/>
        <v>0</v>
      </c>
      <c r="BM338" s="462">
        <f t="shared" si="91"/>
        <v>0</v>
      </c>
      <c r="BN338" s="462">
        <f>IF(AND(AT338=1,AK338="E",AU338&gt;=0.75,AW338=1),HealthBY,IF(AND(AT338=1,AK338="E",AU338&gt;=0.75),HealthBY*P338,IF(AND(AT338=1,AK338="E",AU338&gt;=0.5,AW338=1),PTHealthBY,IF(AND(AT338=1,AK338="E",AU338&gt;=0.5),PTHealthBY*P338,0))))</f>
        <v>0</v>
      </c>
      <c r="BO338" s="462">
        <f>IF(AND(AT338=3,AK338="E",AV338&gt;=0.75,AW338=1),HealthBY,IF(AND(AT338=3,AK338="E",AV338&gt;=0.75),HealthBY*P338,IF(AND(AT338=3,AK338="E",AV338&gt;=0.5,AW338=1),PTHealthBY,IF(AND(AT338=3,AK338="E",AV338&gt;=0.5),PTHealthBY*P338,0))))</f>
        <v>0</v>
      </c>
      <c r="BP338" s="462">
        <f>IF(AND(AT338&lt;&gt;0,(AX338+BA338)&gt;=MAXSSDIBY),SSDIBY*MAXSSDIBY*P338,IF(AT338&lt;&gt;0,SSDIBY*W338,0))</f>
        <v>0</v>
      </c>
      <c r="BQ338" s="462">
        <f>IF(AT338&lt;&gt;0,SSHIBY*W338,0)</f>
        <v>0</v>
      </c>
      <c r="BR338" s="462">
        <f>IF(AND(AT338&lt;&gt;0,AN338&lt;&gt;"NE"),VLOOKUP(AN338,Retirement_Rates,4,FALSE)*W338,0)</f>
        <v>0</v>
      </c>
      <c r="BS338" s="462">
        <f>IF(AND(AT338&lt;&gt;0,AJ338&lt;&gt;"PF"),LifeBY*W338,0)</f>
        <v>0</v>
      </c>
      <c r="BT338" s="462">
        <f>IF(AND(AT338&lt;&gt;0,AM338="Y"),UIBY*W338,0)</f>
        <v>0</v>
      </c>
      <c r="BU338" s="462">
        <f>IF(AND(AT338&lt;&gt;0,N338&lt;&gt;"NR"),DHRBY*W338,0)</f>
        <v>0</v>
      </c>
      <c r="BV338" s="462">
        <f>IF(AT338&lt;&gt;0,WCBY*W338,0)</f>
        <v>0</v>
      </c>
      <c r="BW338" s="462">
        <f>IF(OR(AND(AT338&lt;&gt;0,AJ338&lt;&gt;"PF",AN338&lt;&gt;"NE",AG338&lt;&gt;"A"),AND(AL338="E",OR(AT338=1,AT338=3))),SickBY*W338,0)</f>
        <v>0</v>
      </c>
      <c r="BX338" s="462">
        <f t="shared" si="92"/>
        <v>0</v>
      </c>
      <c r="BY338" s="462">
        <f t="shared" si="93"/>
        <v>0</v>
      </c>
      <c r="BZ338" s="462">
        <f t="shared" si="94"/>
        <v>0</v>
      </c>
      <c r="CA338" s="462">
        <f t="shared" si="95"/>
        <v>0</v>
      </c>
      <c r="CB338" s="462">
        <f t="shared" si="96"/>
        <v>0</v>
      </c>
      <c r="CC338" s="462">
        <f>IF(AT338&lt;&gt;0,SSHICHG*Y338,0)</f>
        <v>0</v>
      </c>
      <c r="CD338" s="462">
        <f>IF(AND(AT338&lt;&gt;0,AN338&lt;&gt;"NE"),VLOOKUP(AN338,Retirement_Rates,5,FALSE)*Y338,0)</f>
        <v>0</v>
      </c>
      <c r="CE338" s="462">
        <f>IF(AND(AT338&lt;&gt;0,AJ338&lt;&gt;"PF"),LifeCHG*Y338,0)</f>
        <v>0</v>
      </c>
      <c r="CF338" s="462">
        <f>IF(AND(AT338&lt;&gt;0,AM338="Y"),UICHG*Y338,0)</f>
        <v>0</v>
      </c>
      <c r="CG338" s="462">
        <f>IF(AND(AT338&lt;&gt;0,N338&lt;&gt;"NR"),DHRCHG*Y338,0)</f>
        <v>0</v>
      </c>
      <c r="CH338" s="462">
        <f>IF(AT338&lt;&gt;0,WCCHG*Y338,0)</f>
        <v>0</v>
      </c>
      <c r="CI338" s="462">
        <f>IF(OR(AND(AT338&lt;&gt;0,AJ338&lt;&gt;"PF",AN338&lt;&gt;"NE",AG338&lt;&gt;"A"),AND(AL338="E",OR(AT338=1,AT338=3))),SickCHG*Y338,0)</f>
        <v>0</v>
      </c>
      <c r="CJ338" s="462">
        <f t="shared" si="97"/>
        <v>0</v>
      </c>
      <c r="CK338" s="462" t="str">
        <f t="shared" si="98"/>
        <v/>
      </c>
      <c r="CL338" s="462" t="str">
        <f t="shared" si="99"/>
        <v/>
      </c>
      <c r="CM338" s="462" t="str">
        <f t="shared" si="100"/>
        <v/>
      </c>
      <c r="CN338" s="462" t="str">
        <f t="shared" si="101"/>
        <v>0330-05</v>
      </c>
    </row>
    <row r="339" spans="1:92" ht="15" thickBot="1" x14ac:dyDescent="0.35">
      <c r="A339" s="376" t="s">
        <v>161</v>
      </c>
      <c r="B339" s="376" t="s">
        <v>162</v>
      </c>
      <c r="C339" s="376" t="s">
        <v>932</v>
      </c>
      <c r="D339" s="376" t="s">
        <v>765</v>
      </c>
      <c r="E339" s="376" t="s">
        <v>931</v>
      </c>
      <c r="F339" s="382" t="s">
        <v>659</v>
      </c>
      <c r="G339" s="376" t="s">
        <v>762</v>
      </c>
      <c r="H339" s="378"/>
      <c r="I339" s="378"/>
      <c r="J339" s="376" t="s">
        <v>168</v>
      </c>
      <c r="K339" s="376" t="s">
        <v>766</v>
      </c>
      <c r="L339" s="376" t="s">
        <v>166</v>
      </c>
      <c r="M339" s="376" t="s">
        <v>170</v>
      </c>
      <c r="N339" s="376" t="s">
        <v>291</v>
      </c>
      <c r="O339" s="379">
        <v>0</v>
      </c>
      <c r="P339" s="460">
        <v>0</v>
      </c>
      <c r="Q339" s="460">
        <v>0</v>
      </c>
      <c r="R339" s="380">
        <v>0</v>
      </c>
      <c r="S339" s="460">
        <v>0</v>
      </c>
      <c r="T339" s="380">
        <v>6004.6</v>
      </c>
      <c r="U339" s="380">
        <v>0</v>
      </c>
      <c r="V339" s="380">
        <v>671.05</v>
      </c>
      <c r="W339" s="380">
        <v>0</v>
      </c>
      <c r="X339" s="380">
        <v>0</v>
      </c>
      <c r="Y339" s="380">
        <v>0</v>
      </c>
      <c r="Z339" s="380">
        <v>0</v>
      </c>
      <c r="AA339" s="378"/>
      <c r="AB339" s="376" t="s">
        <v>45</v>
      </c>
      <c r="AC339" s="376" t="s">
        <v>45</v>
      </c>
      <c r="AD339" s="378"/>
      <c r="AE339" s="378"/>
      <c r="AF339" s="378"/>
      <c r="AG339" s="378"/>
      <c r="AH339" s="379">
        <v>0</v>
      </c>
      <c r="AI339" s="379">
        <v>0</v>
      </c>
      <c r="AJ339" s="378"/>
      <c r="AK339" s="378"/>
      <c r="AL339" s="376" t="s">
        <v>180</v>
      </c>
      <c r="AM339" s="378"/>
      <c r="AN339" s="378"/>
      <c r="AO339" s="379">
        <v>0</v>
      </c>
      <c r="AP339" s="460">
        <v>0</v>
      </c>
      <c r="AQ339" s="460">
        <v>0</v>
      </c>
      <c r="AR339" s="459"/>
      <c r="AS339" s="462">
        <f t="shared" si="85"/>
        <v>0</v>
      </c>
      <c r="AT339">
        <f t="shared" si="86"/>
        <v>0</v>
      </c>
      <c r="AU339" s="462" t="str">
        <f>IF(AT339=0,"",IF(AND(AT339=1,M339="F",SUMIF(C2:C698,C339,AS2:AS698)&lt;=1),SUMIF(C2:C698,C339,AS2:AS698),IF(AND(AT339=1,M339="F",SUMIF(C2:C698,C339,AS2:AS698)&gt;1),1,"")))</f>
        <v/>
      </c>
      <c r="AV339" s="462" t="str">
        <f>IF(AT339=0,"",IF(AND(AT339=3,M339="F",SUMIF(C2:C698,C339,AS2:AS698)&lt;=1),SUMIF(C2:C698,C339,AS2:AS698),IF(AND(AT339=3,M339="F",SUMIF(C2:C698,C339,AS2:AS698)&gt;1),1,"")))</f>
        <v/>
      </c>
      <c r="AW339" s="462">
        <f>SUMIF(C2:C698,C339,O2:O698)</f>
        <v>0</v>
      </c>
      <c r="AX339" s="462">
        <f>IF(AND(M339="F",AS339&lt;&gt;0),SUMIF(C2:C698,C339,W2:W698),0)</f>
        <v>0</v>
      </c>
      <c r="AY339" s="462" t="str">
        <f t="shared" si="87"/>
        <v/>
      </c>
      <c r="AZ339" s="462" t="str">
        <f t="shared" si="88"/>
        <v/>
      </c>
      <c r="BA339" s="462">
        <f t="shared" si="89"/>
        <v>0</v>
      </c>
      <c r="BB339" s="462">
        <f>IF(AND(AT339=1,AK339="E",AU339&gt;=0.75,AW339=1),Health,IF(AND(AT339=1,AK339="E",AU339&gt;=0.75),Health*P339,IF(AND(AT339=1,AK339="E",AU339&gt;=0.5,AW339=1),PTHealth,IF(AND(AT339=1,AK339="E",AU339&gt;=0.5),PTHealth*P339,0))))</f>
        <v>0</v>
      </c>
      <c r="BC339" s="462">
        <f>IF(AND(AT339=3,AK339="E",AV339&gt;=0.75,AW339=1),Health,IF(AND(AT339=3,AK339="E",AV339&gt;=0.75),Health*P339,IF(AND(AT339=3,AK339="E",AV339&gt;=0.5,AW339=1),PTHealth,IF(AND(AT339=3,AK339="E",AV339&gt;=0.5),PTHealth*P339,0))))</f>
        <v>0</v>
      </c>
      <c r="BD339" s="462">
        <f>IF(AND(AT339&lt;&gt;0,AX339&gt;=MAXSSDI),SSDI*MAXSSDI*P339,IF(AT339&lt;&gt;0,SSDI*W339,0))</f>
        <v>0</v>
      </c>
      <c r="BE339" s="462">
        <f>IF(AT339&lt;&gt;0,SSHI*W339,0)</f>
        <v>0</v>
      </c>
      <c r="BF339" s="462">
        <f>IF(AND(AT339&lt;&gt;0,AN339&lt;&gt;"NE"),VLOOKUP(AN339,Retirement_Rates,3,FALSE)*W339,0)</f>
        <v>0</v>
      </c>
      <c r="BG339" s="462">
        <f>IF(AND(AT339&lt;&gt;0,AJ339&lt;&gt;"PF"),Life*W339,0)</f>
        <v>0</v>
      </c>
      <c r="BH339" s="462">
        <f>IF(AND(AT339&lt;&gt;0,AM339="Y"),UI*W339,0)</f>
        <v>0</v>
      </c>
      <c r="BI339" s="462">
        <f>IF(AND(AT339&lt;&gt;0,N339&lt;&gt;"NR"),DHR*W339,0)</f>
        <v>0</v>
      </c>
      <c r="BJ339" s="462">
        <f>IF(AT339&lt;&gt;0,WC*W339,0)</f>
        <v>0</v>
      </c>
      <c r="BK339" s="462">
        <f>IF(OR(AND(AT339&lt;&gt;0,AJ339&lt;&gt;"PF",AN339&lt;&gt;"NE",AG339&lt;&gt;"A"),AND(AL339="E",OR(AT339=1,AT339=3))),Sick*W339,0)</f>
        <v>0</v>
      </c>
      <c r="BL339" s="462">
        <f t="shared" si="90"/>
        <v>0</v>
      </c>
      <c r="BM339" s="462">
        <f t="shared" si="91"/>
        <v>0</v>
      </c>
      <c r="BN339" s="462">
        <f>IF(AND(AT339=1,AK339="E",AU339&gt;=0.75,AW339=1),HealthBY,IF(AND(AT339=1,AK339="E",AU339&gt;=0.75),HealthBY*P339,IF(AND(AT339=1,AK339="E",AU339&gt;=0.5,AW339=1),PTHealthBY,IF(AND(AT339=1,AK339="E",AU339&gt;=0.5),PTHealthBY*P339,0))))</f>
        <v>0</v>
      </c>
      <c r="BO339" s="462">
        <f>IF(AND(AT339=3,AK339="E",AV339&gt;=0.75,AW339=1),HealthBY,IF(AND(AT339=3,AK339="E",AV339&gt;=0.75),HealthBY*P339,IF(AND(AT339=3,AK339="E",AV339&gt;=0.5,AW339=1),PTHealthBY,IF(AND(AT339=3,AK339="E",AV339&gt;=0.5),PTHealthBY*P339,0))))</f>
        <v>0</v>
      </c>
      <c r="BP339" s="462">
        <f>IF(AND(AT339&lt;&gt;0,(AX339+BA339)&gt;=MAXSSDIBY),SSDIBY*MAXSSDIBY*P339,IF(AT339&lt;&gt;0,SSDIBY*W339,0))</f>
        <v>0</v>
      </c>
      <c r="BQ339" s="462">
        <f>IF(AT339&lt;&gt;0,SSHIBY*W339,0)</f>
        <v>0</v>
      </c>
      <c r="BR339" s="462">
        <f>IF(AND(AT339&lt;&gt;0,AN339&lt;&gt;"NE"),VLOOKUP(AN339,Retirement_Rates,4,FALSE)*W339,0)</f>
        <v>0</v>
      </c>
      <c r="BS339" s="462">
        <f>IF(AND(AT339&lt;&gt;0,AJ339&lt;&gt;"PF"),LifeBY*W339,0)</f>
        <v>0</v>
      </c>
      <c r="BT339" s="462">
        <f>IF(AND(AT339&lt;&gt;0,AM339="Y"),UIBY*W339,0)</f>
        <v>0</v>
      </c>
      <c r="BU339" s="462">
        <f>IF(AND(AT339&lt;&gt;0,N339&lt;&gt;"NR"),DHRBY*W339,0)</f>
        <v>0</v>
      </c>
      <c r="BV339" s="462">
        <f>IF(AT339&lt;&gt;0,WCBY*W339,0)</f>
        <v>0</v>
      </c>
      <c r="BW339" s="462">
        <f>IF(OR(AND(AT339&lt;&gt;0,AJ339&lt;&gt;"PF",AN339&lt;&gt;"NE",AG339&lt;&gt;"A"),AND(AL339="E",OR(AT339=1,AT339=3))),SickBY*W339,0)</f>
        <v>0</v>
      </c>
      <c r="BX339" s="462">
        <f t="shared" si="92"/>
        <v>0</v>
      </c>
      <c r="BY339" s="462">
        <f t="shared" si="93"/>
        <v>0</v>
      </c>
      <c r="BZ339" s="462">
        <f t="shared" si="94"/>
        <v>0</v>
      </c>
      <c r="CA339" s="462">
        <f t="shared" si="95"/>
        <v>0</v>
      </c>
      <c r="CB339" s="462">
        <f t="shared" si="96"/>
        <v>0</v>
      </c>
      <c r="CC339" s="462">
        <f>IF(AT339&lt;&gt;0,SSHICHG*Y339,0)</f>
        <v>0</v>
      </c>
      <c r="CD339" s="462">
        <f>IF(AND(AT339&lt;&gt;0,AN339&lt;&gt;"NE"),VLOOKUP(AN339,Retirement_Rates,5,FALSE)*Y339,0)</f>
        <v>0</v>
      </c>
      <c r="CE339" s="462">
        <f>IF(AND(AT339&lt;&gt;0,AJ339&lt;&gt;"PF"),LifeCHG*Y339,0)</f>
        <v>0</v>
      </c>
      <c r="CF339" s="462">
        <f>IF(AND(AT339&lt;&gt;0,AM339="Y"),UICHG*Y339,0)</f>
        <v>0</v>
      </c>
      <c r="CG339" s="462">
        <f>IF(AND(AT339&lt;&gt;0,N339&lt;&gt;"NR"),DHRCHG*Y339,0)</f>
        <v>0</v>
      </c>
      <c r="CH339" s="462">
        <f>IF(AT339&lt;&gt;0,WCCHG*Y339,0)</f>
        <v>0</v>
      </c>
      <c r="CI339" s="462">
        <f>IF(OR(AND(AT339&lt;&gt;0,AJ339&lt;&gt;"PF",AN339&lt;&gt;"NE",AG339&lt;&gt;"A"),AND(AL339="E",OR(AT339=1,AT339=3))),SickCHG*Y339,0)</f>
        <v>0</v>
      </c>
      <c r="CJ339" s="462">
        <f t="shared" si="97"/>
        <v>0</v>
      </c>
      <c r="CK339" s="462" t="str">
        <f t="shared" si="98"/>
        <v/>
      </c>
      <c r="CL339" s="462">
        <f t="shared" si="99"/>
        <v>6004.6</v>
      </c>
      <c r="CM339" s="462">
        <f t="shared" si="100"/>
        <v>671.05</v>
      </c>
      <c r="CN339" s="462" t="str">
        <f t="shared" si="101"/>
        <v>0330-05</v>
      </c>
    </row>
    <row r="340" spans="1:92" ht="15" thickBot="1" x14ac:dyDescent="0.35">
      <c r="A340" s="376" t="s">
        <v>161</v>
      </c>
      <c r="B340" s="376" t="s">
        <v>162</v>
      </c>
      <c r="C340" s="376" t="s">
        <v>959</v>
      </c>
      <c r="D340" s="376" t="s">
        <v>287</v>
      </c>
      <c r="E340" s="376" t="s">
        <v>931</v>
      </c>
      <c r="F340" s="382" t="s">
        <v>659</v>
      </c>
      <c r="G340" s="376" t="s">
        <v>762</v>
      </c>
      <c r="H340" s="378"/>
      <c r="I340" s="378"/>
      <c r="J340" s="376" t="s">
        <v>168</v>
      </c>
      <c r="K340" s="376" t="s">
        <v>290</v>
      </c>
      <c r="L340" s="376" t="s">
        <v>166</v>
      </c>
      <c r="M340" s="376" t="s">
        <v>201</v>
      </c>
      <c r="N340" s="376" t="s">
        <v>291</v>
      </c>
      <c r="O340" s="379">
        <v>0</v>
      </c>
      <c r="P340" s="460">
        <v>1</v>
      </c>
      <c r="Q340" s="460">
        <v>0</v>
      </c>
      <c r="R340" s="380">
        <v>0</v>
      </c>
      <c r="S340" s="460">
        <v>0</v>
      </c>
      <c r="T340" s="380">
        <v>0</v>
      </c>
      <c r="U340" s="380">
        <v>0</v>
      </c>
      <c r="V340" s="380">
        <v>0</v>
      </c>
      <c r="W340" s="380">
        <v>0</v>
      </c>
      <c r="X340" s="380">
        <v>0</v>
      </c>
      <c r="Y340" s="380">
        <v>0</v>
      </c>
      <c r="Z340" s="380">
        <v>0</v>
      </c>
      <c r="AA340" s="378"/>
      <c r="AB340" s="376" t="s">
        <v>45</v>
      </c>
      <c r="AC340" s="376" t="s">
        <v>45</v>
      </c>
      <c r="AD340" s="378"/>
      <c r="AE340" s="378"/>
      <c r="AF340" s="378"/>
      <c r="AG340" s="378"/>
      <c r="AH340" s="379">
        <v>0</v>
      </c>
      <c r="AI340" s="379">
        <v>0</v>
      </c>
      <c r="AJ340" s="378"/>
      <c r="AK340" s="378"/>
      <c r="AL340" s="376" t="s">
        <v>180</v>
      </c>
      <c r="AM340" s="378"/>
      <c r="AN340" s="378"/>
      <c r="AO340" s="379">
        <v>0</v>
      </c>
      <c r="AP340" s="460">
        <v>0</v>
      </c>
      <c r="AQ340" s="460">
        <v>0</v>
      </c>
      <c r="AR340" s="459"/>
      <c r="AS340" s="462">
        <f t="shared" si="85"/>
        <v>0</v>
      </c>
      <c r="AT340">
        <f t="shared" si="86"/>
        <v>0</v>
      </c>
      <c r="AU340" s="462" t="str">
        <f>IF(AT340=0,"",IF(AND(AT340=1,M340="F",SUMIF(C2:C698,C340,AS2:AS698)&lt;=1),SUMIF(C2:C698,C340,AS2:AS698),IF(AND(AT340=1,M340="F",SUMIF(C2:C698,C340,AS2:AS698)&gt;1),1,"")))</f>
        <v/>
      </c>
      <c r="AV340" s="462" t="str">
        <f>IF(AT340=0,"",IF(AND(AT340=3,M340="F",SUMIF(C2:C698,C340,AS2:AS698)&lt;=1),SUMIF(C2:C698,C340,AS2:AS698),IF(AND(AT340=3,M340="F",SUMIF(C2:C698,C340,AS2:AS698)&gt;1),1,"")))</f>
        <v/>
      </c>
      <c r="AW340" s="462">
        <f>SUMIF(C2:C698,C340,O2:O698)</f>
        <v>0</v>
      </c>
      <c r="AX340" s="462">
        <f>IF(AND(M340="F",AS340&lt;&gt;0),SUMIF(C2:C698,C340,W2:W698),0)</f>
        <v>0</v>
      </c>
      <c r="AY340" s="462" t="str">
        <f t="shared" si="87"/>
        <v/>
      </c>
      <c r="AZ340" s="462" t="str">
        <f t="shared" si="88"/>
        <v/>
      </c>
      <c r="BA340" s="462">
        <f t="shared" si="89"/>
        <v>0</v>
      </c>
      <c r="BB340" s="462">
        <f>IF(AND(AT340=1,AK340="E",AU340&gt;=0.75,AW340=1),Health,IF(AND(AT340=1,AK340="E",AU340&gt;=0.75),Health*P340,IF(AND(AT340=1,AK340="E",AU340&gt;=0.5,AW340=1),PTHealth,IF(AND(AT340=1,AK340="E",AU340&gt;=0.5),PTHealth*P340,0))))</f>
        <v>0</v>
      </c>
      <c r="BC340" s="462">
        <f>IF(AND(AT340=3,AK340="E",AV340&gt;=0.75,AW340=1),Health,IF(AND(AT340=3,AK340="E",AV340&gt;=0.75),Health*P340,IF(AND(AT340=3,AK340="E",AV340&gt;=0.5,AW340=1),PTHealth,IF(AND(AT340=3,AK340="E",AV340&gt;=0.5),PTHealth*P340,0))))</f>
        <v>0</v>
      </c>
      <c r="BD340" s="462">
        <f>IF(AND(AT340&lt;&gt;0,AX340&gt;=MAXSSDI),SSDI*MAXSSDI*P340,IF(AT340&lt;&gt;0,SSDI*W340,0))</f>
        <v>0</v>
      </c>
      <c r="BE340" s="462">
        <f>IF(AT340&lt;&gt;0,SSHI*W340,0)</f>
        <v>0</v>
      </c>
      <c r="BF340" s="462">
        <f>IF(AND(AT340&lt;&gt;0,AN340&lt;&gt;"NE"),VLOOKUP(AN340,Retirement_Rates,3,FALSE)*W340,0)</f>
        <v>0</v>
      </c>
      <c r="BG340" s="462">
        <f>IF(AND(AT340&lt;&gt;0,AJ340&lt;&gt;"PF"),Life*W340,0)</f>
        <v>0</v>
      </c>
      <c r="BH340" s="462">
        <f>IF(AND(AT340&lt;&gt;0,AM340="Y"),UI*W340,0)</f>
        <v>0</v>
      </c>
      <c r="BI340" s="462">
        <f>IF(AND(AT340&lt;&gt;0,N340&lt;&gt;"NR"),DHR*W340,0)</f>
        <v>0</v>
      </c>
      <c r="BJ340" s="462">
        <f>IF(AT340&lt;&gt;0,WC*W340,0)</f>
        <v>0</v>
      </c>
      <c r="BK340" s="462">
        <f>IF(OR(AND(AT340&lt;&gt;0,AJ340&lt;&gt;"PF",AN340&lt;&gt;"NE",AG340&lt;&gt;"A"),AND(AL340="E",OR(AT340=1,AT340=3))),Sick*W340,0)</f>
        <v>0</v>
      </c>
      <c r="BL340" s="462">
        <f t="shared" si="90"/>
        <v>0</v>
      </c>
      <c r="BM340" s="462">
        <f t="shared" si="91"/>
        <v>0</v>
      </c>
      <c r="BN340" s="462">
        <f>IF(AND(AT340=1,AK340="E",AU340&gt;=0.75,AW340=1),HealthBY,IF(AND(AT340=1,AK340="E",AU340&gt;=0.75),HealthBY*P340,IF(AND(AT340=1,AK340="E",AU340&gt;=0.5,AW340=1),PTHealthBY,IF(AND(AT340=1,AK340="E",AU340&gt;=0.5),PTHealthBY*P340,0))))</f>
        <v>0</v>
      </c>
      <c r="BO340" s="462">
        <f>IF(AND(AT340=3,AK340="E",AV340&gt;=0.75,AW340=1),HealthBY,IF(AND(AT340=3,AK340="E",AV340&gt;=0.75),HealthBY*P340,IF(AND(AT340=3,AK340="E",AV340&gt;=0.5,AW340=1),PTHealthBY,IF(AND(AT340=3,AK340="E",AV340&gt;=0.5),PTHealthBY*P340,0))))</f>
        <v>0</v>
      </c>
      <c r="BP340" s="462">
        <f>IF(AND(AT340&lt;&gt;0,(AX340+BA340)&gt;=MAXSSDIBY),SSDIBY*MAXSSDIBY*P340,IF(AT340&lt;&gt;0,SSDIBY*W340,0))</f>
        <v>0</v>
      </c>
      <c r="BQ340" s="462">
        <f>IF(AT340&lt;&gt;0,SSHIBY*W340,0)</f>
        <v>0</v>
      </c>
      <c r="BR340" s="462">
        <f>IF(AND(AT340&lt;&gt;0,AN340&lt;&gt;"NE"),VLOOKUP(AN340,Retirement_Rates,4,FALSE)*W340,0)</f>
        <v>0</v>
      </c>
      <c r="BS340" s="462">
        <f>IF(AND(AT340&lt;&gt;0,AJ340&lt;&gt;"PF"),LifeBY*W340,0)</f>
        <v>0</v>
      </c>
      <c r="BT340" s="462">
        <f>IF(AND(AT340&lt;&gt;0,AM340="Y"),UIBY*W340,0)</f>
        <v>0</v>
      </c>
      <c r="BU340" s="462">
        <f>IF(AND(AT340&lt;&gt;0,N340&lt;&gt;"NR"),DHRBY*W340,0)</f>
        <v>0</v>
      </c>
      <c r="BV340" s="462">
        <f>IF(AT340&lt;&gt;0,WCBY*W340,0)</f>
        <v>0</v>
      </c>
      <c r="BW340" s="462">
        <f>IF(OR(AND(AT340&lt;&gt;0,AJ340&lt;&gt;"PF",AN340&lt;&gt;"NE",AG340&lt;&gt;"A"),AND(AL340="E",OR(AT340=1,AT340=3))),SickBY*W340,0)</f>
        <v>0</v>
      </c>
      <c r="BX340" s="462">
        <f t="shared" si="92"/>
        <v>0</v>
      </c>
      <c r="BY340" s="462">
        <f t="shared" si="93"/>
        <v>0</v>
      </c>
      <c r="BZ340" s="462">
        <f t="shared" si="94"/>
        <v>0</v>
      </c>
      <c r="CA340" s="462">
        <f t="shared" si="95"/>
        <v>0</v>
      </c>
      <c r="CB340" s="462">
        <f t="shared" si="96"/>
        <v>0</v>
      </c>
      <c r="CC340" s="462">
        <f>IF(AT340&lt;&gt;0,SSHICHG*Y340,0)</f>
        <v>0</v>
      </c>
      <c r="CD340" s="462">
        <f>IF(AND(AT340&lt;&gt;0,AN340&lt;&gt;"NE"),VLOOKUP(AN340,Retirement_Rates,5,FALSE)*Y340,0)</f>
        <v>0</v>
      </c>
      <c r="CE340" s="462">
        <f>IF(AND(AT340&lt;&gt;0,AJ340&lt;&gt;"PF"),LifeCHG*Y340,0)</f>
        <v>0</v>
      </c>
      <c r="CF340" s="462">
        <f>IF(AND(AT340&lt;&gt;0,AM340="Y"),UICHG*Y340,0)</f>
        <v>0</v>
      </c>
      <c r="CG340" s="462">
        <f>IF(AND(AT340&lt;&gt;0,N340&lt;&gt;"NR"),DHRCHG*Y340,0)</f>
        <v>0</v>
      </c>
      <c r="CH340" s="462">
        <f>IF(AT340&lt;&gt;0,WCCHG*Y340,0)</f>
        <v>0</v>
      </c>
      <c r="CI340" s="462">
        <f>IF(OR(AND(AT340&lt;&gt;0,AJ340&lt;&gt;"PF",AN340&lt;&gt;"NE",AG340&lt;&gt;"A"),AND(AL340="E",OR(AT340=1,AT340=3))),SickCHG*Y340,0)</f>
        <v>0</v>
      </c>
      <c r="CJ340" s="462">
        <f t="shared" si="97"/>
        <v>0</v>
      </c>
      <c r="CK340" s="462" t="str">
        <f t="shared" si="98"/>
        <v/>
      </c>
      <c r="CL340" s="462">
        <f t="shared" si="99"/>
        <v>0</v>
      </c>
      <c r="CM340" s="462">
        <f t="shared" si="100"/>
        <v>0</v>
      </c>
      <c r="CN340" s="462" t="str">
        <f t="shared" si="101"/>
        <v>0330-05</v>
      </c>
    </row>
    <row r="341" spans="1:92" ht="15" thickBot="1" x14ac:dyDescent="0.35">
      <c r="A341" s="376" t="s">
        <v>161</v>
      </c>
      <c r="B341" s="376" t="s">
        <v>162</v>
      </c>
      <c r="C341" s="376" t="s">
        <v>876</v>
      </c>
      <c r="D341" s="376" t="s">
        <v>362</v>
      </c>
      <c r="E341" s="376" t="s">
        <v>931</v>
      </c>
      <c r="F341" s="382" t="s">
        <v>659</v>
      </c>
      <c r="G341" s="376" t="s">
        <v>762</v>
      </c>
      <c r="H341" s="378"/>
      <c r="I341" s="378"/>
      <c r="J341" s="376" t="s">
        <v>877</v>
      </c>
      <c r="K341" s="376" t="s">
        <v>363</v>
      </c>
      <c r="L341" s="376" t="s">
        <v>200</v>
      </c>
      <c r="M341" s="376" t="s">
        <v>170</v>
      </c>
      <c r="N341" s="376" t="s">
        <v>202</v>
      </c>
      <c r="O341" s="379">
        <v>1</v>
      </c>
      <c r="P341" s="460">
        <v>0</v>
      </c>
      <c r="Q341" s="460">
        <v>0</v>
      </c>
      <c r="R341" s="380">
        <v>80</v>
      </c>
      <c r="S341" s="460">
        <v>0</v>
      </c>
      <c r="T341" s="380">
        <v>5042.7</v>
      </c>
      <c r="U341" s="380">
        <v>0</v>
      </c>
      <c r="V341" s="380">
        <v>2190.98</v>
      </c>
      <c r="W341" s="380">
        <v>0</v>
      </c>
      <c r="X341" s="380">
        <v>0</v>
      </c>
      <c r="Y341" s="380">
        <v>0</v>
      </c>
      <c r="Z341" s="380">
        <v>0</v>
      </c>
      <c r="AA341" s="376" t="s">
        <v>878</v>
      </c>
      <c r="AB341" s="376" t="s">
        <v>879</v>
      </c>
      <c r="AC341" s="376" t="s">
        <v>880</v>
      </c>
      <c r="AD341" s="376" t="s">
        <v>881</v>
      </c>
      <c r="AE341" s="376" t="s">
        <v>363</v>
      </c>
      <c r="AF341" s="376" t="s">
        <v>210</v>
      </c>
      <c r="AG341" s="376" t="s">
        <v>177</v>
      </c>
      <c r="AH341" s="381">
        <v>24.41</v>
      </c>
      <c r="AI341" s="379">
        <v>38438</v>
      </c>
      <c r="AJ341" s="376" t="s">
        <v>178</v>
      </c>
      <c r="AK341" s="376" t="s">
        <v>179</v>
      </c>
      <c r="AL341" s="376" t="s">
        <v>180</v>
      </c>
      <c r="AM341" s="376" t="s">
        <v>181</v>
      </c>
      <c r="AN341" s="376" t="s">
        <v>68</v>
      </c>
      <c r="AO341" s="379">
        <v>80</v>
      </c>
      <c r="AP341" s="460">
        <v>1</v>
      </c>
      <c r="AQ341" s="460">
        <v>0</v>
      </c>
      <c r="AR341" s="458" t="s">
        <v>182</v>
      </c>
      <c r="AS341" s="462">
        <f t="shared" si="85"/>
        <v>0</v>
      </c>
      <c r="AT341">
        <f t="shared" si="86"/>
        <v>0</v>
      </c>
      <c r="AU341" s="462" t="str">
        <f>IF(AT341=0,"",IF(AND(AT341=1,M341="F",SUMIF(C2:C698,C341,AS2:AS698)&lt;=1),SUMIF(C2:C698,C341,AS2:AS698),IF(AND(AT341=1,M341="F",SUMIF(C2:C698,C341,AS2:AS698)&gt;1),1,"")))</f>
        <v/>
      </c>
      <c r="AV341" s="462" t="str">
        <f>IF(AT341=0,"",IF(AND(AT341=3,M341="F",SUMIF(C2:C698,C341,AS2:AS698)&lt;=1),SUMIF(C2:C698,C341,AS2:AS698),IF(AND(AT341=3,M341="F",SUMIF(C2:C698,C341,AS2:AS698)&gt;1),1,"")))</f>
        <v/>
      </c>
      <c r="AW341" s="462">
        <f>SUMIF(C2:C698,C341,O2:O698)</f>
        <v>8</v>
      </c>
      <c r="AX341" s="462">
        <f>IF(AND(M341="F",AS341&lt;&gt;0),SUMIF(C2:C698,C341,W2:W698),0)</f>
        <v>0</v>
      </c>
      <c r="AY341" s="462" t="str">
        <f t="shared" si="87"/>
        <v/>
      </c>
      <c r="AZ341" s="462" t="str">
        <f t="shared" si="88"/>
        <v/>
      </c>
      <c r="BA341" s="462">
        <f t="shared" si="89"/>
        <v>0</v>
      </c>
      <c r="BB341" s="462">
        <f>IF(AND(AT341=1,AK341="E",AU341&gt;=0.75,AW341=1),Health,IF(AND(AT341=1,AK341="E",AU341&gt;=0.75),Health*P341,IF(AND(AT341=1,AK341="E",AU341&gt;=0.5,AW341=1),PTHealth,IF(AND(AT341=1,AK341="E",AU341&gt;=0.5),PTHealth*P341,0))))</f>
        <v>0</v>
      </c>
      <c r="BC341" s="462">
        <f>IF(AND(AT341=3,AK341="E",AV341&gt;=0.75,AW341=1),Health,IF(AND(AT341=3,AK341="E",AV341&gt;=0.75),Health*P341,IF(AND(AT341=3,AK341="E",AV341&gt;=0.5,AW341=1),PTHealth,IF(AND(AT341=3,AK341="E",AV341&gt;=0.5),PTHealth*P341,0))))</f>
        <v>0</v>
      </c>
      <c r="BD341" s="462">
        <f>IF(AND(AT341&lt;&gt;0,AX341&gt;=MAXSSDI),SSDI*MAXSSDI*P341,IF(AT341&lt;&gt;0,SSDI*W341,0))</f>
        <v>0</v>
      </c>
      <c r="BE341" s="462">
        <f>IF(AT341&lt;&gt;0,SSHI*W341,0)</f>
        <v>0</v>
      </c>
      <c r="BF341" s="462">
        <f>IF(AND(AT341&lt;&gt;0,AN341&lt;&gt;"NE"),VLOOKUP(AN341,Retirement_Rates,3,FALSE)*W341,0)</f>
        <v>0</v>
      </c>
      <c r="BG341" s="462">
        <f>IF(AND(AT341&lt;&gt;0,AJ341&lt;&gt;"PF"),Life*W341,0)</f>
        <v>0</v>
      </c>
      <c r="BH341" s="462">
        <f>IF(AND(AT341&lt;&gt;0,AM341="Y"),UI*W341,0)</f>
        <v>0</v>
      </c>
      <c r="BI341" s="462">
        <f>IF(AND(AT341&lt;&gt;0,N341&lt;&gt;"NR"),DHR*W341,0)</f>
        <v>0</v>
      </c>
      <c r="BJ341" s="462">
        <f>IF(AT341&lt;&gt;0,WC*W341,0)</f>
        <v>0</v>
      </c>
      <c r="BK341" s="462">
        <f>IF(OR(AND(AT341&lt;&gt;0,AJ341&lt;&gt;"PF",AN341&lt;&gt;"NE",AG341&lt;&gt;"A"),AND(AL341="E",OR(AT341=1,AT341=3))),Sick*W341,0)</f>
        <v>0</v>
      </c>
      <c r="BL341" s="462">
        <f t="shared" si="90"/>
        <v>0</v>
      </c>
      <c r="BM341" s="462">
        <f t="shared" si="91"/>
        <v>0</v>
      </c>
      <c r="BN341" s="462">
        <f>IF(AND(AT341=1,AK341="E",AU341&gt;=0.75,AW341=1),HealthBY,IF(AND(AT341=1,AK341="E",AU341&gt;=0.75),HealthBY*P341,IF(AND(AT341=1,AK341="E",AU341&gt;=0.5,AW341=1),PTHealthBY,IF(AND(AT341=1,AK341="E",AU341&gt;=0.5),PTHealthBY*P341,0))))</f>
        <v>0</v>
      </c>
      <c r="BO341" s="462">
        <f>IF(AND(AT341=3,AK341="E",AV341&gt;=0.75,AW341=1),HealthBY,IF(AND(AT341=3,AK341="E",AV341&gt;=0.75),HealthBY*P341,IF(AND(AT341=3,AK341="E",AV341&gt;=0.5,AW341=1),PTHealthBY,IF(AND(AT341=3,AK341="E",AV341&gt;=0.5),PTHealthBY*P341,0))))</f>
        <v>0</v>
      </c>
      <c r="BP341" s="462">
        <f>IF(AND(AT341&lt;&gt;0,(AX341+BA341)&gt;=MAXSSDIBY),SSDIBY*MAXSSDIBY*P341,IF(AT341&lt;&gt;0,SSDIBY*W341,0))</f>
        <v>0</v>
      </c>
      <c r="BQ341" s="462">
        <f>IF(AT341&lt;&gt;0,SSHIBY*W341,0)</f>
        <v>0</v>
      </c>
      <c r="BR341" s="462">
        <f>IF(AND(AT341&lt;&gt;0,AN341&lt;&gt;"NE"),VLOOKUP(AN341,Retirement_Rates,4,FALSE)*W341,0)</f>
        <v>0</v>
      </c>
      <c r="BS341" s="462">
        <f>IF(AND(AT341&lt;&gt;0,AJ341&lt;&gt;"PF"),LifeBY*W341,0)</f>
        <v>0</v>
      </c>
      <c r="BT341" s="462">
        <f>IF(AND(AT341&lt;&gt;0,AM341="Y"),UIBY*W341,0)</f>
        <v>0</v>
      </c>
      <c r="BU341" s="462">
        <f>IF(AND(AT341&lt;&gt;0,N341&lt;&gt;"NR"),DHRBY*W341,0)</f>
        <v>0</v>
      </c>
      <c r="BV341" s="462">
        <f>IF(AT341&lt;&gt;0,WCBY*W341,0)</f>
        <v>0</v>
      </c>
      <c r="BW341" s="462">
        <f>IF(OR(AND(AT341&lt;&gt;0,AJ341&lt;&gt;"PF",AN341&lt;&gt;"NE",AG341&lt;&gt;"A"),AND(AL341="E",OR(AT341=1,AT341=3))),SickBY*W341,0)</f>
        <v>0</v>
      </c>
      <c r="BX341" s="462">
        <f t="shared" si="92"/>
        <v>0</v>
      </c>
      <c r="BY341" s="462">
        <f t="shared" si="93"/>
        <v>0</v>
      </c>
      <c r="BZ341" s="462">
        <f t="shared" si="94"/>
        <v>0</v>
      </c>
      <c r="CA341" s="462">
        <f t="shared" si="95"/>
        <v>0</v>
      </c>
      <c r="CB341" s="462">
        <f t="shared" si="96"/>
        <v>0</v>
      </c>
      <c r="CC341" s="462">
        <f>IF(AT341&lt;&gt;0,SSHICHG*Y341,0)</f>
        <v>0</v>
      </c>
      <c r="CD341" s="462">
        <f>IF(AND(AT341&lt;&gt;0,AN341&lt;&gt;"NE"),VLOOKUP(AN341,Retirement_Rates,5,FALSE)*Y341,0)</f>
        <v>0</v>
      </c>
      <c r="CE341" s="462">
        <f>IF(AND(AT341&lt;&gt;0,AJ341&lt;&gt;"PF"),LifeCHG*Y341,0)</f>
        <v>0</v>
      </c>
      <c r="CF341" s="462">
        <f>IF(AND(AT341&lt;&gt;0,AM341="Y"),UICHG*Y341,0)</f>
        <v>0</v>
      </c>
      <c r="CG341" s="462">
        <f>IF(AND(AT341&lt;&gt;0,N341&lt;&gt;"NR"),DHRCHG*Y341,0)</f>
        <v>0</v>
      </c>
      <c r="CH341" s="462">
        <f>IF(AT341&lt;&gt;0,WCCHG*Y341,0)</f>
        <v>0</v>
      </c>
      <c r="CI341" s="462">
        <f>IF(OR(AND(AT341&lt;&gt;0,AJ341&lt;&gt;"PF",AN341&lt;&gt;"NE",AG341&lt;&gt;"A"),AND(AL341="E",OR(AT341=1,AT341=3))),SickCHG*Y341,0)</f>
        <v>0</v>
      </c>
      <c r="CJ341" s="462">
        <f t="shared" si="97"/>
        <v>0</v>
      </c>
      <c r="CK341" s="462" t="str">
        <f t="shared" si="98"/>
        <v/>
      </c>
      <c r="CL341" s="462" t="str">
        <f t="shared" si="99"/>
        <v/>
      </c>
      <c r="CM341" s="462" t="str">
        <f t="shared" si="100"/>
        <v/>
      </c>
      <c r="CN341" s="462" t="str">
        <f t="shared" si="101"/>
        <v>0330-05</v>
      </c>
    </row>
    <row r="342" spans="1:92" ht="15" thickBot="1" x14ac:dyDescent="0.35">
      <c r="A342" s="376" t="s">
        <v>161</v>
      </c>
      <c r="B342" s="376" t="s">
        <v>162</v>
      </c>
      <c r="C342" s="376" t="s">
        <v>933</v>
      </c>
      <c r="D342" s="376" t="s">
        <v>934</v>
      </c>
      <c r="E342" s="376" t="s">
        <v>931</v>
      </c>
      <c r="F342" s="382" t="s">
        <v>659</v>
      </c>
      <c r="G342" s="376" t="s">
        <v>762</v>
      </c>
      <c r="H342" s="378"/>
      <c r="I342" s="378"/>
      <c r="J342" s="376" t="s">
        <v>168</v>
      </c>
      <c r="K342" s="376" t="s">
        <v>935</v>
      </c>
      <c r="L342" s="376" t="s">
        <v>166</v>
      </c>
      <c r="M342" s="376" t="s">
        <v>170</v>
      </c>
      <c r="N342" s="376" t="s">
        <v>291</v>
      </c>
      <c r="O342" s="379">
        <v>0</v>
      </c>
      <c r="P342" s="460">
        <v>0</v>
      </c>
      <c r="Q342" s="460">
        <v>0</v>
      </c>
      <c r="R342" s="380">
        <v>0</v>
      </c>
      <c r="S342" s="460">
        <v>0</v>
      </c>
      <c r="T342" s="380">
        <v>6446.25</v>
      </c>
      <c r="U342" s="380">
        <v>0</v>
      </c>
      <c r="V342" s="380">
        <v>865.38</v>
      </c>
      <c r="W342" s="380">
        <v>0</v>
      </c>
      <c r="X342" s="380">
        <v>0</v>
      </c>
      <c r="Y342" s="380">
        <v>0</v>
      </c>
      <c r="Z342" s="380">
        <v>0</v>
      </c>
      <c r="AA342" s="378"/>
      <c r="AB342" s="376" t="s">
        <v>45</v>
      </c>
      <c r="AC342" s="376" t="s">
        <v>45</v>
      </c>
      <c r="AD342" s="378"/>
      <c r="AE342" s="378"/>
      <c r="AF342" s="378"/>
      <c r="AG342" s="378"/>
      <c r="AH342" s="379">
        <v>0</v>
      </c>
      <c r="AI342" s="379">
        <v>0</v>
      </c>
      <c r="AJ342" s="378"/>
      <c r="AK342" s="378"/>
      <c r="AL342" s="376" t="s">
        <v>180</v>
      </c>
      <c r="AM342" s="378"/>
      <c r="AN342" s="378"/>
      <c r="AO342" s="379">
        <v>0</v>
      </c>
      <c r="AP342" s="460">
        <v>0</v>
      </c>
      <c r="AQ342" s="460">
        <v>0</v>
      </c>
      <c r="AR342" s="459"/>
      <c r="AS342" s="462">
        <f t="shared" si="85"/>
        <v>0</v>
      </c>
      <c r="AT342">
        <f t="shared" si="86"/>
        <v>0</v>
      </c>
      <c r="AU342" s="462" t="str">
        <f>IF(AT342=0,"",IF(AND(AT342=1,M342="F",SUMIF(C2:C698,C342,AS2:AS698)&lt;=1),SUMIF(C2:C698,C342,AS2:AS698),IF(AND(AT342=1,M342="F",SUMIF(C2:C698,C342,AS2:AS698)&gt;1),1,"")))</f>
        <v/>
      </c>
      <c r="AV342" s="462" t="str">
        <f>IF(AT342=0,"",IF(AND(AT342=3,M342="F",SUMIF(C2:C698,C342,AS2:AS698)&lt;=1),SUMIF(C2:C698,C342,AS2:AS698),IF(AND(AT342=3,M342="F",SUMIF(C2:C698,C342,AS2:AS698)&gt;1),1,"")))</f>
        <v/>
      </c>
      <c r="AW342" s="462">
        <f>SUMIF(C2:C698,C342,O2:O698)</f>
        <v>0</v>
      </c>
      <c r="AX342" s="462">
        <f>IF(AND(M342="F",AS342&lt;&gt;0),SUMIF(C2:C698,C342,W2:W698),0)</f>
        <v>0</v>
      </c>
      <c r="AY342" s="462" t="str">
        <f t="shared" si="87"/>
        <v/>
      </c>
      <c r="AZ342" s="462" t="str">
        <f t="shared" si="88"/>
        <v/>
      </c>
      <c r="BA342" s="462">
        <f t="shared" si="89"/>
        <v>0</v>
      </c>
      <c r="BB342" s="462">
        <f>IF(AND(AT342=1,AK342="E",AU342&gt;=0.75,AW342=1),Health,IF(AND(AT342=1,AK342="E",AU342&gt;=0.75),Health*P342,IF(AND(AT342=1,AK342="E",AU342&gt;=0.5,AW342=1),PTHealth,IF(AND(AT342=1,AK342="E",AU342&gt;=0.5),PTHealth*P342,0))))</f>
        <v>0</v>
      </c>
      <c r="BC342" s="462">
        <f>IF(AND(AT342=3,AK342="E",AV342&gt;=0.75,AW342=1),Health,IF(AND(AT342=3,AK342="E",AV342&gt;=0.75),Health*P342,IF(AND(AT342=3,AK342="E",AV342&gt;=0.5,AW342=1),PTHealth,IF(AND(AT342=3,AK342="E",AV342&gt;=0.5),PTHealth*P342,0))))</f>
        <v>0</v>
      </c>
      <c r="BD342" s="462">
        <f>IF(AND(AT342&lt;&gt;0,AX342&gt;=MAXSSDI),SSDI*MAXSSDI*P342,IF(AT342&lt;&gt;0,SSDI*W342,0))</f>
        <v>0</v>
      </c>
      <c r="BE342" s="462">
        <f>IF(AT342&lt;&gt;0,SSHI*W342,0)</f>
        <v>0</v>
      </c>
      <c r="BF342" s="462">
        <f>IF(AND(AT342&lt;&gt;0,AN342&lt;&gt;"NE"),VLOOKUP(AN342,Retirement_Rates,3,FALSE)*W342,0)</f>
        <v>0</v>
      </c>
      <c r="BG342" s="462">
        <f>IF(AND(AT342&lt;&gt;0,AJ342&lt;&gt;"PF"),Life*W342,0)</f>
        <v>0</v>
      </c>
      <c r="BH342" s="462">
        <f>IF(AND(AT342&lt;&gt;0,AM342="Y"),UI*W342,0)</f>
        <v>0</v>
      </c>
      <c r="BI342" s="462">
        <f>IF(AND(AT342&lt;&gt;0,N342&lt;&gt;"NR"),DHR*W342,0)</f>
        <v>0</v>
      </c>
      <c r="BJ342" s="462">
        <f>IF(AT342&lt;&gt;0,WC*W342,0)</f>
        <v>0</v>
      </c>
      <c r="BK342" s="462">
        <f>IF(OR(AND(AT342&lt;&gt;0,AJ342&lt;&gt;"PF",AN342&lt;&gt;"NE",AG342&lt;&gt;"A"),AND(AL342="E",OR(AT342=1,AT342=3))),Sick*W342,0)</f>
        <v>0</v>
      </c>
      <c r="BL342" s="462">
        <f t="shared" si="90"/>
        <v>0</v>
      </c>
      <c r="BM342" s="462">
        <f t="shared" si="91"/>
        <v>0</v>
      </c>
      <c r="BN342" s="462">
        <f>IF(AND(AT342=1,AK342="E",AU342&gt;=0.75,AW342=1),HealthBY,IF(AND(AT342=1,AK342="E",AU342&gt;=0.75),HealthBY*P342,IF(AND(AT342=1,AK342="E",AU342&gt;=0.5,AW342=1),PTHealthBY,IF(AND(AT342=1,AK342="E",AU342&gt;=0.5),PTHealthBY*P342,0))))</f>
        <v>0</v>
      </c>
      <c r="BO342" s="462">
        <f>IF(AND(AT342=3,AK342="E",AV342&gt;=0.75,AW342=1),HealthBY,IF(AND(AT342=3,AK342="E",AV342&gt;=0.75),HealthBY*P342,IF(AND(AT342=3,AK342="E",AV342&gt;=0.5,AW342=1),PTHealthBY,IF(AND(AT342=3,AK342="E",AV342&gt;=0.5),PTHealthBY*P342,0))))</f>
        <v>0</v>
      </c>
      <c r="BP342" s="462">
        <f>IF(AND(AT342&lt;&gt;0,(AX342+BA342)&gt;=MAXSSDIBY),SSDIBY*MAXSSDIBY*P342,IF(AT342&lt;&gt;0,SSDIBY*W342,0))</f>
        <v>0</v>
      </c>
      <c r="BQ342" s="462">
        <f>IF(AT342&lt;&gt;0,SSHIBY*W342,0)</f>
        <v>0</v>
      </c>
      <c r="BR342" s="462">
        <f>IF(AND(AT342&lt;&gt;0,AN342&lt;&gt;"NE"),VLOOKUP(AN342,Retirement_Rates,4,FALSE)*W342,0)</f>
        <v>0</v>
      </c>
      <c r="BS342" s="462">
        <f>IF(AND(AT342&lt;&gt;0,AJ342&lt;&gt;"PF"),LifeBY*W342,0)</f>
        <v>0</v>
      </c>
      <c r="BT342" s="462">
        <f>IF(AND(AT342&lt;&gt;0,AM342="Y"),UIBY*W342,0)</f>
        <v>0</v>
      </c>
      <c r="BU342" s="462">
        <f>IF(AND(AT342&lt;&gt;0,N342&lt;&gt;"NR"),DHRBY*W342,0)</f>
        <v>0</v>
      </c>
      <c r="BV342" s="462">
        <f>IF(AT342&lt;&gt;0,WCBY*W342,0)</f>
        <v>0</v>
      </c>
      <c r="BW342" s="462">
        <f>IF(OR(AND(AT342&lt;&gt;0,AJ342&lt;&gt;"PF",AN342&lt;&gt;"NE",AG342&lt;&gt;"A"),AND(AL342="E",OR(AT342=1,AT342=3))),SickBY*W342,0)</f>
        <v>0</v>
      </c>
      <c r="BX342" s="462">
        <f t="shared" si="92"/>
        <v>0</v>
      </c>
      <c r="BY342" s="462">
        <f t="shared" si="93"/>
        <v>0</v>
      </c>
      <c r="BZ342" s="462">
        <f t="shared" si="94"/>
        <v>0</v>
      </c>
      <c r="CA342" s="462">
        <f t="shared" si="95"/>
        <v>0</v>
      </c>
      <c r="CB342" s="462">
        <f t="shared" si="96"/>
        <v>0</v>
      </c>
      <c r="CC342" s="462">
        <f>IF(AT342&lt;&gt;0,SSHICHG*Y342,0)</f>
        <v>0</v>
      </c>
      <c r="CD342" s="462">
        <f>IF(AND(AT342&lt;&gt;0,AN342&lt;&gt;"NE"),VLOOKUP(AN342,Retirement_Rates,5,FALSE)*Y342,0)</f>
        <v>0</v>
      </c>
      <c r="CE342" s="462">
        <f>IF(AND(AT342&lt;&gt;0,AJ342&lt;&gt;"PF"),LifeCHG*Y342,0)</f>
        <v>0</v>
      </c>
      <c r="CF342" s="462">
        <f>IF(AND(AT342&lt;&gt;0,AM342="Y"),UICHG*Y342,0)</f>
        <v>0</v>
      </c>
      <c r="CG342" s="462">
        <f>IF(AND(AT342&lt;&gt;0,N342&lt;&gt;"NR"),DHRCHG*Y342,0)</f>
        <v>0</v>
      </c>
      <c r="CH342" s="462">
        <f>IF(AT342&lt;&gt;0,WCCHG*Y342,0)</f>
        <v>0</v>
      </c>
      <c r="CI342" s="462">
        <f>IF(OR(AND(AT342&lt;&gt;0,AJ342&lt;&gt;"PF",AN342&lt;&gt;"NE",AG342&lt;&gt;"A"),AND(AL342="E",OR(AT342=1,AT342=3))),SickCHG*Y342,0)</f>
        <v>0</v>
      </c>
      <c r="CJ342" s="462">
        <f t="shared" si="97"/>
        <v>0</v>
      </c>
      <c r="CK342" s="462" t="str">
        <f t="shared" si="98"/>
        <v/>
      </c>
      <c r="CL342" s="462">
        <f t="shared" si="99"/>
        <v>6446.25</v>
      </c>
      <c r="CM342" s="462">
        <f t="shared" si="100"/>
        <v>865.38</v>
      </c>
      <c r="CN342" s="462" t="str">
        <f t="shared" si="101"/>
        <v>0330-05</v>
      </c>
    </row>
    <row r="343" spans="1:92" ht="15" thickBot="1" x14ac:dyDescent="0.35">
      <c r="A343" s="376" t="s">
        <v>161</v>
      </c>
      <c r="B343" s="376" t="s">
        <v>162</v>
      </c>
      <c r="C343" s="376" t="s">
        <v>889</v>
      </c>
      <c r="D343" s="376" t="s">
        <v>362</v>
      </c>
      <c r="E343" s="376" t="s">
        <v>931</v>
      </c>
      <c r="F343" s="382" t="s">
        <v>659</v>
      </c>
      <c r="G343" s="376" t="s">
        <v>762</v>
      </c>
      <c r="H343" s="378"/>
      <c r="I343" s="378"/>
      <c r="J343" s="376" t="s">
        <v>768</v>
      </c>
      <c r="K343" s="376" t="s">
        <v>363</v>
      </c>
      <c r="L343" s="376" t="s">
        <v>200</v>
      </c>
      <c r="M343" s="376" t="s">
        <v>170</v>
      </c>
      <c r="N343" s="376" t="s">
        <v>202</v>
      </c>
      <c r="O343" s="379">
        <v>1</v>
      </c>
      <c r="P343" s="460">
        <v>0</v>
      </c>
      <c r="Q343" s="460">
        <v>0</v>
      </c>
      <c r="R343" s="380">
        <v>80</v>
      </c>
      <c r="S343" s="460">
        <v>0</v>
      </c>
      <c r="T343" s="380">
        <v>3102.31</v>
      </c>
      <c r="U343" s="380">
        <v>0</v>
      </c>
      <c r="V343" s="380">
        <v>1460.78</v>
      </c>
      <c r="W343" s="380">
        <v>0</v>
      </c>
      <c r="X343" s="380">
        <v>0</v>
      </c>
      <c r="Y343" s="380">
        <v>0</v>
      </c>
      <c r="Z343" s="380">
        <v>0</v>
      </c>
      <c r="AA343" s="376" t="s">
        <v>890</v>
      </c>
      <c r="AB343" s="376" t="s">
        <v>891</v>
      </c>
      <c r="AC343" s="376" t="s">
        <v>892</v>
      </c>
      <c r="AD343" s="376" t="s">
        <v>179</v>
      </c>
      <c r="AE343" s="376" t="s">
        <v>363</v>
      </c>
      <c r="AF343" s="376" t="s">
        <v>210</v>
      </c>
      <c r="AG343" s="376" t="s">
        <v>177</v>
      </c>
      <c r="AH343" s="381">
        <v>22.5</v>
      </c>
      <c r="AI343" s="379">
        <v>13048</v>
      </c>
      <c r="AJ343" s="376" t="s">
        <v>178</v>
      </c>
      <c r="AK343" s="376" t="s">
        <v>179</v>
      </c>
      <c r="AL343" s="376" t="s">
        <v>180</v>
      </c>
      <c r="AM343" s="376" t="s">
        <v>181</v>
      </c>
      <c r="AN343" s="376" t="s">
        <v>68</v>
      </c>
      <c r="AO343" s="379">
        <v>80</v>
      </c>
      <c r="AP343" s="460">
        <v>1</v>
      </c>
      <c r="AQ343" s="460">
        <v>0</v>
      </c>
      <c r="AR343" s="458" t="s">
        <v>182</v>
      </c>
      <c r="AS343" s="462">
        <f t="shared" si="85"/>
        <v>0</v>
      </c>
      <c r="AT343">
        <f t="shared" si="86"/>
        <v>0</v>
      </c>
      <c r="AU343" s="462" t="str">
        <f>IF(AT343=0,"",IF(AND(AT343=1,M343="F",SUMIF(C2:C698,C343,AS2:AS698)&lt;=1),SUMIF(C2:C698,C343,AS2:AS698),IF(AND(AT343=1,M343="F",SUMIF(C2:C698,C343,AS2:AS698)&gt;1),1,"")))</f>
        <v/>
      </c>
      <c r="AV343" s="462" t="str">
        <f>IF(AT343=0,"",IF(AND(AT343=3,M343="F",SUMIF(C2:C698,C343,AS2:AS698)&lt;=1),SUMIF(C2:C698,C343,AS2:AS698),IF(AND(AT343=3,M343="F",SUMIF(C2:C698,C343,AS2:AS698)&gt;1),1,"")))</f>
        <v/>
      </c>
      <c r="AW343" s="462">
        <f>SUMIF(C2:C698,C343,O2:O698)</f>
        <v>7</v>
      </c>
      <c r="AX343" s="462">
        <f>IF(AND(M343="F",AS343&lt;&gt;0),SUMIF(C2:C698,C343,W2:W698),0)</f>
        <v>0</v>
      </c>
      <c r="AY343" s="462" t="str">
        <f t="shared" si="87"/>
        <v/>
      </c>
      <c r="AZ343" s="462" t="str">
        <f t="shared" si="88"/>
        <v/>
      </c>
      <c r="BA343" s="462">
        <f t="shared" si="89"/>
        <v>0</v>
      </c>
      <c r="BB343" s="462">
        <f>IF(AND(AT343=1,AK343="E",AU343&gt;=0.75,AW343=1),Health,IF(AND(AT343=1,AK343="E",AU343&gt;=0.75),Health*P343,IF(AND(AT343=1,AK343="E",AU343&gt;=0.5,AW343=1),PTHealth,IF(AND(AT343=1,AK343="E",AU343&gt;=0.5),PTHealth*P343,0))))</f>
        <v>0</v>
      </c>
      <c r="BC343" s="462">
        <f>IF(AND(AT343=3,AK343="E",AV343&gt;=0.75,AW343=1),Health,IF(AND(AT343=3,AK343="E",AV343&gt;=0.75),Health*P343,IF(AND(AT343=3,AK343="E",AV343&gt;=0.5,AW343=1),PTHealth,IF(AND(AT343=3,AK343="E",AV343&gt;=0.5),PTHealth*P343,0))))</f>
        <v>0</v>
      </c>
      <c r="BD343" s="462">
        <f>IF(AND(AT343&lt;&gt;0,AX343&gt;=MAXSSDI),SSDI*MAXSSDI*P343,IF(AT343&lt;&gt;0,SSDI*W343,0))</f>
        <v>0</v>
      </c>
      <c r="BE343" s="462">
        <f>IF(AT343&lt;&gt;0,SSHI*W343,0)</f>
        <v>0</v>
      </c>
      <c r="BF343" s="462">
        <f>IF(AND(AT343&lt;&gt;0,AN343&lt;&gt;"NE"),VLOOKUP(AN343,Retirement_Rates,3,FALSE)*W343,0)</f>
        <v>0</v>
      </c>
      <c r="BG343" s="462">
        <f>IF(AND(AT343&lt;&gt;0,AJ343&lt;&gt;"PF"),Life*W343,0)</f>
        <v>0</v>
      </c>
      <c r="BH343" s="462">
        <f>IF(AND(AT343&lt;&gt;0,AM343="Y"),UI*W343,0)</f>
        <v>0</v>
      </c>
      <c r="BI343" s="462">
        <f>IF(AND(AT343&lt;&gt;0,N343&lt;&gt;"NR"),DHR*W343,0)</f>
        <v>0</v>
      </c>
      <c r="BJ343" s="462">
        <f>IF(AT343&lt;&gt;0,WC*W343,0)</f>
        <v>0</v>
      </c>
      <c r="BK343" s="462">
        <f>IF(OR(AND(AT343&lt;&gt;0,AJ343&lt;&gt;"PF",AN343&lt;&gt;"NE",AG343&lt;&gt;"A"),AND(AL343="E",OR(AT343=1,AT343=3))),Sick*W343,0)</f>
        <v>0</v>
      </c>
      <c r="BL343" s="462">
        <f t="shared" si="90"/>
        <v>0</v>
      </c>
      <c r="BM343" s="462">
        <f t="shared" si="91"/>
        <v>0</v>
      </c>
      <c r="BN343" s="462">
        <f>IF(AND(AT343=1,AK343="E",AU343&gt;=0.75,AW343=1),HealthBY,IF(AND(AT343=1,AK343="E",AU343&gt;=0.75),HealthBY*P343,IF(AND(AT343=1,AK343="E",AU343&gt;=0.5,AW343=1),PTHealthBY,IF(AND(AT343=1,AK343="E",AU343&gt;=0.5),PTHealthBY*P343,0))))</f>
        <v>0</v>
      </c>
      <c r="BO343" s="462">
        <f>IF(AND(AT343=3,AK343="E",AV343&gt;=0.75,AW343=1),HealthBY,IF(AND(AT343=3,AK343="E",AV343&gt;=0.75),HealthBY*P343,IF(AND(AT343=3,AK343="E",AV343&gt;=0.5,AW343=1),PTHealthBY,IF(AND(AT343=3,AK343="E",AV343&gt;=0.5),PTHealthBY*P343,0))))</f>
        <v>0</v>
      </c>
      <c r="BP343" s="462">
        <f>IF(AND(AT343&lt;&gt;0,(AX343+BA343)&gt;=MAXSSDIBY),SSDIBY*MAXSSDIBY*P343,IF(AT343&lt;&gt;0,SSDIBY*W343,0))</f>
        <v>0</v>
      </c>
      <c r="BQ343" s="462">
        <f>IF(AT343&lt;&gt;0,SSHIBY*W343,0)</f>
        <v>0</v>
      </c>
      <c r="BR343" s="462">
        <f>IF(AND(AT343&lt;&gt;0,AN343&lt;&gt;"NE"),VLOOKUP(AN343,Retirement_Rates,4,FALSE)*W343,0)</f>
        <v>0</v>
      </c>
      <c r="BS343" s="462">
        <f>IF(AND(AT343&lt;&gt;0,AJ343&lt;&gt;"PF"),LifeBY*W343,0)</f>
        <v>0</v>
      </c>
      <c r="BT343" s="462">
        <f>IF(AND(AT343&lt;&gt;0,AM343="Y"),UIBY*W343,0)</f>
        <v>0</v>
      </c>
      <c r="BU343" s="462">
        <f>IF(AND(AT343&lt;&gt;0,N343&lt;&gt;"NR"),DHRBY*W343,0)</f>
        <v>0</v>
      </c>
      <c r="BV343" s="462">
        <f>IF(AT343&lt;&gt;0,WCBY*W343,0)</f>
        <v>0</v>
      </c>
      <c r="BW343" s="462">
        <f>IF(OR(AND(AT343&lt;&gt;0,AJ343&lt;&gt;"PF",AN343&lt;&gt;"NE",AG343&lt;&gt;"A"),AND(AL343="E",OR(AT343=1,AT343=3))),SickBY*W343,0)</f>
        <v>0</v>
      </c>
      <c r="BX343" s="462">
        <f t="shared" si="92"/>
        <v>0</v>
      </c>
      <c r="BY343" s="462">
        <f t="shared" si="93"/>
        <v>0</v>
      </c>
      <c r="BZ343" s="462">
        <f t="shared" si="94"/>
        <v>0</v>
      </c>
      <c r="CA343" s="462">
        <f t="shared" si="95"/>
        <v>0</v>
      </c>
      <c r="CB343" s="462">
        <f t="shared" si="96"/>
        <v>0</v>
      </c>
      <c r="CC343" s="462">
        <f>IF(AT343&lt;&gt;0,SSHICHG*Y343,0)</f>
        <v>0</v>
      </c>
      <c r="CD343" s="462">
        <f>IF(AND(AT343&lt;&gt;0,AN343&lt;&gt;"NE"),VLOOKUP(AN343,Retirement_Rates,5,FALSE)*Y343,0)</f>
        <v>0</v>
      </c>
      <c r="CE343" s="462">
        <f>IF(AND(AT343&lt;&gt;0,AJ343&lt;&gt;"PF"),LifeCHG*Y343,0)</f>
        <v>0</v>
      </c>
      <c r="CF343" s="462">
        <f>IF(AND(AT343&lt;&gt;0,AM343="Y"),UICHG*Y343,0)</f>
        <v>0</v>
      </c>
      <c r="CG343" s="462">
        <f>IF(AND(AT343&lt;&gt;0,N343&lt;&gt;"NR"),DHRCHG*Y343,0)</f>
        <v>0</v>
      </c>
      <c r="CH343" s="462">
        <f>IF(AT343&lt;&gt;0,WCCHG*Y343,0)</f>
        <v>0</v>
      </c>
      <c r="CI343" s="462">
        <f>IF(OR(AND(AT343&lt;&gt;0,AJ343&lt;&gt;"PF",AN343&lt;&gt;"NE",AG343&lt;&gt;"A"),AND(AL343="E",OR(AT343=1,AT343=3))),SickCHG*Y343,0)</f>
        <v>0</v>
      </c>
      <c r="CJ343" s="462">
        <f t="shared" si="97"/>
        <v>0</v>
      </c>
      <c r="CK343" s="462" t="str">
        <f t="shared" si="98"/>
        <v/>
      </c>
      <c r="CL343" s="462" t="str">
        <f t="shared" si="99"/>
        <v/>
      </c>
      <c r="CM343" s="462" t="str">
        <f t="shared" si="100"/>
        <v/>
      </c>
      <c r="CN343" s="462" t="str">
        <f t="shared" si="101"/>
        <v>0330-05</v>
      </c>
    </row>
    <row r="344" spans="1:92" ht="15" thickBot="1" x14ac:dyDescent="0.35">
      <c r="A344" s="376" t="s">
        <v>161</v>
      </c>
      <c r="B344" s="376" t="s">
        <v>162</v>
      </c>
      <c r="C344" s="376" t="s">
        <v>923</v>
      </c>
      <c r="D344" s="376" t="s">
        <v>362</v>
      </c>
      <c r="E344" s="376" t="s">
        <v>931</v>
      </c>
      <c r="F344" s="382" t="s">
        <v>659</v>
      </c>
      <c r="G344" s="376" t="s">
        <v>762</v>
      </c>
      <c r="H344" s="378"/>
      <c r="I344" s="378"/>
      <c r="J344" s="376" t="s">
        <v>168</v>
      </c>
      <c r="K344" s="376" t="s">
        <v>363</v>
      </c>
      <c r="L344" s="376" t="s">
        <v>200</v>
      </c>
      <c r="M344" s="376" t="s">
        <v>170</v>
      </c>
      <c r="N344" s="376" t="s">
        <v>202</v>
      </c>
      <c r="O344" s="379">
        <v>1</v>
      </c>
      <c r="P344" s="460">
        <v>0</v>
      </c>
      <c r="Q344" s="460">
        <v>0</v>
      </c>
      <c r="R344" s="380">
        <v>80</v>
      </c>
      <c r="S344" s="460">
        <v>0</v>
      </c>
      <c r="T344" s="380">
        <v>4658.63</v>
      </c>
      <c r="U344" s="380">
        <v>0</v>
      </c>
      <c r="V344" s="380">
        <v>2234.48</v>
      </c>
      <c r="W344" s="380">
        <v>0</v>
      </c>
      <c r="X344" s="380">
        <v>0</v>
      </c>
      <c r="Y344" s="380">
        <v>0</v>
      </c>
      <c r="Z344" s="380">
        <v>0</v>
      </c>
      <c r="AA344" s="376" t="s">
        <v>924</v>
      </c>
      <c r="AB344" s="376" t="s">
        <v>925</v>
      </c>
      <c r="AC344" s="376" t="s">
        <v>926</v>
      </c>
      <c r="AD344" s="376" t="s">
        <v>177</v>
      </c>
      <c r="AE344" s="376" t="s">
        <v>363</v>
      </c>
      <c r="AF344" s="376" t="s">
        <v>210</v>
      </c>
      <c r="AG344" s="376" t="s">
        <v>177</v>
      </c>
      <c r="AH344" s="381">
        <v>22.5</v>
      </c>
      <c r="AI344" s="381">
        <v>13298.5</v>
      </c>
      <c r="AJ344" s="376" t="s">
        <v>178</v>
      </c>
      <c r="AK344" s="376" t="s">
        <v>179</v>
      </c>
      <c r="AL344" s="376" t="s">
        <v>180</v>
      </c>
      <c r="AM344" s="376" t="s">
        <v>181</v>
      </c>
      <c r="AN344" s="376" t="s">
        <v>68</v>
      </c>
      <c r="AO344" s="379">
        <v>80</v>
      </c>
      <c r="AP344" s="460">
        <v>1</v>
      </c>
      <c r="AQ344" s="460">
        <v>0</v>
      </c>
      <c r="AR344" s="458" t="s">
        <v>182</v>
      </c>
      <c r="AS344" s="462">
        <f t="shared" si="85"/>
        <v>0</v>
      </c>
      <c r="AT344">
        <f t="shared" si="86"/>
        <v>0</v>
      </c>
      <c r="AU344" s="462" t="str">
        <f>IF(AT344=0,"",IF(AND(AT344=1,M344="F",SUMIF(C2:C698,C344,AS2:AS698)&lt;=1),SUMIF(C2:C698,C344,AS2:AS698),IF(AND(AT344=1,M344="F",SUMIF(C2:C698,C344,AS2:AS698)&gt;1),1,"")))</f>
        <v/>
      </c>
      <c r="AV344" s="462" t="str">
        <f>IF(AT344=0,"",IF(AND(AT344=3,M344="F",SUMIF(C2:C698,C344,AS2:AS698)&lt;=1),SUMIF(C2:C698,C344,AS2:AS698),IF(AND(AT344=3,M344="F",SUMIF(C2:C698,C344,AS2:AS698)&gt;1),1,"")))</f>
        <v/>
      </c>
      <c r="AW344" s="462">
        <f>SUMIF(C2:C698,C344,O2:O698)</f>
        <v>9</v>
      </c>
      <c r="AX344" s="462">
        <f>IF(AND(M344="F",AS344&lt;&gt;0),SUMIF(C2:C698,C344,W2:W698),0)</f>
        <v>0</v>
      </c>
      <c r="AY344" s="462" t="str">
        <f t="shared" si="87"/>
        <v/>
      </c>
      <c r="AZ344" s="462" t="str">
        <f t="shared" si="88"/>
        <v/>
      </c>
      <c r="BA344" s="462">
        <f t="shared" si="89"/>
        <v>0</v>
      </c>
      <c r="BB344" s="462">
        <f>IF(AND(AT344=1,AK344="E",AU344&gt;=0.75,AW344=1),Health,IF(AND(AT344=1,AK344="E",AU344&gt;=0.75),Health*P344,IF(AND(AT344=1,AK344="E",AU344&gt;=0.5,AW344=1),PTHealth,IF(AND(AT344=1,AK344="E",AU344&gt;=0.5),PTHealth*P344,0))))</f>
        <v>0</v>
      </c>
      <c r="BC344" s="462">
        <f>IF(AND(AT344=3,AK344="E",AV344&gt;=0.75,AW344=1),Health,IF(AND(AT344=3,AK344="E",AV344&gt;=0.75),Health*P344,IF(AND(AT344=3,AK344="E",AV344&gt;=0.5,AW344=1),PTHealth,IF(AND(AT344=3,AK344="E",AV344&gt;=0.5),PTHealth*P344,0))))</f>
        <v>0</v>
      </c>
      <c r="BD344" s="462">
        <f>IF(AND(AT344&lt;&gt;0,AX344&gt;=MAXSSDI),SSDI*MAXSSDI*P344,IF(AT344&lt;&gt;0,SSDI*W344,0))</f>
        <v>0</v>
      </c>
      <c r="BE344" s="462">
        <f>IF(AT344&lt;&gt;0,SSHI*W344,0)</f>
        <v>0</v>
      </c>
      <c r="BF344" s="462">
        <f>IF(AND(AT344&lt;&gt;0,AN344&lt;&gt;"NE"),VLOOKUP(AN344,Retirement_Rates,3,FALSE)*W344,0)</f>
        <v>0</v>
      </c>
      <c r="BG344" s="462">
        <f>IF(AND(AT344&lt;&gt;0,AJ344&lt;&gt;"PF"),Life*W344,0)</f>
        <v>0</v>
      </c>
      <c r="BH344" s="462">
        <f>IF(AND(AT344&lt;&gt;0,AM344="Y"),UI*W344,0)</f>
        <v>0</v>
      </c>
      <c r="BI344" s="462">
        <f>IF(AND(AT344&lt;&gt;0,N344&lt;&gt;"NR"),DHR*W344,0)</f>
        <v>0</v>
      </c>
      <c r="BJ344" s="462">
        <f>IF(AT344&lt;&gt;0,WC*W344,0)</f>
        <v>0</v>
      </c>
      <c r="BK344" s="462">
        <f>IF(OR(AND(AT344&lt;&gt;0,AJ344&lt;&gt;"PF",AN344&lt;&gt;"NE",AG344&lt;&gt;"A"),AND(AL344="E",OR(AT344=1,AT344=3))),Sick*W344,0)</f>
        <v>0</v>
      </c>
      <c r="BL344" s="462">
        <f t="shared" si="90"/>
        <v>0</v>
      </c>
      <c r="BM344" s="462">
        <f t="shared" si="91"/>
        <v>0</v>
      </c>
      <c r="BN344" s="462">
        <f>IF(AND(AT344=1,AK344="E",AU344&gt;=0.75,AW344=1),HealthBY,IF(AND(AT344=1,AK344="E",AU344&gt;=0.75),HealthBY*P344,IF(AND(AT344=1,AK344="E",AU344&gt;=0.5,AW344=1),PTHealthBY,IF(AND(AT344=1,AK344="E",AU344&gt;=0.5),PTHealthBY*P344,0))))</f>
        <v>0</v>
      </c>
      <c r="BO344" s="462">
        <f>IF(AND(AT344=3,AK344="E",AV344&gt;=0.75,AW344=1),HealthBY,IF(AND(AT344=3,AK344="E",AV344&gt;=0.75),HealthBY*P344,IF(AND(AT344=3,AK344="E",AV344&gt;=0.5,AW344=1),PTHealthBY,IF(AND(AT344=3,AK344="E",AV344&gt;=0.5),PTHealthBY*P344,0))))</f>
        <v>0</v>
      </c>
      <c r="BP344" s="462">
        <f>IF(AND(AT344&lt;&gt;0,(AX344+BA344)&gt;=MAXSSDIBY),SSDIBY*MAXSSDIBY*P344,IF(AT344&lt;&gt;0,SSDIBY*W344,0))</f>
        <v>0</v>
      </c>
      <c r="BQ344" s="462">
        <f>IF(AT344&lt;&gt;0,SSHIBY*W344,0)</f>
        <v>0</v>
      </c>
      <c r="BR344" s="462">
        <f>IF(AND(AT344&lt;&gt;0,AN344&lt;&gt;"NE"),VLOOKUP(AN344,Retirement_Rates,4,FALSE)*W344,0)</f>
        <v>0</v>
      </c>
      <c r="BS344" s="462">
        <f>IF(AND(AT344&lt;&gt;0,AJ344&lt;&gt;"PF"),LifeBY*W344,0)</f>
        <v>0</v>
      </c>
      <c r="BT344" s="462">
        <f>IF(AND(AT344&lt;&gt;0,AM344="Y"),UIBY*W344,0)</f>
        <v>0</v>
      </c>
      <c r="BU344" s="462">
        <f>IF(AND(AT344&lt;&gt;0,N344&lt;&gt;"NR"),DHRBY*W344,0)</f>
        <v>0</v>
      </c>
      <c r="BV344" s="462">
        <f>IF(AT344&lt;&gt;0,WCBY*W344,0)</f>
        <v>0</v>
      </c>
      <c r="BW344" s="462">
        <f>IF(OR(AND(AT344&lt;&gt;0,AJ344&lt;&gt;"PF",AN344&lt;&gt;"NE",AG344&lt;&gt;"A"),AND(AL344="E",OR(AT344=1,AT344=3))),SickBY*W344,0)</f>
        <v>0</v>
      </c>
      <c r="BX344" s="462">
        <f t="shared" si="92"/>
        <v>0</v>
      </c>
      <c r="BY344" s="462">
        <f t="shared" si="93"/>
        <v>0</v>
      </c>
      <c r="BZ344" s="462">
        <f t="shared" si="94"/>
        <v>0</v>
      </c>
      <c r="CA344" s="462">
        <f t="shared" si="95"/>
        <v>0</v>
      </c>
      <c r="CB344" s="462">
        <f t="shared" si="96"/>
        <v>0</v>
      </c>
      <c r="CC344" s="462">
        <f>IF(AT344&lt;&gt;0,SSHICHG*Y344,0)</f>
        <v>0</v>
      </c>
      <c r="CD344" s="462">
        <f>IF(AND(AT344&lt;&gt;0,AN344&lt;&gt;"NE"),VLOOKUP(AN344,Retirement_Rates,5,FALSE)*Y344,0)</f>
        <v>0</v>
      </c>
      <c r="CE344" s="462">
        <f>IF(AND(AT344&lt;&gt;0,AJ344&lt;&gt;"PF"),LifeCHG*Y344,0)</f>
        <v>0</v>
      </c>
      <c r="CF344" s="462">
        <f>IF(AND(AT344&lt;&gt;0,AM344="Y"),UICHG*Y344,0)</f>
        <v>0</v>
      </c>
      <c r="CG344" s="462">
        <f>IF(AND(AT344&lt;&gt;0,N344&lt;&gt;"NR"),DHRCHG*Y344,0)</f>
        <v>0</v>
      </c>
      <c r="CH344" s="462">
        <f>IF(AT344&lt;&gt;0,WCCHG*Y344,0)</f>
        <v>0</v>
      </c>
      <c r="CI344" s="462">
        <f>IF(OR(AND(AT344&lt;&gt;0,AJ344&lt;&gt;"PF",AN344&lt;&gt;"NE",AG344&lt;&gt;"A"),AND(AL344="E",OR(AT344=1,AT344=3))),SickCHG*Y344,0)</f>
        <v>0</v>
      </c>
      <c r="CJ344" s="462">
        <f t="shared" si="97"/>
        <v>0</v>
      </c>
      <c r="CK344" s="462" t="str">
        <f t="shared" si="98"/>
        <v/>
      </c>
      <c r="CL344" s="462" t="str">
        <f t="shared" si="99"/>
        <v/>
      </c>
      <c r="CM344" s="462" t="str">
        <f t="shared" si="100"/>
        <v/>
      </c>
      <c r="CN344" s="462" t="str">
        <f t="shared" si="101"/>
        <v>0330-05</v>
      </c>
    </row>
    <row r="345" spans="1:92" ht="15" thickBot="1" x14ac:dyDescent="0.35">
      <c r="A345" s="376" t="s">
        <v>161</v>
      </c>
      <c r="B345" s="376" t="s">
        <v>162</v>
      </c>
      <c r="C345" s="376" t="s">
        <v>790</v>
      </c>
      <c r="D345" s="376" t="s">
        <v>791</v>
      </c>
      <c r="E345" s="376" t="s">
        <v>931</v>
      </c>
      <c r="F345" s="382" t="s">
        <v>659</v>
      </c>
      <c r="G345" s="376" t="s">
        <v>762</v>
      </c>
      <c r="H345" s="378"/>
      <c r="I345" s="378"/>
      <c r="J345" s="376" t="s">
        <v>168</v>
      </c>
      <c r="K345" s="376" t="s">
        <v>792</v>
      </c>
      <c r="L345" s="376" t="s">
        <v>200</v>
      </c>
      <c r="M345" s="376" t="s">
        <v>170</v>
      </c>
      <c r="N345" s="376" t="s">
        <v>202</v>
      </c>
      <c r="O345" s="379">
        <v>1</v>
      </c>
      <c r="P345" s="460">
        <v>0</v>
      </c>
      <c r="Q345" s="460">
        <v>0</v>
      </c>
      <c r="R345" s="380">
        <v>80</v>
      </c>
      <c r="S345" s="460">
        <v>0</v>
      </c>
      <c r="T345" s="380">
        <v>234.5</v>
      </c>
      <c r="U345" s="380">
        <v>0</v>
      </c>
      <c r="V345" s="380">
        <v>111.08</v>
      </c>
      <c r="W345" s="380">
        <v>0</v>
      </c>
      <c r="X345" s="380">
        <v>0</v>
      </c>
      <c r="Y345" s="380">
        <v>0</v>
      </c>
      <c r="Z345" s="380">
        <v>0</v>
      </c>
      <c r="AA345" s="376" t="s">
        <v>793</v>
      </c>
      <c r="AB345" s="376" t="s">
        <v>794</v>
      </c>
      <c r="AC345" s="376" t="s">
        <v>795</v>
      </c>
      <c r="AD345" s="376" t="s">
        <v>215</v>
      </c>
      <c r="AE345" s="376" t="s">
        <v>796</v>
      </c>
      <c r="AF345" s="376" t="s">
        <v>279</v>
      </c>
      <c r="AG345" s="376" t="s">
        <v>177</v>
      </c>
      <c r="AH345" s="381">
        <v>17.5</v>
      </c>
      <c r="AI345" s="381">
        <v>7094.5</v>
      </c>
      <c r="AJ345" s="376" t="s">
        <v>178</v>
      </c>
      <c r="AK345" s="376" t="s">
        <v>179</v>
      </c>
      <c r="AL345" s="376" t="s">
        <v>180</v>
      </c>
      <c r="AM345" s="376" t="s">
        <v>181</v>
      </c>
      <c r="AN345" s="376" t="s">
        <v>68</v>
      </c>
      <c r="AO345" s="379">
        <v>80</v>
      </c>
      <c r="AP345" s="460">
        <v>1</v>
      </c>
      <c r="AQ345" s="460">
        <v>0</v>
      </c>
      <c r="AR345" s="458">
        <v>3</v>
      </c>
      <c r="AS345" s="462">
        <f t="shared" si="85"/>
        <v>0</v>
      </c>
      <c r="AT345">
        <f t="shared" si="86"/>
        <v>0</v>
      </c>
      <c r="AU345" s="462" t="str">
        <f>IF(AT345=0,"",IF(AND(AT345=1,M345="F",SUMIF(C2:C698,C345,AS2:AS698)&lt;=1),SUMIF(C2:C698,C345,AS2:AS698),IF(AND(AT345=1,M345="F",SUMIF(C2:C698,C345,AS2:AS698)&gt;1),1,"")))</f>
        <v/>
      </c>
      <c r="AV345" s="462" t="str">
        <f>IF(AT345=0,"",IF(AND(AT345=3,M345="F",SUMIF(C2:C698,C345,AS2:AS698)&lt;=1),SUMIF(C2:C698,C345,AS2:AS698),IF(AND(AT345=3,M345="F",SUMIF(C2:C698,C345,AS2:AS698)&gt;1),1,"")))</f>
        <v/>
      </c>
      <c r="AW345" s="462">
        <f>SUMIF(C2:C698,C345,O2:O698)</f>
        <v>2</v>
      </c>
      <c r="AX345" s="462">
        <f>IF(AND(M345="F",AS345&lt;&gt;0),SUMIF(C2:C698,C345,W2:W698),0)</f>
        <v>0</v>
      </c>
      <c r="AY345" s="462" t="str">
        <f t="shared" si="87"/>
        <v/>
      </c>
      <c r="AZ345" s="462" t="str">
        <f t="shared" si="88"/>
        <v/>
      </c>
      <c r="BA345" s="462">
        <f t="shared" si="89"/>
        <v>0</v>
      </c>
      <c r="BB345" s="462">
        <f>IF(AND(AT345=1,AK345="E",AU345&gt;=0.75,AW345=1),Health,IF(AND(AT345=1,AK345="E",AU345&gt;=0.75),Health*P345,IF(AND(AT345=1,AK345="E",AU345&gt;=0.5,AW345=1),PTHealth,IF(AND(AT345=1,AK345="E",AU345&gt;=0.5),PTHealth*P345,0))))</f>
        <v>0</v>
      </c>
      <c r="BC345" s="462">
        <f>IF(AND(AT345=3,AK345="E",AV345&gt;=0.75,AW345=1),Health,IF(AND(AT345=3,AK345="E",AV345&gt;=0.75),Health*P345,IF(AND(AT345=3,AK345="E",AV345&gt;=0.5,AW345=1),PTHealth,IF(AND(AT345=3,AK345="E",AV345&gt;=0.5),PTHealth*P345,0))))</f>
        <v>0</v>
      </c>
      <c r="BD345" s="462">
        <f>IF(AND(AT345&lt;&gt;0,AX345&gt;=MAXSSDI),SSDI*MAXSSDI*P345,IF(AT345&lt;&gt;0,SSDI*W345,0))</f>
        <v>0</v>
      </c>
      <c r="BE345" s="462">
        <f>IF(AT345&lt;&gt;0,SSHI*W345,0)</f>
        <v>0</v>
      </c>
      <c r="BF345" s="462">
        <f>IF(AND(AT345&lt;&gt;0,AN345&lt;&gt;"NE"),VLOOKUP(AN345,Retirement_Rates,3,FALSE)*W345,0)</f>
        <v>0</v>
      </c>
      <c r="BG345" s="462">
        <f>IF(AND(AT345&lt;&gt;0,AJ345&lt;&gt;"PF"),Life*W345,0)</f>
        <v>0</v>
      </c>
      <c r="BH345" s="462">
        <f>IF(AND(AT345&lt;&gt;0,AM345="Y"),UI*W345,0)</f>
        <v>0</v>
      </c>
      <c r="BI345" s="462">
        <f>IF(AND(AT345&lt;&gt;0,N345&lt;&gt;"NR"),DHR*W345,0)</f>
        <v>0</v>
      </c>
      <c r="BJ345" s="462">
        <f>IF(AT345&lt;&gt;0,WC*W345,0)</f>
        <v>0</v>
      </c>
      <c r="BK345" s="462">
        <f>IF(OR(AND(AT345&lt;&gt;0,AJ345&lt;&gt;"PF",AN345&lt;&gt;"NE",AG345&lt;&gt;"A"),AND(AL345="E",OR(AT345=1,AT345=3))),Sick*W345,0)</f>
        <v>0</v>
      </c>
      <c r="BL345" s="462">
        <f t="shared" si="90"/>
        <v>0</v>
      </c>
      <c r="BM345" s="462">
        <f t="shared" si="91"/>
        <v>0</v>
      </c>
      <c r="BN345" s="462">
        <f>IF(AND(AT345=1,AK345="E",AU345&gt;=0.75,AW345=1),HealthBY,IF(AND(AT345=1,AK345="E",AU345&gt;=0.75),HealthBY*P345,IF(AND(AT345=1,AK345="E",AU345&gt;=0.5,AW345=1),PTHealthBY,IF(AND(AT345=1,AK345="E",AU345&gt;=0.5),PTHealthBY*P345,0))))</f>
        <v>0</v>
      </c>
      <c r="BO345" s="462">
        <f>IF(AND(AT345=3,AK345="E",AV345&gt;=0.75,AW345=1),HealthBY,IF(AND(AT345=3,AK345="E",AV345&gt;=0.75),HealthBY*P345,IF(AND(AT345=3,AK345="E",AV345&gt;=0.5,AW345=1),PTHealthBY,IF(AND(AT345=3,AK345="E",AV345&gt;=0.5),PTHealthBY*P345,0))))</f>
        <v>0</v>
      </c>
      <c r="BP345" s="462">
        <f>IF(AND(AT345&lt;&gt;0,(AX345+BA345)&gt;=MAXSSDIBY),SSDIBY*MAXSSDIBY*P345,IF(AT345&lt;&gt;0,SSDIBY*W345,0))</f>
        <v>0</v>
      </c>
      <c r="BQ345" s="462">
        <f>IF(AT345&lt;&gt;0,SSHIBY*W345,0)</f>
        <v>0</v>
      </c>
      <c r="BR345" s="462">
        <f>IF(AND(AT345&lt;&gt;0,AN345&lt;&gt;"NE"),VLOOKUP(AN345,Retirement_Rates,4,FALSE)*W345,0)</f>
        <v>0</v>
      </c>
      <c r="BS345" s="462">
        <f>IF(AND(AT345&lt;&gt;0,AJ345&lt;&gt;"PF"),LifeBY*W345,0)</f>
        <v>0</v>
      </c>
      <c r="BT345" s="462">
        <f>IF(AND(AT345&lt;&gt;0,AM345="Y"),UIBY*W345,0)</f>
        <v>0</v>
      </c>
      <c r="BU345" s="462">
        <f>IF(AND(AT345&lt;&gt;0,N345&lt;&gt;"NR"),DHRBY*W345,0)</f>
        <v>0</v>
      </c>
      <c r="BV345" s="462">
        <f>IF(AT345&lt;&gt;0,WCBY*W345,0)</f>
        <v>0</v>
      </c>
      <c r="BW345" s="462">
        <f>IF(OR(AND(AT345&lt;&gt;0,AJ345&lt;&gt;"PF",AN345&lt;&gt;"NE",AG345&lt;&gt;"A"),AND(AL345="E",OR(AT345=1,AT345=3))),SickBY*W345,0)</f>
        <v>0</v>
      </c>
      <c r="BX345" s="462">
        <f t="shared" si="92"/>
        <v>0</v>
      </c>
      <c r="BY345" s="462">
        <f t="shared" si="93"/>
        <v>0</v>
      </c>
      <c r="BZ345" s="462">
        <f t="shared" si="94"/>
        <v>0</v>
      </c>
      <c r="CA345" s="462">
        <f t="shared" si="95"/>
        <v>0</v>
      </c>
      <c r="CB345" s="462">
        <f t="shared" si="96"/>
        <v>0</v>
      </c>
      <c r="CC345" s="462">
        <f>IF(AT345&lt;&gt;0,SSHICHG*Y345,0)</f>
        <v>0</v>
      </c>
      <c r="CD345" s="462">
        <f>IF(AND(AT345&lt;&gt;0,AN345&lt;&gt;"NE"),VLOOKUP(AN345,Retirement_Rates,5,FALSE)*Y345,0)</f>
        <v>0</v>
      </c>
      <c r="CE345" s="462">
        <f>IF(AND(AT345&lt;&gt;0,AJ345&lt;&gt;"PF"),LifeCHG*Y345,0)</f>
        <v>0</v>
      </c>
      <c r="CF345" s="462">
        <f>IF(AND(AT345&lt;&gt;0,AM345="Y"),UICHG*Y345,0)</f>
        <v>0</v>
      </c>
      <c r="CG345" s="462">
        <f>IF(AND(AT345&lt;&gt;0,N345&lt;&gt;"NR"),DHRCHG*Y345,0)</f>
        <v>0</v>
      </c>
      <c r="CH345" s="462">
        <f>IF(AT345&lt;&gt;0,WCCHG*Y345,0)</f>
        <v>0</v>
      </c>
      <c r="CI345" s="462">
        <f>IF(OR(AND(AT345&lt;&gt;0,AJ345&lt;&gt;"PF",AN345&lt;&gt;"NE",AG345&lt;&gt;"A"),AND(AL345="E",OR(AT345=1,AT345=3))),SickCHG*Y345,0)</f>
        <v>0</v>
      </c>
      <c r="CJ345" s="462">
        <f t="shared" si="97"/>
        <v>0</v>
      </c>
      <c r="CK345" s="462" t="str">
        <f t="shared" si="98"/>
        <v/>
      </c>
      <c r="CL345" s="462" t="str">
        <f t="shared" si="99"/>
        <v/>
      </c>
      <c r="CM345" s="462" t="str">
        <f t="shared" si="100"/>
        <v/>
      </c>
      <c r="CN345" s="462" t="str">
        <f t="shared" si="101"/>
        <v>0330-05</v>
      </c>
    </row>
    <row r="346" spans="1:92" ht="15" thickBot="1" x14ac:dyDescent="0.35">
      <c r="A346" s="376" t="s">
        <v>161</v>
      </c>
      <c r="B346" s="376" t="s">
        <v>162</v>
      </c>
      <c r="C346" s="376" t="s">
        <v>526</v>
      </c>
      <c r="D346" s="376" t="s">
        <v>418</v>
      </c>
      <c r="E346" s="376" t="s">
        <v>931</v>
      </c>
      <c r="F346" s="382" t="s">
        <v>659</v>
      </c>
      <c r="G346" s="376" t="s">
        <v>762</v>
      </c>
      <c r="H346" s="378"/>
      <c r="I346" s="378"/>
      <c r="J346" s="376" t="s">
        <v>168</v>
      </c>
      <c r="K346" s="376" t="s">
        <v>419</v>
      </c>
      <c r="L346" s="376" t="s">
        <v>177</v>
      </c>
      <c r="M346" s="376" t="s">
        <v>170</v>
      </c>
      <c r="N346" s="376" t="s">
        <v>202</v>
      </c>
      <c r="O346" s="379">
        <v>1</v>
      </c>
      <c r="P346" s="460">
        <v>0</v>
      </c>
      <c r="Q346" s="460">
        <v>0</v>
      </c>
      <c r="R346" s="380">
        <v>80</v>
      </c>
      <c r="S346" s="460">
        <v>0</v>
      </c>
      <c r="T346" s="380">
        <v>252.17</v>
      </c>
      <c r="U346" s="380">
        <v>0</v>
      </c>
      <c r="V346" s="380">
        <v>158.61000000000001</v>
      </c>
      <c r="W346" s="380">
        <v>0</v>
      </c>
      <c r="X346" s="380">
        <v>0</v>
      </c>
      <c r="Y346" s="380">
        <v>0</v>
      </c>
      <c r="Z346" s="380">
        <v>0</v>
      </c>
      <c r="AA346" s="376" t="s">
        <v>527</v>
      </c>
      <c r="AB346" s="376" t="s">
        <v>528</v>
      </c>
      <c r="AC346" s="376" t="s">
        <v>529</v>
      </c>
      <c r="AD346" s="376" t="s">
        <v>215</v>
      </c>
      <c r="AE346" s="376" t="s">
        <v>419</v>
      </c>
      <c r="AF346" s="376" t="s">
        <v>436</v>
      </c>
      <c r="AG346" s="376" t="s">
        <v>177</v>
      </c>
      <c r="AH346" s="381">
        <v>16.649999999999999</v>
      </c>
      <c r="AI346" s="381">
        <v>10545.2</v>
      </c>
      <c r="AJ346" s="376" t="s">
        <v>178</v>
      </c>
      <c r="AK346" s="376" t="s">
        <v>179</v>
      </c>
      <c r="AL346" s="376" t="s">
        <v>180</v>
      </c>
      <c r="AM346" s="376" t="s">
        <v>181</v>
      </c>
      <c r="AN346" s="376" t="s">
        <v>68</v>
      </c>
      <c r="AO346" s="379">
        <v>80</v>
      </c>
      <c r="AP346" s="460">
        <v>1</v>
      </c>
      <c r="AQ346" s="460">
        <v>0</v>
      </c>
      <c r="AR346" s="458" t="s">
        <v>182</v>
      </c>
      <c r="AS346" s="462">
        <f t="shared" si="85"/>
        <v>0</v>
      </c>
      <c r="AT346">
        <f t="shared" si="86"/>
        <v>0</v>
      </c>
      <c r="AU346" s="462" t="str">
        <f>IF(AT346=0,"",IF(AND(AT346=1,M346="F",SUMIF(C2:C698,C346,AS2:AS698)&lt;=1),SUMIF(C2:C698,C346,AS2:AS698),IF(AND(AT346=1,M346="F",SUMIF(C2:C698,C346,AS2:AS698)&gt;1),1,"")))</f>
        <v/>
      </c>
      <c r="AV346" s="462" t="str">
        <f>IF(AT346=0,"",IF(AND(AT346=3,M346="F",SUMIF(C2:C698,C346,AS2:AS698)&lt;=1),SUMIF(C2:C698,C346,AS2:AS698),IF(AND(AT346=3,M346="F",SUMIF(C2:C698,C346,AS2:AS698)&gt;1),1,"")))</f>
        <v/>
      </c>
      <c r="AW346" s="462">
        <f>SUMIF(C2:C698,C346,O2:O698)</f>
        <v>4</v>
      </c>
      <c r="AX346" s="462">
        <f>IF(AND(M346="F",AS346&lt;&gt;0),SUMIF(C2:C698,C346,W2:W698),0)</f>
        <v>0</v>
      </c>
      <c r="AY346" s="462" t="str">
        <f t="shared" si="87"/>
        <v/>
      </c>
      <c r="AZ346" s="462" t="str">
        <f t="shared" si="88"/>
        <v/>
      </c>
      <c r="BA346" s="462">
        <f t="shared" si="89"/>
        <v>0</v>
      </c>
      <c r="BB346" s="462">
        <f>IF(AND(AT346=1,AK346="E",AU346&gt;=0.75,AW346=1),Health,IF(AND(AT346=1,AK346="E",AU346&gt;=0.75),Health*P346,IF(AND(AT346=1,AK346="E",AU346&gt;=0.5,AW346=1),PTHealth,IF(AND(AT346=1,AK346="E",AU346&gt;=0.5),PTHealth*P346,0))))</f>
        <v>0</v>
      </c>
      <c r="BC346" s="462">
        <f>IF(AND(AT346=3,AK346="E",AV346&gt;=0.75,AW346=1),Health,IF(AND(AT346=3,AK346="E",AV346&gt;=0.75),Health*P346,IF(AND(AT346=3,AK346="E",AV346&gt;=0.5,AW346=1),PTHealth,IF(AND(AT346=3,AK346="E",AV346&gt;=0.5),PTHealth*P346,0))))</f>
        <v>0</v>
      </c>
      <c r="BD346" s="462">
        <f>IF(AND(AT346&lt;&gt;0,AX346&gt;=MAXSSDI),SSDI*MAXSSDI*P346,IF(AT346&lt;&gt;0,SSDI*W346,0))</f>
        <v>0</v>
      </c>
      <c r="BE346" s="462">
        <f>IF(AT346&lt;&gt;0,SSHI*W346,0)</f>
        <v>0</v>
      </c>
      <c r="BF346" s="462">
        <f>IF(AND(AT346&lt;&gt;0,AN346&lt;&gt;"NE"),VLOOKUP(AN346,Retirement_Rates,3,FALSE)*W346,0)</f>
        <v>0</v>
      </c>
      <c r="BG346" s="462">
        <f>IF(AND(AT346&lt;&gt;0,AJ346&lt;&gt;"PF"),Life*W346,0)</f>
        <v>0</v>
      </c>
      <c r="BH346" s="462">
        <f>IF(AND(AT346&lt;&gt;0,AM346="Y"),UI*W346,0)</f>
        <v>0</v>
      </c>
      <c r="BI346" s="462">
        <f>IF(AND(AT346&lt;&gt;0,N346&lt;&gt;"NR"),DHR*W346,0)</f>
        <v>0</v>
      </c>
      <c r="BJ346" s="462">
        <f>IF(AT346&lt;&gt;0,WC*W346,0)</f>
        <v>0</v>
      </c>
      <c r="BK346" s="462">
        <f>IF(OR(AND(AT346&lt;&gt;0,AJ346&lt;&gt;"PF",AN346&lt;&gt;"NE",AG346&lt;&gt;"A"),AND(AL346="E",OR(AT346=1,AT346=3))),Sick*W346,0)</f>
        <v>0</v>
      </c>
      <c r="BL346" s="462">
        <f t="shared" si="90"/>
        <v>0</v>
      </c>
      <c r="BM346" s="462">
        <f t="shared" si="91"/>
        <v>0</v>
      </c>
      <c r="BN346" s="462">
        <f>IF(AND(AT346=1,AK346="E",AU346&gt;=0.75,AW346=1),HealthBY,IF(AND(AT346=1,AK346="E",AU346&gt;=0.75),HealthBY*P346,IF(AND(AT346=1,AK346="E",AU346&gt;=0.5,AW346=1),PTHealthBY,IF(AND(AT346=1,AK346="E",AU346&gt;=0.5),PTHealthBY*P346,0))))</f>
        <v>0</v>
      </c>
      <c r="BO346" s="462">
        <f>IF(AND(AT346=3,AK346="E",AV346&gt;=0.75,AW346=1),HealthBY,IF(AND(AT346=3,AK346="E",AV346&gt;=0.75),HealthBY*P346,IF(AND(AT346=3,AK346="E",AV346&gt;=0.5,AW346=1),PTHealthBY,IF(AND(AT346=3,AK346="E",AV346&gt;=0.5),PTHealthBY*P346,0))))</f>
        <v>0</v>
      </c>
      <c r="BP346" s="462">
        <f>IF(AND(AT346&lt;&gt;0,(AX346+BA346)&gt;=MAXSSDIBY),SSDIBY*MAXSSDIBY*P346,IF(AT346&lt;&gt;0,SSDIBY*W346,0))</f>
        <v>0</v>
      </c>
      <c r="BQ346" s="462">
        <f>IF(AT346&lt;&gt;0,SSHIBY*W346,0)</f>
        <v>0</v>
      </c>
      <c r="BR346" s="462">
        <f>IF(AND(AT346&lt;&gt;0,AN346&lt;&gt;"NE"),VLOOKUP(AN346,Retirement_Rates,4,FALSE)*W346,0)</f>
        <v>0</v>
      </c>
      <c r="BS346" s="462">
        <f>IF(AND(AT346&lt;&gt;0,AJ346&lt;&gt;"PF"),LifeBY*W346,0)</f>
        <v>0</v>
      </c>
      <c r="BT346" s="462">
        <f>IF(AND(AT346&lt;&gt;0,AM346="Y"),UIBY*W346,0)</f>
        <v>0</v>
      </c>
      <c r="BU346" s="462">
        <f>IF(AND(AT346&lt;&gt;0,N346&lt;&gt;"NR"),DHRBY*W346,0)</f>
        <v>0</v>
      </c>
      <c r="BV346" s="462">
        <f>IF(AT346&lt;&gt;0,WCBY*W346,0)</f>
        <v>0</v>
      </c>
      <c r="BW346" s="462">
        <f>IF(OR(AND(AT346&lt;&gt;0,AJ346&lt;&gt;"PF",AN346&lt;&gt;"NE",AG346&lt;&gt;"A"),AND(AL346="E",OR(AT346=1,AT346=3))),SickBY*W346,0)</f>
        <v>0</v>
      </c>
      <c r="BX346" s="462">
        <f t="shared" si="92"/>
        <v>0</v>
      </c>
      <c r="BY346" s="462">
        <f t="shared" si="93"/>
        <v>0</v>
      </c>
      <c r="BZ346" s="462">
        <f t="shared" si="94"/>
        <v>0</v>
      </c>
      <c r="CA346" s="462">
        <f t="shared" si="95"/>
        <v>0</v>
      </c>
      <c r="CB346" s="462">
        <f t="shared" si="96"/>
        <v>0</v>
      </c>
      <c r="CC346" s="462">
        <f>IF(AT346&lt;&gt;0,SSHICHG*Y346,0)</f>
        <v>0</v>
      </c>
      <c r="CD346" s="462">
        <f>IF(AND(AT346&lt;&gt;0,AN346&lt;&gt;"NE"),VLOOKUP(AN346,Retirement_Rates,5,FALSE)*Y346,0)</f>
        <v>0</v>
      </c>
      <c r="CE346" s="462">
        <f>IF(AND(AT346&lt;&gt;0,AJ346&lt;&gt;"PF"),LifeCHG*Y346,0)</f>
        <v>0</v>
      </c>
      <c r="CF346" s="462">
        <f>IF(AND(AT346&lt;&gt;0,AM346="Y"),UICHG*Y346,0)</f>
        <v>0</v>
      </c>
      <c r="CG346" s="462">
        <f>IF(AND(AT346&lt;&gt;0,N346&lt;&gt;"NR"),DHRCHG*Y346,0)</f>
        <v>0</v>
      </c>
      <c r="CH346" s="462">
        <f>IF(AT346&lt;&gt;0,WCCHG*Y346,0)</f>
        <v>0</v>
      </c>
      <c r="CI346" s="462">
        <f>IF(OR(AND(AT346&lt;&gt;0,AJ346&lt;&gt;"PF",AN346&lt;&gt;"NE",AG346&lt;&gt;"A"),AND(AL346="E",OR(AT346=1,AT346=3))),SickCHG*Y346,0)</f>
        <v>0</v>
      </c>
      <c r="CJ346" s="462">
        <f t="shared" si="97"/>
        <v>0</v>
      </c>
      <c r="CK346" s="462" t="str">
        <f t="shared" si="98"/>
        <v/>
      </c>
      <c r="CL346" s="462" t="str">
        <f t="shared" si="99"/>
        <v/>
      </c>
      <c r="CM346" s="462" t="str">
        <f t="shared" si="100"/>
        <v/>
      </c>
      <c r="CN346" s="462" t="str">
        <f t="shared" si="101"/>
        <v>0330-05</v>
      </c>
    </row>
    <row r="347" spans="1:92" ht="15" thickBot="1" x14ac:dyDescent="0.35">
      <c r="A347" s="376" t="s">
        <v>161</v>
      </c>
      <c r="B347" s="376" t="s">
        <v>162</v>
      </c>
      <c r="C347" s="376" t="s">
        <v>830</v>
      </c>
      <c r="D347" s="376" t="s">
        <v>250</v>
      </c>
      <c r="E347" s="376" t="s">
        <v>931</v>
      </c>
      <c r="F347" s="382" t="s">
        <v>659</v>
      </c>
      <c r="G347" s="376" t="s">
        <v>762</v>
      </c>
      <c r="H347" s="378"/>
      <c r="I347" s="378"/>
      <c r="J347" s="376" t="s">
        <v>168</v>
      </c>
      <c r="K347" s="376" t="s">
        <v>407</v>
      </c>
      <c r="L347" s="376" t="s">
        <v>247</v>
      </c>
      <c r="M347" s="376" t="s">
        <v>170</v>
      </c>
      <c r="N347" s="376" t="s">
        <v>202</v>
      </c>
      <c r="O347" s="379">
        <v>1</v>
      </c>
      <c r="P347" s="460">
        <v>0</v>
      </c>
      <c r="Q347" s="460">
        <v>0</v>
      </c>
      <c r="R347" s="380">
        <v>80</v>
      </c>
      <c r="S347" s="460">
        <v>0</v>
      </c>
      <c r="T347" s="380">
        <v>860.1</v>
      </c>
      <c r="U347" s="380">
        <v>0</v>
      </c>
      <c r="V347" s="380">
        <v>357.49</v>
      </c>
      <c r="W347" s="380">
        <v>0</v>
      </c>
      <c r="X347" s="380">
        <v>0</v>
      </c>
      <c r="Y347" s="380">
        <v>0</v>
      </c>
      <c r="Z347" s="380">
        <v>0</v>
      </c>
      <c r="AA347" s="376" t="s">
        <v>831</v>
      </c>
      <c r="AB347" s="376" t="s">
        <v>832</v>
      </c>
      <c r="AC347" s="376" t="s">
        <v>800</v>
      </c>
      <c r="AD347" s="376" t="s">
        <v>190</v>
      </c>
      <c r="AE347" s="376" t="s">
        <v>407</v>
      </c>
      <c r="AF347" s="376" t="s">
        <v>299</v>
      </c>
      <c r="AG347" s="376" t="s">
        <v>177</v>
      </c>
      <c r="AH347" s="381">
        <v>29.9</v>
      </c>
      <c r="AI347" s="381">
        <v>17156.099999999999</v>
      </c>
      <c r="AJ347" s="376" t="s">
        <v>178</v>
      </c>
      <c r="AK347" s="376" t="s">
        <v>179</v>
      </c>
      <c r="AL347" s="376" t="s">
        <v>180</v>
      </c>
      <c r="AM347" s="376" t="s">
        <v>181</v>
      </c>
      <c r="AN347" s="376" t="s">
        <v>68</v>
      </c>
      <c r="AO347" s="379">
        <v>80</v>
      </c>
      <c r="AP347" s="460">
        <v>1</v>
      </c>
      <c r="AQ347" s="460">
        <v>0</v>
      </c>
      <c r="AR347" s="458" t="s">
        <v>182</v>
      </c>
      <c r="AS347" s="462">
        <f t="shared" si="85"/>
        <v>0</v>
      </c>
      <c r="AT347">
        <f t="shared" si="86"/>
        <v>0</v>
      </c>
      <c r="AU347" s="462" t="str">
        <f>IF(AT347=0,"",IF(AND(AT347=1,M347="F",SUMIF(C2:C698,C347,AS2:AS698)&lt;=1),SUMIF(C2:C698,C347,AS2:AS698),IF(AND(AT347=1,M347="F",SUMIF(C2:C698,C347,AS2:AS698)&gt;1),1,"")))</f>
        <v/>
      </c>
      <c r="AV347" s="462" t="str">
        <f>IF(AT347=0,"",IF(AND(AT347=3,M347="F",SUMIF(C2:C698,C347,AS2:AS698)&lt;=1),SUMIF(C2:C698,C347,AS2:AS698),IF(AND(AT347=3,M347="F",SUMIF(C2:C698,C347,AS2:AS698)&gt;1),1,"")))</f>
        <v/>
      </c>
      <c r="AW347" s="462">
        <f>SUMIF(C2:C698,C347,O2:O698)</f>
        <v>3</v>
      </c>
      <c r="AX347" s="462">
        <f>IF(AND(M347="F",AS347&lt;&gt;0),SUMIF(C2:C698,C347,W2:W698),0)</f>
        <v>0</v>
      </c>
      <c r="AY347" s="462" t="str">
        <f t="shared" si="87"/>
        <v/>
      </c>
      <c r="AZ347" s="462" t="str">
        <f t="shared" si="88"/>
        <v/>
      </c>
      <c r="BA347" s="462">
        <f t="shared" si="89"/>
        <v>0</v>
      </c>
      <c r="BB347" s="462">
        <f>IF(AND(AT347=1,AK347="E",AU347&gt;=0.75,AW347=1),Health,IF(AND(AT347=1,AK347="E",AU347&gt;=0.75),Health*P347,IF(AND(AT347=1,AK347="E",AU347&gt;=0.5,AW347=1),PTHealth,IF(AND(AT347=1,AK347="E",AU347&gt;=0.5),PTHealth*P347,0))))</f>
        <v>0</v>
      </c>
      <c r="BC347" s="462">
        <f>IF(AND(AT347=3,AK347="E",AV347&gt;=0.75,AW347=1),Health,IF(AND(AT347=3,AK347="E",AV347&gt;=0.75),Health*P347,IF(AND(AT347=3,AK347="E",AV347&gt;=0.5,AW347=1),PTHealth,IF(AND(AT347=3,AK347="E",AV347&gt;=0.5),PTHealth*P347,0))))</f>
        <v>0</v>
      </c>
      <c r="BD347" s="462">
        <f>IF(AND(AT347&lt;&gt;0,AX347&gt;=MAXSSDI),SSDI*MAXSSDI*P347,IF(AT347&lt;&gt;0,SSDI*W347,0))</f>
        <v>0</v>
      </c>
      <c r="BE347" s="462">
        <f>IF(AT347&lt;&gt;0,SSHI*W347,0)</f>
        <v>0</v>
      </c>
      <c r="BF347" s="462">
        <f>IF(AND(AT347&lt;&gt;0,AN347&lt;&gt;"NE"),VLOOKUP(AN347,Retirement_Rates,3,FALSE)*W347,0)</f>
        <v>0</v>
      </c>
      <c r="BG347" s="462">
        <f>IF(AND(AT347&lt;&gt;0,AJ347&lt;&gt;"PF"),Life*W347,0)</f>
        <v>0</v>
      </c>
      <c r="BH347" s="462">
        <f>IF(AND(AT347&lt;&gt;0,AM347="Y"),UI*W347,0)</f>
        <v>0</v>
      </c>
      <c r="BI347" s="462">
        <f>IF(AND(AT347&lt;&gt;0,N347&lt;&gt;"NR"),DHR*W347,0)</f>
        <v>0</v>
      </c>
      <c r="BJ347" s="462">
        <f>IF(AT347&lt;&gt;0,WC*W347,0)</f>
        <v>0</v>
      </c>
      <c r="BK347" s="462">
        <f>IF(OR(AND(AT347&lt;&gt;0,AJ347&lt;&gt;"PF",AN347&lt;&gt;"NE",AG347&lt;&gt;"A"),AND(AL347="E",OR(AT347=1,AT347=3))),Sick*W347,0)</f>
        <v>0</v>
      </c>
      <c r="BL347" s="462">
        <f t="shared" si="90"/>
        <v>0</v>
      </c>
      <c r="BM347" s="462">
        <f t="shared" si="91"/>
        <v>0</v>
      </c>
      <c r="BN347" s="462">
        <f>IF(AND(AT347=1,AK347="E",AU347&gt;=0.75,AW347=1),HealthBY,IF(AND(AT347=1,AK347="E",AU347&gt;=0.75),HealthBY*P347,IF(AND(AT347=1,AK347="E",AU347&gt;=0.5,AW347=1),PTHealthBY,IF(AND(AT347=1,AK347="E",AU347&gt;=0.5),PTHealthBY*P347,0))))</f>
        <v>0</v>
      </c>
      <c r="BO347" s="462">
        <f>IF(AND(AT347=3,AK347="E",AV347&gt;=0.75,AW347=1),HealthBY,IF(AND(AT347=3,AK347="E",AV347&gt;=0.75),HealthBY*P347,IF(AND(AT347=3,AK347="E",AV347&gt;=0.5,AW347=1),PTHealthBY,IF(AND(AT347=3,AK347="E",AV347&gt;=0.5),PTHealthBY*P347,0))))</f>
        <v>0</v>
      </c>
      <c r="BP347" s="462">
        <f>IF(AND(AT347&lt;&gt;0,(AX347+BA347)&gt;=MAXSSDIBY),SSDIBY*MAXSSDIBY*P347,IF(AT347&lt;&gt;0,SSDIBY*W347,0))</f>
        <v>0</v>
      </c>
      <c r="BQ347" s="462">
        <f>IF(AT347&lt;&gt;0,SSHIBY*W347,0)</f>
        <v>0</v>
      </c>
      <c r="BR347" s="462">
        <f>IF(AND(AT347&lt;&gt;0,AN347&lt;&gt;"NE"),VLOOKUP(AN347,Retirement_Rates,4,FALSE)*W347,0)</f>
        <v>0</v>
      </c>
      <c r="BS347" s="462">
        <f>IF(AND(AT347&lt;&gt;0,AJ347&lt;&gt;"PF"),LifeBY*W347,0)</f>
        <v>0</v>
      </c>
      <c r="BT347" s="462">
        <f>IF(AND(AT347&lt;&gt;0,AM347="Y"),UIBY*W347,0)</f>
        <v>0</v>
      </c>
      <c r="BU347" s="462">
        <f>IF(AND(AT347&lt;&gt;0,N347&lt;&gt;"NR"),DHRBY*W347,0)</f>
        <v>0</v>
      </c>
      <c r="BV347" s="462">
        <f>IF(AT347&lt;&gt;0,WCBY*W347,0)</f>
        <v>0</v>
      </c>
      <c r="BW347" s="462">
        <f>IF(OR(AND(AT347&lt;&gt;0,AJ347&lt;&gt;"PF",AN347&lt;&gt;"NE",AG347&lt;&gt;"A"),AND(AL347="E",OR(AT347=1,AT347=3))),SickBY*W347,0)</f>
        <v>0</v>
      </c>
      <c r="BX347" s="462">
        <f t="shared" si="92"/>
        <v>0</v>
      </c>
      <c r="BY347" s="462">
        <f t="shared" si="93"/>
        <v>0</v>
      </c>
      <c r="BZ347" s="462">
        <f t="shared" si="94"/>
        <v>0</v>
      </c>
      <c r="CA347" s="462">
        <f t="shared" si="95"/>
        <v>0</v>
      </c>
      <c r="CB347" s="462">
        <f t="shared" si="96"/>
        <v>0</v>
      </c>
      <c r="CC347" s="462">
        <f>IF(AT347&lt;&gt;0,SSHICHG*Y347,0)</f>
        <v>0</v>
      </c>
      <c r="CD347" s="462">
        <f>IF(AND(AT347&lt;&gt;0,AN347&lt;&gt;"NE"),VLOOKUP(AN347,Retirement_Rates,5,FALSE)*Y347,0)</f>
        <v>0</v>
      </c>
      <c r="CE347" s="462">
        <f>IF(AND(AT347&lt;&gt;0,AJ347&lt;&gt;"PF"),LifeCHG*Y347,0)</f>
        <v>0</v>
      </c>
      <c r="CF347" s="462">
        <f>IF(AND(AT347&lt;&gt;0,AM347="Y"),UICHG*Y347,0)</f>
        <v>0</v>
      </c>
      <c r="CG347" s="462">
        <f>IF(AND(AT347&lt;&gt;0,N347&lt;&gt;"NR"),DHRCHG*Y347,0)</f>
        <v>0</v>
      </c>
      <c r="CH347" s="462">
        <f>IF(AT347&lt;&gt;0,WCCHG*Y347,0)</f>
        <v>0</v>
      </c>
      <c r="CI347" s="462">
        <f>IF(OR(AND(AT347&lt;&gt;0,AJ347&lt;&gt;"PF",AN347&lt;&gt;"NE",AG347&lt;&gt;"A"),AND(AL347="E",OR(AT347=1,AT347=3))),SickCHG*Y347,0)</f>
        <v>0</v>
      </c>
      <c r="CJ347" s="462">
        <f t="shared" si="97"/>
        <v>0</v>
      </c>
      <c r="CK347" s="462" t="str">
        <f t="shared" si="98"/>
        <v/>
      </c>
      <c r="CL347" s="462" t="str">
        <f t="shared" si="99"/>
        <v/>
      </c>
      <c r="CM347" s="462" t="str">
        <f t="shared" si="100"/>
        <v/>
      </c>
      <c r="CN347" s="462" t="str">
        <f t="shared" si="101"/>
        <v>0330-05</v>
      </c>
    </row>
    <row r="348" spans="1:92" ht="15" thickBot="1" x14ac:dyDescent="0.35">
      <c r="A348" s="376" t="s">
        <v>161</v>
      </c>
      <c r="B348" s="376" t="s">
        <v>162</v>
      </c>
      <c r="C348" s="376" t="s">
        <v>860</v>
      </c>
      <c r="D348" s="376" t="s">
        <v>861</v>
      </c>
      <c r="E348" s="376" t="s">
        <v>931</v>
      </c>
      <c r="F348" s="382" t="s">
        <v>659</v>
      </c>
      <c r="G348" s="376" t="s">
        <v>762</v>
      </c>
      <c r="H348" s="378"/>
      <c r="I348" s="378"/>
      <c r="J348" s="376" t="s">
        <v>168</v>
      </c>
      <c r="K348" s="376" t="s">
        <v>862</v>
      </c>
      <c r="L348" s="376" t="s">
        <v>274</v>
      </c>
      <c r="M348" s="376" t="s">
        <v>201</v>
      </c>
      <c r="N348" s="376" t="s">
        <v>202</v>
      </c>
      <c r="O348" s="379">
        <v>0</v>
      </c>
      <c r="P348" s="460">
        <v>0</v>
      </c>
      <c r="Q348" s="460">
        <v>0</v>
      </c>
      <c r="R348" s="380">
        <v>80</v>
      </c>
      <c r="S348" s="460">
        <v>0</v>
      </c>
      <c r="T348" s="380">
        <v>502.5</v>
      </c>
      <c r="U348" s="380">
        <v>0</v>
      </c>
      <c r="V348" s="380">
        <v>288.08999999999997</v>
      </c>
      <c r="W348" s="380">
        <v>0</v>
      </c>
      <c r="X348" s="380">
        <v>0</v>
      </c>
      <c r="Y348" s="380">
        <v>0</v>
      </c>
      <c r="Z348" s="380">
        <v>0</v>
      </c>
      <c r="AA348" s="378"/>
      <c r="AB348" s="376" t="s">
        <v>45</v>
      </c>
      <c r="AC348" s="376" t="s">
        <v>45</v>
      </c>
      <c r="AD348" s="378"/>
      <c r="AE348" s="378"/>
      <c r="AF348" s="378"/>
      <c r="AG348" s="378"/>
      <c r="AH348" s="379">
        <v>0</v>
      </c>
      <c r="AI348" s="379">
        <v>0</v>
      </c>
      <c r="AJ348" s="378"/>
      <c r="AK348" s="378"/>
      <c r="AL348" s="376" t="s">
        <v>180</v>
      </c>
      <c r="AM348" s="378"/>
      <c r="AN348" s="378"/>
      <c r="AO348" s="379">
        <v>0</v>
      </c>
      <c r="AP348" s="460">
        <v>0</v>
      </c>
      <c r="AQ348" s="460">
        <v>0</v>
      </c>
      <c r="AR348" s="459"/>
      <c r="AS348" s="462">
        <f t="shared" si="85"/>
        <v>0</v>
      </c>
      <c r="AT348">
        <f t="shared" si="86"/>
        <v>0</v>
      </c>
      <c r="AU348" s="462" t="str">
        <f>IF(AT348=0,"",IF(AND(AT348=1,M348="F",SUMIF(C2:C698,C348,AS2:AS698)&lt;=1),SUMIF(C2:C698,C348,AS2:AS698),IF(AND(AT348=1,M348="F",SUMIF(C2:C698,C348,AS2:AS698)&gt;1),1,"")))</f>
        <v/>
      </c>
      <c r="AV348" s="462" t="str">
        <f>IF(AT348=0,"",IF(AND(AT348=3,M348="F",SUMIF(C2:C698,C348,AS2:AS698)&lt;=1),SUMIF(C2:C698,C348,AS2:AS698),IF(AND(AT348=3,M348="F",SUMIF(C2:C698,C348,AS2:AS698)&gt;1),1,"")))</f>
        <v/>
      </c>
      <c r="AW348" s="462">
        <f>SUMIF(C2:C698,C348,O2:O698)</f>
        <v>0</v>
      </c>
      <c r="AX348" s="462">
        <f>IF(AND(M348="F",AS348&lt;&gt;0),SUMIF(C2:C698,C348,W2:W698),0)</f>
        <v>0</v>
      </c>
      <c r="AY348" s="462" t="str">
        <f t="shared" si="87"/>
        <v/>
      </c>
      <c r="AZ348" s="462" t="str">
        <f t="shared" si="88"/>
        <v/>
      </c>
      <c r="BA348" s="462">
        <f t="shared" si="89"/>
        <v>0</v>
      </c>
      <c r="BB348" s="462">
        <f>IF(AND(AT348=1,AK348="E",AU348&gt;=0.75,AW348=1),Health,IF(AND(AT348=1,AK348="E",AU348&gt;=0.75),Health*P348,IF(AND(AT348=1,AK348="E",AU348&gt;=0.5,AW348=1),PTHealth,IF(AND(AT348=1,AK348="E",AU348&gt;=0.5),PTHealth*P348,0))))</f>
        <v>0</v>
      </c>
      <c r="BC348" s="462">
        <f>IF(AND(AT348=3,AK348="E",AV348&gt;=0.75,AW348=1),Health,IF(AND(AT348=3,AK348="E",AV348&gt;=0.75),Health*P348,IF(AND(AT348=3,AK348="E",AV348&gt;=0.5,AW348=1),PTHealth,IF(AND(AT348=3,AK348="E",AV348&gt;=0.5),PTHealth*P348,0))))</f>
        <v>0</v>
      </c>
      <c r="BD348" s="462">
        <f>IF(AND(AT348&lt;&gt;0,AX348&gt;=MAXSSDI),SSDI*MAXSSDI*P348,IF(AT348&lt;&gt;0,SSDI*W348,0))</f>
        <v>0</v>
      </c>
      <c r="BE348" s="462">
        <f>IF(AT348&lt;&gt;0,SSHI*W348,0)</f>
        <v>0</v>
      </c>
      <c r="BF348" s="462">
        <f>IF(AND(AT348&lt;&gt;0,AN348&lt;&gt;"NE"),VLOOKUP(AN348,Retirement_Rates,3,FALSE)*W348,0)</f>
        <v>0</v>
      </c>
      <c r="BG348" s="462">
        <f>IF(AND(AT348&lt;&gt;0,AJ348&lt;&gt;"PF"),Life*W348,0)</f>
        <v>0</v>
      </c>
      <c r="BH348" s="462">
        <f>IF(AND(AT348&lt;&gt;0,AM348="Y"),UI*W348,0)</f>
        <v>0</v>
      </c>
      <c r="BI348" s="462">
        <f>IF(AND(AT348&lt;&gt;0,N348&lt;&gt;"NR"),DHR*W348,0)</f>
        <v>0</v>
      </c>
      <c r="BJ348" s="462">
        <f>IF(AT348&lt;&gt;0,WC*W348,0)</f>
        <v>0</v>
      </c>
      <c r="BK348" s="462">
        <f>IF(OR(AND(AT348&lt;&gt;0,AJ348&lt;&gt;"PF",AN348&lt;&gt;"NE",AG348&lt;&gt;"A"),AND(AL348="E",OR(AT348=1,AT348=3))),Sick*W348,0)</f>
        <v>0</v>
      </c>
      <c r="BL348" s="462">
        <f t="shared" si="90"/>
        <v>0</v>
      </c>
      <c r="BM348" s="462">
        <f t="shared" si="91"/>
        <v>0</v>
      </c>
      <c r="BN348" s="462">
        <f>IF(AND(AT348=1,AK348="E",AU348&gt;=0.75,AW348=1),HealthBY,IF(AND(AT348=1,AK348="E",AU348&gt;=0.75),HealthBY*P348,IF(AND(AT348=1,AK348="E",AU348&gt;=0.5,AW348=1),PTHealthBY,IF(AND(AT348=1,AK348="E",AU348&gt;=0.5),PTHealthBY*P348,0))))</f>
        <v>0</v>
      </c>
      <c r="BO348" s="462">
        <f>IF(AND(AT348=3,AK348="E",AV348&gt;=0.75,AW348=1),HealthBY,IF(AND(AT348=3,AK348="E",AV348&gt;=0.75),HealthBY*P348,IF(AND(AT348=3,AK348="E",AV348&gt;=0.5,AW348=1),PTHealthBY,IF(AND(AT348=3,AK348="E",AV348&gt;=0.5),PTHealthBY*P348,0))))</f>
        <v>0</v>
      </c>
      <c r="BP348" s="462">
        <f>IF(AND(AT348&lt;&gt;0,(AX348+BA348)&gt;=MAXSSDIBY),SSDIBY*MAXSSDIBY*P348,IF(AT348&lt;&gt;0,SSDIBY*W348,0))</f>
        <v>0</v>
      </c>
      <c r="BQ348" s="462">
        <f>IF(AT348&lt;&gt;0,SSHIBY*W348,0)</f>
        <v>0</v>
      </c>
      <c r="BR348" s="462">
        <f>IF(AND(AT348&lt;&gt;0,AN348&lt;&gt;"NE"),VLOOKUP(AN348,Retirement_Rates,4,FALSE)*W348,0)</f>
        <v>0</v>
      </c>
      <c r="BS348" s="462">
        <f>IF(AND(AT348&lt;&gt;0,AJ348&lt;&gt;"PF"),LifeBY*W348,0)</f>
        <v>0</v>
      </c>
      <c r="BT348" s="462">
        <f>IF(AND(AT348&lt;&gt;0,AM348="Y"),UIBY*W348,0)</f>
        <v>0</v>
      </c>
      <c r="BU348" s="462">
        <f>IF(AND(AT348&lt;&gt;0,N348&lt;&gt;"NR"),DHRBY*W348,0)</f>
        <v>0</v>
      </c>
      <c r="BV348" s="462">
        <f>IF(AT348&lt;&gt;0,WCBY*W348,0)</f>
        <v>0</v>
      </c>
      <c r="BW348" s="462">
        <f>IF(OR(AND(AT348&lt;&gt;0,AJ348&lt;&gt;"PF",AN348&lt;&gt;"NE",AG348&lt;&gt;"A"),AND(AL348="E",OR(AT348=1,AT348=3))),SickBY*W348,0)</f>
        <v>0</v>
      </c>
      <c r="BX348" s="462">
        <f t="shared" si="92"/>
        <v>0</v>
      </c>
      <c r="BY348" s="462">
        <f t="shared" si="93"/>
        <v>0</v>
      </c>
      <c r="BZ348" s="462">
        <f t="shared" si="94"/>
        <v>0</v>
      </c>
      <c r="CA348" s="462">
        <f t="shared" si="95"/>
        <v>0</v>
      </c>
      <c r="CB348" s="462">
        <f t="shared" si="96"/>
        <v>0</v>
      </c>
      <c r="CC348" s="462">
        <f>IF(AT348&lt;&gt;0,SSHICHG*Y348,0)</f>
        <v>0</v>
      </c>
      <c r="CD348" s="462">
        <f>IF(AND(AT348&lt;&gt;0,AN348&lt;&gt;"NE"),VLOOKUP(AN348,Retirement_Rates,5,FALSE)*Y348,0)</f>
        <v>0</v>
      </c>
      <c r="CE348" s="462">
        <f>IF(AND(AT348&lt;&gt;0,AJ348&lt;&gt;"PF"),LifeCHG*Y348,0)</f>
        <v>0</v>
      </c>
      <c r="CF348" s="462">
        <f>IF(AND(AT348&lt;&gt;0,AM348="Y"),UICHG*Y348,0)</f>
        <v>0</v>
      </c>
      <c r="CG348" s="462">
        <f>IF(AND(AT348&lt;&gt;0,N348&lt;&gt;"NR"),DHRCHG*Y348,0)</f>
        <v>0</v>
      </c>
      <c r="CH348" s="462">
        <f>IF(AT348&lt;&gt;0,WCCHG*Y348,0)</f>
        <v>0</v>
      </c>
      <c r="CI348" s="462">
        <f>IF(OR(AND(AT348&lt;&gt;0,AJ348&lt;&gt;"PF",AN348&lt;&gt;"NE",AG348&lt;&gt;"A"),AND(AL348="E",OR(AT348=1,AT348=3))),SickCHG*Y348,0)</f>
        <v>0</v>
      </c>
      <c r="CJ348" s="462">
        <f t="shared" si="97"/>
        <v>0</v>
      </c>
      <c r="CK348" s="462" t="str">
        <f t="shared" si="98"/>
        <v/>
      </c>
      <c r="CL348" s="462" t="str">
        <f t="shared" si="99"/>
        <v/>
      </c>
      <c r="CM348" s="462" t="str">
        <f t="shared" si="100"/>
        <v/>
      </c>
      <c r="CN348" s="462" t="str">
        <f t="shared" si="101"/>
        <v>0330-05</v>
      </c>
    </row>
    <row r="349" spans="1:92" ht="15" thickBot="1" x14ac:dyDescent="0.35">
      <c r="A349" s="376" t="s">
        <v>161</v>
      </c>
      <c r="B349" s="376" t="s">
        <v>162</v>
      </c>
      <c r="C349" s="376" t="s">
        <v>872</v>
      </c>
      <c r="D349" s="376" t="s">
        <v>362</v>
      </c>
      <c r="E349" s="376" t="s">
        <v>931</v>
      </c>
      <c r="F349" s="382" t="s">
        <v>659</v>
      </c>
      <c r="G349" s="376" t="s">
        <v>762</v>
      </c>
      <c r="H349" s="378"/>
      <c r="I349" s="378"/>
      <c r="J349" s="376" t="s">
        <v>168</v>
      </c>
      <c r="K349" s="376" t="s">
        <v>363</v>
      </c>
      <c r="L349" s="376" t="s">
        <v>200</v>
      </c>
      <c r="M349" s="376" t="s">
        <v>201</v>
      </c>
      <c r="N349" s="376" t="s">
        <v>202</v>
      </c>
      <c r="O349" s="379">
        <v>0</v>
      </c>
      <c r="P349" s="460">
        <v>0</v>
      </c>
      <c r="Q349" s="460">
        <v>0</v>
      </c>
      <c r="R349" s="380">
        <v>80</v>
      </c>
      <c r="S349" s="460">
        <v>0</v>
      </c>
      <c r="T349" s="380">
        <v>3120.45</v>
      </c>
      <c r="U349" s="380">
        <v>0</v>
      </c>
      <c r="V349" s="380">
        <v>1540.01</v>
      </c>
      <c r="W349" s="380">
        <v>0</v>
      </c>
      <c r="X349" s="380">
        <v>0</v>
      </c>
      <c r="Y349" s="380">
        <v>0</v>
      </c>
      <c r="Z349" s="380">
        <v>0</v>
      </c>
      <c r="AA349" s="378"/>
      <c r="AB349" s="376" t="s">
        <v>45</v>
      </c>
      <c r="AC349" s="376" t="s">
        <v>45</v>
      </c>
      <c r="AD349" s="378"/>
      <c r="AE349" s="378"/>
      <c r="AF349" s="378"/>
      <c r="AG349" s="378"/>
      <c r="AH349" s="379">
        <v>0</v>
      </c>
      <c r="AI349" s="379">
        <v>0</v>
      </c>
      <c r="AJ349" s="378"/>
      <c r="AK349" s="378"/>
      <c r="AL349" s="376" t="s">
        <v>180</v>
      </c>
      <c r="AM349" s="378"/>
      <c r="AN349" s="378"/>
      <c r="AO349" s="379">
        <v>0</v>
      </c>
      <c r="AP349" s="460">
        <v>0</v>
      </c>
      <c r="AQ349" s="460">
        <v>0</v>
      </c>
      <c r="AR349" s="459"/>
      <c r="AS349" s="462">
        <f t="shared" si="85"/>
        <v>0</v>
      </c>
      <c r="AT349">
        <f t="shared" si="86"/>
        <v>0</v>
      </c>
      <c r="AU349" s="462" t="str">
        <f>IF(AT349=0,"",IF(AND(AT349=1,M349="F",SUMIF(C2:C698,C349,AS2:AS698)&lt;=1),SUMIF(C2:C698,C349,AS2:AS698),IF(AND(AT349=1,M349="F",SUMIF(C2:C698,C349,AS2:AS698)&gt;1),1,"")))</f>
        <v/>
      </c>
      <c r="AV349" s="462" t="str">
        <f>IF(AT349=0,"",IF(AND(AT349=3,M349="F",SUMIF(C2:C698,C349,AS2:AS698)&lt;=1),SUMIF(C2:C698,C349,AS2:AS698),IF(AND(AT349=3,M349="F",SUMIF(C2:C698,C349,AS2:AS698)&gt;1),1,"")))</f>
        <v/>
      </c>
      <c r="AW349" s="462">
        <f>SUMIF(C2:C698,C349,O2:O698)</f>
        <v>0</v>
      </c>
      <c r="AX349" s="462">
        <f>IF(AND(M349="F",AS349&lt;&gt;0),SUMIF(C2:C698,C349,W2:W698),0)</f>
        <v>0</v>
      </c>
      <c r="AY349" s="462" t="str">
        <f t="shared" si="87"/>
        <v/>
      </c>
      <c r="AZ349" s="462" t="str">
        <f t="shared" si="88"/>
        <v/>
      </c>
      <c r="BA349" s="462">
        <f t="shared" si="89"/>
        <v>0</v>
      </c>
      <c r="BB349" s="462">
        <f>IF(AND(AT349=1,AK349="E",AU349&gt;=0.75,AW349=1),Health,IF(AND(AT349=1,AK349="E",AU349&gt;=0.75),Health*P349,IF(AND(AT349=1,AK349="E",AU349&gt;=0.5,AW349=1),PTHealth,IF(AND(AT349=1,AK349="E",AU349&gt;=0.5),PTHealth*P349,0))))</f>
        <v>0</v>
      </c>
      <c r="BC349" s="462">
        <f>IF(AND(AT349=3,AK349="E",AV349&gt;=0.75,AW349=1),Health,IF(AND(AT349=3,AK349="E",AV349&gt;=0.75),Health*P349,IF(AND(AT349=3,AK349="E",AV349&gt;=0.5,AW349=1),PTHealth,IF(AND(AT349=3,AK349="E",AV349&gt;=0.5),PTHealth*P349,0))))</f>
        <v>0</v>
      </c>
      <c r="BD349" s="462">
        <f>IF(AND(AT349&lt;&gt;0,AX349&gt;=MAXSSDI),SSDI*MAXSSDI*P349,IF(AT349&lt;&gt;0,SSDI*W349,0))</f>
        <v>0</v>
      </c>
      <c r="BE349" s="462">
        <f>IF(AT349&lt;&gt;0,SSHI*W349,0)</f>
        <v>0</v>
      </c>
      <c r="BF349" s="462">
        <f>IF(AND(AT349&lt;&gt;0,AN349&lt;&gt;"NE"),VLOOKUP(AN349,Retirement_Rates,3,FALSE)*W349,0)</f>
        <v>0</v>
      </c>
      <c r="BG349" s="462">
        <f>IF(AND(AT349&lt;&gt;0,AJ349&lt;&gt;"PF"),Life*W349,0)</f>
        <v>0</v>
      </c>
      <c r="BH349" s="462">
        <f>IF(AND(AT349&lt;&gt;0,AM349="Y"),UI*W349,0)</f>
        <v>0</v>
      </c>
      <c r="BI349" s="462">
        <f>IF(AND(AT349&lt;&gt;0,N349&lt;&gt;"NR"),DHR*W349,0)</f>
        <v>0</v>
      </c>
      <c r="BJ349" s="462">
        <f>IF(AT349&lt;&gt;0,WC*W349,0)</f>
        <v>0</v>
      </c>
      <c r="BK349" s="462">
        <f>IF(OR(AND(AT349&lt;&gt;0,AJ349&lt;&gt;"PF",AN349&lt;&gt;"NE",AG349&lt;&gt;"A"),AND(AL349="E",OR(AT349=1,AT349=3))),Sick*W349,0)</f>
        <v>0</v>
      </c>
      <c r="BL349" s="462">
        <f t="shared" si="90"/>
        <v>0</v>
      </c>
      <c r="BM349" s="462">
        <f t="shared" si="91"/>
        <v>0</v>
      </c>
      <c r="BN349" s="462">
        <f>IF(AND(AT349=1,AK349="E",AU349&gt;=0.75,AW349=1),HealthBY,IF(AND(AT349=1,AK349="E",AU349&gt;=0.75),HealthBY*P349,IF(AND(AT349=1,AK349="E",AU349&gt;=0.5,AW349=1),PTHealthBY,IF(AND(AT349=1,AK349="E",AU349&gt;=0.5),PTHealthBY*P349,0))))</f>
        <v>0</v>
      </c>
      <c r="BO349" s="462">
        <f>IF(AND(AT349=3,AK349="E",AV349&gt;=0.75,AW349=1),HealthBY,IF(AND(AT349=3,AK349="E",AV349&gt;=0.75),HealthBY*P349,IF(AND(AT349=3,AK349="E",AV349&gt;=0.5,AW349=1),PTHealthBY,IF(AND(AT349=3,AK349="E",AV349&gt;=0.5),PTHealthBY*P349,0))))</f>
        <v>0</v>
      </c>
      <c r="BP349" s="462">
        <f>IF(AND(AT349&lt;&gt;0,(AX349+BA349)&gt;=MAXSSDIBY),SSDIBY*MAXSSDIBY*P349,IF(AT349&lt;&gt;0,SSDIBY*W349,0))</f>
        <v>0</v>
      </c>
      <c r="BQ349" s="462">
        <f>IF(AT349&lt;&gt;0,SSHIBY*W349,0)</f>
        <v>0</v>
      </c>
      <c r="BR349" s="462">
        <f>IF(AND(AT349&lt;&gt;0,AN349&lt;&gt;"NE"),VLOOKUP(AN349,Retirement_Rates,4,FALSE)*W349,0)</f>
        <v>0</v>
      </c>
      <c r="BS349" s="462">
        <f>IF(AND(AT349&lt;&gt;0,AJ349&lt;&gt;"PF"),LifeBY*W349,0)</f>
        <v>0</v>
      </c>
      <c r="BT349" s="462">
        <f>IF(AND(AT349&lt;&gt;0,AM349="Y"),UIBY*W349,0)</f>
        <v>0</v>
      </c>
      <c r="BU349" s="462">
        <f>IF(AND(AT349&lt;&gt;0,N349&lt;&gt;"NR"),DHRBY*W349,0)</f>
        <v>0</v>
      </c>
      <c r="BV349" s="462">
        <f>IF(AT349&lt;&gt;0,WCBY*W349,0)</f>
        <v>0</v>
      </c>
      <c r="BW349" s="462">
        <f>IF(OR(AND(AT349&lt;&gt;0,AJ349&lt;&gt;"PF",AN349&lt;&gt;"NE",AG349&lt;&gt;"A"),AND(AL349="E",OR(AT349=1,AT349=3))),SickBY*W349,0)</f>
        <v>0</v>
      </c>
      <c r="BX349" s="462">
        <f t="shared" si="92"/>
        <v>0</v>
      </c>
      <c r="BY349" s="462">
        <f t="shared" si="93"/>
        <v>0</v>
      </c>
      <c r="BZ349" s="462">
        <f t="shared" si="94"/>
        <v>0</v>
      </c>
      <c r="CA349" s="462">
        <f t="shared" si="95"/>
        <v>0</v>
      </c>
      <c r="CB349" s="462">
        <f t="shared" si="96"/>
        <v>0</v>
      </c>
      <c r="CC349" s="462">
        <f>IF(AT349&lt;&gt;0,SSHICHG*Y349,0)</f>
        <v>0</v>
      </c>
      <c r="CD349" s="462">
        <f>IF(AND(AT349&lt;&gt;0,AN349&lt;&gt;"NE"),VLOOKUP(AN349,Retirement_Rates,5,FALSE)*Y349,0)</f>
        <v>0</v>
      </c>
      <c r="CE349" s="462">
        <f>IF(AND(AT349&lt;&gt;0,AJ349&lt;&gt;"PF"),LifeCHG*Y349,0)</f>
        <v>0</v>
      </c>
      <c r="CF349" s="462">
        <f>IF(AND(AT349&lt;&gt;0,AM349="Y"),UICHG*Y349,0)</f>
        <v>0</v>
      </c>
      <c r="CG349" s="462">
        <f>IF(AND(AT349&lt;&gt;0,N349&lt;&gt;"NR"),DHRCHG*Y349,0)</f>
        <v>0</v>
      </c>
      <c r="CH349" s="462">
        <f>IF(AT349&lt;&gt;0,WCCHG*Y349,0)</f>
        <v>0</v>
      </c>
      <c r="CI349" s="462">
        <f>IF(OR(AND(AT349&lt;&gt;0,AJ349&lt;&gt;"PF",AN349&lt;&gt;"NE",AG349&lt;&gt;"A"),AND(AL349="E",OR(AT349=1,AT349=3))),SickCHG*Y349,0)</f>
        <v>0</v>
      </c>
      <c r="CJ349" s="462">
        <f t="shared" si="97"/>
        <v>0</v>
      </c>
      <c r="CK349" s="462" t="str">
        <f t="shared" si="98"/>
        <v/>
      </c>
      <c r="CL349" s="462" t="str">
        <f t="shared" si="99"/>
        <v/>
      </c>
      <c r="CM349" s="462" t="str">
        <f t="shared" si="100"/>
        <v/>
      </c>
      <c r="CN349" s="462" t="str">
        <f t="shared" si="101"/>
        <v>0330-05</v>
      </c>
    </row>
    <row r="350" spans="1:92" ht="15" thickBot="1" x14ac:dyDescent="0.35">
      <c r="A350" s="376" t="s">
        <v>161</v>
      </c>
      <c r="B350" s="376" t="s">
        <v>162</v>
      </c>
      <c r="C350" s="376" t="s">
        <v>942</v>
      </c>
      <c r="D350" s="376" t="s">
        <v>943</v>
      </c>
      <c r="E350" s="376" t="s">
        <v>931</v>
      </c>
      <c r="F350" s="382" t="s">
        <v>659</v>
      </c>
      <c r="G350" s="376" t="s">
        <v>762</v>
      </c>
      <c r="H350" s="378"/>
      <c r="I350" s="378"/>
      <c r="J350" s="376" t="s">
        <v>168</v>
      </c>
      <c r="K350" s="376" t="s">
        <v>944</v>
      </c>
      <c r="L350" s="376" t="s">
        <v>166</v>
      </c>
      <c r="M350" s="376" t="s">
        <v>170</v>
      </c>
      <c r="N350" s="376" t="s">
        <v>291</v>
      </c>
      <c r="O350" s="379">
        <v>0</v>
      </c>
      <c r="P350" s="460">
        <v>0</v>
      </c>
      <c r="Q350" s="460">
        <v>0</v>
      </c>
      <c r="R350" s="380">
        <v>0</v>
      </c>
      <c r="S350" s="460">
        <v>0</v>
      </c>
      <c r="T350" s="380">
        <v>7209.8</v>
      </c>
      <c r="U350" s="380">
        <v>0</v>
      </c>
      <c r="V350" s="380">
        <v>966.67</v>
      </c>
      <c r="W350" s="380">
        <v>0</v>
      </c>
      <c r="X350" s="380">
        <v>0</v>
      </c>
      <c r="Y350" s="380">
        <v>0</v>
      </c>
      <c r="Z350" s="380">
        <v>0</v>
      </c>
      <c r="AA350" s="378"/>
      <c r="AB350" s="376" t="s">
        <v>45</v>
      </c>
      <c r="AC350" s="376" t="s">
        <v>45</v>
      </c>
      <c r="AD350" s="378"/>
      <c r="AE350" s="378"/>
      <c r="AF350" s="378"/>
      <c r="AG350" s="378"/>
      <c r="AH350" s="379">
        <v>0</v>
      </c>
      <c r="AI350" s="379">
        <v>0</v>
      </c>
      <c r="AJ350" s="378"/>
      <c r="AK350" s="378"/>
      <c r="AL350" s="376" t="s">
        <v>180</v>
      </c>
      <c r="AM350" s="378"/>
      <c r="AN350" s="378"/>
      <c r="AO350" s="379">
        <v>0</v>
      </c>
      <c r="AP350" s="460">
        <v>0</v>
      </c>
      <c r="AQ350" s="460">
        <v>0</v>
      </c>
      <c r="AR350" s="459"/>
      <c r="AS350" s="462">
        <f t="shared" si="85"/>
        <v>0</v>
      </c>
      <c r="AT350">
        <f t="shared" si="86"/>
        <v>0</v>
      </c>
      <c r="AU350" s="462" t="str">
        <f>IF(AT350=0,"",IF(AND(AT350=1,M350="F",SUMIF(C2:C698,C350,AS2:AS698)&lt;=1),SUMIF(C2:C698,C350,AS2:AS698),IF(AND(AT350=1,M350="F",SUMIF(C2:C698,C350,AS2:AS698)&gt;1),1,"")))</f>
        <v/>
      </c>
      <c r="AV350" s="462" t="str">
        <f>IF(AT350=0,"",IF(AND(AT350=3,M350="F",SUMIF(C2:C698,C350,AS2:AS698)&lt;=1),SUMIF(C2:C698,C350,AS2:AS698),IF(AND(AT350=3,M350="F",SUMIF(C2:C698,C350,AS2:AS698)&gt;1),1,"")))</f>
        <v/>
      </c>
      <c r="AW350" s="462">
        <f>SUMIF(C2:C698,C350,O2:O698)</f>
        <v>0</v>
      </c>
      <c r="AX350" s="462">
        <f>IF(AND(M350="F",AS350&lt;&gt;0),SUMIF(C2:C698,C350,W2:W698),0)</f>
        <v>0</v>
      </c>
      <c r="AY350" s="462" t="str">
        <f t="shared" si="87"/>
        <v/>
      </c>
      <c r="AZ350" s="462" t="str">
        <f t="shared" si="88"/>
        <v/>
      </c>
      <c r="BA350" s="462">
        <f t="shared" si="89"/>
        <v>0</v>
      </c>
      <c r="BB350" s="462">
        <f>IF(AND(AT350=1,AK350="E",AU350&gt;=0.75,AW350=1),Health,IF(AND(AT350=1,AK350="E",AU350&gt;=0.75),Health*P350,IF(AND(AT350=1,AK350="E",AU350&gt;=0.5,AW350=1),PTHealth,IF(AND(AT350=1,AK350="E",AU350&gt;=0.5),PTHealth*P350,0))))</f>
        <v>0</v>
      </c>
      <c r="BC350" s="462">
        <f>IF(AND(AT350=3,AK350="E",AV350&gt;=0.75,AW350=1),Health,IF(AND(AT350=3,AK350="E",AV350&gt;=0.75),Health*P350,IF(AND(AT350=3,AK350="E",AV350&gt;=0.5,AW350=1),PTHealth,IF(AND(AT350=3,AK350="E",AV350&gt;=0.5),PTHealth*P350,0))))</f>
        <v>0</v>
      </c>
      <c r="BD350" s="462">
        <f>IF(AND(AT350&lt;&gt;0,AX350&gt;=MAXSSDI),SSDI*MAXSSDI*P350,IF(AT350&lt;&gt;0,SSDI*W350,0))</f>
        <v>0</v>
      </c>
      <c r="BE350" s="462">
        <f>IF(AT350&lt;&gt;0,SSHI*W350,0)</f>
        <v>0</v>
      </c>
      <c r="BF350" s="462">
        <f>IF(AND(AT350&lt;&gt;0,AN350&lt;&gt;"NE"),VLOOKUP(AN350,Retirement_Rates,3,FALSE)*W350,0)</f>
        <v>0</v>
      </c>
      <c r="BG350" s="462">
        <f>IF(AND(AT350&lt;&gt;0,AJ350&lt;&gt;"PF"),Life*W350,0)</f>
        <v>0</v>
      </c>
      <c r="BH350" s="462">
        <f>IF(AND(AT350&lt;&gt;0,AM350="Y"),UI*W350,0)</f>
        <v>0</v>
      </c>
      <c r="BI350" s="462">
        <f>IF(AND(AT350&lt;&gt;0,N350&lt;&gt;"NR"),DHR*W350,0)</f>
        <v>0</v>
      </c>
      <c r="BJ350" s="462">
        <f>IF(AT350&lt;&gt;0,WC*W350,0)</f>
        <v>0</v>
      </c>
      <c r="BK350" s="462">
        <f>IF(OR(AND(AT350&lt;&gt;0,AJ350&lt;&gt;"PF",AN350&lt;&gt;"NE",AG350&lt;&gt;"A"),AND(AL350="E",OR(AT350=1,AT350=3))),Sick*W350,0)</f>
        <v>0</v>
      </c>
      <c r="BL350" s="462">
        <f t="shared" si="90"/>
        <v>0</v>
      </c>
      <c r="BM350" s="462">
        <f t="shared" si="91"/>
        <v>0</v>
      </c>
      <c r="BN350" s="462">
        <f>IF(AND(AT350=1,AK350="E",AU350&gt;=0.75,AW350=1),HealthBY,IF(AND(AT350=1,AK350="E",AU350&gt;=0.75),HealthBY*P350,IF(AND(AT350=1,AK350="E",AU350&gt;=0.5,AW350=1),PTHealthBY,IF(AND(AT350=1,AK350="E",AU350&gt;=0.5),PTHealthBY*P350,0))))</f>
        <v>0</v>
      </c>
      <c r="BO350" s="462">
        <f>IF(AND(AT350=3,AK350="E",AV350&gt;=0.75,AW350=1),HealthBY,IF(AND(AT350=3,AK350="E",AV350&gt;=0.75),HealthBY*P350,IF(AND(AT350=3,AK350="E",AV350&gt;=0.5,AW350=1),PTHealthBY,IF(AND(AT350=3,AK350="E",AV350&gt;=0.5),PTHealthBY*P350,0))))</f>
        <v>0</v>
      </c>
      <c r="BP350" s="462">
        <f>IF(AND(AT350&lt;&gt;0,(AX350+BA350)&gt;=MAXSSDIBY),SSDIBY*MAXSSDIBY*P350,IF(AT350&lt;&gt;0,SSDIBY*W350,0))</f>
        <v>0</v>
      </c>
      <c r="BQ350" s="462">
        <f>IF(AT350&lt;&gt;0,SSHIBY*W350,0)</f>
        <v>0</v>
      </c>
      <c r="BR350" s="462">
        <f>IF(AND(AT350&lt;&gt;0,AN350&lt;&gt;"NE"),VLOOKUP(AN350,Retirement_Rates,4,FALSE)*W350,0)</f>
        <v>0</v>
      </c>
      <c r="BS350" s="462">
        <f>IF(AND(AT350&lt;&gt;0,AJ350&lt;&gt;"PF"),LifeBY*W350,0)</f>
        <v>0</v>
      </c>
      <c r="BT350" s="462">
        <f>IF(AND(AT350&lt;&gt;0,AM350="Y"),UIBY*W350,0)</f>
        <v>0</v>
      </c>
      <c r="BU350" s="462">
        <f>IF(AND(AT350&lt;&gt;0,N350&lt;&gt;"NR"),DHRBY*W350,0)</f>
        <v>0</v>
      </c>
      <c r="BV350" s="462">
        <f>IF(AT350&lt;&gt;0,WCBY*W350,0)</f>
        <v>0</v>
      </c>
      <c r="BW350" s="462">
        <f>IF(OR(AND(AT350&lt;&gt;0,AJ350&lt;&gt;"PF",AN350&lt;&gt;"NE",AG350&lt;&gt;"A"),AND(AL350="E",OR(AT350=1,AT350=3))),SickBY*W350,0)</f>
        <v>0</v>
      </c>
      <c r="BX350" s="462">
        <f t="shared" si="92"/>
        <v>0</v>
      </c>
      <c r="BY350" s="462">
        <f t="shared" si="93"/>
        <v>0</v>
      </c>
      <c r="BZ350" s="462">
        <f t="shared" si="94"/>
        <v>0</v>
      </c>
      <c r="CA350" s="462">
        <f t="shared" si="95"/>
        <v>0</v>
      </c>
      <c r="CB350" s="462">
        <f t="shared" si="96"/>
        <v>0</v>
      </c>
      <c r="CC350" s="462">
        <f>IF(AT350&lt;&gt;0,SSHICHG*Y350,0)</f>
        <v>0</v>
      </c>
      <c r="CD350" s="462">
        <f>IF(AND(AT350&lt;&gt;0,AN350&lt;&gt;"NE"),VLOOKUP(AN350,Retirement_Rates,5,FALSE)*Y350,0)</f>
        <v>0</v>
      </c>
      <c r="CE350" s="462">
        <f>IF(AND(AT350&lt;&gt;0,AJ350&lt;&gt;"PF"),LifeCHG*Y350,0)</f>
        <v>0</v>
      </c>
      <c r="CF350" s="462">
        <f>IF(AND(AT350&lt;&gt;0,AM350="Y"),UICHG*Y350,0)</f>
        <v>0</v>
      </c>
      <c r="CG350" s="462">
        <f>IF(AND(AT350&lt;&gt;0,N350&lt;&gt;"NR"),DHRCHG*Y350,0)</f>
        <v>0</v>
      </c>
      <c r="CH350" s="462">
        <f>IF(AT350&lt;&gt;0,WCCHG*Y350,0)</f>
        <v>0</v>
      </c>
      <c r="CI350" s="462">
        <f>IF(OR(AND(AT350&lt;&gt;0,AJ350&lt;&gt;"PF",AN350&lt;&gt;"NE",AG350&lt;&gt;"A"),AND(AL350="E",OR(AT350=1,AT350=3))),SickCHG*Y350,0)</f>
        <v>0</v>
      </c>
      <c r="CJ350" s="462">
        <f t="shared" si="97"/>
        <v>0</v>
      </c>
      <c r="CK350" s="462" t="str">
        <f t="shared" si="98"/>
        <v/>
      </c>
      <c r="CL350" s="462">
        <f t="shared" si="99"/>
        <v>7209.8</v>
      </c>
      <c r="CM350" s="462">
        <f t="shared" si="100"/>
        <v>966.67</v>
      </c>
      <c r="CN350" s="462" t="str">
        <f t="shared" si="101"/>
        <v>0330-05</v>
      </c>
    </row>
    <row r="351" spans="1:92" ht="15" thickBot="1" x14ac:dyDescent="0.35">
      <c r="A351" s="376" t="s">
        <v>161</v>
      </c>
      <c r="B351" s="376" t="s">
        <v>162</v>
      </c>
      <c r="C351" s="376" t="s">
        <v>960</v>
      </c>
      <c r="D351" s="376" t="s">
        <v>287</v>
      </c>
      <c r="E351" s="376" t="s">
        <v>931</v>
      </c>
      <c r="F351" s="382" t="s">
        <v>659</v>
      </c>
      <c r="G351" s="376" t="s">
        <v>762</v>
      </c>
      <c r="H351" s="378"/>
      <c r="I351" s="378"/>
      <c r="J351" s="376" t="s">
        <v>168</v>
      </c>
      <c r="K351" s="376" t="s">
        <v>290</v>
      </c>
      <c r="L351" s="376" t="s">
        <v>166</v>
      </c>
      <c r="M351" s="376" t="s">
        <v>201</v>
      </c>
      <c r="N351" s="376" t="s">
        <v>291</v>
      </c>
      <c r="O351" s="379">
        <v>0</v>
      </c>
      <c r="P351" s="460">
        <v>1</v>
      </c>
      <c r="Q351" s="460">
        <v>0</v>
      </c>
      <c r="R351" s="380">
        <v>0</v>
      </c>
      <c r="S351" s="460">
        <v>0</v>
      </c>
      <c r="T351" s="380">
        <v>0</v>
      </c>
      <c r="U351" s="380">
        <v>0</v>
      </c>
      <c r="V351" s="380">
        <v>0</v>
      </c>
      <c r="W351" s="380">
        <v>0</v>
      </c>
      <c r="X351" s="380">
        <v>0</v>
      </c>
      <c r="Y351" s="380">
        <v>0</v>
      </c>
      <c r="Z351" s="380">
        <v>0</v>
      </c>
      <c r="AA351" s="378"/>
      <c r="AB351" s="376" t="s">
        <v>45</v>
      </c>
      <c r="AC351" s="376" t="s">
        <v>45</v>
      </c>
      <c r="AD351" s="378"/>
      <c r="AE351" s="378"/>
      <c r="AF351" s="378"/>
      <c r="AG351" s="378"/>
      <c r="AH351" s="379">
        <v>0</v>
      </c>
      <c r="AI351" s="379">
        <v>0</v>
      </c>
      <c r="AJ351" s="378"/>
      <c r="AK351" s="378"/>
      <c r="AL351" s="376" t="s">
        <v>180</v>
      </c>
      <c r="AM351" s="378"/>
      <c r="AN351" s="378"/>
      <c r="AO351" s="379">
        <v>0</v>
      </c>
      <c r="AP351" s="460">
        <v>0</v>
      </c>
      <c r="AQ351" s="460">
        <v>0</v>
      </c>
      <c r="AR351" s="459"/>
      <c r="AS351" s="462">
        <f t="shared" si="85"/>
        <v>0</v>
      </c>
      <c r="AT351">
        <f t="shared" si="86"/>
        <v>0</v>
      </c>
      <c r="AU351" s="462" t="str">
        <f>IF(AT351=0,"",IF(AND(AT351=1,M351="F",SUMIF(C2:C698,C351,AS2:AS698)&lt;=1),SUMIF(C2:C698,C351,AS2:AS698),IF(AND(AT351=1,M351="F",SUMIF(C2:C698,C351,AS2:AS698)&gt;1),1,"")))</f>
        <v/>
      </c>
      <c r="AV351" s="462" t="str">
        <f>IF(AT351=0,"",IF(AND(AT351=3,M351="F",SUMIF(C2:C698,C351,AS2:AS698)&lt;=1),SUMIF(C2:C698,C351,AS2:AS698),IF(AND(AT351=3,M351="F",SUMIF(C2:C698,C351,AS2:AS698)&gt;1),1,"")))</f>
        <v/>
      </c>
      <c r="AW351" s="462">
        <f>SUMIF(C2:C698,C351,O2:O698)</f>
        <v>0</v>
      </c>
      <c r="AX351" s="462">
        <f>IF(AND(M351="F",AS351&lt;&gt;0),SUMIF(C2:C698,C351,W2:W698),0)</f>
        <v>0</v>
      </c>
      <c r="AY351" s="462" t="str">
        <f t="shared" si="87"/>
        <v/>
      </c>
      <c r="AZ351" s="462" t="str">
        <f t="shared" si="88"/>
        <v/>
      </c>
      <c r="BA351" s="462">
        <f t="shared" si="89"/>
        <v>0</v>
      </c>
      <c r="BB351" s="462">
        <f>IF(AND(AT351=1,AK351="E",AU351&gt;=0.75,AW351=1),Health,IF(AND(AT351=1,AK351="E",AU351&gt;=0.75),Health*P351,IF(AND(AT351=1,AK351="E",AU351&gt;=0.5,AW351=1),PTHealth,IF(AND(AT351=1,AK351="E",AU351&gt;=0.5),PTHealth*P351,0))))</f>
        <v>0</v>
      </c>
      <c r="BC351" s="462">
        <f>IF(AND(AT351=3,AK351="E",AV351&gt;=0.75,AW351=1),Health,IF(AND(AT351=3,AK351="E",AV351&gt;=0.75),Health*P351,IF(AND(AT351=3,AK351="E",AV351&gt;=0.5,AW351=1),PTHealth,IF(AND(AT351=3,AK351="E",AV351&gt;=0.5),PTHealth*P351,0))))</f>
        <v>0</v>
      </c>
      <c r="BD351" s="462">
        <f>IF(AND(AT351&lt;&gt;0,AX351&gt;=MAXSSDI),SSDI*MAXSSDI*P351,IF(AT351&lt;&gt;0,SSDI*W351,0))</f>
        <v>0</v>
      </c>
      <c r="BE351" s="462">
        <f>IF(AT351&lt;&gt;0,SSHI*W351,0)</f>
        <v>0</v>
      </c>
      <c r="BF351" s="462">
        <f>IF(AND(AT351&lt;&gt;0,AN351&lt;&gt;"NE"),VLOOKUP(AN351,Retirement_Rates,3,FALSE)*W351,0)</f>
        <v>0</v>
      </c>
      <c r="BG351" s="462">
        <f>IF(AND(AT351&lt;&gt;0,AJ351&lt;&gt;"PF"),Life*W351,0)</f>
        <v>0</v>
      </c>
      <c r="BH351" s="462">
        <f>IF(AND(AT351&lt;&gt;0,AM351="Y"),UI*W351,0)</f>
        <v>0</v>
      </c>
      <c r="BI351" s="462">
        <f>IF(AND(AT351&lt;&gt;0,N351&lt;&gt;"NR"),DHR*W351,0)</f>
        <v>0</v>
      </c>
      <c r="BJ351" s="462">
        <f>IF(AT351&lt;&gt;0,WC*W351,0)</f>
        <v>0</v>
      </c>
      <c r="BK351" s="462">
        <f>IF(OR(AND(AT351&lt;&gt;0,AJ351&lt;&gt;"PF",AN351&lt;&gt;"NE",AG351&lt;&gt;"A"),AND(AL351="E",OR(AT351=1,AT351=3))),Sick*W351,0)</f>
        <v>0</v>
      </c>
      <c r="BL351" s="462">
        <f t="shared" si="90"/>
        <v>0</v>
      </c>
      <c r="BM351" s="462">
        <f t="shared" si="91"/>
        <v>0</v>
      </c>
      <c r="BN351" s="462">
        <f>IF(AND(AT351=1,AK351="E",AU351&gt;=0.75,AW351=1),HealthBY,IF(AND(AT351=1,AK351="E",AU351&gt;=0.75),HealthBY*P351,IF(AND(AT351=1,AK351="E",AU351&gt;=0.5,AW351=1),PTHealthBY,IF(AND(AT351=1,AK351="E",AU351&gt;=0.5),PTHealthBY*P351,0))))</f>
        <v>0</v>
      </c>
      <c r="BO351" s="462">
        <f>IF(AND(AT351=3,AK351="E",AV351&gt;=0.75,AW351=1),HealthBY,IF(AND(AT351=3,AK351="E",AV351&gt;=0.75),HealthBY*P351,IF(AND(AT351=3,AK351="E",AV351&gt;=0.5,AW351=1),PTHealthBY,IF(AND(AT351=3,AK351="E",AV351&gt;=0.5),PTHealthBY*P351,0))))</f>
        <v>0</v>
      </c>
      <c r="BP351" s="462">
        <f>IF(AND(AT351&lt;&gt;0,(AX351+BA351)&gt;=MAXSSDIBY),SSDIBY*MAXSSDIBY*P351,IF(AT351&lt;&gt;0,SSDIBY*W351,0))</f>
        <v>0</v>
      </c>
      <c r="BQ351" s="462">
        <f>IF(AT351&lt;&gt;0,SSHIBY*W351,0)</f>
        <v>0</v>
      </c>
      <c r="BR351" s="462">
        <f>IF(AND(AT351&lt;&gt;0,AN351&lt;&gt;"NE"),VLOOKUP(AN351,Retirement_Rates,4,FALSE)*W351,0)</f>
        <v>0</v>
      </c>
      <c r="BS351" s="462">
        <f>IF(AND(AT351&lt;&gt;0,AJ351&lt;&gt;"PF"),LifeBY*W351,0)</f>
        <v>0</v>
      </c>
      <c r="BT351" s="462">
        <f>IF(AND(AT351&lt;&gt;0,AM351="Y"),UIBY*W351,0)</f>
        <v>0</v>
      </c>
      <c r="BU351" s="462">
        <f>IF(AND(AT351&lt;&gt;0,N351&lt;&gt;"NR"),DHRBY*W351,0)</f>
        <v>0</v>
      </c>
      <c r="BV351" s="462">
        <f>IF(AT351&lt;&gt;0,WCBY*W351,0)</f>
        <v>0</v>
      </c>
      <c r="BW351" s="462">
        <f>IF(OR(AND(AT351&lt;&gt;0,AJ351&lt;&gt;"PF",AN351&lt;&gt;"NE",AG351&lt;&gt;"A"),AND(AL351="E",OR(AT351=1,AT351=3))),SickBY*W351,0)</f>
        <v>0</v>
      </c>
      <c r="BX351" s="462">
        <f t="shared" si="92"/>
        <v>0</v>
      </c>
      <c r="BY351" s="462">
        <f t="shared" si="93"/>
        <v>0</v>
      </c>
      <c r="BZ351" s="462">
        <f t="shared" si="94"/>
        <v>0</v>
      </c>
      <c r="CA351" s="462">
        <f t="shared" si="95"/>
        <v>0</v>
      </c>
      <c r="CB351" s="462">
        <f t="shared" si="96"/>
        <v>0</v>
      </c>
      <c r="CC351" s="462">
        <f>IF(AT351&lt;&gt;0,SSHICHG*Y351,0)</f>
        <v>0</v>
      </c>
      <c r="CD351" s="462">
        <f>IF(AND(AT351&lt;&gt;0,AN351&lt;&gt;"NE"),VLOOKUP(AN351,Retirement_Rates,5,FALSE)*Y351,0)</f>
        <v>0</v>
      </c>
      <c r="CE351" s="462">
        <f>IF(AND(AT351&lt;&gt;0,AJ351&lt;&gt;"PF"),LifeCHG*Y351,0)</f>
        <v>0</v>
      </c>
      <c r="CF351" s="462">
        <f>IF(AND(AT351&lt;&gt;0,AM351="Y"),UICHG*Y351,0)</f>
        <v>0</v>
      </c>
      <c r="CG351" s="462">
        <f>IF(AND(AT351&lt;&gt;0,N351&lt;&gt;"NR"),DHRCHG*Y351,0)</f>
        <v>0</v>
      </c>
      <c r="CH351" s="462">
        <f>IF(AT351&lt;&gt;0,WCCHG*Y351,0)</f>
        <v>0</v>
      </c>
      <c r="CI351" s="462">
        <f>IF(OR(AND(AT351&lt;&gt;0,AJ351&lt;&gt;"PF",AN351&lt;&gt;"NE",AG351&lt;&gt;"A"),AND(AL351="E",OR(AT351=1,AT351=3))),SickCHG*Y351,0)</f>
        <v>0</v>
      </c>
      <c r="CJ351" s="462">
        <f t="shared" si="97"/>
        <v>0</v>
      </c>
      <c r="CK351" s="462" t="str">
        <f t="shared" si="98"/>
        <v/>
      </c>
      <c r="CL351" s="462">
        <f t="shared" si="99"/>
        <v>0</v>
      </c>
      <c r="CM351" s="462">
        <f t="shared" si="100"/>
        <v>0</v>
      </c>
      <c r="CN351" s="462" t="str">
        <f t="shared" si="101"/>
        <v>0330-05</v>
      </c>
    </row>
    <row r="352" spans="1:92" ht="15" thickBot="1" x14ac:dyDescent="0.35">
      <c r="A352" s="376" t="s">
        <v>161</v>
      </c>
      <c r="B352" s="376" t="s">
        <v>162</v>
      </c>
      <c r="C352" s="376" t="s">
        <v>961</v>
      </c>
      <c r="D352" s="376" t="s">
        <v>287</v>
      </c>
      <c r="E352" s="376" t="s">
        <v>931</v>
      </c>
      <c r="F352" s="382" t="s">
        <v>659</v>
      </c>
      <c r="G352" s="376" t="s">
        <v>762</v>
      </c>
      <c r="H352" s="378"/>
      <c r="I352" s="378"/>
      <c r="J352" s="376" t="s">
        <v>168</v>
      </c>
      <c r="K352" s="376" t="s">
        <v>290</v>
      </c>
      <c r="L352" s="376" t="s">
        <v>166</v>
      </c>
      <c r="M352" s="376" t="s">
        <v>201</v>
      </c>
      <c r="N352" s="376" t="s">
        <v>291</v>
      </c>
      <c r="O352" s="379">
        <v>0</v>
      </c>
      <c r="P352" s="460">
        <v>1</v>
      </c>
      <c r="Q352" s="460">
        <v>0</v>
      </c>
      <c r="R352" s="380">
        <v>0</v>
      </c>
      <c r="S352" s="460">
        <v>0</v>
      </c>
      <c r="T352" s="380">
        <v>0</v>
      </c>
      <c r="U352" s="380">
        <v>0</v>
      </c>
      <c r="V352" s="380">
        <v>0</v>
      </c>
      <c r="W352" s="380">
        <v>0</v>
      </c>
      <c r="X352" s="380">
        <v>0</v>
      </c>
      <c r="Y352" s="380">
        <v>0</v>
      </c>
      <c r="Z352" s="380">
        <v>0</v>
      </c>
      <c r="AA352" s="378"/>
      <c r="AB352" s="376" t="s">
        <v>45</v>
      </c>
      <c r="AC352" s="376" t="s">
        <v>45</v>
      </c>
      <c r="AD352" s="378"/>
      <c r="AE352" s="378"/>
      <c r="AF352" s="378"/>
      <c r="AG352" s="378"/>
      <c r="AH352" s="379">
        <v>0</v>
      </c>
      <c r="AI352" s="379">
        <v>0</v>
      </c>
      <c r="AJ352" s="378"/>
      <c r="AK352" s="378"/>
      <c r="AL352" s="376" t="s">
        <v>180</v>
      </c>
      <c r="AM352" s="378"/>
      <c r="AN352" s="378"/>
      <c r="AO352" s="379">
        <v>0</v>
      </c>
      <c r="AP352" s="460">
        <v>0</v>
      </c>
      <c r="AQ352" s="460">
        <v>0</v>
      </c>
      <c r="AR352" s="459"/>
      <c r="AS352" s="462">
        <f t="shared" si="85"/>
        <v>0</v>
      </c>
      <c r="AT352">
        <f t="shared" si="86"/>
        <v>0</v>
      </c>
      <c r="AU352" s="462" t="str">
        <f>IF(AT352=0,"",IF(AND(AT352=1,M352="F",SUMIF(C2:C698,C352,AS2:AS698)&lt;=1),SUMIF(C2:C698,C352,AS2:AS698),IF(AND(AT352=1,M352="F",SUMIF(C2:C698,C352,AS2:AS698)&gt;1),1,"")))</f>
        <v/>
      </c>
      <c r="AV352" s="462" t="str">
        <f>IF(AT352=0,"",IF(AND(AT352=3,M352="F",SUMIF(C2:C698,C352,AS2:AS698)&lt;=1),SUMIF(C2:C698,C352,AS2:AS698),IF(AND(AT352=3,M352="F",SUMIF(C2:C698,C352,AS2:AS698)&gt;1),1,"")))</f>
        <v/>
      </c>
      <c r="AW352" s="462">
        <f>SUMIF(C2:C698,C352,O2:O698)</f>
        <v>0</v>
      </c>
      <c r="AX352" s="462">
        <f>IF(AND(M352="F",AS352&lt;&gt;0),SUMIF(C2:C698,C352,W2:W698),0)</f>
        <v>0</v>
      </c>
      <c r="AY352" s="462" t="str">
        <f t="shared" si="87"/>
        <v/>
      </c>
      <c r="AZ352" s="462" t="str">
        <f t="shared" si="88"/>
        <v/>
      </c>
      <c r="BA352" s="462">
        <f t="shared" si="89"/>
        <v>0</v>
      </c>
      <c r="BB352" s="462">
        <f>IF(AND(AT352=1,AK352="E",AU352&gt;=0.75,AW352=1),Health,IF(AND(AT352=1,AK352="E",AU352&gt;=0.75),Health*P352,IF(AND(AT352=1,AK352="E",AU352&gt;=0.5,AW352=1),PTHealth,IF(AND(AT352=1,AK352="E",AU352&gt;=0.5),PTHealth*P352,0))))</f>
        <v>0</v>
      </c>
      <c r="BC352" s="462">
        <f>IF(AND(AT352=3,AK352="E",AV352&gt;=0.75,AW352=1),Health,IF(AND(AT352=3,AK352="E",AV352&gt;=0.75),Health*P352,IF(AND(AT352=3,AK352="E",AV352&gt;=0.5,AW352=1),PTHealth,IF(AND(AT352=3,AK352="E",AV352&gt;=0.5),PTHealth*P352,0))))</f>
        <v>0</v>
      </c>
      <c r="BD352" s="462">
        <f>IF(AND(AT352&lt;&gt;0,AX352&gt;=MAXSSDI),SSDI*MAXSSDI*P352,IF(AT352&lt;&gt;0,SSDI*W352,0))</f>
        <v>0</v>
      </c>
      <c r="BE352" s="462">
        <f>IF(AT352&lt;&gt;0,SSHI*W352,0)</f>
        <v>0</v>
      </c>
      <c r="BF352" s="462">
        <f>IF(AND(AT352&lt;&gt;0,AN352&lt;&gt;"NE"),VLOOKUP(AN352,Retirement_Rates,3,FALSE)*W352,0)</f>
        <v>0</v>
      </c>
      <c r="BG352" s="462">
        <f>IF(AND(AT352&lt;&gt;0,AJ352&lt;&gt;"PF"),Life*W352,0)</f>
        <v>0</v>
      </c>
      <c r="BH352" s="462">
        <f>IF(AND(AT352&lt;&gt;0,AM352="Y"),UI*W352,0)</f>
        <v>0</v>
      </c>
      <c r="BI352" s="462">
        <f>IF(AND(AT352&lt;&gt;0,N352&lt;&gt;"NR"),DHR*W352,0)</f>
        <v>0</v>
      </c>
      <c r="BJ352" s="462">
        <f>IF(AT352&lt;&gt;0,WC*W352,0)</f>
        <v>0</v>
      </c>
      <c r="BK352" s="462">
        <f>IF(OR(AND(AT352&lt;&gt;0,AJ352&lt;&gt;"PF",AN352&lt;&gt;"NE",AG352&lt;&gt;"A"),AND(AL352="E",OR(AT352=1,AT352=3))),Sick*W352,0)</f>
        <v>0</v>
      </c>
      <c r="BL352" s="462">
        <f t="shared" si="90"/>
        <v>0</v>
      </c>
      <c r="BM352" s="462">
        <f t="shared" si="91"/>
        <v>0</v>
      </c>
      <c r="BN352" s="462">
        <f>IF(AND(AT352=1,AK352="E",AU352&gt;=0.75,AW352=1),HealthBY,IF(AND(AT352=1,AK352="E",AU352&gt;=0.75),HealthBY*P352,IF(AND(AT352=1,AK352="E",AU352&gt;=0.5,AW352=1),PTHealthBY,IF(AND(AT352=1,AK352="E",AU352&gt;=0.5),PTHealthBY*P352,0))))</f>
        <v>0</v>
      </c>
      <c r="BO352" s="462">
        <f>IF(AND(AT352=3,AK352="E",AV352&gt;=0.75,AW352=1),HealthBY,IF(AND(AT352=3,AK352="E",AV352&gt;=0.75),HealthBY*P352,IF(AND(AT352=3,AK352="E",AV352&gt;=0.5,AW352=1),PTHealthBY,IF(AND(AT352=3,AK352="E",AV352&gt;=0.5),PTHealthBY*P352,0))))</f>
        <v>0</v>
      </c>
      <c r="BP352" s="462">
        <f>IF(AND(AT352&lt;&gt;0,(AX352+BA352)&gt;=MAXSSDIBY),SSDIBY*MAXSSDIBY*P352,IF(AT352&lt;&gt;0,SSDIBY*W352,0))</f>
        <v>0</v>
      </c>
      <c r="BQ352" s="462">
        <f>IF(AT352&lt;&gt;0,SSHIBY*W352,0)</f>
        <v>0</v>
      </c>
      <c r="BR352" s="462">
        <f>IF(AND(AT352&lt;&gt;0,AN352&lt;&gt;"NE"),VLOOKUP(AN352,Retirement_Rates,4,FALSE)*W352,0)</f>
        <v>0</v>
      </c>
      <c r="BS352" s="462">
        <f>IF(AND(AT352&lt;&gt;0,AJ352&lt;&gt;"PF"),LifeBY*W352,0)</f>
        <v>0</v>
      </c>
      <c r="BT352" s="462">
        <f>IF(AND(AT352&lt;&gt;0,AM352="Y"),UIBY*W352,0)</f>
        <v>0</v>
      </c>
      <c r="BU352" s="462">
        <f>IF(AND(AT352&lt;&gt;0,N352&lt;&gt;"NR"),DHRBY*W352,0)</f>
        <v>0</v>
      </c>
      <c r="BV352" s="462">
        <f>IF(AT352&lt;&gt;0,WCBY*W352,0)</f>
        <v>0</v>
      </c>
      <c r="BW352" s="462">
        <f>IF(OR(AND(AT352&lt;&gt;0,AJ352&lt;&gt;"PF",AN352&lt;&gt;"NE",AG352&lt;&gt;"A"),AND(AL352="E",OR(AT352=1,AT352=3))),SickBY*W352,0)</f>
        <v>0</v>
      </c>
      <c r="BX352" s="462">
        <f t="shared" si="92"/>
        <v>0</v>
      </c>
      <c r="BY352" s="462">
        <f t="shared" si="93"/>
        <v>0</v>
      </c>
      <c r="BZ352" s="462">
        <f t="shared" si="94"/>
        <v>0</v>
      </c>
      <c r="CA352" s="462">
        <f t="shared" si="95"/>
        <v>0</v>
      </c>
      <c r="CB352" s="462">
        <f t="shared" si="96"/>
        <v>0</v>
      </c>
      <c r="CC352" s="462">
        <f>IF(AT352&lt;&gt;0,SSHICHG*Y352,0)</f>
        <v>0</v>
      </c>
      <c r="CD352" s="462">
        <f>IF(AND(AT352&lt;&gt;0,AN352&lt;&gt;"NE"),VLOOKUP(AN352,Retirement_Rates,5,FALSE)*Y352,0)</f>
        <v>0</v>
      </c>
      <c r="CE352" s="462">
        <f>IF(AND(AT352&lt;&gt;0,AJ352&lt;&gt;"PF"),LifeCHG*Y352,0)</f>
        <v>0</v>
      </c>
      <c r="CF352" s="462">
        <f>IF(AND(AT352&lt;&gt;0,AM352="Y"),UICHG*Y352,0)</f>
        <v>0</v>
      </c>
      <c r="CG352" s="462">
        <f>IF(AND(AT352&lt;&gt;0,N352&lt;&gt;"NR"),DHRCHG*Y352,0)</f>
        <v>0</v>
      </c>
      <c r="CH352" s="462">
        <f>IF(AT352&lt;&gt;0,WCCHG*Y352,0)</f>
        <v>0</v>
      </c>
      <c r="CI352" s="462">
        <f>IF(OR(AND(AT352&lt;&gt;0,AJ352&lt;&gt;"PF",AN352&lt;&gt;"NE",AG352&lt;&gt;"A"),AND(AL352="E",OR(AT352=1,AT352=3))),SickCHG*Y352,0)</f>
        <v>0</v>
      </c>
      <c r="CJ352" s="462">
        <f t="shared" si="97"/>
        <v>0</v>
      </c>
      <c r="CK352" s="462" t="str">
        <f t="shared" si="98"/>
        <v/>
      </c>
      <c r="CL352" s="462">
        <f t="shared" si="99"/>
        <v>0</v>
      </c>
      <c r="CM352" s="462">
        <f t="shared" si="100"/>
        <v>0</v>
      </c>
      <c r="CN352" s="462" t="str">
        <f t="shared" si="101"/>
        <v>0330-05</v>
      </c>
    </row>
    <row r="353" spans="1:92" ht="15" thickBot="1" x14ac:dyDescent="0.35">
      <c r="A353" s="376" t="s">
        <v>161</v>
      </c>
      <c r="B353" s="376" t="s">
        <v>162</v>
      </c>
      <c r="C353" s="376" t="s">
        <v>510</v>
      </c>
      <c r="D353" s="376" t="s">
        <v>287</v>
      </c>
      <c r="E353" s="376" t="s">
        <v>931</v>
      </c>
      <c r="F353" s="382" t="s">
        <v>659</v>
      </c>
      <c r="G353" s="376" t="s">
        <v>762</v>
      </c>
      <c r="H353" s="378"/>
      <c r="I353" s="378"/>
      <c r="J353" s="376" t="s">
        <v>168</v>
      </c>
      <c r="K353" s="376" t="s">
        <v>290</v>
      </c>
      <c r="L353" s="376" t="s">
        <v>166</v>
      </c>
      <c r="M353" s="376" t="s">
        <v>170</v>
      </c>
      <c r="N353" s="376" t="s">
        <v>291</v>
      </c>
      <c r="O353" s="379">
        <v>0</v>
      </c>
      <c r="P353" s="460">
        <v>0</v>
      </c>
      <c r="Q353" s="460">
        <v>0</v>
      </c>
      <c r="R353" s="380">
        <v>0</v>
      </c>
      <c r="S353" s="460">
        <v>0</v>
      </c>
      <c r="T353" s="380">
        <v>975.85</v>
      </c>
      <c r="U353" s="380">
        <v>0</v>
      </c>
      <c r="V353" s="380">
        <v>105.23</v>
      </c>
      <c r="W353" s="380">
        <v>0</v>
      </c>
      <c r="X353" s="380">
        <v>0</v>
      </c>
      <c r="Y353" s="380">
        <v>0</v>
      </c>
      <c r="Z353" s="380">
        <v>0</v>
      </c>
      <c r="AA353" s="378"/>
      <c r="AB353" s="376" t="s">
        <v>45</v>
      </c>
      <c r="AC353" s="376" t="s">
        <v>45</v>
      </c>
      <c r="AD353" s="378"/>
      <c r="AE353" s="378"/>
      <c r="AF353" s="378"/>
      <c r="AG353" s="378"/>
      <c r="AH353" s="379">
        <v>0</v>
      </c>
      <c r="AI353" s="379">
        <v>0</v>
      </c>
      <c r="AJ353" s="378"/>
      <c r="AK353" s="378"/>
      <c r="AL353" s="376" t="s">
        <v>180</v>
      </c>
      <c r="AM353" s="378"/>
      <c r="AN353" s="378"/>
      <c r="AO353" s="379">
        <v>0</v>
      </c>
      <c r="AP353" s="460">
        <v>0</v>
      </c>
      <c r="AQ353" s="460">
        <v>0</v>
      </c>
      <c r="AR353" s="459"/>
      <c r="AS353" s="462">
        <f t="shared" si="85"/>
        <v>0</v>
      </c>
      <c r="AT353">
        <f t="shared" si="86"/>
        <v>0</v>
      </c>
      <c r="AU353" s="462" t="str">
        <f>IF(AT353=0,"",IF(AND(AT353=1,M353="F",SUMIF(C2:C698,C353,AS2:AS698)&lt;=1),SUMIF(C2:C698,C353,AS2:AS698),IF(AND(AT353=1,M353="F",SUMIF(C2:C698,C353,AS2:AS698)&gt;1),1,"")))</f>
        <v/>
      </c>
      <c r="AV353" s="462" t="str">
        <f>IF(AT353=0,"",IF(AND(AT353=3,M353="F",SUMIF(C2:C698,C353,AS2:AS698)&lt;=1),SUMIF(C2:C698,C353,AS2:AS698),IF(AND(AT353=3,M353="F",SUMIF(C2:C698,C353,AS2:AS698)&gt;1),1,"")))</f>
        <v/>
      </c>
      <c r="AW353" s="462">
        <f>SUMIF(C2:C698,C353,O2:O698)</f>
        <v>0</v>
      </c>
      <c r="AX353" s="462">
        <f>IF(AND(M353="F",AS353&lt;&gt;0),SUMIF(C2:C698,C353,W2:W698),0)</f>
        <v>0</v>
      </c>
      <c r="AY353" s="462" t="str">
        <f t="shared" si="87"/>
        <v/>
      </c>
      <c r="AZ353" s="462" t="str">
        <f t="shared" si="88"/>
        <v/>
      </c>
      <c r="BA353" s="462">
        <f t="shared" si="89"/>
        <v>0</v>
      </c>
      <c r="BB353" s="462">
        <f>IF(AND(AT353=1,AK353="E",AU353&gt;=0.75,AW353=1),Health,IF(AND(AT353=1,AK353="E",AU353&gt;=0.75),Health*P353,IF(AND(AT353=1,AK353="E",AU353&gt;=0.5,AW353=1),PTHealth,IF(AND(AT353=1,AK353="E",AU353&gt;=0.5),PTHealth*P353,0))))</f>
        <v>0</v>
      </c>
      <c r="BC353" s="462">
        <f>IF(AND(AT353=3,AK353="E",AV353&gt;=0.75,AW353=1),Health,IF(AND(AT353=3,AK353="E",AV353&gt;=0.75),Health*P353,IF(AND(AT353=3,AK353="E",AV353&gt;=0.5,AW353=1),PTHealth,IF(AND(AT353=3,AK353="E",AV353&gt;=0.5),PTHealth*P353,0))))</f>
        <v>0</v>
      </c>
      <c r="BD353" s="462">
        <f>IF(AND(AT353&lt;&gt;0,AX353&gt;=MAXSSDI),SSDI*MAXSSDI*P353,IF(AT353&lt;&gt;0,SSDI*W353,0))</f>
        <v>0</v>
      </c>
      <c r="BE353" s="462">
        <f>IF(AT353&lt;&gt;0,SSHI*W353,0)</f>
        <v>0</v>
      </c>
      <c r="BF353" s="462">
        <f>IF(AND(AT353&lt;&gt;0,AN353&lt;&gt;"NE"),VLOOKUP(AN353,Retirement_Rates,3,FALSE)*W353,0)</f>
        <v>0</v>
      </c>
      <c r="BG353" s="462">
        <f>IF(AND(AT353&lt;&gt;0,AJ353&lt;&gt;"PF"),Life*W353,0)</f>
        <v>0</v>
      </c>
      <c r="BH353" s="462">
        <f>IF(AND(AT353&lt;&gt;0,AM353="Y"),UI*W353,0)</f>
        <v>0</v>
      </c>
      <c r="BI353" s="462">
        <f>IF(AND(AT353&lt;&gt;0,N353&lt;&gt;"NR"),DHR*W353,0)</f>
        <v>0</v>
      </c>
      <c r="BJ353" s="462">
        <f>IF(AT353&lt;&gt;0,WC*W353,0)</f>
        <v>0</v>
      </c>
      <c r="BK353" s="462">
        <f>IF(OR(AND(AT353&lt;&gt;0,AJ353&lt;&gt;"PF",AN353&lt;&gt;"NE",AG353&lt;&gt;"A"),AND(AL353="E",OR(AT353=1,AT353=3))),Sick*W353,0)</f>
        <v>0</v>
      </c>
      <c r="BL353" s="462">
        <f t="shared" si="90"/>
        <v>0</v>
      </c>
      <c r="BM353" s="462">
        <f t="shared" si="91"/>
        <v>0</v>
      </c>
      <c r="BN353" s="462">
        <f>IF(AND(AT353=1,AK353="E",AU353&gt;=0.75,AW353=1),HealthBY,IF(AND(AT353=1,AK353="E",AU353&gt;=0.75),HealthBY*P353,IF(AND(AT353=1,AK353="E",AU353&gt;=0.5,AW353=1),PTHealthBY,IF(AND(AT353=1,AK353="E",AU353&gt;=0.5),PTHealthBY*P353,0))))</f>
        <v>0</v>
      </c>
      <c r="BO353" s="462">
        <f>IF(AND(AT353=3,AK353="E",AV353&gt;=0.75,AW353=1),HealthBY,IF(AND(AT353=3,AK353="E",AV353&gt;=0.75),HealthBY*P353,IF(AND(AT353=3,AK353="E",AV353&gt;=0.5,AW353=1),PTHealthBY,IF(AND(AT353=3,AK353="E",AV353&gt;=0.5),PTHealthBY*P353,0))))</f>
        <v>0</v>
      </c>
      <c r="BP353" s="462">
        <f>IF(AND(AT353&lt;&gt;0,(AX353+BA353)&gt;=MAXSSDIBY),SSDIBY*MAXSSDIBY*P353,IF(AT353&lt;&gt;0,SSDIBY*W353,0))</f>
        <v>0</v>
      </c>
      <c r="BQ353" s="462">
        <f>IF(AT353&lt;&gt;0,SSHIBY*W353,0)</f>
        <v>0</v>
      </c>
      <c r="BR353" s="462">
        <f>IF(AND(AT353&lt;&gt;0,AN353&lt;&gt;"NE"),VLOOKUP(AN353,Retirement_Rates,4,FALSE)*W353,0)</f>
        <v>0</v>
      </c>
      <c r="BS353" s="462">
        <f>IF(AND(AT353&lt;&gt;0,AJ353&lt;&gt;"PF"),LifeBY*W353,0)</f>
        <v>0</v>
      </c>
      <c r="BT353" s="462">
        <f>IF(AND(AT353&lt;&gt;0,AM353="Y"),UIBY*W353,0)</f>
        <v>0</v>
      </c>
      <c r="BU353" s="462">
        <f>IF(AND(AT353&lt;&gt;0,N353&lt;&gt;"NR"),DHRBY*W353,0)</f>
        <v>0</v>
      </c>
      <c r="BV353" s="462">
        <f>IF(AT353&lt;&gt;0,WCBY*W353,0)</f>
        <v>0</v>
      </c>
      <c r="BW353" s="462">
        <f>IF(OR(AND(AT353&lt;&gt;0,AJ353&lt;&gt;"PF",AN353&lt;&gt;"NE",AG353&lt;&gt;"A"),AND(AL353="E",OR(AT353=1,AT353=3))),SickBY*W353,0)</f>
        <v>0</v>
      </c>
      <c r="BX353" s="462">
        <f t="shared" si="92"/>
        <v>0</v>
      </c>
      <c r="BY353" s="462">
        <f t="shared" si="93"/>
        <v>0</v>
      </c>
      <c r="BZ353" s="462">
        <f t="shared" si="94"/>
        <v>0</v>
      </c>
      <c r="CA353" s="462">
        <f t="shared" si="95"/>
        <v>0</v>
      </c>
      <c r="CB353" s="462">
        <f t="shared" si="96"/>
        <v>0</v>
      </c>
      <c r="CC353" s="462">
        <f>IF(AT353&lt;&gt;0,SSHICHG*Y353,0)</f>
        <v>0</v>
      </c>
      <c r="CD353" s="462">
        <f>IF(AND(AT353&lt;&gt;0,AN353&lt;&gt;"NE"),VLOOKUP(AN353,Retirement_Rates,5,FALSE)*Y353,0)</f>
        <v>0</v>
      </c>
      <c r="CE353" s="462">
        <f>IF(AND(AT353&lt;&gt;0,AJ353&lt;&gt;"PF"),LifeCHG*Y353,0)</f>
        <v>0</v>
      </c>
      <c r="CF353" s="462">
        <f>IF(AND(AT353&lt;&gt;0,AM353="Y"),UICHG*Y353,0)</f>
        <v>0</v>
      </c>
      <c r="CG353" s="462">
        <f>IF(AND(AT353&lt;&gt;0,N353&lt;&gt;"NR"),DHRCHG*Y353,0)</f>
        <v>0</v>
      </c>
      <c r="CH353" s="462">
        <f>IF(AT353&lt;&gt;0,WCCHG*Y353,0)</f>
        <v>0</v>
      </c>
      <c r="CI353" s="462">
        <f>IF(OR(AND(AT353&lt;&gt;0,AJ353&lt;&gt;"PF",AN353&lt;&gt;"NE",AG353&lt;&gt;"A"),AND(AL353="E",OR(AT353=1,AT353=3))),SickCHG*Y353,0)</f>
        <v>0</v>
      </c>
      <c r="CJ353" s="462">
        <f t="shared" si="97"/>
        <v>0</v>
      </c>
      <c r="CK353" s="462" t="str">
        <f t="shared" si="98"/>
        <v/>
      </c>
      <c r="CL353" s="462">
        <f t="shared" si="99"/>
        <v>975.85</v>
      </c>
      <c r="CM353" s="462">
        <f t="shared" si="100"/>
        <v>105.23</v>
      </c>
      <c r="CN353" s="462" t="str">
        <f t="shared" si="101"/>
        <v>0330-05</v>
      </c>
    </row>
    <row r="354" spans="1:92" ht="15" thickBot="1" x14ac:dyDescent="0.35">
      <c r="A354" s="376" t="s">
        <v>161</v>
      </c>
      <c r="B354" s="376" t="s">
        <v>162</v>
      </c>
      <c r="C354" s="376" t="s">
        <v>909</v>
      </c>
      <c r="D354" s="376" t="s">
        <v>287</v>
      </c>
      <c r="E354" s="376" t="s">
        <v>931</v>
      </c>
      <c r="F354" s="382" t="s">
        <v>659</v>
      </c>
      <c r="G354" s="376" t="s">
        <v>762</v>
      </c>
      <c r="H354" s="378"/>
      <c r="I354" s="378"/>
      <c r="J354" s="376" t="s">
        <v>168</v>
      </c>
      <c r="K354" s="376" t="s">
        <v>290</v>
      </c>
      <c r="L354" s="376" t="s">
        <v>166</v>
      </c>
      <c r="M354" s="376" t="s">
        <v>201</v>
      </c>
      <c r="N354" s="376" t="s">
        <v>291</v>
      </c>
      <c r="O354" s="379">
        <v>0</v>
      </c>
      <c r="P354" s="460">
        <v>1</v>
      </c>
      <c r="Q354" s="460">
        <v>0</v>
      </c>
      <c r="R354" s="380">
        <v>0</v>
      </c>
      <c r="S354" s="460">
        <v>0</v>
      </c>
      <c r="T354" s="380">
        <v>6368.75</v>
      </c>
      <c r="U354" s="380">
        <v>423.75</v>
      </c>
      <c r="V354" s="380">
        <v>725.31</v>
      </c>
      <c r="W354" s="380">
        <v>6855</v>
      </c>
      <c r="X354" s="380">
        <v>731.25</v>
      </c>
      <c r="Y354" s="380">
        <v>6855</v>
      </c>
      <c r="Z354" s="380">
        <v>731.25</v>
      </c>
      <c r="AA354" s="378"/>
      <c r="AB354" s="376" t="s">
        <v>45</v>
      </c>
      <c r="AC354" s="376" t="s">
        <v>45</v>
      </c>
      <c r="AD354" s="378"/>
      <c r="AE354" s="378"/>
      <c r="AF354" s="378"/>
      <c r="AG354" s="378"/>
      <c r="AH354" s="379">
        <v>0</v>
      </c>
      <c r="AI354" s="379">
        <v>0</v>
      </c>
      <c r="AJ354" s="378"/>
      <c r="AK354" s="378"/>
      <c r="AL354" s="376" t="s">
        <v>180</v>
      </c>
      <c r="AM354" s="378"/>
      <c r="AN354" s="378"/>
      <c r="AO354" s="379">
        <v>0</v>
      </c>
      <c r="AP354" s="460">
        <v>0</v>
      </c>
      <c r="AQ354" s="460">
        <v>0</v>
      </c>
      <c r="AR354" s="459"/>
      <c r="AS354" s="462">
        <f t="shared" si="85"/>
        <v>0</v>
      </c>
      <c r="AT354">
        <f t="shared" si="86"/>
        <v>0</v>
      </c>
      <c r="AU354" s="462" t="str">
        <f>IF(AT354=0,"",IF(AND(AT354=1,M354="F",SUMIF(C2:C698,C354,AS2:AS698)&lt;=1),SUMIF(C2:C698,C354,AS2:AS698),IF(AND(AT354=1,M354="F",SUMIF(C2:C698,C354,AS2:AS698)&gt;1),1,"")))</f>
        <v/>
      </c>
      <c r="AV354" s="462" t="str">
        <f>IF(AT354=0,"",IF(AND(AT354=3,M354="F",SUMIF(C2:C698,C354,AS2:AS698)&lt;=1),SUMIF(C2:C698,C354,AS2:AS698),IF(AND(AT354=3,M354="F",SUMIF(C2:C698,C354,AS2:AS698)&gt;1),1,"")))</f>
        <v/>
      </c>
      <c r="AW354" s="462">
        <f>SUMIF(C2:C698,C354,O2:O698)</f>
        <v>0</v>
      </c>
      <c r="AX354" s="462">
        <f>IF(AND(M354="F",AS354&lt;&gt;0),SUMIF(C2:C698,C354,W2:W698),0)</f>
        <v>0</v>
      </c>
      <c r="AY354" s="462" t="str">
        <f t="shared" si="87"/>
        <v/>
      </c>
      <c r="AZ354" s="462" t="str">
        <f t="shared" si="88"/>
        <v/>
      </c>
      <c r="BA354" s="462">
        <f t="shared" si="89"/>
        <v>0</v>
      </c>
      <c r="BB354" s="462">
        <f>IF(AND(AT354=1,AK354="E",AU354&gt;=0.75,AW354=1),Health,IF(AND(AT354=1,AK354="E",AU354&gt;=0.75),Health*P354,IF(AND(AT354=1,AK354="E",AU354&gt;=0.5,AW354=1),PTHealth,IF(AND(AT354=1,AK354="E",AU354&gt;=0.5),PTHealth*P354,0))))</f>
        <v>0</v>
      </c>
      <c r="BC354" s="462">
        <f>IF(AND(AT354=3,AK354="E",AV354&gt;=0.75,AW354=1),Health,IF(AND(AT354=3,AK354="E",AV354&gt;=0.75),Health*P354,IF(AND(AT354=3,AK354="E",AV354&gt;=0.5,AW354=1),PTHealth,IF(AND(AT354=3,AK354="E",AV354&gt;=0.5),PTHealth*P354,0))))</f>
        <v>0</v>
      </c>
      <c r="BD354" s="462">
        <f>IF(AND(AT354&lt;&gt;0,AX354&gt;=MAXSSDI),SSDI*MAXSSDI*P354,IF(AT354&lt;&gt;0,SSDI*W354,0))</f>
        <v>0</v>
      </c>
      <c r="BE354" s="462">
        <f>IF(AT354&lt;&gt;0,SSHI*W354,0)</f>
        <v>0</v>
      </c>
      <c r="BF354" s="462">
        <f>IF(AND(AT354&lt;&gt;0,AN354&lt;&gt;"NE"),VLOOKUP(AN354,Retirement_Rates,3,FALSE)*W354,0)</f>
        <v>0</v>
      </c>
      <c r="BG354" s="462">
        <f>IF(AND(AT354&lt;&gt;0,AJ354&lt;&gt;"PF"),Life*W354,0)</f>
        <v>0</v>
      </c>
      <c r="BH354" s="462">
        <f>IF(AND(AT354&lt;&gt;0,AM354="Y"),UI*W354,0)</f>
        <v>0</v>
      </c>
      <c r="BI354" s="462">
        <f>IF(AND(AT354&lt;&gt;0,N354&lt;&gt;"NR"),DHR*W354,0)</f>
        <v>0</v>
      </c>
      <c r="BJ354" s="462">
        <f>IF(AT354&lt;&gt;0,WC*W354,0)</f>
        <v>0</v>
      </c>
      <c r="BK354" s="462">
        <f>IF(OR(AND(AT354&lt;&gt;0,AJ354&lt;&gt;"PF",AN354&lt;&gt;"NE",AG354&lt;&gt;"A"),AND(AL354="E",OR(AT354=1,AT354=3))),Sick*W354,0)</f>
        <v>0</v>
      </c>
      <c r="BL354" s="462">
        <f t="shared" si="90"/>
        <v>0</v>
      </c>
      <c r="BM354" s="462">
        <f t="shared" si="91"/>
        <v>0</v>
      </c>
      <c r="BN354" s="462">
        <f>IF(AND(AT354=1,AK354="E",AU354&gt;=0.75,AW354=1),HealthBY,IF(AND(AT354=1,AK354="E",AU354&gt;=0.75),HealthBY*P354,IF(AND(AT354=1,AK354="E",AU354&gt;=0.5,AW354=1),PTHealthBY,IF(AND(AT354=1,AK354="E",AU354&gt;=0.5),PTHealthBY*P354,0))))</f>
        <v>0</v>
      </c>
      <c r="BO354" s="462">
        <f>IF(AND(AT354=3,AK354="E",AV354&gt;=0.75,AW354=1),HealthBY,IF(AND(AT354=3,AK354="E",AV354&gt;=0.75),HealthBY*P354,IF(AND(AT354=3,AK354="E",AV354&gt;=0.5,AW354=1),PTHealthBY,IF(AND(AT354=3,AK354="E",AV354&gt;=0.5),PTHealthBY*P354,0))))</f>
        <v>0</v>
      </c>
      <c r="BP354" s="462">
        <f>IF(AND(AT354&lt;&gt;0,(AX354+BA354)&gt;=MAXSSDIBY),SSDIBY*MAXSSDIBY*P354,IF(AT354&lt;&gt;0,SSDIBY*W354,0))</f>
        <v>0</v>
      </c>
      <c r="BQ354" s="462">
        <f>IF(AT354&lt;&gt;0,SSHIBY*W354,0)</f>
        <v>0</v>
      </c>
      <c r="BR354" s="462">
        <f>IF(AND(AT354&lt;&gt;0,AN354&lt;&gt;"NE"),VLOOKUP(AN354,Retirement_Rates,4,FALSE)*W354,0)</f>
        <v>0</v>
      </c>
      <c r="BS354" s="462">
        <f>IF(AND(AT354&lt;&gt;0,AJ354&lt;&gt;"PF"),LifeBY*W354,0)</f>
        <v>0</v>
      </c>
      <c r="BT354" s="462">
        <f>IF(AND(AT354&lt;&gt;0,AM354="Y"),UIBY*W354,0)</f>
        <v>0</v>
      </c>
      <c r="BU354" s="462">
        <f>IF(AND(AT354&lt;&gt;0,N354&lt;&gt;"NR"),DHRBY*W354,0)</f>
        <v>0</v>
      </c>
      <c r="BV354" s="462">
        <f>IF(AT354&lt;&gt;0,WCBY*W354,0)</f>
        <v>0</v>
      </c>
      <c r="BW354" s="462">
        <f>IF(OR(AND(AT354&lt;&gt;0,AJ354&lt;&gt;"PF",AN354&lt;&gt;"NE",AG354&lt;&gt;"A"),AND(AL354="E",OR(AT354=1,AT354=3))),SickBY*W354,0)</f>
        <v>0</v>
      </c>
      <c r="BX354" s="462">
        <f t="shared" si="92"/>
        <v>0</v>
      </c>
      <c r="BY354" s="462">
        <f t="shared" si="93"/>
        <v>0</v>
      </c>
      <c r="BZ354" s="462">
        <f t="shared" si="94"/>
        <v>0</v>
      </c>
      <c r="CA354" s="462">
        <f t="shared" si="95"/>
        <v>0</v>
      </c>
      <c r="CB354" s="462">
        <f t="shared" si="96"/>
        <v>0</v>
      </c>
      <c r="CC354" s="462">
        <f>IF(AT354&lt;&gt;0,SSHICHG*Y354,0)</f>
        <v>0</v>
      </c>
      <c r="CD354" s="462">
        <f>IF(AND(AT354&lt;&gt;0,AN354&lt;&gt;"NE"),VLOOKUP(AN354,Retirement_Rates,5,FALSE)*Y354,0)</f>
        <v>0</v>
      </c>
      <c r="CE354" s="462">
        <f>IF(AND(AT354&lt;&gt;0,AJ354&lt;&gt;"PF"),LifeCHG*Y354,0)</f>
        <v>0</v>
      </c>
      <c r="CF354" s="462">
        <f>IF(AND(AT354&lt;&gt;0,AM354="Y"),UICHG*Y354,0)</f>
        <v>0</v>
      </c>
      <c r="CG354" s="462">
        <f>IF(AND(AT354&lt;&gt;0,N354&lt;&gt;"NR"),DHRCHG*Y354,0)</f>
        <v>0</v>
      </c>
      <c r="CH354" s="462">
        <f>IF(AT354&lt;&gt;0,WCCHG*Y354,0)</f>
        <v>0</v>
      </c>
      <c r="CI354" s="462">
        <f>IF(OR(AND(AT354&lt;&gt;0,AJ354&lt;&gt;"PF",AN354&lt;&gt;"NE",AG354&lt;&gt;"A"),AND(AL354="E",OR(AT354=1,AT354=3))),SickCHG*Y354,0)</f>
        <v>0</v>
      </c>
      <c r="CJ354" s="462">
        <f t="shared" si="97"/>
        <v>0</v>
      </c>
      <c r="CK354" s="462" t="str">
        <f t="shared" si="98"/>
        <v/>
      </c>
      <c r="CL354" s="462">
        <f t="shared" si="99"/>
        <v>6792.5</v>
      </c>
      <c r="CM354" s="462">
        <f t="shared" si="100"/>
        <v>725.31</v>
      </c>
      <c r="CN354" s="462" t="str">
        <f t="shared" si="101"/>
        <v>0330-05</v>
      </c>
    </row>
    <row r="355" spans="1:92" ht="15" thickBot="1" x14ac:dyDescent="0.35">
      <c r="A355" s="376" t="s">
        <v>161</v>
      </c>
      <c r="B355" s="376" t="s">
        <v>162</v>
      </c>
      <c r="C355" s="376" t="s">
        <v>826</v>
      </c>
      <c r="D355" s="376" t="s">
        <v>791</v>
      </c>
      <c r="E355" s="376" t="s">
        <v>931</v>
      </c>
      <c r="F355" s="382" t="s">
        <v>659</v>
      </c>
      <c r="G355" s="376" t="s">
        <v>762</v>
      </c>
      <c r="H355" s="378"/>
      <c r="I355" s="378"/>
      <c r="J355" s="376" t="s">
        <v>168</v>
      </c>
      <c r="K355" s="376" t="s">
        <v>792</v>
      </c>
      <c r="L355" s="376" t="s">
        <v>200</v>
      </c>
      <c r="M355" s="376" t="s">
        <v>170</v>
      </c>
      <c r="N355" s="376" t="s">
        <v>202</v>
      </c>
      <c r="O355" s="379">
        <v>1</v>
      </c>
      <c r="P355" s="460">
        <v>0</v>
      </c>
      <c r="Q355" s="460">
        <v>0</v>
      </c>
      <c r="R355" s="380">
        <v>80</v>
      </c>
      <c r="S355" s="460">
        <v>0</v>
      </c>
      <c r="T355" s="380">
        <v>54.36</v>
      </c>
      <c r="U355" s="380">
        <v>0</v>
      </c>
      <c r="V355" s="380">
        <v>22.56</v>
      </c>
      <c r="W355" s="380">
        <v>0</v>
      </c>
      <c r="X355" s="380">
        <v>0</v>
      </c>
      <c r="Y355" s="380">
        <v>0</v>
      </c>
      <c r="Z355" s="380">
        <v>0</v>
      </c>
      <c r="AA355" s="376" t="s">
        <v>827</v>
      </c>
      <c r="AB355" s="376" t="s">
        <v>828</v>
      </c>
      <c r="AC355" s="376" t="s">
        <v>829</v>
      </c>
      <c r="AD355" s="376" t="s">
        <v>374</v>
      </c>
      <c r="AE355" s="376" t="s">
        <v>792</v>
      </c>
      <c r="AF355" s="376" t="s">
        <v>210</v>
      </c>
      <c r="AG355" s="376" t="s">
        <v>177</v>
      </c>
      <c r="AH355" s="381">
        <v>28.32</v>
      </c>
      <c r="AI355" s="381">
        <v>36799.699999999997</v>
      </c>
      <c r="AJ355" s="376" t="s">
        <v>313</v>
      </c>
      <c r="AK355" s="376" t="s">
        <v>179</v>
      </c>
      <c r="AL355" s="376" t="s">
        <v>180</v>
      </c>
      <c r="AM355" s="376" t="s">
        <v>181</v>
      </c>
      <c r="AN355" s="376" t="s">
        <v>68</v>
      </c>
      <c r="AO355" s="379">
        <v>70</v>
      </c>
      <c r="AP355" s="460">
        <v>1</v>
      </c>
      <c r="AQ355" s="460">
        <v>0</v>
      </c>
      <c r="AR355" s="458" t="s">
        <v>182</v>
      </c>
      <c r="AS355" s="462">
        <f t="shared" si="85"/>
        <v>0</v>
      </c>
      <c r="AT355">
        <f t="shared" si="86"/>
        <v>0</v>
      </c>
      <c r="AU355" s="462" t="str">
        <f>IF(AT355=0,"",IF(AND(AT355=1,M355="F",SUMIF(C2:C698,C355,AS2:AS698)&lt;=1),SUMIF(C2:C698,C355,AS2:AS698),IF(AND(AT355=1,M355="F",SUMIF(C2:C698,C355,AS2:AS698)&gt;1),1,"")))</f>
        <v/>
      </c>
      <c r="AV355" s="462" t="str">
        <f>IF(AT355=0,"",IF(AND(AT355=3,M355="F",SUMIF(C2:C698,C355,AS2:AS698)&lt;=1),SUMIF(C2:C698,C355,AS2:AS698),IF(AND(AT355=3,M355="F",SUMIF(C2:C698,C355,AS2:AS698)&gt;1),1,"")))</f>
        <v/>
      </c>
      <c r="AW355" s="462">
        <f>SUMIF(C2:C698,C355,O2:O698)</f>
        <v>3</v>
      </c>
      <c r="AX355" s="462">
        <f>IF(AND(M355="F",AS355&lt;&gt;0),SUMIF(C2:C698,C355,W2:W698),0)</f>
        <v>0</v>
      </c>
      <c r="AY355" s="462" t="str">
        <f t="shared" si="87"/>
        <v/>
      </c>
      <c r="AZ355" s="462" t="str">
        <f t="shared" si="88"/>
        <v/>
      </c>
      <c r="BA355" s="462">
        <f t="shared" si="89"/>
        <v>0</v>
      </c>
      <c r="BB355" s="462">
        <f>IF(AND(AT355=1,AK355="E",AU355&gt;=0.75,AW355=1),Health,IF(AND(AT355=1,AK355="E",AU355&gt;=0.75),Health*P355,IF(AND(AT355=1,AK355="E",AU355&gt;=0.5,AW355=1),PTHealth,IF(AND(AT355=1,AK355="E",AU355&gt;=0.5),PTHealth*P355,0))))</f>
        <v>0</v>
      </c>
      <c r="BC355" s="462">
        <f>IF(AND(AT355=3,AK355="E",AV355&gt;=0.75,AW355=1),Health,IF(AND(AT355=3,AK355="E",AV355&gt;=0.75),Health*P355,IF(AND(AT355=3,AK355="E",AV355&gt;=0.5,AW355=1),PTHealth,IF(AND(AT355=3,AK355="E",AV355&gt;=0.5),PTHealth*P355,0))))</f>
        <v>0</v>
      </c>
      <c r="BD355" s="462">
        <f>IF(AND(AT355&lt;&gt;0,AX355&gt;=MAXSSDI),SSDI*MAXSSDI*P355,IF(AT355&lt;&gt;0,SSDI*W355,0))</f>
        <v>0</v>
      </c>
      <c r="BE355" s="462">
        <f>IF(AT355&lt;&gt;0,SSHI*W355,0)</f>
        <v>0</v>
      </c>
      <c r="BF355" s="462">
        <f>IF(AND(AT355&lt;&gt;0,AN355&lt;&gt;"NE"),VLOOKUP(AN355,Retirement_Rates,3,FALSE)*W355,0)</f>
        <v>0</v>
      </c>
      <c r="BG355" s="462">
        <f>IF(AND(AT355&lt;&gt;0,AJ355&lt;&gt;"PF"),Life*W355,0)</f>
        <v>0</v>
      </c>
      <c r="BH355" s="462">
        <f>IF(AND(AT355&lt;&gt;0,AM355="Y"),UI*W355,0)</f>
        <v>0</v>
      </c>
      <c r="BI355" s="462">
        <f>IF(AND(AT355&lt;&gt;0,N355&lt;&gt;"NR"),DHR*W355,0)</f>
        <v>0</v>
      </c>
      <c r="BJ355" s="462">
        <f>IF(AT355&lt;&gt;0,WC*W355,0)</f>
        <v>0</v>
      </c>
      <c r="BK355" s="462">
        <f>IF(OR(AND(AT355&lt;&gt;0,AJ355&lt;&gt;"PF",AN355&lt;&gt;"NE",AG355&lt;&gt;"A"),AND(AL355="E",OR(AT355=1,AT355=3))),Sick*W355,0)</f>
        <v>0</v>
      </c>
      <c r="BL355" s="462">
        <f t="shared" si="90"/>
        <v>0</v>
      </c>
      <c r="BM355" s="462">
        <f t="shared" si="91"/>
        <v>0</v>
      </c>
      <c r="BN355" s="462">
        <f>IF(AND(AT355=1,AK355="E",AU355&gt;=0.75,AW355=1),HealthBY,IF(AND(AT355=1,AK355="E",AU355&gt;=0.75),HealthBY*P355,IF(AND(AT355=1,AK355="E",AU355&gt;=0.5,AW355=1),PTHealthBY,IF(AND(AT355=1,AK355="E",AU355&gt;=0.5),PTHealthBY*P355,0))))</f>
        <v>0</v>
      </c>
      <c r="BO355" s="462">
        <f>IF(AND(AT355=3,AK355="E",AV355&gt;=0.75,AW355=1),HealthBY,IF(AND(AT355=3,AK355="E",AV355&gt;=0.75),HealthBY*P355,IF(AND(AT355=3,AK355="E",AV355&gt;=0.5,AW355=1),PTHealthBY,IF(AND(AT355=3,AK355="E",AV355&gt;=0.5),PTHealthBY*P355,0))))</f>
        <v>0</v>
      </c>
      <c r="BP355" s="462">
        <f>IF(AND(AT355&lt;&gt;0,(AX355+BA355)&gt;=MAXSSDIBY),SSDIBY*MAXSSDIBY*P355,IF(AT355&lt;&gt;0,SSDIBY*W355,0))</f>
        <v>0</v>
      </c>
      <c r="BQ355" s="462">
        <f>IF(AT355&lt;&gt;0,SSHIBY*W355,0)</f>
        <v>0</v>
      </c>
      <c r="BR355" s="462">
        <f>IF(AND(AT355&lt;&gt;0,AN355&lt;&gt;"NE"),VLOOKUP(AN355,Retirement_Rates,4,FALSE)*W355,0)</f>
        <v>0</v>
      </c>
      <c r="BS355" s="462">
        <f>IF(AND(AT355&lt;&gt;0,AJ355&lt;&gt;"PF"),LifeBY*W355,0)</f>
        <v>0</v>
      </c>
      <c r="BT355" s="462">
        <f>IF(AND(AT355&lt;&gt;0,AM355="Y"),UIBY*W355,0)</f>
        <v>0</v>
      </c>
      <c r="BU355" s="462">
        <f>IF(AND(AT355&lt;&gt;0,N355&lt;&gt;"NR"),DHRBY*W355,0)</f>
        <v>0</v>
      </c>
      <c r="BV355" s="462">
        <f>IF(AT355&lt;&gt;0,WCBY*W355,0)</f>
        <v>0</v>
      </c>
      <c r="BW355" s="462">
        <f>IF(OR(AND(AT355&lt;&gt;0,AJ355&lt;&gt;"PF",AN355&lt;&gt;"NE",AG355&lt;&gt;"A"),AND(AL355="E",OR(AT355=1,AT355=3))),SickBY*W355,0)</f>
        <v>0</v>
      </c>
      <c r="BX355" s="462">
        <f t="shared" si="92"/>
        <v>0</v>
      </c>
      <c r="BY355" s="462">
        <f t="shared" si="93"/>
        <v>0</v>
      </c>
      <c r="BZ355" s="462">
        <f t="shared" si="94"/>
        <v>0</v>
      </c>
      <c r="CA355" s="462">
        <f t="shared" si="95"/>
        <v>0</v>
      </c>
      <c r="CB355" s="462">
        <f t="shared" si="96"/>
        <v>0</v>
      </c>
      <c r="CC355" s="462">
        <f>IF(AT355&lt;&gt;0,SSHICHG*Y355,0)</f>
        <v>0</v>
      </c>
      <c r="CD355" s="462">
        <f>IF(AND(AT355&lt;&gt;0,AN355&lt;&gt;"NE"),VLOOKUP(AN355,Retirement_Rates,5,FALSE)*Y355,0)</f>
        <v>0</v>
      </c>
      <c r="CE355" s="462">
        <f>IF(AND(AT355&lt;&gt;0,AJ355&lt;&gt;"PF"),LifeCHG*Y355,0)</f>
        <v>0</v>
      </c>
      <c r="CF355" s="462">
        <f>IF(AND(AT355&lt;&gt;0,AM355="Y"),UICHG*Y355,0)</f>
        <v>0</v>
      </c>
      <c r="CG355" s="462">
        <f>IF(AND(AT355&lt;&gt;0,N355&lt;&gt;"NR"),DHRCHG*Y355,0)</f>
        <v>0</v>
      </c>
      <c r="CH355" s="462">
        <f>IF(AT355&lt;&gt;0,WCCHG*Y355,0)</f>
        <v>0</v>
      </c>
      <c r="CI355" s="462">
        <f>IF(OR(AND(AT355&lt;&gt;0,AJ355&lt;&gt;"PF",AN355&lt;&gt;"NE",AG355&lt;&gt;"A"),AND(AL355="E",OR(AT355=1,AT355=3))),SickCHG*Y355,0)</f>
        <v>0</v>
      </c>
      <c r="CJ355" s="462">
        <f t="shared" si="97"/>
        <v>0</v>
      </c>
      <c r="CK355" s="462" t="str">
        <f t="shared" si="98"/>
        <v/>
      </c>
      <c r="CL355" s="462" t="str">
        <f t="shared" si="99"/>
        <v/>
      </c>
      <c r="CM355" s="462" t="str">
        <f t="shared" si="100"/>
        <v/>
      </c>
      <c r="CN355" s="462" t="str">
        <f t="shared" si="101"/>
        <v>0330-05</v>
      </c>
    </row>
    <row r="356" spans="1:92" ht="15" thickBot="1" x14ac:dyDescent="0.35">
      <c r="A356" s="376" t="s">
        <v>161</v>
      </c>
      <c r="B356" s="376" t="s">
        <v>162</v>
      </c>
      <c r="C356" s="376" t="s">
        <v>872</v>
      </c>
      <c r="D356" s="376" t="s">
        <v>362</v>
      </c>
      <c r="E356" s="376" t="s">
        <v>931</v>
      </c>
      <c r="F356" s="382" t="s">
        <v>962</v>
      </c>
      <c r="G356" s="376" t="s">
        <v>762</v>
      </c>
      <c r="H356" s="378"/>
      <c r="I356" s="378"/>
      <c r="J356" s="376" t="s">
        <v>168</v>
      </c>
      <c r="K356" s="376" t="s">
        <v>363</v>
      </c>
      <c r="L356" s="376" t="s">
        <v>200</v>
      </c>
      <c r="M356" s="376" t="s">
        <v>201</v>
      </c>
      <c r="N356" s="376" t="s">
        <v>202</v>
      </c>
      <c r="O356" s="379">
        <v>0</v>
      </c>
      <c r="P356" s="460">
        <v>0</v>
      </c>
      <c r="Q356" s="460">
        <v>0</v>
      </c>
      <c r="R356" s="380">
        <v>80</v>
      </c>
      <c r="S356" s="460">
        <v>0</v>
      </c>
      <c r="T356" s="380">
        <v>181.05</v>
      </c>
      <c r="U356" s="380">
        <v>0</v>
      </c>
      <c r="V356" s="380">
        <v>90.35</v>
      </c>
      <c r="W356" s="380">
        <v>0</v>
      </c>
      <c r="X356" s="380">
        <v>0</v>
      </c>
      <c r="Y356" s="380">
        <v>0</v>
      </c>
      <c r="Z356" s="380">
        <v>0</v>
      </c>
      <c r="AA356" s="378"/>
      <c r="AB356" s="376" t="s">
        <v>45</v>
      </c>
      <c r="AC356" s="376" t="s">
        <v>45</v>
      </c>
      <c r="AD356" s="378"/>
      <c r="AE356" s="378"/>
      <c r="AF356" s="378"/>
      <c r="AG356" s="378"/>
      <c r="AH356" s="379">
        <v>0</v>
      </c>
      <c r="AI356" s="379">
        <v>0</v>
      </c>
      <c r="AJ356" s="378"/>
      <c r="AK356" s="378"/>
      <c r="AL356" s="376" t="s">
        <v>180</v>
      </c>
      <c r="AM356" s="378"/>
      <c r="AN356" s="378"/>
      <c r="AO356" s="379">
        <v>0</v>
      </c>
      <c r="AP356" s="460">
        <v>0</v>
      </c>
      <c r="AQ356" s="460">
        <v>0</v>
      </c>
      <c r="AR356" s="459"/>
      <c r="AS356" s="462">
        <f t="shared" si="85"/>
        <v>0</v>
      </c>
      <c r="AT356">
        <f t="shared" si="86"/>
        <v>0</v>
      </c>
      <c r="AU356" s="462" t="str">
        <f>IF(AT356=0,"",IF(AND(AT356=1,M356="F",SUMIF(C2:C698,C356,AS2:AS698)&lt;=1),SUMIF(C2:C698,C356,AS2:AS698),IF(AND(AT356=1,M356="F",SUMIF(C2:C698,C356,AS2:AS698)&gt;1),1,"")))</f>
        <v/>
      </c>
      <c r="AV356" s="462" t="str">
        <f>IF(AT356=0,"",IF(AND(AT356=3,M356="F",SUMIF(C2:C698,C356,AS2:AS698)&lt;=1),SUMIF(C2:C698,C356,AS2:AS698),IF(AND(AT356=3,M356="F",SUMIF(C2:C698,C356,AS2:AS698)&gt;1),1,"")))</f>
        <v/>
      </c>
      <c r="AW356" s="462">
        <f>SUMIF(C2:C698,C356,O2:O698)</f>
        <v>0</v>
      </c>
      <c r="AX356" s="462">
        <f>IF(AND(M356="F",AS356&lt;&gt;0),SUMIF(C2:C698,C356,W2:W698),0)</f>
        <v>0</v>
      </c>
      <c r="AY356" s="462" t="str">
        <f t="shared" si="87"/>
        <v/>
      </c>
      <c r="AZ356" s="462" t="str">
        <f t="shared" si="88"/>
        <v/>
      </c>
      <c r="BA356" s="462">
        <f t="shared" si="89"/>
        <v>0</v>
      </c>
      <c r="BB356" s="462">
        <f>IF(AND(AT356=1,AK356="E",AU356&gt;=0.75,AW356=1),Health,IF(AND(AT356=1,AK356="E",AU356&gt;=0.75),Health*P356,IF(AND(AT356=1,AK356="E",AU356&gt;=0.5,AW356=1),PTHealth,IF(AND(AT356=1,AK356="E",AU356&gt;=0.5),PTHealth*P356,0))))</f>
        <v>0</v>
      </c>
      <c r="BC356" s="462">
        <f>IF(AND(AT356=3,AK356="E",AV356&gt;=0.75,AW356=1),Health,IF(AND(AT356=3,AK356="E",AV356&gt;=0.75),Health*P356,IF(AND(AT356=3,AK356="E",AV356&gt;=0.5,AW356=1),PTHealth,IF(AND(AT356=3,AK356="E",AV356&gt;=0.5),PTHealth*P356,0))))</f>
        <v>0</v>
      </c>
      <c r="BD356" s="462">
        <f>IF(AND(AT356&lt;&gt;0,AX356&gt;=MAXSSDI),SSDI*MAXSSDI*P356,IF(AT356&lt;&gt;0,SSDI*W356,0))</f>
        <v>0</v>
      </c>
      <c r="BE356" s="462">
        <f>IF(AT356&lt;&gt;0,SSHI*W356,0)</f>
        <v>0</v>
      </c>
      <c r="BF356" s="462">
        <f>IF(AND(AT356&lt;&gt;0,AN356&lt;&gt;"NE"),VLOOKUP(AN356,Retirement_Rates,3,FALSE)*W356,0)</f>
        <v>0</v>
      </c>
      <c r="BG356" s="462">
        <f>IF(AND(AT356&lt;&gt;0,AJ356&lt;&gt;"PF"),Life*W356,0)</f>
        <v>0</v>
      </c>
      <c r="BH356" s="462">
        <f>IF(AND(AT356&lt;&gt;0,AM356="Y"),UI*W356,0)</f>
        <v>0</v>
      </c>
      <c r="BI356" s="462">
        <f>IF(AND(AT356&lt;&gt;0,N356&lt;&gt;"NR"),DHR*W356,0)</f>
        <v>0</v>
      </c>
      <c r="BJ356" s="462">
        <f>IF(AT356&lt;&gt;0,WC*W356,0)</f>
        <v>0</v>
      </c>
      <c r="BK356" s="462">
        <f>IF(OR(AND(AT356&lt;&gt;0,AJ356&lt;&gt;"PF",AN356&lt;&gt;"NE",AG356&lt;&gt;"A"),AND(AL356="E",OR(AT356=1,AT356=3))),Sick*W356,0)</f>
        <v>0</v>
      </c>
      <c r="BL356" s="462">
        <f t="shared" si="90"/>
        <v>0</v>
      </c>
      <c r="BM356" s="462">
        <f t="shared" si="91"/>
        <v>0</v>
      </c>
      <c r="BN356" s="462">
        <f>IF(AND(AT356=1,AK356="E",AU356&gt;=0.75,AW356=1),HealthBY,IF(AND(AT356=1,AK356="E",AU356&gt;=0.75),HealthBY*P356,IF(AND(AT356=1,AK356="E",AU356&gt;=0.5,AW356=1),PTHealthBY,IF(AND(AT356=1,AK356="E",AU356&gt;=0.5),PTHealthBY*P356,0))))</f>
        <v>0</v>
      </c>
      <c r="BO356" s="462">
        <f>IF(AND(AT356=3,AK356="E",AV356&gt;=0.75,AW356=1),HealthBY,IF(AND(AT356=3,AK356="E",AV356&gt;=0.75),HealthBY*P356,IF(AND(AT356=3,AK356="E",AV356&gt;=0.5,AW356=1),PTHealthBY,IF(AND(AT356=3,AK356="E",AV356&gt;=0.5),PTHealthBY*P356,0))))</f>
        <v>0</v>
      </c>
      <c r="BP356" s="462">
        <f>IF(AND(AT356&lt;&gt;0,(AX356+BA356)&gt;=MAXSSDIBY),SSDIBY*MAXSSDIBY*P356,IF(AT356&lt;&gt;0,SSDIBY*W356,0))</f>
        <v>0</v>
      </c>
      <c r="BQ356" s="462">
        <f>IF(AT356&lt;&gt;0,SSHIBY*W356,0)</f>
        <v>0</v>
      </c>
      <c r="BR356" s="462">
        <f>IF(AND(AT356&lt;&gt;0,AN356&lt;&gt;"NE"),VLOOKUP(AN356,Retirement_Rates,4,FALSE)*W356,0)</f>
        <v>0</v>
      </c>
      <c r="BS356" s="462">
        <f>IF(AND(AT356&lt;&gt;0,AJ356&lt;&gt;"PF"),LifeBY*W356,0)</f>
        <v>0</v>
      </c>
      <c r="BT356" s="462">
        <f>IF(AND(AT356&lt;&gt;0,AM356="Y"),UIBY*W356,0)</f>
        <v>0</v>
      </c>
      <c r="BU356" s="462">
        <f>IF(AND(AT356&lt;&gt;0,N356&lt;&gt;"NR"),DHRBY*W356,0)</f>
        <v>0</v>
      </c>
      <c r="BV356" s="462">
        <f>IF(AT356&lt;&gt;0,WCBY*W356,0)</f>
        <v>0</v>
      </c>
      <c r="BW356" s="462">
        <f>IF(OR(AND(AT356&lt;&gt;0,AJ356&lt;&gt;"PF",AN356&lt;&gt;"NE",AG356&lt;&gt;"A"),AND(AL356="E",OR(AT356=1,AT356=3))),SickBY*W356,0)</f>
        <v>0</v>
      </c>
      <c r="BX356" s="462">
        <f t="shared" si="92"/>
        <v>0</v>
      </c>
      <c r="BY356" s="462">
        <f t="shared" si="93"/>
        <v>0</v>
      </c>
      <c r="BZ356" s="462">
        <f t="shared" si="94"/>
        <v>0</v>
      </c>
      <c r="CA356" s="462">
        <f t="shared" si="95"/>
        <v>0</v>
      </c>
      <c r="CB356" s="462">
        <f t="shared" si="96"/>
        <v>0</v>
      </c>
      <c r="CC356" s="462">
        <f>IF(AT356&lt;&gt;0,SSHICHG*Y356,0)</f>
        <v>0</v>
      </c>
      <c r="CD356" s="462">
        <f>IF(AND(AT356&lt;&gt;0,AN356&lt;&gt;"NE"),VLOOKUP(AN356,Retirement_Rates,5,FALSE)*Y356,0)</f>
        <v>0</v>
      </c>
      <c r="CE356" s="462">
        <f>IF(AND(AT356&lt;&gt;0,AJ356&lt;&gt;"PF"),LifeCHG*Y356,0)</f>
        <v>0</v>
      </c>
      <c r="CF356" s="462">
        <f>IF(AND(AT356&lt;&gt;0,AM356="Y"),UICHG*Y356,0)</f>
        <v>0</v>
      </c>
      <c r="CG356" s="462">
        <f>IF(AND(AT356&lt;&gt;0,N356&lt;&gt;"NR"),DHRCHG*Y356,0)</f>
        <v>0</v>
      </c>
      <c r="CH356" s="462">
        <f>IF(AT356&lt;&gt;0,WCCHG*Y356,0)</f>
        <v>0</v>
      </c>
      <c r="CI356" s="462">
        <f>IF(OR(AND(AT356&lt;&gt;0,AJ356&lt;&gt;"PF",AN356&lt;&gt;"NE",AG356&lt;&gt;"A"),AND(AL356="E",OR(AT356=1,AT356=3))),SickCHG*Y356,0)</f>
        <v>0</v>
      </c>
      <c r="CJ356" s="462">
        <f t="shared" si="97"/>
        <v>0</v>
      </c>
      <c r="CK356" s="462" t="str">
        <f t="shared" si="98"/>
        <v/>
      </c>
      <c r="CL356" s="462" t="str">
        <f t="shared" si="99"/>
        <v/>
      </c>
      <c r="CM356" s="462" t="str">
        <f t="shared" si="100"/>
        <v/>
      </c>
      <c r="CN356" s="462" t="str">
        <f t="shared" si="101"/>
        <v>0330-08</v>
      </c>
    </row>
    <row r="357" spans="1:92" ht="15" thickBot="1" x14ac:dyDescent="0.35">
      <c r="A357" s="376" t="s">
        <v>161</v>
      </c>
      <c r="B357" s="376" t="s">
        <v>162</v>
      </c>
      <c r="C357" s="376" t="s">
        <v>841</v>
      </c>
      <c r="D357" s="376" t="s">
        <v>365</v>
      </c>
      <c r="E357" s="376" t="s">
        <v>931</v>
      </c>
      <c r="F357" s="382" t="s">
        <v>962</v>
      </c>
      <c r="G357" s="376" t="s">
        <v>762</v>
      </c>
      <c r="H357" s="378"/>
      <c r="I357" s="378"/>
      <c r="J357" s="376" t="s">
        <v>547</v>
      </c>
      <c r="K357" s="376" t="s">
        <v>366</v>
      </c>
      <c r="L357" s="376" t="s">
        <v>274</v>
      </c>
      <c r="M357" s="376" t="s">
        <v>170</v>
      </c>
      <c r="N357" s="376" t="s">
        <v>202</v>
      </c>
      <c r="O357" s="379">
        <v>1</v>
      </c>
      <c r="P357" s="460">
        <v>0.1</v>
      </c>
      <c r="Q357" s="460">
        <v>0.1</v>
      </c>
      <c r="R357" s="380">
        <v>80</v>
      </c>
      <c r="S357" s="460">
        <v>0.1</v>
      </c>
      <c r="T357" s="380">
        <v>3561.33</v>
      </c>
      <c r="U357" s="380">
        <v>0</v>
      </c>
      <c r="V357" s="380">
        <v>1874.72</v>
      </c>
      <c r="W357" s="380">
        <v>3839.68</v>
      </c>
      <c r="X357" s="380">
        <v>2034.18</v>
      </c>
      <c r="Y357" s="380">
        <v>3839.68</v>
      </c>
      <c r="Z357" s="380">
        <v>2024.2</v>
      </c>
      <c r="AA357" s="376" t="s">
        <v>842</v>
      </c>
      <c r="AB357" s="376" t="s">
        <v>843</v>
      </c>
      <c r="AC357" s="376" t="s">
        <v>844</v>
      </c>
      <c r="AD357" s="376" t="s">
        <v>278</v>
      </c>
      <c r="AE357" s="376" t="s">
        <v>366</v>
      </c>
      <c r="AF357" s="376" t="s">
        <v>279</v>
      </c>
      <c r="AG357" s="376" t="s">
        <v>177</v>
      </c>
      <c r="AH357" s="381">
        <v>18.46</v>
      </c>
      <c r="AI357" s="381">
        <v>28262.7</v>
      </c>
      <c r="AJ357" s="376" t="s">
        <v>178</v>
      </c>
      <c r="AK357" s="376" t="s">
        <v>179</v>
      </c>
      <c r="AL357" s="376" t="s">
        <v>180</v>
      </c>
      <c r="AM357" s="376" t="s">
        <v>181</v>
      </c>
      <c r="AN357" s="376" t="s">
        <v>68</v>
      </c>
      <c r="AO357" s="379">
        <v>80</v>
      </c>
      <c r="AP357" s="460">
        <v>1</v>
      </c>
      <c r="AQ357" s="460">
        <v>0.1</v>
      </c>
      <c r="AR357" s="458" t="s">
        <v>182</v>
      </c>
      <c r="AS357" s="462">
        <f t="shared" si="85"/>
        <v>0.1</v>
      </c>
      <c r="AT357">
        <f t="shared" si="86"/>
        <v>1</v>
      </c>
      <c r="AU357" s="462">
        <f>IF(AT357=0,"",IF(AND(AT357=1,M357="F",SUMIF(C2:C698,C357,AS2:AS698)&lt;=1),SUMIF(C2:C698,C357,AS2:AS698),IF(AND(AT357=1,M357="F",SUMIF(C2:C698,C357,AS2:AS698)&gt;1),1,"")))</f>
        <v>1</v>
      </c>
      <c r="AV357" s="462" t="str">
        <f>IF(AT357=0,"",IF(AND(AT357=3,M357="F",SUMIF(C2:C698,C357,AS2:AS698)&lt;=1),SUMIF(C2:C698,C357,AS2:AS698),IF(AND(AT357=3,M357="F",SUMIF(C2:C698,C357,AS2:AS698)&gt;1),1,"")))</f>
        <v/>
      </c>
      <c r="AW357" s="462">
        <f>SUMIF(C2:C698,C357,O2:O698)</f>
        <v>3</v>
      </c>
      <c r="AX357" s="462">
        <f>IF(AND(M357="F",AS357&lt;&gt;0),SUMIF(C2:C698,C357,W2:W698),0)</f>
        <v>38396.799999999996</v>
      </c>
      <c r="AY357" s="462">
        <f t="shared" si="87"/>
        <v>3839.68</v>
      </c>
      <c r="AZ357" s="462" t="str">
        <f t="shared" si="88"/>
        <v/>
      </c>
      <c r="BA357" s="462">
        <f t="shared" si="89"/>
        <v>0</v>
      </c>
      <c r="BB357" s="462">
        <f>IF(AND(AT357=1,AK357="E",AU357&gt;=0.75,AW357=1),Health,IF(AND(AT357=1,AK357="E",AU357&gt;=0.75),Health*P357,IF(AND(AT357=1,AK357="E",AU357&gt;=0.5,AW357=1),PTHealth,IF(AND(AT357=1,AK357="E",AU357&gt;=0.5),PTHealth*P357,0))))</f>
        <v>1165</v>
      </c>
      <c r="BC357" s="462">
        <f>IF(AND(AT357=3,AK357="E",AV357&gt;=0.75,AW357=1),Health,IF(AND(AT357=3,AK357="E",AV357&gt;=0.75),Health*P357,IF(AND(AT357=3,AK357="E",AV357&gt;=0.5,AW357=1),PTHealth,IF(AND(AT357=3,AK357="E",AV357&gt;=0.5),PTHealth*P357,0))))</f>
        <v>0</v>
      </c>
      <c r="BD357" s="462">
        <f>IF(AND(AT357&lt;&gt;0,AX357&gt;=MAXSSDI),SSDI*MAXSSDI*P357,IF(AT357&lt;&gt;0,SSDI*W357,0))</f>
        <v>238.06016</v>
      </c>
      <c r="BE357" s="462">
        <f>IF(AT357&lt;&gt;0,SSHI*W357,0)</f>
        <v>55.675359999999998</v>
      </c>
      <c r="BF357" s="462">
        <f>IF(AND(AT357&lt;&gt;0,AN357&lt;&gt;"NE"),VLOOKUP(AN357,Retirement_Rates,3,FALSE)*W357,0)</f>
        <v>458.45779199999998</v>
      </c>
      <c r="BG357" s="462">
        <f>IF(AND(AT357&lt;&gt;0,AJ357&lt;&gt;"PF"),Life*W357,0)</f>
        <v>27.684092799999998</v>
      </c>
      <c r="BH357" s="462">
        <f>IF(AND(AT357&lt;&gt;0,AM357="Y"),UI*W357,0)</f>
        <v>18.814432</v>
      </c>
      <c r="BI357" s="462">
        <f>IF(AND(AT357&lt;&gt;0,N357&lt;&gt;"NR"),DHR*W357,0)</f>
        <v>11.749420799999999</v>
      </c>
      <c r="BJ357" s="462">
        <f>IF(AT357&lt;&gt;0,WC*W357,0)</f>
        <v>58.747103999999993</v>
      </c>
      <c r="BK357" s="462">
        <f>IF(OR(AND(AT357&lt;&gt;0,AJ357&lt;&gt;"PF",AN357&lt;&gt;"NE",AG357&lt;&gt;"A"),AND(AL357="E",OR(AT357=1,AT357=3))),Sick*W357,0)</f>
        <v>0</v>
      </c>
      <c r="BL357" s="462">
        <f t="shared" si="90"/>
        <v>869.18836160000012</v>
      </c>
      <c r="BM357" s="462">
        <f t="shared" si="91"/>
        <v>0</v>
      </c>
      <c r="BN357" s="462">
        <f>IF(AND(AT357=1,AK357="E",AU357&gt;=0.75,AW357=1),HealthBY,IF(AND(AT357=1,AK357="E",AU357&gt;=0.75),HealthBY*P357,IF(AND(AT357=1,AK357="E",AU357&gt;=0.5,AW357=1),PTHealthBY,IF(AND(AT357=1,AK357="E",AU357&gt;=0.5),PTHealthBY*P357,0))))</f>
        <v>1165</v>
      </c>
      <c r="BO357" s="462">
        <f>IF(AND(AT357=3,AK357="E",AV357&gt;=0.75,AW357=1),HealthBY,IF(AND(AT357=3,AK357="E",AV357&gt;=0.75),HealthBY*P357,IF(AND(AT357=3,AK357="E",AV357&gt;=0.5,AW357=1),PTHealthBY,IF(AND(AT357=3,AK357="E",AV357&gt;=0.5),PTHealthBY*P357,0))))</f>
        <v>0</v>
      </c>
      <c r="BP357" s="462">
        <f>IF(AND(AT357&lt;&gt;0,(AX357+BA357)&gt;=MAXSSDIBY),SSDIBY*MAXSSDIBY*P357,IF(AT357&lt;&gt;0,SSDIBY*W357,0))</f>
        <v>238.06016</v>
      </c>
      <c r="BQ357" s="462">
        <f>IF(AT357&lt;&gt;0,SSHIBY*W357,0)</f>
        <v>55.675359999999998</v>
      </c>
      <c r="BR357" s="462">
        <f>IF(AND(AT357&lt;&gt;0,AN357&lt;&gt;"NE"),VLOOKUP(AN357,Retirement_Rates,4,FALSE)*W357,0)</f>
        <v>458.45779199999998</v>
      </c>
      <c r="BS357" s="462">
        <f>IF(AND(AT357&lt;&gt;0,AJ357&lt;&gt;"PF"),LifeBY*W357,0)</f>
        <v>27.684092799999998</v>
      </c>
      <c r="BT357" s="462">
        <f>IF(AND(AT357&lt;&gt;0,AM357="Y"),UIBY*W357,0)</f>
        <v>0</v>
      </c>
      <c r="BU357" s="462">
        <f>IF(AND(AT357&lt;&gt;0,N357&lt;&gt;"NR"),DHRBY*W357,0)</f>
        <v>11.749420799999999</v>
      </c>
      <c r="BV357" s="462">
        <f>IF(AT357&lt;&gt;0,WCBY*W357,0)</f>
        <v>67.578367999999998</v>
      </c>
      <c r="BW357" s="462">
        <f>IF(OR(AND(AT357&lt;&gt;0,AJ357&lt;&gt;"PF",AN357&lt;&gt;"NE",AG357&lt;&gt;"A"),AND(AL357="E",OR(AT357=1,AT357=3))),SickBY*W357,0)</f>
        <v>0</v>
      </c>
      <c r="BX357" s="462">
        <f t="shared" si="92"/>
        <v>859.20519360000003</v>
      </c>
      <c r="BY357" s="462">
        <f t="shared" si="93"/>
        <v>0</v>
      </c>
      <c r="BZ357" s="462">
        <f t="shared" si="94"/>
        <v>0</v>
      </c>
      <c r="CA357" s="462">
        <f t="shared" si="95"/>
        <v>0</v>
      </c>
      <c r="CB357" s="462">
        <f t="shared" si="96"/>
        <v>0</v>
      </c>
      <c r="CC357" s="462">
        <f>IF(AT357&lt;&gt;0,SSHICHG*Y357,0)</f>
        <v>0</v>
      </c>
      <c r="CD357" s="462">
        <f>IF(AND(AT357&lt;&gt;0,AN357&lt;&gt;"NE"),VLOOKUP(AN357,Retirement_Rates,5,FALSE)*Y357,0)</f>
        <v>0</v>
      </c>
      <c r="CE357" s="462">
        <f>IF(AND(AT357&lt;&gt;0,AJ357&lt;&gt;"PF"),LifeCHG*Y357,0)</f>
        <v>0</v>
      </c>
      <c r="CF357" s="462">
        <f>IF(AND(AT357&lt;&gt;0,AM357="Y"),UICHG*Y357,0)</f>
        <v>-18.814432</v>
      </c>
      <c r="CG357" s="462">
        <f>IF(AND(AT357&lt;&gt;0,N357&lt;&gt;"NR"),DHRCHG*Y357,0)</f>
        <v>0</v>
      </c>
      <c r="CH357" s="462">
        <f>IF(AT357&lt;&gt;0,WCCHG*Y357,0)</f>
        <v>8.8312640000000062</v>
      </c>
      <c r="CI357" s="462">
        <f>IF(OR(AND(AT357&lt;&gt;0,AJ357&lt;&gt;"PF",AN357&lt;&gt;"NE",AG357&lt;&gt;"A"),AND(AL357="E",OR(AT357=1,AT357=3))),SickCHG*Y357,0)</f>
        <v>0</v>
      </c>
      <c r="CJ357" s="462">
        <f t="shared" si="97"/>
        <v>-9.9831679999999938</v>
      </c>
      <c r="CK357" s="462" t="str">
        <f t="shared" si="98"/>
        <v/>
      </c>
      <c r="CL357" s="462" t="str">
        <f t="shared" si="99"/>
        <v/>
      </c>
      <c r="CM357" s="462" t="str">
        <f t="shared" si="100"/>
        <v/>
      </c>
      <c r="CN357" s="462" t="str">
        <f t="shared" si="101"/>
        <v>0330-08</v>
      </c>
    </row>
    <row r="358" spans="1:92" ht="15" thickBot="1" x14ac:dyDescent="0.35">
      <c r="A358" s="376" t="s">
        <v>161</v>
      </c>
      <c r="B358" s="376" t="s">
        <v>162</v>
      </c>
      <c r="C358" s="376" t="s">
        <v>876</v>
      </c>
      <c r="D358" s="376" t="s">
        <v>362</v>
      </c>
      <c r="E358" s="376" t="s">
        <v>931</v>
      </c>
      <c r="F358" s="382" t="s">
        <v>962</v>
      </c>
      <c r="G358" s="376" t="s">
        <v>762</v>
      </c>
      <c r="H358" s="378"/>
      <c r="I358" s="378"/>
      <c r="J358" s="376" t="s">
        <v>877</v>
      </c>
      <c r="K358" s="376" t="s">
        <v>363</v>
      </c>
      <c r="L358" s="376" t="s">
        <v>200</v>
      </c>
      <c r="M358" s="376" t="s">
        <v>170</v>
      </c>
      <c r="N358" s="376" t="s">
        <v>202</v>
      </c>
      <c r="O358" s="379">
        <v>1</v>
      </c>
      <c r="P358" s="460">
        <v>0</v>
      </c>
      <c r="Q358" s="460">
        <v>0</v>
      </c>
      <c r="R358" s="380">
        <v>80</v>
      </c>
      <c r="S358" s="460">
        <v>0</v>
      </c>
      <c r="T358" s="380">
        <v>666.9</v>
      </c>
      <c r="U358" s="380">
        <v>0</v>
      </c>
      <c r="V358" s="380">
        <v>317.93</v>
      </c>
      <c r="W358" s="380">
        <v>0</v>
      </c>
      <c r="X358" s="380">
        <v>0</v>
      </c>
      <c r="Y358" s="380">
        <v>0</v>
      </c>
      <c r="Z358" s="380">
        <v>0</v>
      </c>
      <c r="AA358" s="376" t="s">
        <v>878</v>
      </c>
      <c r="AB358" s="376" t="s">
        <v>879</v>
      </c>
      <c r="AC358" s="376" t="s">
        <v>880</v>
      </c>
      <c r="AD358" s="376" t="s">
        <v>881</v>
      </c>
      <c r="AE358" s="376" t="s">
        <v>363</v>
      </c>
      <c r="AF358" s="376" t="s">
        <v>210</v>
      </c>
      <c r="AG358" s="376" t="s">
        <v>177</v>
      </c>
      <c r="AH358" s="381">
        <v>24.41</v>
      </c>
      <c r="AI358" s="379">
        <v>38438</v>
      </c>
      <c r="AJ358" s="376" t="s">
        <v>178</v>
      </c>
      <c r="AK358" s="376" t="s">
        <v>179</v>
      </c>
      <c r="AL358" s="376" t="s">
        <v>180</v>
      </c>
      <c r="AM358" s="376" t="s">
        <v>181</v>
      </c>
      <c r="AN358" s="376" t="s">
        <v>68</v>
      </c>
      <c r="AO358" s="379">
        <v>80</v>
      </c>
      <c r="AP358" s="460">
        <v>1</v>
      </c>
      <c r="AQ358" s="460">
        <v>0</v>
      </c>
      <c r="AR358" s="458" t="s">
        <v>182</v>
      </c>
      <c r="AS358" s="462">
        <f t="shared" si="85"/>
        <v>0</v>
      </c>
      <c r="AT358">
        <f t="shared" si="86"/>
        <v>0</v>
      </c>
      <c r="AU358" s="462" t="str">
        <f>IF(AT358=0,"",IF(AND(AT358=1,M358="F",SUMIF(C2:C698,C358,AS2:AS698)&lt;=1),SUMIF(C2:C698,C358,AS2:AS698),IF(AND(AT358=1,M358="F",SUMIF(C2:C698,C358,AS2:AS698)&gt;1),1,"")))</f>
        <v/>
      </c>
      <c r="AV358" s="462" t="str">
        <f>IF(AT358=0,"",IF(AND(AT358=3,M358="F",SUMIF(C2:C698,C358,AS2:AS698)&lt;=1),SUMIF(C2:C698,C358,AS2:AS698),IF(AND(AT358=3,M358="F",SUMIF(C2:C698,C358,AS2:AS698)&gt;1),1,"")))</f>
        <v/>
      </c>
      <c r="AW358" s="462">
        <f>SUMIF(C2:C698,C358,O2:O698)</f>
        <v>8</v>
      </c>
      <c r="AX358" s="462">
        <f>IF(AND(M358="F",AS358&lt;&gt;0),SUMIF(C2:C698,C358,W2:W698),0)</f>
        <v>0</v>
      </c>
      <c r="AY358" s="462" t="str">
        <f t="shared" si="87"/>
        <v/>
      </c>
      <c r="AZ358" s="462" t="str">
        <f t="shared" si="88"/>
        <v/>
      </c>
      <c r="BA358" s="462">
        <f t="shared" si="89"/>
        <v>0</v>
      </c>
      <c r="BB358" s="462">
        <f>IF(AND(AT358=1,AK358="E",AU358&gt;=0.75,AW358=1),Health,IF(AND(AT358=1,AK358="E",AU358&gt;=0.75),Health*P358,IF(AND(AT358=1,AK358="E",AU358&gt;=0.5,AW358=1),PTHealth,IF(AND(AT358=1,AK358="E",AU358&gt;=0.5),PTHealth*P358,0))))</f>
        <v>0</v>
      </c>
      <c r="BC358" s="462">
        <f>IF(AND(AT358=3,AK358="E",AV358&gt;=0.75,AW358=1),Health,IF(AND(AT358=3,AK358="E",AV358&gt;=0.75),Health*P358,IF(AND(AT358=3,AK358="E",AV358&gt;=0.5,AW358=1),PTHealth,IF(AND(AT358=3,AK358="E",AV358&gt;=0.5),PTHealth*P358,0))))</f>
        <v>0</v>
      </c>
      <c r="BD358" s="462">
        <f>IF(AND(AT358&lt;&gt;0,AX358&gt;=MAXSSDI),SSDI*MAXSSDI*P358,IF(AT358&lt;&gt;0,SSDI*W358,0))</f>
        <v>0</v>
      </c>
      <c r="BE358" s="462">
        <f>IF(AT358&lt;&gt;0,SSHI*W358,0)</f>
        <v>0</v>
      </c>
      <c r="BF358" s="462">
        <f>IF(AND(AT358&lt;&gt;0,AN358&lt;&gt;"NE"),VLOOKUP(AN358,Retirement_Rates,3,FALSE)*W358,0)</f>
        <v>0</v>
      </c>
      <c r="BG358" s="462">
        <f>IF(AND(AT358&lt;&gt;0,AJ358&lt;&gt;"PF"),Life*W358,0)</f>
        <v>0</v>
      </c>
      <c r="BH358" s="462">
        <f>IF(AND(AT358&lt;&gt;0,AM358="Y"),UI*W358,0)</f>
        <v>0</v>
      </c>
      <c r="BI358" s="462">
        <f>IF(AND(AT358&lt;&gt;0,N358&lt;&gt;"NR"),DHR*W358,0)</f>
        <v>0</v>
      </c>
      <c r="BJ358" s="462">
        <f>IF(AT358&lt;&gt;0,WC*W358,0)</f>
        <v>0</v>
      </c>
      <c r="BK358" s="462">
        <f>IF(OR(AND(AT358&lt;&gt;0,AJ358&lt;&gt;"PF",AN358&lt;&gt;"NE",AG358&lt;&gt;"A"),AND(AL358="E",OR(AT358=1,AT358=3))),Sick*W358,0)</f>
        <v>0</v>
      </c>
      <c r="BL358" s="462">
        <f t="shared" si="90"/>
        <v>0</v>
      </c>
      <c r="BM358" s="462">
        <f t="shared" si="91"/>
        <v>0</v>
      </c>
      <c r="BN358" s="462">
        <f>IF(AND(AT358=1,AK358="E",AU358&gt;=0.75,AW358=1),HealthBY,IF(AND(AT358=1,AK358="E",AU358&gt;=0.75),HealthBY*P358,IF(AND(AT358=1,AK358="E",AU358&gt;=0.5,AW358=1),PTHealthBY,IF(AND(AT358=1,AK358="E",AU358&gt;=0.5),PTHealthBY*P358,0))))</f>
        <v>0</v>
      </c>
      <c r="BO358" s="462">
        <f>IF(AND(AT358=3,AK358="E",AV358&gt;=0.75,AW358=1),HealthBY,IF(AND(AT358=3,AK358="E",AV358&gt;=0.75),HealthBY*P358,IF(AND(AT358=3,AK358="E",AV358&gt;=0.5,AW358=1),PTHealthBY,IF(AND(AT358=3,AK358="E",AV358&gt;=0.5),PTHealthBY*P358,0))))</f>
        <v>0</v>
      </c>
      <c r="BP358" s="462">
        <f>IF(AND(AT358&lt;&gt;0,(AX358+BA358)&gt;=MAXSSDIBY),SSDIBY*MAXSSDIBY*P358,IF(AT358&lt;&gt;0,SSDIBY*W358,0))</f>
        <v>0</v>
      </c>
      <c r="BQ358" s="462">
        <f>IF(AT358&lt;&gt;0,SSHIBY*W358,0)</f>
        <v>0</v>
      </c>
      <c r="BR358" s="462">
        <f>IF(AND(AT358&lt;&gt;0,AN358&lt;&gt;"NE"),VLOOKUP(AN358,Retirement_Rates,4,FALSE)*W358,0)</f>
        <v>0</v>
      </c>
      <c r="BS358" s="462">
        <f>IF(AND(AT358&lt;&gt;0,AJ358&lt;&gt;"PF"),LifeBY*W358,0)</f>
        <v>0</v>
      </c>
      <c r="BT358" s="462">
        <f>IF(AND(AT358&lt;&gt;0,AM358="Y"),UIBY*W358,0)</f>
        <v>0</v>
      </c>
      <c r="BU358" s="462">
        <f>IF(AND(AT358&lt;&gt;0,N358&lt;&gt;"NR"),DHRBY*W358,0)</f>
        <v>0</v>
      </c>
      <c r="BV358" s="462">
        <f>IF(AT358&lt;&gt;0,WCBY*W358,0)</f>
        <v>0</v>
      </c>
      <c r="BW358" s="462">
        <f>IF(OR(AND(AT358&lt;&gt;0,AJ358&lt;&gt;"PF",AN358&lt;&gt;"NE",AG358&lt;&gt;"A"),AND(AL358="E",OR(AT358=1,AT358=3))),SickBY*W358,0)</f>
        <v>0</v>
      </c>
      <c r="BX358" s="462">
        <f t="shared" si="92"/>
        <v>0</v>
      </c>
      <c r="BY358" s="462">
        <f t="shared" si="93"/>
        <v>0</v>
      </c>
      <c r="BZ358" s="462">
        <f t="shared" si="94"/>
        <v>0</v>
      </c>
      <c r="CA358" s="462">
        <f t="shared" si="95"/>
        <v>0</v>
      </c>
      <c r="CB358" s="462">
        <f t="shared" si="96"/>
        <v>0</v>
      </c>
      <c r="CC358" s="462">
        <f>IF(AT358&lt;&gt;0,SSHICHG*Y358,0)</f>
        <v>0</v>
      </c>
      <c r="CD358" s="462">
        <f>IF(AND(AT358&lt;&gt;0,AN358&lt;&gt;"NE"),VLOOKUP(AN358,Retirement_Rates,5,FALSE)*Y358,0)</f>
        <v>0</v>
      </c>
      <c r="CE358" s="462">
        <f>IF(AND(AT358&lt;&gt;0,AJ358&lt;&gt;"PF"),LifeCHG*Y358,0)</f>
        <v>0</v>
      </c>
      <c r="CF358" s="462">
        <f>IF(AND(AT358&lt;&gt;0,AM358="Y"),UICHG*Y358,0)</f>
        <v>0</v>
      </c>
      <c r="CG358" s="462">
        <f>IF(AND(AT358&lt;&gt;0,N358&lt;&gt;"NR"),DHRCHG*Y358,0)</f>
        <v>0</v>
      </c>
      <c r="CH358" s="462">
        <f>IF(AT358&lt;&gt;0,WCCHG*Y358,0)</f>
        <v>0</v>
      </c>
      <c r="CI358" s="462">
        <f>IF(OR(AND(AT358&lt;&gt;0,AJ358&lt;&gt;"PF",AN358&lt;&gt;"NE",AG358&lt;&gt;"A"),AND(AL358="E",OR(AT358=1,AT358=3))),SickCHG*Y358,0)</f>
        <v>0</v>
      </c>
      <c r="CJ358" s="462">
        <f t="shared" si="97"/>
        <v>0</v>
      </c>
      <c r="CK358" s="462" t="str">
        <f t="shared" si="98"/>
        <v/>
      </c>
      <c r="CL358" s="462" t="str">
        <f t="shared" si="99"/>
        <v/>
      </c>
      <c r="CM358" s="462" t="str">
        <f t="shared" si="100"/>
        <v/>
      </c>
      <c r="CN358" s="462" t="str">
        <f t="shared" si="101"/>
        <v>0330-08</v>
      </c>
    </row>
    <row r="359" spans="1:92" ht="15" thickBot="1" x14ac:dyDescent="0.35">
      <c r="A359" s="376" t="s">
        <v>161</v>
      </c>
      <c r="B359" s="376" t="s">
        <v>162</v>
      </c>
      <c r="C359" s="376" t="s">
        <v>889</v>
      </c>
      <c r="D359" s="376" t="s">
        <v>362</v>
      </c>
      <c r="E359" s="376" t="s">
        <v>931</v>
      </c>
      <c r="F359" s="382" t="s">
        <v>962</v>
      </c>
      <c r="G359" s="376" t="s">
        <v>762</v>
      </c>
      <c r="H359" s="378"/>
      <c r="I359" s="378"/>
      <c r="J359" s="376" t="s">
        <v>768</v>
      </c>
      <c r="K359" s="376" t="s">
        <v>363</v>
      </c>
      <c r="L359" s="376" t="s">
        <v>200</v>
      </c>
      <c r="M359" s="376" t="s">
        <v>170</v>
      </c>
      <c r="N359" s="376" t="s">
        <v>202</v>
      </c>
      <c r="O359" s="379">
        <v>1</v>
      </c>
      <c r="P359" s="460">
        <v>0</v>
      </c>
      <c r="Q359" s="460">
        <v>0</v>
      </c>
      <c r="R359" s="380">
        <v>80</v>
      </c>
      <c r="S359" s="460">
        <v>0</v>
      </c>
      <c r="T359" s="380">
        <v>122.04</v>
      </c>
      <c r="U359" s="380">
        <v>0</v>
      </c>
      <c r="V359" s="380">
        <v>61.36</v>
      </c>
      <c r="W359" s="380">
        <v>0</v>
      </c>
      <c r="X359" s="380">
        <v>0</v>
      </c>
      <c r="Y359" s="380">
        <v>0</v>
      </c>
      <c r="Z359" s="380">
        <v>0</v>
      </c>
      <c r="AA359" s="376" t="s">
        <v>890</v>
      </c>
      <c r="AB359" s="376" t="s">
        <v>891</v>
      </c>
      <c r="AC359" s="376" t="s">
        <v>892</v>
      </c>
      <c r="AD359" s="376" t="s">
        <v>179</v>
      </c>
      <c r="AE359" s="376" t="s">
        <v>363</v>
      </c>
      <c r="AF359" s="376" t="s">
        <v>210</v>
      </c>
      <c r="AG359" s="376" t="s">
        <v>177</v>
      </c>
      <c r="AH359" s="381">
        <v>22.5</v>
      </c>
      <c r="AI359" s="379">
        <v>13048</v>
      </c>
      <c r="AJ359" s="376" t="s">
        <v>178</v>
      </c>
      <c r="AK359" s="376" t="s">
        <v>179</v>
      </c>
      <c r="AL359" s="376" t="s">
        <v>180</v>
      </c>
      <c r="AM359" s="376" t="s">
        <v>181</v>
      </c>
      <c r="AN359" s="376" t="s">
        <v>68</v>
      </c>
      <c r="AO359" s="379">
        <v>80</v>
      </c>
      <c r="AP359" s="460">
        <v>1</v>
      </c>
      <c r="AQ359" s="460">
        <v>0</v>
      </c>
      <c r="AR359" s="458" t="s">
        <v>182</v>
      </c>
      <c r="AS359" s="462">
        <f t="shared" si="85"/>
        <v>0</v>
      </c>
      <c r="AT359">
        <f t="shared" si="86"/>
        <v>0</v>
      </c>
      <c r="AU359" s="462" t="str">
        <f>IF(AT359=0,"",IF(AND(AT359=1,M359="F",SUMIF(C2:C698,C359,AS2:AS698)&lt;=1),SUMIF(C2:C698,C359,AS2:AS698),IF(AND(AT359=1,M359="F",SUMIF(C2:C698,C359,AS2:AS698)&gt;1),1,"")))</f>
        <v/>
      </c>
      <c r="AV359" s="462" t="str">
        <f>IF(AT359=0,"",IF(AND(AT359=3,M359="F",SUMIF(C2:C698,C359,AS2:AS698)&lt;=1),SUMIF(C2:C698,C359,AS2:AS698),IF(AND(AT359=3,M359="F",SUMIF(C2:C698,C359,AS2:AS698)&gt;1),1,"")))</f>
        <v/>
      </c>
      <c r="AW359" s="462">
        <f>SUMIF(C2:C698,C359,O2:O698)</f>
        <v>7</v>
      </c>
      <c r="AX359" s="462">
        <f>IF(AND(M359="F",AS359&lt;&gt;0),SUMIF(C2:C698,C359,W2:W698),0)</f>
        <v>0</v>
      </c>
      <c r="AY359" s="462" t="str">
        <f t="shared" si="87"/>
        <v/>
      </c>
      <c r="AZ359" s="462" t="str">
        <f t="shared" si="88"/>
        <v/>
      </c>
      <c r="BA359" s="462">
        <f t="shared" si="89"/>
        <v>0</v>
      </c>
      <c r="BB359" s="462">
        <f>IF(AND(AT359=1,AK359="E",AU359&gt;=0.75,AW359=1),Health,IF(AND(AT359=1,AK359="E",AU359&gt;=0.75),Health*P359,IF(AND(AT359=1,AK359="E",AU359&gt;=0.5,AW359=1),PTHealth,IF(AND(AT359=1,AK359="E",AU359&gt;=0.5),PTHealth*P359,0))))</f>
        <v>0</v>
      </c>
      <c r="BC359" s="462">
        <f>IF(AND(AT359=3,AK359="E",AV359&gt;=0.75,AW359=1),Health,IF(AND(AT359=3,AK359="E",AV359&gt;=0.75),Health*P359,IF(AND(AT359=3,AK359="E",AV359&gt;=0.5,AW359=1),PTHealth,IF(AND(AT359=3,AK359="E",AV359&gt;=0.5),PTHealth*P359,0))))</f>
        <v>0</v>
      </c>
      <c r="BD359" s="462">
        <f>IF(AND(AT359&lt;&gt;0,AX359&gt;=MAXSSDI),SSDI*MAXSSDI*P359,IF(AT359&lt;&gt;0,SSDI*W359,0))</f>
        <v>0</v>
      </c>
      <c r="BE359" s="462">
        <f>IF(AT359&lt;&gt;0,SSHI*W359,0)</f>
        <v>0</v>
      </c>
      <c r="BF359" s="462">
        <f>IF(AND(AT359&lt;&gt;0,AN359&lt;&gt;"NE"),VLOOKUP(AN359,Retirement_Rates,3,FALSE)*W359,0)</f>
        <v>0</v>
      </c>
      <c r="BG359" s="462">
        <f>IF(AND(AT359&lt;&gt;0,AJ359&lt;&gt;"PF"),Life*W359,0)</f>
        <v>0</v>
      </c>
      <c r="BH359" s="462">
        <f>IF(AND(AT359&lt;&gt;0,AM359="Y"),UI*W359,0)</f>
        <v>0</v>
      </c>
      <c r="BI359" s="462">
        <f>IF(AND(AT359&lt;&gt;0,N359&lt;&gt;"NR"),DHR*W359,0)</f>
        <v>0</v>
      </c>
      <c r="BJ359" s="462">
        <f>IF(AT359&lt;&gt;0,WC*W359,0)</f>
        <v>0</v>
      </c>
      <c r="BK359" s="462">
        <f>IF(OR(AND(AT359&lt;&gt;0,AJ359&lt;&gt;"PF",AN359&lt;&gt;"NE",AG359&lt;&gt;"A"),AND(AL359="E",OR(AT359=1,AT359=3))),Sick*W359,0)</f>
        <v>0</v>
      </c>
      <c r="BL359" s="462">
        <f t="shared" si="90"/>
        <v>0</v>
      </c>
      <c r="BM359" s="462">
        <f t="shared" si="91"/>
        <v>0</v>
      </c>
      <c r="BN359" s="462">
        <f>IF(AND(AT359=1,AK359="E",AU359&gt;=0.75,AW359=1),HealthBY,IF(AND(AT359=1,AK359="E",AU359&gt;=0.75),HealthBY*P359,IF(AND(AT359=1,AK359="E",AU359&gt;=0.5,AW359=1),PTHealthBY,IF(AND(AT359=1,AK359="E",AU359&gt;=0.5),PTHealthBY*P359,0))))</f>
        <v>0</v>
      </c>
      <c r="BO359" s="462">
        <f>IF(AND(AT359=3,AK359="E",AV359&gt;=0.75,AW359=1),HealthBY,IF(AND(AT359=3,AK359="E",AV359&gt;=0.75),HealthBY*P359,IF(AND(AT359=3,AK359="E",AV359&gt;=0.5,AW359=1),PTHealthBY,IF(AND(AT359=3,AK359="E",AV359&gt;=0.5),PTHealthBY*P359,0))))</f>
        <v>0</v>
      </c>
      <c r="BP359" s="462">
        <f>IF(AND(AT359&lt;&gt;0,(AX359+BA359)&gt;=MAXSSDIBY),SSDIBY*MAXSSDIBY*P359,IF(AT359&lt;&gt;0,SSDIBY*W359,0))</f>
        <v>0</v>
      </c>
      <c r="BQ359" s="462">
        <f>IF(AT359&lt;&gt;0,SSHIBY*W359,0)</f>
        <v>0</v>
      </c>
      <c r="BR359" s="462">
        <f>IF(AND(AT359&lt;&gt;0,AN359&lt;&gt;"NE"),VLOOKUP(AN359,Retirement_Rates,4,FALSE)*W359,0)</f>
        <v>0</v>
      </c>
      <c r="BS359" s="462">
        <f>IF(AND(AT359&lt;&gt;0,AJ359&lt;&gt;"PF"),LifeBY*W359,0)</f>
        <v>0</v>
      </c>
      <c r="BT359" s="462">
        <f>IF(AND(AT359&lt;&gt;0,AM359="Y"),UIBY*W359,0)</f>
        <v>0</v>
      </c>
      <c r="BU359" s="462">
        <f>IF(AND(AT359&lt;&gt;0,N359&lt;&gt;"NR"),DHRBY*W359,0)</f>
        <v>0</v>
      </c>
      <c r="BV359" s="462">
        <f>IF(AT359&lt;&gt;0,WCBY*W359,0)</f>
        <v>0</v>
      </c>
      <c r="BW359" s="462">
        <f>IF(OR(AND(AT359&lt;&gt;0,AJ359&lt;&gt;"PF",AN359&lt;&gt;"NE",AG359&lt;&gt;"A"),AND(AL359="E",OR(AT359=1,AT359=3))),SickBY*W359,0)</f>
        <v>0</v>
      </c>
      <c r="BX359" s="462">
        <f t="shared" si="92"/>
        <v>0</v>
      </c>
      <c r="BY359" s="462">
        <f t="shared" si="93"/>
        <v>0</v>
      </c>
      <c r="BZ359" s="462">
        <f t="shared" si="94"/>
        <v>0</v>
      </c>
      <c r="CA359" s="462">
        <f t="shared" si="95"/>
        <v>0</v>
      </c>
      <c r="CB359" s="462">
        <f t="shared" si="96"/>
        <v>0</v>
      </c>
      <c r="CC359" s="462">
        <f>IF(AT359&lt;&gt;0,SSHICHG*Y359,0)</f>
        <v>0</v>
      </c>
      <c r="CD359" s="462">
        <f>IF(AND(AT359&lt;&gt;0,AN359&lt;&gt;"NE"),VLOOKUP(AN359,Retirement_Rates,5,FALSE)*Y359,0)</f>
        <v>0</v>
      </c>
      <c r="CE359" s="462">
        <f>IF(AND(AT359&lt;&gt;0,AJ359&lt;&gt;"PF"),LifeCHG*Y359,0)</f>
        <v>0</v>
      </c>
      <c r="CF359" s="462">
        <f>IF(AND(AT359&lt;&gt;0,AM359="Y"),UICHG*Y359,0)</f>
        <v>0</v>
      </c>
      <c r="CG359" s="462">
        <f>IF(AND(AT359&lt;&gt;0,N359&lt;&gt;"NR"),DHRCHG*Y359,0)</f>
        <v>0</v>
      </c>
      <c r="CH359" s="462">
        <f>IF(AT359&lt;&gt;0,WCCHG*Y359,0)</f>
        <v>0</v>
      </c>
      <c r="CI359" s="462">
        <f>IF(OR(AND(AT359&lt;&gt;0,AJ359&lt;&gt;"PF",AN359&lt;&gt;"NE",AG359&lt;&gt;"A"),AND(AL359="E",OR(AT359=1,AT359=3))),SickCHG*Y359,0)</f>
        <v>0</v>
      </c>
      <c r="CJ359" s="462">
        <f t="shared" si="97"/>
        <v>0</v>
      </c>
      <c r="CK359" s="462" t="str">
        <f t="shared" si="98"/>
        <v/>
      </c>
      <c r="CL359" s="462" t="str">
        <f t="shared" si="99"/>
        <v/>
      </c>
      <c r="CM359" s="462" t="str">
        <f t="shared" si="100"/>
        <v/>
      </c>
      <c r="CN359" s="462" t="str">
        <f t="shared" si="101"/>
        <v>0330-08</v>
      </c>
    </row>
    <row r="360" spans="1:92" ht="15" thickBot="1" x14ac:dyDescent="0.35">
      <c r="A360" s="376" t="s">
        <v>161</v>
      </c>
      <c r="B360" s="376" t="s">
        <v>162</v>
      </c>
      <c r="C360" s="376" t="s">
        <v>923</v>
      </c>
      <c r="D360" s="376" t="s">
        <v>362</v>
      </c>
      <c r="E360" s="376" t="s">
        <v>931</v>
      </c>
      <c r="F360" s="382" t="s">
        <v>962</v>
      </c>
      <c r="G360" s="376" t="s">
        <v>762</v>
      </c>
      <c r="H360" s="378"/>
      <c r="I360" s="378"/>
      <c r="J360" s="376" t="s">
        <v>168</v>
      </c>
      <c r="K360" s="376" t="s">
        <v>363</v>
      </c>
      <c r="L360" s="376" t="s">
        <v>200</v>
      </c>
      <c r="M360" s="376" t="s">
        <v>170</v>
      </c>
      <c r="N360" s="376" t="s">
        <v>202</v>
      </c>
      <c r="O360" s="379">
        <v>1</v>
      </c>
      <c r="P360" s="460">
        <v>0</v>
      </c>
      <c r="Q360" s="460">
        <v>0</v>
      </c>
      <c r="R360" s="380">
        <v>80</v>
      </c>
      <c r="S360" s="460">
        <v>0</v>
      </c>
      <c r="T360" s="380">
        <v>458.17</v>
      </c>
      <c r="U360" s="380">
        <v>0</v>
      </c>
      <c r="V360" s="380">
        <v>230.63</v>
      </c>
      <c r="W360" s="380">
        <v>0</v>
      </c>
      <c r="X360" s="380">
        <v>0</v>
      </c>
      <c r="Y360" s="380">
        <v>0</v>
      </c>
      <c r="Z360" s="380">
        <v>0</v>
      </c>
      <c r="AA360" s="376" t="s">
        <v>924</v>
      </c>
      <c r="AB360" s="376" t="s">
        <v>925</v>
      </c>
      <c r="AC360" s="376" t="s">
        <v>926</v>
      </c>
      <c r="AD360" s="376" t="s">
        <v>177</v>
      </c>
      <c r="AE360" s="376" t="s">
        <v>363</v>
      </c>
      <c r="AF360" s="376" t="s">
        <v>210</v>
      </c>
      <c r="AG360" s="376" t="s">
        <v>177</v>
      </c>
      <c r="AH360" s="381">
        <v>22.5</v>
      </c>
      <c r="AI360" s="381">
        <v>13298.5</v>
      </c>
      <c r="AJ360" s="376" t="s">
        <v>178</v>
      </c>
      <c r="AK360" s="376" t="s">
        <v>179</v>
      </c>
      <c r="AL360" s="376" t="s">
        <v>180</v>
      </c>
      <c r="AM360" s="376" t="s">
        <v>181</v>
      </c>
      <c r="AN360" s="376" t="s">
        <v>68</v>
      </c>
      <c r="AO360" s="379">
        <v>80</v>
      </c>
      <c r="AP360" s="460">
        <v>1</v>
      </c>
      <c r="AQ360" s="460">
        <v>0</v>
      </c>
      <c r="AR360" s="458" t="s">
        <v>182</v>
      </c>
      <c r="AS360" s="462">
        <f t="shared" si="85"/>
        <v>0</v>
      </c>
      <c r="AT360">
        <f t="shared" si="86"/>
        <v>0</v>
      </c>
      <c r="AU360" s="462" t="str">
        <f>IF(AT360=0,"",IF(AND(AT360=1,M360="F",SUMIF(C2:C698,C360,AS2:AS698)&lt;=1),SUMIF(C2:C698,C360,AS2:AS698),IF(AND(AT360=1,M360="F",SUMIF(C2:C698,C360,AS2:AS698)&gt;1),1,"")))</f>
        <v/>
      </c>
      <c r="AV360" s="462" t="str">
        <f>IF(AT360=0,"",IF(AND(AT360=3,M360="F",SUMIF(C2:C698,C360,AS2:AS698)&lt;=1),SUMIF(C2:C698,C360,AS2:AS698),IF(AND(AT360=3,M360="F",SUMIF(C2:C698,C360,AS2:AS698)&gt;1),1,"")))</f>
        <v/>
      </c>
      <c r="AW360" s="462">
        <f>SUMIF(C2:C698,C360,O2:O698)</f>
        <v>9</v>
      </c>
      <c r="AX360" s="462">
        <f>IF(AND(M360="F",AS360&lt;&gt;0),SUMIF(C2:C698,C360,W2:W698),0)</f>
        <v>0</v>
      </c>
      <c r="AY360" s="462" t="str">
        <f t="shared" si="87"/>
        <v/>
      </c>
      <c r="AZ360" s="462" t="str">
        <f t="shared" si="88"/>
        <v/>
      </c>
      <c r="BA360" s="462">
        <f t="shared" si="89"/>
        <v>0</v>
      </c>
      <c r="BB360" s="462">
        <f>IF(AND(AT360=1,AK360="E",AU360&gt;=0.75,AW360=1),Health,IF(AND(AT360=1,AK360="E",AU360&gt;=0.75),Health*P360,IF(AND(AT360=1,AK360="E",AU360&gt;=0.5,AW360=1),PTHealth,IF(AND(AT360=1,AK360="E",AU360&gt;=0.5),PTHealth*P360,0))))</f>
        <v>0</v>
      </c>
      <c r="BC360" s="462">
        <f>IF(AND(AT360=3,AK360="E",AV360&gt;=0.75,AW360=1),Health,IF(AND(AT360=3,AK360="E",AV360&gt;=0.75),Health*P360,IF(AND(AT360=3,AK360="E",AV360&gt;=0.5,AW360=1),PTHealth,IF(AND(AT360=3,AK360="E",AV360&gt;=0.5),PTHealth*P360,0))))</f>
        <v>0</v>
      </c>
      <c r="BD360" s="462">
        <f>IF(AND(AT360&lt;&gt;0,AX360&gt;=MAXSSDI),SSDI*MAXSSDI*P360,IF(AT360&lt;&gt;0,SSDI*W360,0))</f>
        <v>0</v>
      </c>
      <c r="BE360" s="462">
        <f>IF(AT360&lt;&gt;0,SSHI*W360,0)</f>
        <v>0</v>
      </c>
      <c r="BF360" s="462">
        <f>IF(AND(AT360&lt;&gt;0,AN360&lt;&gt;"NE"),VLOOKUP(AN360,Retirement_Rates,3,FALSE)*W360,0)</f>
        <v>0</v>
      </c>
      <c r="BG360" s="462">
        <f>IF(AND(AT360&lt;&gt;0,AJ360&lt;&gt;"PF"),Life*W360,0)</f>
        <v>0</v>
      </c>
      <c r="BH360" s="462">
        <f>IF(AND(AT360&lt;&gt;0,AM360="Y"),UI*W360,0)</f>
        <v>0</v>
      </c>
      <c r="BI360" s="462">
        <f>IF(AND(AT360&lt;&gt;0,N360&lt;&gt;"NR"),DHR*W360,0)</f>
        <v>0</v>
      </c>
      <c r="BJ360" s="462">
        <f>IF(AT360&lt;&gt;0,WC*W360,0)</f>
        <v>0</v>
      </c>
      <c r="BK360" s="462">
        <f>IF(OR(AND(AT360&lt;&gt;0,AJ360&lt;&gt;"PF",AN360&lt;&gt;"NE",AG360&lt;&gt;"A"),AND(AL360="E",OR(AT360=1,AT360=3))),Sick*W360,0)</f>
        <v>0</v>
      </c>
      <c r="BL360" s="462">
        <f t="shared" si="90"/>
        <v>0</v>
      </c>
      <c r="BM360" s="462">
        <f t="shared" si="91"/>
        <v>0</v>
      </c>
      <c r="BN360" s="462">
        <f>IF(AND(AT360=1,AK360="E",AU360&gt;=0.75,AW360=1),HealthBY,IF(AND(AT360=1,AK360="E",AU360&gt;=0.75),HealthBY*P360,IF(AND(AT360=1,AK360="E",AU360&gt;=0.5,AW360=1),PTHealthBY,IF(AND(AT360=1,AK360="E",AU360&gt;=0.5),PTHealthBY*P360,0))))</f>
        <v>0</v>
      </c>
      <c r="BO360" s="462">
        <f>IF(AND(AT360=3,AK360="E",AV360&gt;=0.75,AW360=1),HealthBY,IF(AND(AT360=3,AK360="E",AV360&gt;=0.75),HealthBY*P360,IF(AND(AT360=3,AK360="E",AV360&gt;=0.5,AW360=1),PTHealthBY,IF(AND(AT360=3,AK360="E",AV360&gt;=0.5),PTHealthBY*P360,0))))</f>
        <v>0</v>
      </c>
      <c r="BP360" s="462">
        <f>IF(AND(AT360&lt;&gt;0,(AX360+BA360)&gt;=MAXSSDIBY),SSDIBY*MAXSSDIBY*P360,IF(AT360&lt;&gt;0,SSDIBY*W360,0))</f>
        <v>0</v>
      </c>
      <c r="BQ360" s="462">
        <f>IF(AT360&lt;&gt;0,SSHIBY*W360,0)</f>
        <v>0</v>
      </c>
      <c r="BR360" s="462">
        <f>IF(AND(AT360&lt;&gt;0,AN360&lt;&gt;"NE"),VLOOKUP(AN360,Retirement_Rates,4,FALSE)*W360,0)</f>
        <v>0</v>
      </c>
      <c r="BS360" s="462">
        <f>IF(AND(AT360&lt;&gt;0,AJ360&lt;&gt;"PF"),LifeBY*W360,0)</f>
        <v>0</v>
      </c>
      <c r="BT360" s="462">
        <f>IF(AND(AT360&lt;&gt;0,AM360="Y"),UIBY*W360,0)</f>
        <v>0</v>
      </c>
      <c r="BU360" s="462">
        <f>IF(AND(AT360&lt;&gt;0,N360&lt;&gt;"NR"),DHRBY*W360,0)</f>
        <v>0</v>
      </c>
      <c r="BV360" s="462">
        <f>IF(AT360&lt;&gt;0,WCBY*W360,0)</f>
        <v>0</v>
      </c>
      <c r="BW360" s="462">
        <f>IF(OR(AND(AT360&lt;&gt;0,AJ360&lt;&gt;"PF",AN360&lt;&gt;"NE",AG360&lt;&gt;"A"),AND(AL360="E",OR(AT360=1,AT360=3))),SickBY*W360,0)</f>
        <v>0</v>
      </c>
      <c r="BX360" s="462">
        <f t="shared" si="92"/>
        <v>0</v>
      </c>
      <c r="BY360" s="462">
        <f t="shared" si="93"/>
        <v>0</v>
      </c>
      <c r="BZ360" s="462">
        <f t="shared" si="94"/>
        <v>0</v>
      </c>
      <c r="CA360" s="462">
        <f t="shared" si="95"/>
        <v>0</v>
      </c>
      <c r="CB360" s="462">
        <f t="shared" si="96"/>
        <v>0</v>
      </c>
      <c r="CC360" s="462">
        <f>IF(AT360&lt;&gt;0,SSHICHG*Y360,0)</f>
        <v>0</v>
      </c>
      <c r="CD360" s="462">
        <f>IF(AND(AT360&lt;&gt;0,AN360&lt;&gt;"NE"),VLOOKUP(AN360,Retirement_Rates,5,FALSE)*Y360,0)</f>
        <v>0</v>
      </c>
      <c r="CE360" s="462">
        <f>IF(AND(AT360&lt;&gt;0,AJ360&lt;&gt;"PF"),LifeCHG*Y360,0)</f>
        <v>0</v>
      </c>
      <c r="CF360" s="462">
        <f>IF(AND(AT360&lt;&gt;0,AM360="Y"),UICHG*Y360,0)</f>
        <v>0</v>
      </c>
      <c r="CG360" s="462">
        <f>IF(AND(AT360&lt;&gt;0,N360&lt;&gt;"NR"),DHRCHG*Y360,0)</f>
        <v>0</v>
      </c>
      <c r="CH360" s="462">
        <f>IF(AT360&lt;&gt;0,WCCHG*Y360,0)</f>
        <v>0</v>
      </c>
      <c r="CI360" s="462">
        <f>IF(OR(AND(AT360&lt;&gt;0,AJ360&lt;&gt;"PF",AN360&lt;&gt;"NE",AG360&lt;&gt;"A"),AND(AL360="E",OR(AT360=1,AT360=3))),SickCHG*Y360,0)</f>
        <v>0</v>
      </c>
      <c r="CJ360" s="462">
        <f t="shared" si="97"/>
        <v>0</v>
      </c>
      <c r="CK360" s="462" t="str">
        <f t="shared" si="98"/>
        <v/>
      </c>
      <c r="CL360" s="462" t="str">
        <f t="shared" si="99"/>
        <v/>
      </c>
      <c r="CM360" s="462" t="str">
        <f t="shared" si="100"/>
        <v/>
      </c>
      <c r="CN360" s="462" t="str">
        <f t="shared" si="101"/>
        <v>0330-08</v>
      </c>
    </row>
    <row r="361" spans="1:92" ht="15" thickBot="1" x14ac:dyDescent="0.35">
      <c r="A361" s="376" t="s">
        <v>161</v>
      </c>
      <c r="B361" s="376" t="s">
        <v>162</v>
      </c>
      <c r="C361" s="376" t="s">
        <v>928</v>
      </c>
      <c r="D361" s="376" t="s">
        <v>362</v>
      </c>
      <c r="E361" s="376" t="s">
        <v>931</v>
      </c>
      <c r="F361" s="382" t="s">
        <v>962</v>
      </c>
      <c r="G361" s="376" t="s">
        <v>762</v>
      </c>
      <c r="H361" s="378"/>
      <c r="I361" s="378"/>
      <c r="J361" s="376" t="s">
        <v>782</v>
      </c>
      <c r="K361" s="376" t="s">
        <v>363</v>
      </c>
      <c r="L361" s="376" t="s">
        <v>200</v>
      </c>
      <c r="M361" s="376" t="s">
        <v>170</v>
      </c>
      <c r="N361" s="376" t="s">
        <v>202</v>
      </c>
      <c r="O361" s="379">
        <v>1</v>
      </c>
      <c r="P361" s="460">
        <v>0</v>
      </c>
      <c r="Q361" s="460">
        <v>0</v>
      </c>
      <c r="R361" s="380">
        <v>80</v>
      </c>
      <c r="S361" s="460">
        <v>0</v>
      </c>
      <c r="T361" s="380">
        <v>316.5</v>
      </c>
      <c r="U361" s="380">
        <v>0</v>
      </c>
      <c r="V361" s="380">
        <v>163.69</v>
      </c>
      <c r="W361" s="380">
        <v>0</v>
      </c>
      <c r="X361" s="380">
        <v>0</v>
      </c>
      <c r="Y361" s="380">
        <v>0</v>
      </c>
      <c r="Z361" s="380">
        <v>0</v>
      </c>
      <c r="AA361" s="376" t="s">
        <v>929</v>
      </c>
      <c r="AB361" s="376" t="s">
        <v>409</v>
      </c>
      <c r="AC361" s="376" t="s">
        <v>930</v>
      </c>
      <c r="AD361" s="376" t="s">
        <v>177</v>
      </c>
      <c r="AE361" s="376" t="s">
        <v>363</v>
      </c>
      <c r="AF361" s="376" t="s">
        <v>210</v>
      </c>
      <c r="AG361" s="376" t="s">
        <v>177</v>
      </c>
      <c r="AH361" s="381">
        <v>22.5</v>
      </c>
      <c r="AI361" s="379">
        <v>960</v>
      </c>
      <c r="AJ361" s="376" t="s">
        <v>178</v>
      </c>
      <c r="AK361" s="376" t="s">
        <v>179</v>
      </c>
      <c r="AL361" s="376" t="s">
        <v>180</v>
      </c>
      <c r="AM361" s="376" t="s">
        <v>181</v>
      </c>
      <c r="AN361" s="376" t="s">
        <v>68</v>
      </c>
      <c r="AO361" s="379">
        <v>80</v>
      </c>
      <c r="AP361" s="460">
        <v>1</v>
      </c>
      <c r="AQ361" s="460">
        <v>0</v>
      </c>
      <c r="AR361" s="458" t="s">
        <v>182</v>
      </c>
      <c r="AS361" s="462">
        <f t="shared" si="85"/>
        <v>0</v>
      </c>
      <c r="AT361">
        <f t="shared" si="86"/>
        <v>0</v>
      </c>
      <c r="AU361" s="462" t="str">
        <f>IF(AT361=0,"",IF(AND(AT361=1,M361="F",SUMIF(C2:C698,C361,AS2:AS698)&lt;=1),SUMIF(C2:C698,C361,AS2:AS698),IF(AND(AT361=1,M361="F",SUMIF(C2:C698,C361,AS2:AS698)&gt;1),1,"")))</f>
        <v/>
      </c>
      <c r="AV361" s="462" t="str">
        <f>IF(AT361=0,"",IF(AND(AT361=3,M361="F",SUMIF(C2:C698,C361,AS2:AS698)&lt;=1),SUMIF(C2:C698,C361,AS2:AS698),IF(AND(AT361=3,M361="F",SUMIF(C2:C698,C361,AS2:AS698)&gt;1),1,"")))</f>
        <v/>
      </c>
      <c r="AW361" s="462">
        <f>SUMIF(C2:C698,C361,O2:O698)</f>
        <v>6</v>
      </c>
      <c r="AX361" s="462">
        <f>IF(AND(M361="F",AS361&lt;&gt;0),SUMIF(C2:C698,C361,W2:W698),0)</f>
        <v>0</v>
      </c>
      <c r="AY361" s="462" t="str">
        <f t="shared" si="87"/>
        <v/>
      </c>
      <c r="AZ361" s="462" t="str">
        <f t="shared" si="88"/>
        <v/>
      </c>
      <c r="BA361" s="462">
        <f t="shared" si="89"/>
        <v>0</v>
      </c>
      <c r="BB361" s="462">
        <f>IF(AND(AT361=1,AK361="E",AU361&gt;=0.75,AW361=1),Health,IF(AND(AT361=1,AK361="E",AU361&gt;=0.75),Health*P361,IF(AND(AT361=1,AK361="E",AU361&gt;=0.5,AW361=1),PTHealth,IF(AND(AT361=1,AK361="E",AU361&gt;=0.5),PTHealth*P361,0))))</f>
        <v>0</v>
      </c>
      <c r="BC361" s="462">
        <f>IF(AND(AT361=3,AK361="E",AV361&gt;=0.75,AW361=1),Health,IF(AND(AT361=3,AK361="E",AV361&gt;=0.75),Health*P361,IF(AND(AT361=3,AK361="E",AV361&gt;=0.5,AW361=1),PTHealth,IF(AND(AT361=3,AK361="E",AV361&gt;=0.5),PTHealth*P361,0))))</f>
        <v>0</v>
      </c>
      <c r="BD361" s="462">
        <f>IF(AND(AT361&lt;&gt;0,AX361&gt;=MAXSSDI),SSDI*MAXSSDI*P361,IF(AT361&lt;&gt;0,SSDI*W361,0))</f>
        <v>0</v>
      </c>
      <c r="BE361" s="462">
        <f>IF(AT361&lt;&gt;0,SSHI*W361,0)</f>
        <v>0</v>
      </c>
      <c r="BF361" s="462">
        <f>IF(AND(AT361&lt;&gt;0,AN361&lt;&gt;"NE"),VLOOKUP(AN361,Retirement_Rates,3,FALSE)*W361,0)</f>
        <v>0</v>
      </c>
      <c r="BG361" s="462">
        <f>IF(AND(AT361&lt;&gt;0,AJ361&lt;&gt;"PF"),Life*W361,0)</f>
        <v>0</v>
      </c>
      <c r="BH361" s="462">
        <f>IF(AND(AT361&lt;&gt;0,AM361="Y"),UI*W361,0)</f>
        <v>0</v>
      </c>
      <c r="BI361" s="462">
        <f>IF(AND(AT361&lt;&gt;0,N361&lt;&gt;"NR"),DHR*W361,0)</f>
        <v>0</v>
      </c>
      <c r="BJ361" s="462">
        <f>IF(AT361&lt;&gt;0,WC*W361,0)</f>
        <v>0</v>
      </c>
      <c r="BK361" s="462">
        <f>IF(OR(AND(AT361&lt;&gt;0,AJ361&lt;&gt;"PF",AN361&lt;&gt;"NE",AG361&lt;&gt;"A"),AND(AL361="E",OR(AT361=1,AT361=3))),Sick*W361,0)</f>
        <v>0</v>
      </c>
      <c r="BL361" s="462">
        <f t="shared" si="90"/>
        <v>0</v>
      </c>
      <c r="BM361" s="462">
        <f t="shared" si="91"/>
        <v>0</v>
      </c>
      <c r="BN361" s="462">
        <f>IF(AND(AT361=1,AK361="E",AU361&gt;=0.75,AW361=1),HealthBY,IF(AND(AT361=1,AK361="E",AU361&gt;=0.75),HealthBY*P361,IF(AND(AT361=1,AK361="E",AU361&gt;=0.5,AW361=1),PTHealthBY,IF(AND(AT361=1,AK361="E",AU361&gt;=0.5),PTHealthBY*P361,0))))</f>
        <v>0</v>
      </c>
      <c r="BO361" s="462">
        <f>IF(AND(AT361=3,AK361="E",AV361&gt;=0.75,AW361=1),HealthBY,IF(AND(AT361=3,AK361="E",AV361&gt;=0.75),HealthBY*P361,IF(AND(AT361=3,AK361="E",AV361&gt;=0.5,AW361=1),PTHealthBY,IF(AND(AT361=3,AK361="E",AV361&gt;=0.5),PTHealthBY*P361,0))))</f>
        <v>0</v>
      </c>
      <c r="BP361" s="462">
        <f>IF(AND(AT361&lt;&gt;0,(AX361+BA361)&gt;=MAXSSDIBY),SSDIBY*MAXSSDIBY*P361,IF(AT361&lt;&gt;0,SSDIBY*W361,0))</f>
        <v>0</v>
      </c>
      <c r="BQ361" s="462">
        <f>IF(AT361&lt;&gt;0,SSHIBY*W361,0)</f>
        <v>0</v>
      </c>
      <c r="BR361" s="462">
        <f>IF(AND(AT361&lt;&gt;0,AN361&lt;&gt;"NE"),VLOOKUP(AN361,Retirement_Rates,4,FALSE)*W361,0)</f>
        <v>0</v>
      </c>
      <c r="BS361" s="462">
        <f>IF(AND(AT361&lt;&gt;0,AJ361&lt;&gt;"PF"),LifeBY*W361,0)</f>
        <v>0</v>
      </c>
      <c r="BT361" s="462">
        <f>IF(AND(AT361&lt;&gt;0,AM361="Y"),UIBY*W361,0)</f>
        <v>0</v>
      </c>
      <c r="BU361" s="462">
        <f>IF(AND(AT361&lt;&gt;0,N361&lt;&gt;"NR"),DHRBY*W361,0)</f>
        <v>0</v>
      </c>
      <c r="BV361" s="462">
        <f>IF(AT361&lt;&gt;0,WCBY*W361,0)</f>
        <v>0</v>
      </c>
      <c r="BW361" s="462">
        <f>IF(OR(AND(AT361&lt;&gt;0,AJ361&lt;&gt;"PF",AN361&lt;&gt;"NE",AG361&lt;&gt;"A"),AND(AL361="E",OR(AT361=1,AT361=3))),SickBY*W361,0)</f>
        <v>0</v>
      </c>
      <c r="BX361" s="462">
        <f t="shared" si="92"/>
        <v>0</v>
      </c>
      <c r="BY361" s="462">
        <f t="shared" si="93"/>
        <v>0</v>
      </c>
      <c r="BZ361" s="462">
        <f t="shared" si="94"/>
        <v>0</v>
      </c>
      <c r="CA361" s="462">
        <f t="shared" si="95"/>
        <v>0</v>
      </c>
      <c r="CB361" s="462">
        <f t="shared" si="96"/>
        <v>0</v>
      </c>
      <c r="CC361" s="462">
        <f>IF(AT361&lt;&gt;0,SSHICHG*Y361,0)</f>
        <v>0</v>
      </c>
      <c r="CD361" s="462">
        <f>IF(AND(AT361&lt;&gt;0,AN361&lt;&gt;"NE"),VLOOKUP(AN361,Retirement_Rates,5,FALSE)*Y361,0)</f>
        <v>0</v>
      </c>
      <c r="CE361" s="462">
        <f>IF(AND(AT361&lt;&gt;0,AJ361&lt;&gt;"PF"),LifeCHG*Y361,0)</f>
        <v>0</v>
      </c>
      <c r="CF361" s="462">
        <f>IF(AND(AT361&lt;&gt;0,AM361="Y"),UICHG*Y361,0)</f>
        <v>0</v>
      </c>
      <c r="CG361" s="462">
        <f>IF(AND(AT361&lt;&gt;0,N361&lt;&gt;"NR"),DHRCHG*Y361,0)</f>
        <v>0</v>
      </c>
      <c r="CH361" s="462">
        <f>IF(AT361&lt;&gt;0,WCCHG*Y361,0)</f>
        <v>0</v>
      </c>
      <c r="CI361" s="462">
        <f>IF(OR(AND(AT361&lt;&gt;0,AJ361&lt;&gt;"PF",AN361&lt;&gt;"NE",AG361&lt;&gt;"A"),AND(AL361="E",OR(AT361=1,AT361=3))),SickCHG*Y361,0)</f>
        <v>0</v>
      </c>
      <c r="CJ361" s="462">
        <f t="shared" si="97"/>
        <v>0</v>
      </c>
      <c r="CK361" s="462" t="str">
        <f t="shared" si="98"/>
        <v/>
      </c>
      <c r="CL361" s="462" t="str">
        <f t="shared" si="99"/>
        <v/>
      </c>
      <c r="CM361" s="462" t="str">
        <f t="shared" si="100"/>
        <v/>
      </c>
      <c r="CN361" s="462" t="str">
        <f t="shared" si="101"/>
        <v>0330-08</v>
      </c>
    </row>
    <row r="362" spans="1:92" ht="15" thickBot="1" x14ac:dyDescent="0.35">
      <c r="A362" s="376" t="s">
        <v>161</v>
      </c>
      <c r="B362" s="376" t="s">
        <v>162</v>
      </c>
      <c r="C362" s="376" t="s">
        <v>767</v>
      </c>
      <c r="D362" s="376" t="s">
        <v>362</v>
      </c>
      <c r="E362" s="376" t="s">
        <v>931</v>
      </c>
      <c r="F362" s="382" t="s">
        <v>962</v>
      </c>
      <c r="G362" s="376" t="s">
        <v>762</v>
      </c>
      <c r="H362" s="378"/>
      <c r="I362" s="378"/>
      <c r="J362" s="376" t="s">
        <v>768</v>
      </c>
      <c r="K362" s="376" t="s">
        <v>363</v>
      </c>
      <c r="L362" s="376" t="s">
        <v>200</v>
      </c>
      <c r="M362" s="376" t="s">
        <v>170</v>
      </c>
      <c r="N362" s="376" t="s">
        <v>202</v>
      </c>
      <c r="O362" s="379">
        <v>1</v>
      </c>
      <c r="P362" s="460">
        <v>0</v>
      </c>
      <c r="Q362" s="460">
        <v>0</v>
      </c>
      <c r="R362" s="380">
        <v>80</v>
      </c>
      <c r="S362" s="460">
        <v>0</v>
      </c>
      <c r="T362" s="380">
        <v>23.18</v>
      </c>
      <c r="U362" s="380">
        <v>0</v>
      </c>
      <c r="V362" s="380">
        <v>11.02</v>
      </c>
      <c r="W362" s="380">
        <v>0</v>
      </c>
      <c r="X362" s="380">
        <v>0</v>
      </c>
      <c r="Y362" s="380">
        <v>0</v>
      </c>
      <c r="Z362" s="380">
        <v>0</v>
      </c>
      <c r="AA362" s="376" t="s">
        <v>769</v>
      </c>
      <c r="AB362" s="376" t="s">
        <v>770</v>
      </c>
      <c r="AC362" s="376" t="s">
        <v>771</v>
      </c>
      <c r="AD362" s="376" t="s">
        <v>278</v>
      </c>
      <c r="AE362" s="376" t="s">
        <v>363</v>
      </c>
      <c r="AF362" s="376" t="s">
        <v>210</v>
      </c>
      <c r="AG362" s="376" t="s">
        <v>177</v>
      </c>
      <c r="AH362" s="381">
        <v>24.17</v>
      </c>
      <c r="AI362" s="379">
        <v>25188</v>
      </c>
      <c r="AJ362" s="376" t="s">
        <v>178</v>
      </c>
      <c r="AK362" s="376" t="s">
        <v>179</v>
      </c>
      <c r="AL362" s="376" t="s">
        <v>180</v>
      </c>
      <c r="AM362" s="376" t="s">
        <v>181</v>
      </c>
      <c r="AN362" s="376" t="s">
        <v>68</v>
      </c>
      <c r="AO362" s="379">
        <v>80</v>
      </c>
      <c r="AP362" s="460">
        <v>1</v>
      </c>
      <c r="AQ362" s="460">
        <v>0</v>
      </c>
      <c r="AR362" s="458" t="s">
        <v>182</v>
      </c>
      <c r="AS362" s="462">
        <f t="shared" si="85"/>
        <v>0</v>
      </c>
      <c r="AT362">
        <f t="shared" si="86"/>
        <v>0</v>
      </c>
      <c r="AU362" s="462" t="str">
        <f>IF(AT362=0,"",IF(AND(AT362=1,M362="F",SUMIF(C2:C698,C362,AS2:AS698)&lt;=1),SUMIF(C2:C698,C362,AS2:AS698),IF(AND(AT362=1,M362="F",SUMIF(C2:C698,C362,AS2:AS698)&gt;1),1,"")))</f>
        <v/>
      </c>
      <c r="AV362" s="462" t="str">
        <f>IF(AT362=0,"",IF(AND(AT362=3,M362="F",SUMIF(C2:C698,C362,AS2:AS698)&lt;=1),SUMIF(C2:C698,C362,AS2:AS698),IF(AND(AT362=3,M362="F",SUMIF(C2:C698,C362,AS2:AS698)&gt;1),1,"")))</f>
        <v/>
      </c>
      <c r="AW362" s="462">
        <f>SUMIF(C2:C698,C362,O2:O698)</f>
        <v>7</v>
      </c>
      <c r="AX362" s="462">
        <f>IF(AND(M362="F",AS362&lt;&gt;0),SUMIF(C2:C698,C362,W2:W698),0)</f>
        <v>0</v>
      </c>
      <c r="AY362" s="462" t="str">
        <f t="shared" si="87"/>
        <v/>
      </c>
      <c r="AZ362" s="462" t="str">
        <f t="shared" si="88"/>
        <v/>
      </c>
      <c r="BA362" s="462">
        <f t="shared" si="89"/>
        <v>0</v>
      </c>
      <c r="BB362" s="462">
        <f>IF(AND(AT362=1,AK362="E",AU362&gt;=0.75,AW362=1),Health,IF(AND(AT362=1,AK362="E",AU362&gt;=0.75),Health*P362,IF(AND(AT362=1,AK362="E",AU362&gt;=0.5,AW362=1),PTHealth,IF(AND(AT362=1,AK362="E",AU362&gt;=0.5),PTHealth*P362,0))))</f>
        <v>0</v>
      </c>
      <c r="BC362" s="462">
        <f>IF(AND(AT362=3,AK362="E",AV362&gt;=0.75,AW362=1),Health,IF(AND(AT362=3,AK362="E",AV362&gt;=0.75),Health*P362,IF(AND(AT362=3,AK362="E",AV362&gt;=0.5,AW362=1),PTHealth,IF(AND(AT362=3,AK362="E",AV362&gt;=0.5),PTHealth*P362,0))))</f>
        <v>0</v>
      </c>
      <c r="BD362" s="462">
        <f>IF(AND(AT362&lt;&gt;0,AX362&gt;=MAXSSDI),SSDI*MAXSSDI*P362,IF(AT362&lt;&gt;0,SSDI*W362,0))</f>
        <v>0</v>
      </c>
      <c r="BE362" s="462">
        <f>IF(AT362&lt;&gt;0,SSHI*W362,0)</f>
        <v>0</v>
      </c>
      <c r="BF362" s="462">
        <f>IF(AND(AT362&lt;&gt;0,AN362&lt;&gt;"NE"),VLOOKUP(AN362,Retirement_Rates,3,FALSE)*W362,0)</f>
        <v>0</v>
      </c>
      <c r="BG362" s="462">
        <f>IF(AND(AT362&lt;&gt;0,AJ362&lt;&gt;"PF"),Life*W362,0)</f>
        <v>0</v>
      </c>
      <c r="BH362" s="462">
        <f>IF(AND(AT362&lt;&gt;0,AM362="Y"),UI*W362,0)</f>
        <v>0</v>
      </c>
      <c r="BI362" s="462">
        <f>IF(AND(AT362&lt;&gt;0,N362&lt;&gt;"NR"),DHR*W362,0)</f>
        <v>0</v>
      </c>
      <c r="BJ362" s="462">
        <f>IF(AT362&lt;&gt;0,WC*W362,0)</f>
        <v>0</v>
      </c>
      <c r="BK362" s="462">
        <f>IF(OR(AND(AT362&lt;&gt;0,AJ362&lt;&gt;"PF",AN362&lt;&gt;"NE",AG362&lt;&gt;"A"),AND(AL362="E",OR(AT362=1,AT362=3))),Sick*W362,0)</f>
        <v>0</v>
      </c>
      <c r="BL362" s="462">
        <f t="shared" si="90"/>
        <v>0</v>
      </c>
      <c r="BM362" s="462">
        <f t="shared" si="91"/>
        <v>0</v>
      </c>
      <c r="BN362" s="462">
        <f>IF(AND(AT362=1,AK362="E",AU362&gt;=0.75,AW362=1),HealthBY,IF(AND(AT362=1,AK362="E",AU362&gt;=0.75),HealthBY*P362,IF(AND(AT362=1,AK362="E",AU362&gt;=0.5,AW362=1),PTHealthBY,IF(AND(AT362=1,AK362="E",AU362&gt;=0.5),PTHealthBY*P362,0))))</f>
        <v>0</v>
      </c>
      <c r="BO362" s="462">
        <f>IF(AND(AT362=3,AK362="E",AV362&gt;=0.75,AW362=1),HealthBY,IF(AND(AT362=3,AK362="E",AV362&gt;=0.75),HealthBY*P362,IF(AND(AT362=3,AK362="E",AV362&gt;=0.5,AW362=1),PTHealthBY,IF(AND(AT362=3,AK362="E",AV362&gt;=0.5),PTHealthBY*P362,0))))</f>
        <v>0</v>
      </c>
      <c r="BP362" s="462">
        <f>IF(AND(AT362&lt;&gt;0,(AX362+BA362)&gt;=MAXSSDIBY),SSDIBY*MAXSSDIBY*P362,IF(AT362&lt;&gt;0,SSDIBY*W362,0))</f>
        <v>0</v>
      </c>
      <c r="BQ362" s="462">
        <f>IF(AT362&lt;&gt;0,SSHIBY*W362,0)</f>
        <v>0</v>
      </c>
      <c r="BR362" s="462">
        <f>IF(AND(AT362&lt;&gt;0,AN362&lt;&gt;"NE"),VLOOKUP(AN362,Retirement_Rates,4,FALSE)*W362,0)</f>
        <v>0</v>
      </c>
      <c r="BS362" s="462">
        <f>IF(AND(AT362&lt;&gt;0,AJ362&lt;&gt;"PF"),LifeBY*W362,0)</f>
        <v>0</v>
      </c>
      <c r="BT362" s="462">
        <f>IF(AND(AT362&lt;&gt;0,AM362="Y"),UIBY*W362,0)</f>
        <v>0</v>
      </c>
      <c r="BU362" s="462">
        <f>IF(AND(AT362&lt;&gt;0,N362&lt;&gt;"NR"),DHRBY*W362,0)</f>
        <v>0</v>
      </c>
      <c r="BV362" s="462">
        <f>IF(AT362&lt;&gt;0,WCBY*W362,0)</f>
        <v>0</v>
      </c>
      <c r="BW362" s="462">
        <f>IF(OR(AND(AT362&lt;&gt;0,AJ362&lt;&gt;"PF",AN362&lt;&gt;"NE",AG362&lt;&gt;"A"),AND(AL362="E",OR(AT362=1,AT362=3))),SickBY*W362,0)</f>
        <v>0</v>
      </c>
      <c r="BX362" s="462">
        <f t="shared" si="92"/>
        <v>0</v>
      </c>
      <c r="BY362" s="462">
        <f t="shared" si="93"/>
        <v>0</v>
      </c>
      <c r="BZ362" s="462">
        <f t="shared" si="94"/>
        <v>0</v>
      </c>
      <c r="CA362" s="462">
        <f t="shared" si="95"/>
        <v>0</v>
      </c>
      <c r="CB362" s="462">
        <f t="shared" si="96"/>
        <v>0</v>
      </c>
      <c r="CC362" s="462">
        <f>IF(AT362&lt;&gt;0,SSHICHG*Y362,0)</f>
        <v>0</v>
      </c>
      <c r="CD362" s="462">
        <f>IF(AND(AT362&lt;&gt;0,AN362&lt;&gt;"NE"),VLOOKUP(AN362,Retirement_Rates,5,FALSE)*Y362,0)</f>
        <v>0</v>
      </c>
      <c r="CE362" s="462">
        <f>IF(AND(AT362&lt;&gt;0,AJ362&lt;&gt;"PF"),LifeCHG*Y362,0)</f>
        <v>0</v>
      </c>
      <c r="CF362" s="462">
        <f>IF(AND(AT362&lt;&gt;0,AM362="Y"),UICHG*Y362,0)</f>
        <v>0</v>
      </c>
      <c r="CG362" s="462">
        <f>IF(AND(AT362&lt;&gt;0,N362&lt;&gt;"NR"),DHRCHG*Y362,0)</f>
        <v>0</v>
      </c>
      <c r="CH362" s="462">
        <f>IF(AT362&lt;&gt;0,WCCHG*Y362,0)</f>
        <v>0</v>
      </c>
      <c r="CI362" s="462">
        <f>IF(OR(AND(AT362&lt;&gt;0,AJ362&lt;&gt;"PF",AN362&lt;&gt;"NE",AG362&lt;&gt;"A"),AND(AL362="E",OR(AT362=1,AT362=3))),SickCHG*Y362,0)</f>
        <v>0</v>
      </c>
      <c r="CJ362" s="462">
        <f t="shared" si="97"/>
        <v>0</v>
      </c>
      <c r="CK362" s="462" t="str">
        <f t="shared" si="98"/>
        <v/>
      </c>
      <c r="CL362" s="462" t="str">
        <f t="shared" si="99"/>
        <v/>
      </c>
      <c r="CM362" s="462" t="str">
        <f t="shared" si="100"/>
        <v/>
      </c>
      <c r="CN362" s="462" t="str">
        <f t="shared" si="101"/>
        <v>0330-08</v>
      </c>
    </row>
    <row r="363" spans="1:92" ht="15" thickBot="1" x14ac:dyDescent="0.35">
      <c r="A363" s="376" t="s">
        <v>161</v>
      </c>
      <c r="B363" s="376" t="s">
        <v>162</v>
      </c>
      <c r="C363" s="376" t="s">
        <v>772</v>
      </c>
      <c r="D363" s="376" t="s">
        <v>362</v>
      </c>
      <c r="E363" s="376" t="s">
        <v>931</v>
      </c>
      <c r="F363" s="382" t="s">
        <v>962</v>
      </c>
      <c r="G363" s="376" t="s">
        <v>762</v>
      </c>
      <c r="H363" s="378"/>
      <c r="I363" s="378"/>
      <c r="J363" s="376" t="s">
        <v>547</v>
      </c>
      <c r="K363" s="376" t="s">
        <v>363</v>
      </c>
      <c r="L363" s="376" t="s">
        <v>200</v>
      </c>
      <c r="M363" s="376" t="s">
        <v>170</v>
      </c>
      <c r="N363" s="376" t="s">
        <v>202</v>
      </c>
      <c r="O363" s="379">
        <v>1</v>
      </c>
      <c r="P363" s="460">
        <v>0</v>
      </c>
      <c r="Q363" s="460">
        <v>0</v>
      </c>
      <c r="R363" s="380">
        <v>80</v>
      </c>
      <c r="S363" s="460">
        <v>0</v>
      </c>
      <c r="T363" s="380">
        <v>362.27</v>
      </c>
      <c r="U363" s="380">
        <v>0</v>
      </c>
      <c r="V363" s="380">
        <v>182.3</v>
      </c>
      <c r="W363" s="380">
        <v>0</v>
      </c>
      <c r="X363" s="380">
        <v>0</v>
      </c>
      <c r="Y363" s="380">
        <v>0</v>
      </c>
      <c r="Z363" s="380">
        <v>0</v>
      </c>
      <c r="AA363" s="376" t="s">
        <v>773</v>
      </c>
      <c r="AB363" s="376" t="s">
        <v>774</v>
      </c>
      <c r="AC363" s="376" t="s">
        <v>690</v>
      </c>
      <c r="AD363" s="376" t="s">
        <v>225</v>
      </c>
      <c r="AE363" s="376" t="s">
        <v>363</v>
      </c>
      <c r="AF363" s="376" t="s">
        <v>210</v>
      </c>
      <c r="AG363" s="376" t="s">
        <v>177</v>
      </c>
      <c r="AH363" s="381">
        <v>22.5</v>
      </c>
      <c r="AI363" s="379">
        <v>9056</v>
      </c>
      <c r="AJ363" s="376" t="s">
        <v>178</v>
      </c>
      <c r="AK363" s="376" t="s">
        <v>179</v>
      </c>
      <c r="AL363" s="376" t="s">
        <v>180</v>
      </c>
      <c r="AM363" s="376" t="s">
        <v>181</v>
      </c>
      <c r="AN363" s="376" t="s">
        <v>68</v>
      </c>
      <c r="AO363" s="379">
        <v>80</v>
      </c>
      <c r="AP363" s="460">
        <v>1</v>
      </c>
      <c r="AQ363" s="460">
        <v>0</v>
      </c>
      <c r="AR363" s="458" t="s">
        <v>182</v>
      </c>
      <c r="AS363" s="462">
        <f t="shared" si="85"/>
        <v>0</v>
      </c>
      <c r="AT363">
        <f t="shared" si="86"/>
        <v>0</v>
      </c>
      <c r="AU363" s="462" t="str">
        <f>IF(AT363=0,"",IF(AND(AT363=1,M363="F",SUMIF(C2:C698,C363,AS2:AS698)&lt;=1),SUMIF(C2:C698,C363,AS2:AS698),IF(AND(AT363=1,M363="F",SUMIF(C2:C698,C363,AS2:AS698)&gt;1),1,"")))</f>
        <v/>
      </c>
      <c r="AV363" s="462" t="str">
        <f>IF(AT363=0,"",IF(AND(AT363=3,M363="F",SUMIF(C2:C698,C363,AS2:AS698)&lt;=1),SUMIF(C2:C698,C363,AS2:AS698),IF(AND(AT363=3,M363="F",SUMIF(C2:C698,C363,AS2:AS698)&gt;1),1,"")))</f>
        <v/>
      </c>
      <c r="AW363" s="462">
        <f>SUMIF(C2:C698,C363,O2:O698)</f>
        <v>7</v>
      </c>
      <c r="AX363" s="462">
        <f>IF(AND(M363="F",AS363&lt;&gt;0),SUMIF(C2:C698,C363,W2:W698),0)</f>
        <v>0</v>
      </c>
      <c r="AY363" s="462" t="str">
        <f t="shared" si="87"/>
        <v/>
      </c>
      <c r="AZ363" s="462" t="str">
        <f t="shared" si="88"/>
        <v/>
      </c>
      <c r="BA363" s="462">
        <f t="shared" si="89"/>
        <v>0</v>
      </c>
      <c r="BB363" s="462">
        <f>IF(AND(AT363=1,AK363="E",AU363&gt;=0.75,AW363=1),Health,IF(AND(AT363=1,AK363="E",AU363&gt;=0.75),Health*P363,IF(AND(AT363=1,AK363="E",AU363&gt;=0.5,AW363=1),PTHealth,IF(AND(AT363=1,AK363="E",AU363&gt;=0.5),PTHealth*P363,0))))</f>
        <v>0</v>
      </c>
      <c r="BC363" s="462">
        <f>IF(AND(AT363=3,AK363="E",AV363&gt;=0.75,AW363=1),Health,IF(AND(AT363=3,AK363="E",AV363&gt;=0.75),Health*P363,IF(AND(AT363=3,AK363="E",AV363&gt;=0.5,AW363=1),PTHealth,IF(AND(AT363=3,AK363="E",AV363&gt;=0.5),PTHealth*P363,0))))</f>
        <v>0</v>
      </c>
      <c r="BD363" s="462">
        <f>IF(AND(AT363&lt;&gt;0,AX363&gt;=MAXSSDI),SSDI*MAXSSDI*P363,IF(AT363&lt;&gt;0,SSDI*W363,0))</f>
        <v>0</v>
      </c>
      <c r="BE363" s="462">
        <f>IF(AT363&lt;&gt;0,SSHI*W363,0)</f>
        <v>0</v>
      </c>
      <c r="BF363" s="462">
        <f>IF(AND(AT363&lt;&gt;0,AN363&lt;&gt;"NE"),VLOOKUP(AN363,Retirement_Rates,3,FALSE)*W363,0)</f>
        <v>0</v>
      </c>
      <c r="BG363" s="462">
        <f>IF(AND(AT363&lt;&gt;0,AJ363&lt;&gt;"PF"),Life*W363,0)</f>
        <v>0</v>
      </c>
      <c r="BH363" s="462">
        <f>IF(AND(AT363&lt;&gt;0,AM363="Y"),UI*W363,0)</f>
        <v>0</v>
      </c>
      <c r="BI363" s="462">
        <f>IF(AND(AT363&lt;&gt;0,N363&lt;&gt;"NR"),DHR*W363,0)</f>
        <v>0</v>
      </c>
      <c r="BJ363" s="462">
        <f>IF(AT363&lt;&gt;0,WC*W363,0)</f>
        <v>0</v>
      </c>
      <c r="BK363" s="462">
        <f>IF(OR(AND(AT363&lt;&gt;0,AJ363&lt;&gt;"PF",AN363&lt;&gt;"NE",AG363&lt;&gt;"A"),AND(AL363="E",OR(AT363=1,AT363=3))),Sick*W363,0)</f>
        <v>0</v>
      </c>
      <c r="BL363" s="462">
        <f t="shared" si="90"/>
        <v>0</v>
      </c>
      <c r="BM363" s="462">
        <f t="shared" si="91"/>
        <v>0</v>
      </c>
      <c r="BN363" s="462">
        <f>IF(AND(AT363=1,AK363="E",AU363&gt;=0.75,AW363=1),HealthBY,IF(AND(AT363=1,AK363="E",AU363&gt;=0.75),HealthBY*P363,IF(AND(AT363=1,AK363="E",AU363&gt;=0.5,AW363=1),PTHealthBY,IF(AND(AT363=1,AK363="E",AU363&gt;=0.5),PTHealthBY*P363,0))))</f>
        <v>0</v>
      </c>
      <c r="BO363" s="462">
        <f>IF(AND(AT363=3,AK363="E",AV363&gt;=0.75,AW363=1),HealthBY,IF(AND(AT363=3,AK363="E",AV363&gt;=0.75),HealthBY*P363,IF(AND(AT363=3,AK363="E",AV363&gt;=0.5,AW363=1),PTHealthBY,IF(AND(AT363=3,AK363="E",AV363&gt;=0.5),PTHealthBY*P363,0))))</f>
        <v>0</v>
      </c>
      <c r="BP363" s="462">
        <f>IF(AND(AT363&lt;&gt;0,(AX363+BA363)&gt;=MAXSSDIBY),SSDIBY*MAXSSDIBY*P363,IF(AT363&lt;&gt;0,SSDIBY*W363,0))</f>
        <v>0</v>
      </c>
      <c r="BQ363" s="462">
        <f>IF(AT363&lt;&gt;0,SSHIBY*W363,0)</f>
        <v>0</v>
      </c>
      <c r="BR363" s="462">
        <f>IF(AND(AT363&lt;&gt;0,AN363&lt;&gt;"NE"),VLOOKUP(AN363,Retirement_Rates,4,FALSE)*W363,0)</f>
        <v>0</v>
      </c>
      <c r="BS363" s="462">
        <f>IF(AND(AT363&lt;&gt;0,AJ363&lt;&gt;"PF"),LifeBY*W363,0)</f>
        <v>0</v>
      </c>
      <c r="BT363" s="462">
        <f>IF(AND(AT363&lt;&gt;0,AM363="Y"),UIBY*W363,0)</f>
        <v>0</v>
      </c>
      <c r="BU363" s="462">
        <f>IF(AND(AT363&lt;&gt;0,N363&lt;&gt;"NR"),DHRBY*W363,0)</f>
        <v>0</v>
      </c>
      <c r="BV363" s="462">
        <f>IF(AT363&lt;&gt;0,WCBY*W363,0)</f>
        <v>0</v>
      </c>
      <c r="BW363" s="462">
        <f>IF(OR(AND(AT363&lt;&gt;0,AJ363&lt;&gt;"PF",AN363&lt;&gt;"NE",AG363&lt;&gt;"A"),AND(AL363="E",OR(AT363=1,AT363=3))),SickBY*W363,0)</f>
        <v>0</v>
      </c>
      <c r="BX363" s="462">
        <f t="shared" si="92"/>
        <v>0</v>
      </c>
      <c r="BY363" s="462">
        <f t="shared" si="93"/>
        <v>0</v>
      </c>
      <c r="BZ363" s="462">
        <f t="shared" si="94"/>
        <v>0</v>
      </c>
      <c r="CA363" s="462">
        <f t="shared" si="95"/>
        <v>0</v>
      </c>
      <c r="CB363" s="462">
        <f t="shared" si="96"/>
        <v>0</v>
      </c>
      <c r="CC363" s="462">
        <f>IF(AT363&lt;&gt;0,SSHICHG*Y363,0)</f>
        <v>0</v>
      </c>
      <c r="CD363" s="462">
        <f>IF(AND(AT363&lt;&gt;0,AN363&lt;&gt;"NE"),VLOOKUP(AN363,Retirement_Rates,5,FALSE)*Y363,0)</f>
        <v>0</v>
      </c>
      <c r="CE363" s="462">
        <f>IF(AND(AT363&lt;&gt;0,AJ363&lt;&gt;"PF"),LifeCHG*Y363,0)</f>
        <v>0</v>
      </c>
      <c r="CF363" s="462">
        <f>IF(AND(AT363&lt;&gt;0,AM363="Y"),UICHG*Y363,0)</f>
        <v>0</v>
      </c>
      <c r="CG363" s="462">
        <f>IF(AND(AT363&lt;&gt;0,N363&lt;&gt;"NR"),DHRCHG*Y363,0)</f>
        <v>0</v>
      </c>
      <c r="CH363" s="462">
        <f>IF(AT363&lt;&gt;0,WCCHG*Y363,0)</f>
        <v>0</v>
      </c>
      <c r="CI363" s="462">
        <f>IF(OR(AND(AT363&lt;&gt;0,AJ363&lt;&gt;"PF",AN363&lt;&gt;"NE",AG363&lt;&gt;"A"),AND(AL363="E",OR(AT363=1,AT363=3))),SickCHG*Y363,0)</f>
        <v>0</v>
      </c>
      <c r="CJ363" s="462">
        <f t="shared" si="97"/>
        <v>0</v>
      </c>
      <c r="CK363" s="462" t="str">
        <f t="shared" si="98"/>
        <v/>
      </c>
      <c r="CL363" s="462" t="str">
        <f t="shared" si="99"/>
        <v/>
      </c>
      <c r="CM363" s="462" t="str">
        <f t="shared" si="100"/>
        <v/>
      </c>
      <c r="CN363" s="462" t="str">
        <f t="shared" si="101"/>
        <v>0330-08</v>
      </c>
    </row>
    <row r="364" spans="1:92" ht="15" thickBot="1" x14ac:dyDescent="0.35">
      <c r="A364" s="376" t="s">
        <v>161</v>
      </c>
      <c r="B364" s="376" t="s">
        <v>162</v>
      </c>
      <c r="C364" s="376" t="s">
        <v>781</v>
      </c>
      <c r="D364" s="376" t="s">
        <v>362</v>
      </c>
      <c r="E364" s="376" t="s">
        <v>931</v>
      </c>
      <c r="F364" s="382" t="s">
        <v>962</v>
      </c>
      <c r="G364" s="376" t="s">
        <v>762</v>
      </c>
      <c r="H364" s="378"/>
      <c r="I364" s="378"/>
      <c r="J364" s="376" t="s">
        <v>782</v>
      </c>
      <c r="K364" s="376" t="s">
        <v>363</v>
      </c>
      <c r="L364" s="376" t="s">
        <v>200</v>
      </c>
      <c r="M364" s="376" t="s">
        <v>170</v>
      </c>
      <c r="N364" s="376" t="s">
        <v>202</v>
      </c>
      <c r="O364" s="379">
        <v>1</v>
      </c>
      <c r="P364" s="460">
        <v>0</v>
      </c>
      <c r="Q364" s="460">
        <v>0</v>
      </c>
      <c r="R364" s="380">
        <v>80</v>
      </c>
      <c r="S364" s="460">
        <v>0</v>
      </c>
      <c r="T364" s="380">
        <v>357</v>
      </c>
      <c r="U364" s="380">
        <v>0</v>
      </c>
      <c r="V364" s="380">
        <v>180.42</v>
      </c>
      <c r="W364" s="380">
        <v>0</v>
      </c>
      <c r="X364" s="380">
        <v>0</v>
      </c>
      <c r="Y364" s="380">
        <v>0</v>
      </c>
      <c r="Z364" s="380">
        <v>0</v>
      </c>
      <c r="AA364" s="376" t="s">
        <v>783</v>
      </c>
      <c r="AB364" s="376" t="s">
        <v>784</v>
      </c>
      <c r="AC364" s="376" t="s">
        <v>690</v>
      </c>
      <c r="AD364" s="376" t="s">
        <v>215</v>
      </c>
      <c r="AE364" s="376" t="s">
        <v>363</v>
      </c>
      <c r="AF364" s="376" t="s">
        <v>210</v>
      </c>
      <c r="AG364" s="376" t="s">
        <v>177</v>
      </c>
      <c r="AH364" s="381">
        <v>22.5</v>
      </c>
      <c r="AI364" s="379">
        <v>3768</v>
      </c>
      <c r="AJ364" s="376" t="s">
        <v>178</v>
      </c>
      <c r="AK364" s="376" t="s">
        <v>179</v>
      </c>
      <c r="AL364" s="376" t="s">
        <v>180</v>
      </c>
      <c r="AM364" s="376" t="s">
        <v>181</v>
      </c>
      <c r="AN364" s="376" t="s">
        <v>68</v>
      </c>
      <c r="AO364" s="379">
        <v>80</v>
      </c>
      <c r="AP364" s="460">
        <v>1</v>
      </c>
      <c r="AQ364" s="460">
        <v>0</v>
      </c>
      <c r="AR364" s="458" t="s">
        <v>182</v>
      </c>
      <c r="AS364" s="462">
        <f t="shared" si="85"/>
        <v>0</v>
      </c>
      <c r="AT364">
        <f t="shared" si="86"/>
        <v>0</v>
      </c>
      <c r="AU364" s="462" t="str">
        <f>IF(AT364=0,"",IF(AND(AT364=1,M364="F",SUMIF(C2:C698,C364,AS2:AS698)&lt;=1),SUMIF(C2:C698,C364,AS2:AS698),IF(AND(AT364=1,M364="F",SUMIF(C2:C698,C364,AS2:AS698)&gt;1),1,"")))</f>
        <v/>
      </c>
      <c r="AV364" s="462" t="str">
        <f>IF(AT364=0,"",IF(AND(AT364=3,M364="F",SUMIF(C2:C698,C364,AS2:AS698)&lt;=1),SUMIF(C2:C698,C364,AS2:AS698),IF(AND(AT364=3,M364="F",SUMIF(C2:C698,C364,AS2:AS698)&gt;1),1,"")))</f>
        <v/>
      </c>
      <c r="AW364" s="462">
        <f>SUMIF(C2:C698,C364,O2:O698)</f>
        <v>7</v>
      </c>
      <c r="AX364" s="462">
        <f>IF(AND(M364="F",AS364&lt;&gt;0),SUMIF(C2:C698,C364,W2:W698),0)</f>
        <v>0</v>
      </c>
      <c r="AY364" s="462" t="str">
        <f t="shared" si="87"/>
        <v/>
      </c>
      <c r="AZ364" s="462" t="str">
        <f t="shared" si="88"/>
        <v/>
      </c>
      <c r="BA364" s="462">
        <f t="shared" si="89"/>
        <v>0</v>
      </c>
      <c r="BB364" s="462">
        <f>IF(AND(AT364=1,AK364="E",AU364&gt;=0.75,AW364=1),Health,IF(AND(AT364=1,AK364="E",AU364&gt;=0.75),Health*P364,IF(AND(AT364=1,AK364="E",AU364&gt;=0.5,AW364=1),PTHealth,IF(AND(AT364=1,AK364="E",AU364&gt;=0.5),PTHealth*P364,0))))</f>
        <v>0</v>
      </c>
      <c r="BC364" s="462">
        <f>IF(AND(AT364=3,AK364="E",AV364&gt;=0.75,AW364=1),Health,IF(AND(AT364=3,AK364="E",AV364&gt;=0.75),Health*P364,IF(AND(AT364=3,AK364="E",AV364&gt;=0.5,AW364=1),PTHealth,IF(AND(AT364=3,AK364="E",AV364&gt;=0.5),PTHealth*P364,0))))</f>
        <v>0</v>
      </c>
      <c r="BD364" s="462">
        <f>IF(AND(AT364&lt;&gt;0,AX364&gt;=MAXSSDI),SSDI*MAXSSDI*P364,IF(AT364&lt;&gt;0,SSDI*W364,0))</f>
        <v>0</v>
      </c>
      <c r="BE364" s="462">
        <f>IF(AT364&lt;&gt;0,SSHI*W364,0)</f>
        <v>0</v>
      </c>
      <c r="BF364" s="462">
        <f>IF(AND(AT364&lt;&gt;0,AN364&lt;&gt;"NE"),VLOOKUP(AN364,Retirement_Rates,3,FALSE)*W364,0)</f>
        <v>0</v>
      </c>
      <c r="BG364" s="462">
        <f>IF(AND(AT364&lt;&gt;0,AJ364&lt;&gt;"PF"),Life*W364,0)</f>
        <v>0</v>
      </c>
      <c r="BH364" s="462">
        <f>IF(AND(AT364&lt;&gt;0,AM364="Y"),UI*W364,0)</f>
        <v>0</v>
      </c>
      <c r="BI364" s="462">
        <f>IF(AND(AT364&lt;&gt;0,N364&lt;&gt;"NR"),DHR*W364,0)</f>
        <v>0</v>
      </c>
      <c r="BJ364" s="462">
        <f>IF(AT364&lt;&gt;0,WC*W364,0)</f>
        <v>0</v>
      </c>
      <c r="BK364" s="462">
        <f>IF(OR(AND(AT364&lt;&gt;0,AJ364&lt;&gt;"PF",AN364&lt;&gt;"NE",AG364&lt;&gt;"A"),AND(AL364="E",OR(AT364=1,AT364=3))),Sick*W364,0)</f>
        <v>0</v>
      </c>
      <c r="BL364" s="462">
        <f t="shared" si="90"/>
        <v>0</v>
      </c>
      <c r="BM364" s="462">
        <f t="shared" si="91"/>
        <v>0</v>
      </c>
      <c r="BN364" s="462">
        <f>IF(AND(AT364=1,AK364="E",AU364&gt;=0.75,AW364=1),HealthBY,IF(AND(AT364=1,AK364="E",AU364&gt;=0.75),HealthBY*P364,IF(AND(AT364=1,AK364="E",AU364&gt;=0.5,AW364=1),PTHealthBY,IF(AND(AT364=1,AK364="E",AU364&gt;=0.5),PTHealthBY*P364,0))))</f>
        <v>0</v>
      </c>
      <c r="BO364" s="462">
        <f>IF(AND(AT364=3,AK364="E",AV364&gt;=0.75,AW364=1),HealthBY,IF(AND(AT364=3,AK364="E",AV364&gt;=0.75),HealthBY*P364,IF(AND(AT364=3,AK364="E",AV364&gt;=0.5,AW364=1),PTHealthBY,IF(AND(AT364=3,AK364="E",AV364&gt;=0.5),PTHealthBY*P364,0))))</f>
        <v>0</v>
      </c>
      <c r="BP364" s="462">
        <f>IF(AND(AT364&lt;&gt;0,(AX364+BA364)&gt;=MAXSSDIBY),SSDIBY*MAXSSDIBY*P364,IF(AT364&lt;&gt;0,SSDIBY*W364,0))</f>
        <v>0</v>
      </c>
      <c r="BQ364" s="462">
        <f>IF(AT364&lt;&gt;0,SSHIBY*W364,0)</f>
        <v>0</v>
      </c>
      <c r="BR364" s="462">
        <f>IF(AND(AT364&lt;&gt;0,AN364&lt;&gt;"NE"),VLOOKUP(AN364,Retirement_Rates,4,FALSE)*W364,0)</f>
        <v>0</v>
      </c>
      <c r="BS364" s="462">
        <f>IF(AND(AT364&lt;&gt;0,AJ364&lt;&gt;"PF"),LifeBY*W364,0)</f>
        <v>0</v>
      </c>
      <c r="BT364" s="462">
        <f>IF(AND(AT364&lt;&gt;0,AM364="Y"),UIBY*W364,0)</f>
        <v>0</v>
      </c>
      <c r="BU364" s="462">
        <f>IF(AND(AT364&lt;&gt;0,N364&lt;&gt;"NR"),DHRBY*W364,0)</f>
        <v>0</v>
      </c>
      <c r="BV364" s="462">
        <f>IF(AT364&lt;&gt;0,WCBY*W364,0)</f>
        <v>0</v>
      </c>
      <c r="BW364" s="462">
        <f>IF(OR(AND(AT364&lt;&gt;0,AJ364&lt;&gt;"PF",AN364&lt;&gt;"NE",AG364&lt;&gt;"A"),AND(AL364="E",OR(AT364=1,AT364=3))),SickBY*W364,0)</f>
        <v>0</v>
      </c>
      <c r="BX364" s="462">
        <f t="shared" si="92"/>
        <v>0</v>
      </c>
      <c r="BY364" s="462">
        <f t="shared" si="93"/>
        <v>0</v>
      </c>
      <c r="BZ364" s="462">
        <f t="shared" si="94"/>
        <v>0</v>
      </c>
      <c r="CA364" s="462">
        <f t="shared" si="95"/>
        <v>0</v>
      </c>
      <c r="CB364" s="462">
        <f t="shared" si="96"/>
        <v>0</v>
      </c>
      <c r="CC364" s="462">
        <f>IF(AT364&lt;&gt;0,SSHICHG*Y364,0)</f>
        <v>0</v>
      </c>
      <c r="CD364" s="462">
        <f>IF(AND(AT364&lt;&gt;0,AN364&lt;&gt;"NE"),VLOOKUP(AN364,Retirement_Rates,5,FALSE)*Y364,0)</f>
        <v>0</v>
      </c>
      <c r="CE364" s="462">
        <f>IF(AND(AT364&lt;&gt;0,AJ364&lt;&gt;"PF"),LifeCHG*Y364,0)</f>
        <v>0</v>
      </c>
      <c r="CF364" s="462">
        <f>IF(AND(AT364&lt;&gt;0,AM364="Y"),UICHG*Y364,0)</f>
        <v>0</v>
      </c>
      <c r="CG364" s="462">
        <f>IF(AND(AT364&lt;&gt;0,N364&lt;&gt;"NR"),DHRCHG*Y364,0)</f>
        <v>0</v>
      </c>
      <c r="CH364" s="462">
        <f>IF(AT364&lt;&gt;0,WCCHG*Y364,0)</f>
        <v>0</v>
      </c>
      <c r="CI364" s="462">
        <f>IF(OR(AND(AT364&lt;&gt;0,AJ364&lt;&gt;"PF",AN364&lt;&gt;"NE",AG364&lt;&gt;"A"),AND(AL364="E",OR(AT364=1,AT364=3))),SickCHG*Y364,0)</f>
        <v>0</v>
      </c>
      <c r="CJ364" s="462">
        <f t="shared" si="97"/>
        <v>0</v>
      </c>
      <c r="CK364" s="462" t="str">
        <f t="shared" si="98"/>
        <v/>
      </c>
      <c r="CL364" s="462" t="str">
        <f t="shared" si="99"/>
        <v/>
      </c>
      <c r="CM364" s="462" t="str">
        <f t="shared" si="100"/>
        <v/>
      </c>
      <c r="CN364" s="462" t="str">
        <f t="shared" si="101"/>
        <v>0330-08</v>
      </c>
    </row>
    <row r="365" spans="1:92" ht="15" thickBot="1" x14ac:dyDescent="0.35">
      <c r="A365" s="376" t="s">
        <v>161</v>
      </c>
      <c r="B365" s="376" t="s">
        <v>162</v>
      </c>
      <c r="C365" s="376" t="s">
        <v>785</v>
      </c>
      <c r="D365" s="376" t="s">
        <v>250</v>
      </c>
      <c r="E365" s="376" t="s">
        <v>931</v>
      </c>
      <c r="F365" s="382" t="s">
        <v>962</v>
      </c>
      <c r="G365" s="376" t="s">
        <v>762</v>
      </c>
      <c r="H365" s="378"/>
      <c r="I365" s="378"/>
      <c r="J365" s="376" t="s">
        <v>768</v>
      </c>
      <c r="K365" s="376" t="s">
        <v>407</v>
      </c>
      <c r="L365" s="376" t="s">
        <v>247</v>
      </c>
      <c r="M365" s="376" t="s">
        <v>170</v>
      </c>
      <c r="N365" s="376" t="s">
        <v>202</v>
      </c>
      <c r="O365" s="379">
        <v>1</v>
      </c>
      <c r="P365" s="460">
        <v>0</v>
      </c>
      <c r="Q365" s="460">
        <v>0</v>
      </c>
      <c r="R365" s="380">
        <v>80</v>
      </c>
      <c r="S365" s="460">
        <v>0</v>
      </c>
      <c r="T365" s="380">
        <v>523.95000000000005</v>
      </c>
      <c r="U365" s="380">
        <v>0</v>
      </c>
      <c r="V365" s="380">
        <v>221.64</v>
      </c>
      <c r="W365" s="380">
        <v>0</v>
      </c>
      <c r="X365" s="380">
        <v>0</v>
      </c>
      <c r="Y365" s="380">
        <v>0</v>
      </c>
      <c r="Z365" s="380">
        <v>0</v>
      </c>
      <c r="AA365" s="376" t="s">
        <v>786</v>
      </c>
      <c r="AB365" s="376" t="s">
        <v>787</v>
      </c>
      <c r="AC365" s="376" t="s">
        <v>788</v>
      </c>
      <c r="AD365" s="376" t="s">
        <v>325</v>
      </c>
      <c r="AE365" s="376" t="s">
        <v>407</v>
      </c>
      <c r="AF365" s="376" t="s">
        <v>299</v>
      </c>
      <c r="AG365" s="376" t="s">
        <v>177</v>
      </c>
      <c r="AH365" s="381">
        <v>30.18</v>
      </c>
      <c r="AI365" s="381">
        <v>73366.600000000006</v>
      </c>
      <c r="AJ365" s="376" t="s">
        <v>178</v>
      </c>
      <c r="AK365" s="376" t="s">
        <v>179</v>
      </c>
      <c r="AL365" s="376" t="s">
        <v>180</v>
      </c>
      <c r="AM365" s="376" t="s">
        <v>181</v>
      </c>
      <c r="AN365" s="376" t="s">
        <v>68</v>
      </c>
      <c r="AO365" s="379">
        <v>80</v>
      </c>
      <c r="AP365" s="460">
        <v>1</v>
      </c>
      <c r="AQ365" s="460">
        <v>0</v>
      </c>
      <c r="AR365" s="458" t="s">
        <v>182</v>
      </c>
      <c r="AS365" s="462">
        <f t="shared" si="85"/>
        <v>0</v>
      </c>
      <c r="AT365">
        <f t="shared" si="86"/>
        <v>0</v>
      </c>
      <c r="AU365" s="462" t="str">
        <f>IF(AT365=0,"",IF(AND(AT365=1,M365="F",SUMIF(C2:C698,C365,AS2:AS698)&lt;=1),SUMIF(C2:C698,C365,AS2:AS698),IF(AND(AT365=1,M365="F",SUMIF(C2:C698,C365,AS2:AS698)&gt;1),1,"")))</f>
        <v/>
      </c>
      <c r="AV365" s="462" t="str">
        <f>IF(AT365=0,"",IF(AND(AT365=3,M365="F",SUMIF(C2:C698,C365,AS2:AS698)&lt;=1),SUMIF(C2:C698,C365,AS2:AS698),IF(AND(AT365=3,M365="F",SUMIF(C2:C698,C365,AS2:AS698)&gt;1),1,"")))</f>
        <v/>
      </c>
      <c r="AW365" s="462">
        <f>SUMIF(C2:C698,C365,O2:O698)</f>
        <v>7</v>
      </c>
      <c r="AX365" s="462">
        <f>IF(AND(M365="F",AS365&lt;&gt;0),SUMIF(C2:C698,C365,W2:W698),0)</f>
        <v>0</v>
      </c>
      <c r="AY365" s="462" t="str">
        <f t="shared" si="87"/>
        <v/>
      </c>
      <c r="AZ365" s="462" t="str">
        <f t="shared" si="88"/>
        <v/>
      </c>
      <c r="BA365" s="462">
        <f t="shared" si="89"/>
        <v>0</v>
      </c>
      <c r="BB365" s="462">
        <f>IF(AND(AT365=1,AK365="E",AU365&gt;=0.75,AW365=1),Health,IF(AND(AT365=1,AK365="E",AU365&gt;=0.75),Health*P365,IF(AND(AT365=1,AK365="E",AU365&gt;=0.5,AW365=1),PTHealth,IF(AND(AT365=1,AK365="E",AU365&gt;=0.5),PTHealth*P365,0))))</f>
        <v>0</v>
      </c>
      <c r="BC365" s="462">
        <f>IF(AND(AT365=3,AK365="E",AV365&gt;=0.75,AW365=1),Health,IF(AND(AT365=3,AK365="E",AV365&gt;=0.75),Health*P365,IF(AND(AT365=3,AK365="E",AV365&gt;=0.5,AW365=1),PTHealth,IF(AND(AT365=3,AK365="E",AV365&gt;=0.5),PTHealth*P365,0))))</f>
        <v>0</v>
      </c>
      <c r="BD365" s="462">
        <f>IF(AND(AT365&lt;&gt;0,AX365&gt;=MAXSSDI),SSDI*MAXSSDI*P365,IF(AT365&lt;&gt;0,SSDI*W365,0))</f>
        <v>0</v>
      </c>
      <c r="BE365" s="462">
        <f>IF(AT365&lt;&gt;0,SSHI*W365,0)</f>
        <v>0</v>
      </c>
      <c r="BF365" s="462">
        <f>IF(AND(AT365&lt;&gt;0,AN365&lt;&gt;"NE"),VLOOKUP(AN365,Retirement_Rates,3,FALSE)*W365,0)</f>
        <v>0</v>
      </c>
      <c r="BG365" s="462">
        <f>IF(AND(AT365&lt;&gt;0,AJ365&lt;&gt;"PF"),Life*W365,0)</f>
        <v>0</v>
      </c>
      <c r="BH365" s="462">
        <f>IF(AND(AT365&lt;&gt;0,AM365="Y"),UI*W365,0)</f>
        <v>0</v>
      </c>
      <c r="BI365" s="462">
        <f>IF(AND(AT365&lt;&gt;0,N365&lt;&gt;"NR"),DHR*W365,0)</f>
        <v>0</v>
      </c>
      <c r="BJ365" s="462">
        <f>IF(AT365&lt;&gt;0,WC*W365,0)</f>
        <v>0</v>
      </c>
      <c r="BK365" s="462">
        <f>IF(OR(AND(AT365&lt;&gt;0,AJ365&lt;&gt;"PF",AN365&lt;&gt;"NE",AG365&lt;&gt;"A"),AND(AL365="E",OR(AT365=1,AT365=3))),Sick*W365,0)</f>
        <v>0</v>
      </c>
      <c r="BL365" s="462">
        <f t="shared" si="90"/>
        <v>0</v>
      </c>
      <c r="BM365" s="462">
        <f t="shared" si="91"/>
        <v>0</v>
      </c>
      <c r="BN365" s="462">
        <f>IF(AND(AT365=1,AK365="E",AU365&gt;=0.75,AW365=1),HealthBY,IF(AND(AT365=1,AK365="E",AU365&gt;=0.75),HealthBY*P365,IF(AND(AT365=1,AK365="E",AU365&gt;=0.5,AW365=1),PTHealthBY,IF(AND(AT365=1,AK365="E",AU365&gt;=0.5),PTHealthBY*P365,0))))</f>
        <v>0</v>
      </c>
      <c r="BO365" s="462">
        <f>IF(AND(AT365=3,AK365="E",AV365&gt;=0.75,AW365=1),HealthBY,IF(AND(AT365=3,AK365="E",AV365&gt;=0.75),HealthBY*P365,IF(AND(AT365=3,AK365="E",AV365&gt;=0.5,AW365=1),PTHealthBY,IF(AND(AT365=3,AK365="E",AV365&gt;=0.5),PTHealthBY*P365,0))))</f>
        <v>0</v>
      </c>
      <c r="BP365" s="462">
        <f>IF(AND(AT365&lt;&gt;0,(AX365+BA365)&gt;=MAXSSDIBY),SSDIBY*MAXSSDIBY*P365,IF(AT365&lt;&gt;0,SSDIBY*W365,0))</f>
        <v>0</v>
      </c>
      <c r="BQ365" s="462">
        <f>IF(AT365&lt;&gt;0,SSHIBY*W365,0)</f>
        <v>0</v>
      </c>
      <c r="BR365" s="462">
        <f>IF(AND(AT365&lt;&gt;0,AN365&lt;&gt;"NE"),VLOOKUP(AN365,Retirement_Rates,4,FALSE)*W365,0)</f>
        <v>0</v>
      </c>
      <c r="BS365" s="462">
        <f>IF(AND(AT365&lt;&gt;0,AJ365&lt;&gt;"PF"),LifeBY*W365,0)</f>
        <v>0</v>
      </c>
      <c r="BT365" s="462">
        <f>IF(AND(AT365&lt;&gt;0,AM365="Y"),UIBY*W365,0)</f>
        <v>0</v>
      </c>
      <c r="BU365" s="462">
        <f>IF(AND(AT365&lt;&gt;0,N365&lt;&gt;"NR"),DHRBY*W365,0)</f>
        <v>0</v>
      </c>
      <c r="BV365" s="462">
        <f>IF(AT365&lt;&gt;0,WCBY*W365,0)</f>
        <v>0</v>
      </c>
      <c r="BW365" s="462">
        <f>IF(OR(AND(AT365&lt;&gt;0,AJ365&lt;&gt;"PF",AN365&lt;&gt;"NE",AG365&lt;&gt;"A"),AND(AL365="E",OR(AT365=1,AT365=3))),SickBY*W365,0)</f>
        <v>0</v>
      </c>
      <c r="BX365" s="462">
        <f t="shared" si="92"/>
        <v>0</v>
      </c>
      <c r="BY365" s="462">
        <f t="shared" si="93"/>
        <v>0</v>
      </c>
      <c r="BZ365" s="462">
        <f t="shared" si="94"/>
        <v>0</v>
      </c>
      <c r="CA365" s="462">
        <f t="shared" si="95"/>
        <v>0</v>
      </c>
      <c r="CB365" s="462">
        <f t="shared" si="96"/>
        <v>0</v>
      </c>
      <c r="CC365" s="462">
        <f>IF(AT365&lt;&gt;0,SSHICHG*Y365,0)</f>
        <v>0</v>
      </c>
      <c r="CD365" s="462">
        <f>IF(AND(AT365&lt;&gt;0,AN365&lt;&gt;"NE"),VLOOKUP(AN365,Retirement_Rates,5,FALSE)*Y365,0)</f>
        <v>0</v>
      </c>
      <c r="CE365" s="462">
        <f>IF(AND(AT365&lt;&gt;0,AJ365&lt;&gt;"PF"),LifeCHG*Y365,0)</f>
        <v>0</v>
      </c>
      <c r="CF365" s="462">
        <f>IF(AND(AT365&lt;&gt;0,AM365="Y"),UICHG*Y365,0)</f>
        <v>0</v>
      </c>
      <c r="CG365" s="462">
        <f>IF(AND(AT365&lt;&gt;0,N365&lt;&gt;"NR"),DHRCHG*Y365,0)</f>
        <v>0</v>
      </c>
      <c r="CH365" s="462">
        <f>IF(AT365&lt;&gt;0,WCCHG*Y365,0)</f>
        <v>0</v>
      </c>
      <c r="CI365" s="462">
        <f>IF(OR(AND(AT365&lt;&gt;0,AJ365&lt;&gt;"PF",AN365&lt;&gt;"NE",AG365&lt;&gt;"A"),AND(AL365="E",OR(AT365=1,AT365=3))),SickCHG*Y365,0)</f>
        <v>0</v>
      </c>
      <c r="CJ365" s="462">
        <f t="shared" si="97"/>
        <v>0</v>
      </c>
      <c r="CK365" s="462" t="str">
        <f t="shared" si="98"/>
        <v/>
      </c>
      <c r="CL365" s="462" t="str">
        <f t="shared" si="99"/>
        <v/>
      </c>
      <c r="CM365" s="462" t="str">
        <f t="shared" si="100"/>
        <v/>
      </c>
      <c r="CN365" s="462" t="str">
        <f t="shared" si="101"/>
        <v>0330-08</v>
      </c>
    </row>
    <row r="366" spans="1:92" ht="15" thickBot="1" x14ac:dyDescent="0.35">
      <c r="A366" s="376" t="s">
        <v>161</v>
      </c>
      <c r="B366" s="376" t="s">
        <v>162</v>
      </c>
      <c r="C366" s="376" t="s">
        <v>963</v>
      </c>
      <c r="D366" s="376" t="s">
        <v>272</v>
      </c>
      <c r="E366" s="376" t="s">
        <v>931</v>
      </c>
      <c r="F366" s="382" t="s">
        <v>964</v>
      </c>
      <c r="G366" s="376" t="s">
        <v>762</v>
      </c>
      <c r="H366" s="378"/>
      <c r="I366" s="378"/>
      <c r="J366" s="376" t="s">
        <v>168</v>
      </c>
      <c r="K366" s="376" t="s">
        <v>273</v>
      </c>
      <c r="L366" s="376" t="s">
        <v>274</v>
      </c>
      <c r="M366" s="376" t="s">
        <v>201</v>
      </c>
      <c r="N366" s="376" t="s">
        <v>291</v>
      </c>
      <c r="O366" s="379">
        <v>0</v>
      </c>
      <c r="P366" s="460">
        <v>1</v>
      </c>
      <c r="Q366" s="460">
        <v>0</v>
      </c>
      <c r="R366" s="380">
        <v>0</v>
      </c>
      <c r="S366" s="460">
        <v>0</v>
      </c>
      <c r="T366" s="380">
        <v>0</v>
      </c>
      <c r="U366" s="380">
        <v>0</v>
      </c>
      <c r="V366" s="380">
        <v>0</v>
      </c>
      <c r="W366" s="380">
        <v>0</v>
      </c>
      <c r="X366" s="380">
        <v>0</v>
      </c>
      <c r="Y366" s="380">
        <v>0</v>
      </c>
      <c r="Z366" s="380">
        <v>0</v>
      </c>
      <c r="AA366" s="378"/>
      <c r="AB366" s="376" t="s">
        <v>45</v>
      </c>
      <c r="AC366" s="376" t="s">
        <v>45</v>
      </c>
      <c r="AD366" s="378"/>
      <c r="AE366" s="378"/>
      <c r="AF366" s="378"/>
      <c r="AG366" s="378"/>
      <c r="AH366" s="379">
        <v>0</v>
      </c>
      <c r="AI366" s="379">
        <v>0</v>
      </c>
      <c r="AJ366" s="378"/>
      <c r="AK366" s="378"/>
      <c r="AL366" s="376" t="s">
        <v>180</v>
      </c>
      <c r="AM366" s="378"/>
      <c r="AN366" s="378"/>
      <c r="AO366" s="379">
        <v>0</v>
      </c>
      <c r="AP366" s="460">
        <v>0</v>
      </c>
      <c r="AQ366" s="460">
        <v>0</v>
      </c>
      <c r="AR366" s="459"/>
      <c r="AS366" s="462">
        <f t="shared" si="85"/>
        <v>0</v>
      </c>
      <c r="AT366">
        <f t="shared" si="86"/>
        <v>0</v>
      </c>
      <c r="AU366" s="462" t="str">
        <f>IF(AT366=0,"",IF(AND(AT366=1,M366="F",SUMIF(C2:C698,C366,AS2:AS698)&lt;=1),SUMIF(C2:C698,C366,AS2:AS698),IF(AND(AT366=1,M366="F",SUMIF(C2:C698,C366,AS2:AS698)&gt;1),1,"")))</f>
        <v/>
      </c>
      <c r="AV366" s="462" t="str">
        <f>IF(AT366=0,"",IF(AND(AT366=3,M366="F",SUMIF(C2:C698,C366,AS2:AS698)&lt;=1),SUMIF(C2:C698,C366,AS2:AS698),IF(AND(AT366=3,M366="F",SUMIF(C2:C698,C366,AS2:AS698)&gt;1),1,"")))</f>
        <v/>
      </c>
      <c r="AW366" s="462">
        <f>SUMIF(C2:C698,C366,O2:O698)</f>
        <v>0</v>
      </c>
      <c r="AX366" s="462">
        <f>IF(AND(M366="F",AS366&lt;&gt;0),SUMIF(C2:C698,C366,W2:W698),0)</f>
        <v>0</v>
      </c>
      <c r="AY366" s="462" t="str">
        <f t="shared" si="87"/>
        <v/>
      </c>
      <c r="AZ366" s="462" t="str">
        <f t="shared" si="88"/>
        <v/>
      </c>
      <c r="BA366" s="462">
        <f t="shared" si="89"/>
        <v>0</v>
      </c>
      <c r="BB366" s="462">
        <f>IF(AND(AT366=1,AK366="E",AU366&gt;=0.75,AW366=1),Health,IF(AND(AT366=1,AK366="E",AU366&gt;=0.75),Health*P366,IF(AND(AT366=1,AK366="E",AU366&gt;=0.5,AW366=1),PTHealth,IF(AND(AT366=1,AK366="E",AU366&gt;=0.5),PTHealth*P366,0))))</f>
        <v>0</v>
      </c>
      <c r="BC366" s="462">
        <f>IF(AND(AT366=3,AK366="E",AV366&gt;=0.75,AW366=1),Health,IF(AND(AT366=3,AK366="E",AV366&gt;=0.75),Health*P366,IF(AND(AT366=3,AK366="E",AV366&gt;=0.5,AW366=1),PTHealth,IF(AND(AT366=3,AK366="E",AV366&gt;=0.5),PTHealth*P366,0))))</f>
        <v>0</v>
      </c>
      <c r="BD366" s="462">
        <f>IF(AND(AT366&lt;&gt;0,AX366&gt;=MAXSSDI),SSDI*MAXSSDI*P366,IF(AT366&lt;&gt;0,SSDI*W366,0))</f>
        <v>0</v>
      </c>
      <c r="BE366" s="462">
        <f>IF(AT366&lt;&gt;0,SSHI*W366,0)</f>
        <v>0</v>
      </c>
      <c r="BF366" s="462">
        <f>IF(AND(AT366&lt;&gt;0,AN366&lt;&gt;"NE"),VLOOKUP(AN366,Retirement_Rates,3,FALSE)*W366,0)</f>
        <v>0</v>
      </c>
      <c r="BG366" s="462">
        <f>IF(AND(AT366&lt;&gt;0,AJ366&lt;&gt;"PF"),Life*W366,0)</f>
        <v>0</v>
      </c>
      <c r="BH366" s="462">
        <f>IF(AND(AT366&lt;&gt;0,AM366="Y"),UI*W366,0)</f>
        <v>0</v>
      </c>
      <c r="BI366" s="462">
        <f>IF(AND(AT366&lt;&gt;0,N366&lt;&gt;"NR"),DHR*W366,0)</f>
        <v>0</v>
      </c>
      <c r="BJ366" s="462">
        <f>IF(AT366&lt;&gt;0,WC*W366,0)</f>
        <v>0</v>
      </c>
      <c r="BK366" s="462">
        <f>IF(OR(AND(AT366&lt;&gt;0,AJ366&lt;&gt;"PF",AN366&lt;&gt;"NE",AG366&lt;&gt;"A"),AND(AL366="E",OR(AT366=1,AT366=3))),Sick*W366,0)</f>
        <v>0</v>
      </c>
      <c r="BL366" s="462">
        <f t="shared" si="90"/>
        <v>0</v>
      </c>
      <c r="BM366" s="462">
        <f t="shared" si="91"/>
        <v>0</v>
      </c>
      <c r="BN366" s="462">
        <f>IF(AND(AT366=1,AK366="E",AU366&gt;=0.75,AW366=1),HealthBY,IF(AND(AT366=1,AK366="E",AU366&gt;=0.75),HealthBY*P366,IF(AND(AT366=1,AK366="E",AU366&gt;=0.5,AW366=1),PTHealthBY,IF(AND(AT366=1,AK366="E",AU366&gt;=0.5),PTHealthBY*P366,0))))</f>
        <v>0</v>
      </c>
      <c r="BO366" s="462">
        <f>IF(AND(AT366=3,AK366="E",AV366&gt;=0.75,AW366=1),HealthBY,IF(AND(AT366=3,AK366="E",AV366&gt;=0.75),HealthBY*P366,IF(AND(AT366=3,AK366="E",AV366&gt;=0.5,AW366=1),PTHealthBY,IF(AND(AT366=3,AK366="E",AV366&gt;=0.5),PTHealthBY*P366,0))))</f>
        <v>0</v>
      </c>
      <c r="BP366" s="462">
        <f>IF(AND(AT366&lt;&gt;0,(AX366+BA366)&gt;=MAXSSDIBY),SSDIBY*MAXSSDIBY*P366,IF(AT366&lt;&gt;0,SSDIBY*W366,0))</f>
        <v>0</v>
      </c>
      <c r="BQ366" s="462">
        <f>IF(AT366&lt;&gt;0,SSHIBY*W366,0)</f>
        <v>0</v>
      </c>
      <c r="BR366" s="462">
        <f>IF(AND(AT366&lt;&gt;0,AN366&lt;&gt;"NE"),VLOOKUP(AN366,Retirement_Rates,4,FALSE)*W366,0)</f>
        <v>0</v>
      </c>
      <c r="BS366" s="462">
        <f>IF(AND(AT366&lt;&gt;0,AJ366&lt;&gt;"PF"),LifeBY*W366,0)</f>
        <v>0</v>
      </c>
      <c r="BT366" s="462">
        <f>IF(AND(AT366&lt;&gt;0,AM366="Y"),UIBY*W366,0)</f>
        <v>0</v>
      </c>
      <c r="BU366" s="462">
        <f>IF(AND(AT366&lt;&gt;0,N366&lt;&gt;"NR"),DHRBY*W366,0)</f>
        <v>0</v>
      </c>
      <c r="BV366" s="462">
        <f>IF(AT366&lt;&gt;0,WCBY*W366,0)</f>
        <v>0</v>
      </c>
      <c r="BW366" s="462">
        <f>IF(OR(AND(AT366&lt;&gt;0,AJ366&lt;&gt;"PF",AN366&lt;&gt;"NE",AG366&lt;&gt;"A"),AND(AL366="E",OR(AT366=1,AT366=3))),SickBY*W366,0)</f>
        <v>0</v>
      </c>
      <c r="BX366" s="462">
        <f t="shared" si="92"/>
        <v>0</v>
      </c>
      <c r="BY366" s="462">
        <f t="shared" si="93"/>
        <v>0</v>
      </c>
      <c r="BZ366" s="462">
        <f t="shared" si="94"/>
        <v>0</v>
      </c>
      <c r="CA366" s="462">
        <f t="shared" si="95"/>
        <v>0</v>
      </c>
      <c r="CB366" s="462">
        <f t="shared" si="96"/>
        <v>0</v>
      </c>
      <c r="CC366" s="462">
        <f>IF(AT366&lt;&gt;0,SSHICHG*Y366,0)</f>
        <v>0</v>
      </c>
      <c r="CD366" s="462">
        <f>IF(AND(AT366&lt;&gt;0,AN366&lt;&gt;"NE"),VLOOKUP(AN366,Retirement_Rates,5,FALSE)*Y366,0)</f>
        <v>0</v>
      </c>
      <c r="CE366" s="462">
        <f>IF(AND(AT366&lt;&gt;0,AJ366&lt;&gt;"PF"),LifeCHG*Y366,0)</f>
        <v>0</v>
      </c>
      <c r="CF366" s="462">
        <f>IF(AND(AT366&lt;&gt;0,AM366="Y"),UICHG*Y366,0)</f>
        <v>0</v>
      </c>
      <c r="CG366" s="462">
        <f>IF(AND(AT366&lt;&gt;0,N366&lt;&gt;"NR"),DHRCHG*Y366,0)</f>
        <v>0</v>
      </c>
      <c r="CH366" s="462">
        <f>IF(AT366&lt;&gt;0,WCCHG*Y366,0)</f>
        <v>0</v>
      </c>
      <c r="CI366" s="462">
        <f>IF(OR(AND(AT366&lt;&gt;0,AJ366&lt;&gt;"PF",AN366&lt;&gt;"NE",AG366&lt;&gt;"A"),AND(AL366="E",OR(AT366=1,AT366=3))),SickCHG*Y366,0)</f>
        <v>0</v>
      </c>
      <c r="CJ366" s="462">
        <f t="shared" si="97"/>
        <v>0</v>
      </c>
      <c r="CK366" s="462" t="str">
        <f t="shared" si="98"/>
        <v/>
      </c>
      <c r="CL366" s="462">
        <f t="shared" si="99"/>
        <v>0</v>
      </c>
      <c r="CM366" s="462">
        <f t="shared" si="100"/>
        <v>0</v>
      </c>
      <c r="CN366" s="462" t="str">
        <f t="shared" si="101"/>
        <v>0330-13</v>
      </c>
    </row>
    <row r="367" spans="1:92" ht="15" thickBot="1" x14ac:dyDescent="0.35">
      <c r="A367" s="376" t="s">
        <v>161</v>
      </c>
      <c r="B367" s="376" t="s">
        <v>162</v>
      </c>
      <c r="C367" s="376" t="s">
        <v>649</v>
      </c>
      <c r="D367" s="376" t="s">
        <v>650</v>
      </c>
      <c r="E367" s="376" t="s">
        <v>931</v>
      </c>
      <c r="F367" s="382" t="s">
        <v>964</v>
      </c>
      <c r="G367" s="376" t="s">
        <v>762</v>
      </c>
      <c r="H367" s="378"/>
      <c r="I367" s="378"/>
      <c r="J367" s="376" t="s">
        <v>168</v>
      </c>
      <c r="K367" s="376" t="s">
        <v>652</v>
      </c>
      <c r="L367" s="376" t="s">
        <v>166</v>
      </c>
      <c r="M367" s="376" t="s">
        <v>170</v>
      </c>
      <c r="N367" s="376" t="s">
        <v>291</v>
      </c>
      <c r="O367" s="379">
        <v>0</v>
      </c>
      <c r="P367" s="460">
        <v>0</v>
      </c>
      <c r="Q367" s="460">
        <v>0</v>
      </c>
      <c r="R367" s="380">
        <v>0</v>
      </c>
      <c r="S367" s="460">
        <v>0</v>
      </c>
      <c r="T367" s="380">
        <v>0</v>
      </c>
      <c r="U367" s="380">
        <v>0</v>
      </c>
      <c r="V367" s="380">
        <v>18.75</v>
      </c>
      <c r="W367" s="380">
        <v>0</v>
      </c>
      <c r="X367" s="380">
        <v>0</v>
      </c>
      <c r="Y367" s="380">
        <v>0</v>
      </c>
      <c r="Z367" s="380">
        <v>0</v>
      </c>
      <c r="AA367" s="378"/>
      <c r="AB367" s="376" t="s">
        <v>45</v>
      </c>
      <c r="AC367" s="376" t="s">
        <v>45</v>
      </c>
      <c r="AD367" s="378"/>
      <c r="AE367" s="378"/>
      <c r="AF367" s="378"/>
      <c r="AG367" s="378"/>
      <c r="AH367" s="379">
        <v>0</v>
      </c>
      <c r="AI367" s="379">
        <v>0</v>
      </c>
      <c r="AJ367" s="378"/>
      <c r="AK367" s="378"/>
      <c r="AL367" s="376" t="s">
        <v>180</v>
      </c>
      <c r="AM367" s="378"/>
      <c r="AN367" s="378"/>
      <c r="AO367" s="379">
        <v>0</v>
      </c>
      <c r="AP367" s="460">
        <v>0</v>
      </c>
      <c r="AQ367" s="460">
        <v>0</v>
      </c>
      <c r="AR367" s="459"/>
      <c r="AS367" s="462">
        <f t="shared" si="85"/>
        <v>0</v>
      </c>
      <c r="AT367">
        <f t="shared" si="86"/>
        <v>0</v>
      </c>
      <c r="AU367" s="462" t="str">
        <f>IF(AT367=0,"",IF(AND(AT367=1,M367="F",SUMIF(C2:C698,C367,AS2:AS698)&lt;=1),SUMIF(C2:C698,C367,AS2:AS698),IF(AND(AT367=1,M367="F",SUMIF(C2:C698,C367,AS2:AS698)&gt;1),1,"")))</f>
        <v/>
      </c>
      <c r="AV367" s="462" t="str">
        <f>IF(AT367=0,"",IF(AND(AT367=3,M367="F",SUMIF(C2:C698,C367,AS2:AS698)&lt;=1),SUMIF(C2:C698,C367,AS2:AS698),IF(AND(AT367=3,M367="F",SUMIF(C2:C698,C367,AS2:AS698)&gt;1),1,"")))</f>
        <v/>
      </c>
      <c r="AW367" s="462">
        <f>SUMIF(C2:C698,C367,O2:O698)</f>
        <v>0</v>
      </c>
      <c r="AX367" s="462">
        <f>IF(AND(M367="F",AS367&lt;&gt;0),SUMIF(C2:C698,C367,W2:W698),0)</f>
        <v>0</v>
      </c>
      <c r="AY367" s="462" t="str">
        <f t="shared" si="87"/>
        <v/>
      </c>
      <c r="AZ367" s="462" t="str">
        <f t="shared" si="88"/>
        <v/>
      </c>
      <c r="BA367" s="462">
        <f t="shared" si="89"/>
        <v>0</v>
      </c>
      <c r="BB367" s="462">
        <f>IF(AND(AT367=1,AK367="E",AU367&gt;=0.75,AW367=1),Health,IF(AND(AT367=1,AK367="E",AU367&gt;=0.75),Health*P367,IF(AND(AT367=1,AK367="E",AU367&gt;=0.5,AW367=1),PTHealth,IF(AND(AT367=1,AK367="E",AU367&gt;=0.5),PTHealth*P367,0))))</f>
        <v>0</v>
      </c>
      <c r="BC367" s="462">
        <f>IF(AND(AT367=3,AK367="E",AV367&gt;=0.75,AW367=1),Health,IF(AND(AT367=3,AK367="E",AV367&gt;=0.75),Health*P367,IF(AND(AT367=3,AK367="E",AV367&gt;=0.5,AW367=1),PTHealth,IF(AND(AT367=3,AK367="E",AV367&gt;=0.5),PTHealth*P367,0))))</f>
        <v>0</v>
      </c>
      <c r="BD367" s="462">
        <f>IF(AND(AT367&lt;&gt;0,AX367&gt;=MAXSSDI),SSDI*MAXSSDI*P367,IF(AT367&lt;&gt;0,SSDI*W367,0))</f>
        <v>0</v>
      </c>
      <c r="BE367" s="462">
        <f>IF(AT367&lt;&gt;0,SSHI*W367,0)</f>
        <v>0</v>
      </c>
      <c r="BF367" s="462">
        <f>IF(AND(AT367&lt;&gt;0,AN367&lt;&gt;"NE"),VLOOKUP(AN367,Retirement_Rates,3,FALSE)*W367,0)</f>
        <v>0</v>
      </c>
      <c r="BG367" s="462">
        <f>IF(AND(AT367&lt;&gt;0,AJ367&lt;&gt;"PF"),Life*W367,0)</f>
        <v>0</v>
      </c>
      <c r="BH367" s="462">
        <f>IF(AND(AT367&lt;&gt;0,AM367="Y"),UI*W367,0)</f>
        <v>0</v>
      </c>
      <c r="BI367" s="462">
        <f>IF(AND(AT367&lt;&gt;0,N367&lt;&gt;"NR"),DHR*W367,0)</f>
        <v>0</v>
      </c>
      <c r="BJ367" s="462">
        <f>IF(AT367&lt;&gt;0,WC*W367,0)</f>
        <v>0</v>
      </c>
      <c r="BK367" s="462">
        <f>IF(OR(AND(AT367&lt;&gt;0,AJ367&lt;&gt;"PF",AN367&lt;&gt;"NE",AG367&lt;&gt;"A"),AND(AL367="E",OR(AT367=1,AT367=3))),Sick*W367,0)</f>
        <v>0</v>
      </c>
      <c r="BL367" s="462">
        <f t="shared" si="90"/>
        <v>0</v>
      </c>
      <c r="BM367" s="462">
        <f t="shared" si="91"/>
        <v>0</v>
      </c>
      <c r="BN367" s="462">
        <f>IF(AND(AT367=1,AK367="E",AU367&gt;=0.75,AW367=1),HealthBY,IF(AND(AT367=1,AK367="E",AU367&gt;=0.75),HealthBY*P367,IF(AND(AT367=1,AK367="E",AU367&gt;=0.5,AW367=1),PTHealthBY,IF(AND(AT367=1,AK367="E",AU367&gt;=0.5),PTHealthBY*P367,0))))</f>
        <v>0</v>
      </c>
      <c r="BO367" s="462">
        <f>IF(AND(AT367=3,AK367="E",AV367&gt;=0.75,AW367=1),HealthBY,IF(AND(AT367=3,AK367="E",AV367&gt;=0.75),HealthBY*P367,IF(AND(AT367=3,AK367="E",AV367&gt;=0.5,AW367=1),PTHealthBY,IF(AND(AT367=3,AK367="E",AV367&gt;=0.5),PTHealthBY*P367,0))))</f>
        <v>0</v>
      </c>
      <c r="BP367" s="462">
        <f>IF(AND(AT367&lt;&gt;0,(AX367+BA367)&gt;=MAXSSDIBY),SSDIBY*MAXSSDIBY*P367,IF(AT367&lt;&gt;0,SSDIBY*W367,0))</f>
        <v>0</v>
      </c>
      <c r="BQ367" s="462">
        <f>IF(AT367&lt;&gt;0,SSHIBY*W367,0)</f>
        <v>0</v>
      </c>
      <c r="BR367" s="462">
        <f>IF(AND(AT367&lt;&gt;0,AN367&lt;&gt;"NE"),VLOOKUP(AN367,Retirement_Rates,4,FALSE)*W367,0)</f>
        <v>0</v>
      </c>
      <c r="BS367" s="462">
        <f>IF(AND(AT367&lt;&gt;0,AJ367&lt;&gt;"PF"),LifeBY*W367,0)</f>
        <v>0</v>
      </c>
      <c r="BT367" s="462">
        <f>IF(AND(AT367&lt;&gt;0,AM367="Y"),UIBY*W367,0)</f>
        <v>0</v>
      </c>
      <c r="BU367" s="462">
        <f>IF(AND(AT367&lt;&gt;0,N367&lt;&gt;"NR"),DHRBY*W367,0)</f>
        <v>0</v>
      </c>
      <c r="BV367" s="462">
        <f>IF(AT367&lt;&gt;0,WCBY*W367,0)</f>
        <v>0</v>
      </c>
      <c r="BW367" s="462">
        <f>IF(OR(AND(AT367&lt;&gt;0,AJ367&lt;&gt;"PF",AN367&lt;&gt;"NE",AG367&lt;&gt;"A"),AND(AL367="E",OR(AT367=1,AT367=3))),SickBY*W367,0)</f>
        <v>0</v>
      </c>
      <c r="BX367" s="462">
        <f t="shared" si="92"/>
        <v>0</v>
      </c>
      <c r="BY367" s="462">
        <f t="shared" si="93"/>
        <v>0</v>
      </c>
      <c r="BZ367" s="462">
        <f t="shared" si="94"/>
        <v>0</v>
      </c>
      <c r="CA367" s="462">
        <f t="shared" si="95"/>
        <v>0</v>
      </c>
      <c r="CB367" s="462">
        <f t="shared" si="96"/>
        <v>0</v>
      </c>
      <c r="CC367" s="462">
        <f>IF(AT367&lt;&gt;0,SSHICHG*Y367,0)</f>
        <v>0</v>
      </c>
      <c r="CD367" s="462">
        <f>IF(AND(AT367&lt;&gt;0,AN367&lt;&gt;"NE"),VLOOKUP(AN367,Retirement_Rates,5,FALSE)*Y367,0)</f>
        <v>0</v>
      </c>
      <c r="CE367" s="462">
        <f>IF(AND(AT367&lt;&gt;0,AJ367&lt;&gt;"PF"),LifeCHG*Y367,0)</f>
        <v>0</v>
      </c>
      <c r="CF367" s="462">
        <f>IF(AND(AT367&lt;&gt;0,AM367="Y"),UICHG*Y367,0)</f>
        <v>0</v>
      </c>
      <c r="CG367" s="462">
        <f>IF(AND(AT367&lt;&gt;0,N367&lt;&gt;"NR"),DHRCHG*Y367,0)</f>
        <v>0</v>
      </c>
      <c r="CH367" s="462">
        <f>IF(AT367&lt;&gt;0,WCCHG*Y367,0)</f>
        <v>0</v>
      </c>
      <c r="CI367" s="462">
        <f>IF(OR(AND(AT367&lt;&gt;0,AJ367&lt;&gt;"PF",AN367&lt;&gt;"NE",AG367&lt;&gt;"A"),AND(AL367="E",OR(AT367=1,AT367=3))),SickCHG*Y367,0)</f>
        <v>0</v>
      </c>
      <c r="CJ367" s="462">
        <f t="shared" si="97"/>
        <v>0</v>
      </c>
      <c r="CK367" s="462" t="str">
        <f t="shared" si="98"/>
        <v/>
      </c>
      <c r="CL367" s="462">
        <f t="shared" si="99"/>
        <v>0</v>
      </c>
      <c r="CM367" s="462">
        <f t="shared" si="100"/>
        <v>18.75</v>
      </c>
      <c r="CN367" s="462" t="str">
        <f t="shared" si="101"/>
        <v>0330-13</v>
      </c>
    </row>
    <row r="368" spans="1:92" ht="15" thickBot="1" x14ac:dyDescent="0.35">
      <c r="A368" s="376" t="s">
        <v>161</v>
      </c>
      <c r="B368" s="376" t="s">
        <v>162</v>
      </c>
      <c r="C368" s="376" t="s">
        <v>965</v>
      </c>
      <c r="D368" s="376" t="s">
        <v>287</v>
      </c>
      <c r="E368" s="376" t="s">
        <v>931</v>
      </c>
      <c r="F368" s="382" t="s">
        <v>964</v>
      </c>
      <c r="G368" s="376" t="s">
        <v>762</v>
      </c>
      <c r="H368" s="378"/>
      <c r="I368" s="378"/>
      <c r="J368" s="376" t="s">
        <v>168</v>
      </c>
      <c r="K368" s="376" t="s">
        <v>290</v>
      </c>
      <c r="L368" s="376" t="s">
        <v>166</v>
      </c>
      <c r="M368" s="376" t="s">
        <v>201</v>
      </c>
      <c r="N368" s="376" t="s">
        <v>291</v>
      </c>
      <c r="O368" s="379">
        <v>0</v>
      </c>
      <c r="P368" s="460">
        <v>1</v>
      </c>
      <c r="Q368" s="460">
        <v>0</v>
      </c>
      <c r="R368" s="380">
        <v>0</v>
      </c>
      <c r="S368" s="460">
        <v>0</v>
      </c>
      <c r="T368" s="380">
        <v>0</v>
      </c>
      <c r="U368" s="380">
        <v>0</v>
      </c>
      <c r="V368" s="380">
        <v>0</v>
      </c>
      <c r="W368" s="380">
        <v>0</v>
      </c>
      <c r="X368" s="380">
        <v>0</v>
      </c>
      <c r="Y368" s="380">
        <v>0</v>
      </c>
      <c r="Z368" s="380">
        <v>0</v>
      </c>
      <c r="AA368" s="378"/>
      <c r="AB368" s="376" t="s">
        <v>45</v>
      </c>
      <c r="AC368" s="376" t="s">
        <v>45</v>
      </c>
      <c r="AD368" s="378"/>
      <c r="AE368" s="378"/>
      <c r="AF368" s="378"/>
      <c r="AG368" s="378"/>
      <c r="AH368" s="379">
        <v>0</v>
      </c>
      <c r="AI368" s="379">
        <v>0</v>
      </c>
      <c r="AJ368" s="378"/>
      <c r="AK368" s="378"/>
      <c r="AL368" s="376" t="s">
        <v>180</v>
      </c>
      <c r="AM368" s="378"/>
      <c r="AN368" s="378"/>
      <c r="AO368" s="379">
        <v>0</v>
      </c>
      <c r="AP368" s="460">
        <v>0</v>
      </c>
      <c r="AQ368" s="460">
        <v>0</v>
      </c>
      <c r="AR368" s="459"/>
      <c r="AS368" s="462">
        <f t="shared" si="85"/>
        <v>0</v>
      </c>
      <c r="AT368">
        <f t="shared" si="86"/>
        <v>0</v>
      </c>
      <c r="AU368" s="462" t="str">
        <f>IF(AT368=0,"",IF(AND(AT368=1,M368="F",SUMIF(C2:C698,C368,AS2:AS698)&lt;=1),SUMIF(C2:C698,C368,AS2:AS698),IF(AND(AT368=1,M368="F",SUMIF(C2:C698,C368,AS2:AS698)&gt;1),1,"")))</f>
        <v/>
      </c>
      <c r="AV368" s="462" t="str">
        <f>IF(AT368=0,"",IF(AND(AT368=3,M368="F",SUMIF(C2:C698,C368,AS2:AS698)&lt;=1),SUMIF(C2:C698,C368,AS2:AS698),IF(AND(AT368=3,M368="F",SUMIF(C2:C698,C368,AS2:AS698)&gt;1),1,"")))</f>
        <v/>
      </c>
      <c r="AW368" s="462">
        <f>SUMIF(C2:C698,C368,O2:O698)</f>
        <v>0</v>
      </c>
      <c r="AX368" s="462">
        <f>IF(AND(M368="F",AS368&lt;&gt;0),SUMIF(C2:C698,C368,W2:W698),0)</f>
        <v>0</v>
      </c>
      <c r="AY368" s="462" t="str">
        <f t="shared" si="87"/>
        <v/>
      </c>
      <c r="AZ368" s="462" t="str">
        <f t="shared" si="88"/>
        <v/>
      </c>
      <c r="BA368" s="462">
        <f t="shared" si="89"/>
        <v>0</v>
      </c>
      <c r="BB368" s="462">
        <f>IF(AND(AT368=1,AK368="E",AU368&gt;=0.75,AW368=1),Health,IF(AND(AT368=1,AK368="E",AU368&gt;=0.75),Health*P368,IF(AND(AT368=1,AK368="E",AU368&gt;=0.5,AW368=1),PTHealth,IF(AND(AT368=1,AK368="E",AU368&gt;=0.5),PTHealth*P368,0))))</f>
        <v>0</v>
      </c>
      <c r="BC368" s="462">
        <f>IF(AND(AT368=3,AK368="E",AV368&gt;=0.75,AW368=1),Health,IF(AND(AT368=3,AK368="E",AV368&gt;=0.75),Health*P368,IF(AND(AT368=3,AK368="E",AV368&gt;=0.5,AW368=1),PTHealth,IF(AND(AT368=3,AK368="E",AV368&gt;=0.5),PTHealth*P368,0))))</f>
        <v>0</v>
      </c>
      <c r="BD368" s="462">
        <f>IF(AND(AT368&lt;&gt;0,AX368&gt;=MAXSSDI),SSDI*MAXSSDI*P368,IF(AT368&lt;&gt;0,SSDI*W368,0))</f>
        <v>0</v>
      </c>
      <c r="BE368" s="462">
        <f>IF(AT368&lt;&gt;0,SSHI*W368,0)</f>
        <v>0</v>
      </c>
      <c r="BF368" s="462">
        <f>IF(AND(AT368&lt;&gt;0,AN368&lt;&gt;"NE"),VLOOKUP(AN368,Retirement_Rates,3,FALSE)*W368,0)</f>
        <v>0</v>
      </c>
      <c r="BG368" s="462">
        <f>IF(AND(AT368&lt;&gt;0,AJ368&lt;&gt;"PF"),Life*W368,0)</f>
        <v>0</v>
      </c>
      <c r="BH368" s="462">
        <f>IF(AND(AT368&lt;&gt;0,AM368="Y"),UI*W368,0)</f>
        <v>0</v>
      </c>
      <c r="BI368" s="462">
        <f>IF(AND(AT368&lt;&gt;0,N368&lt;&gt;"NR"),DHR*W368,0)</f>
        <v>0</v>
      </c>
      <c r="BJ368" s="462">
        <f>IF(AT368&lt;&gt;0,WC*W368,0)</f>
        <v>0</v>
      </c>
      <c r="BK368" s="462">
        <f>IF(OR(AND(AT368&lt;&gt;0,AJ368&lt;&gt;"PF",AN368&lt;&gt;"NE",AG368&lt;&gt;"A"),AND(AL368="E",OR(AT368=1,AT368=3))),Sick*W368,0)</f>
        <v>0</v>
      </c>
      <c r="BL368" s="462">
        <f t="shared" si="90"/>
        <v>0</v>
      </c>
      <c r="BM368" s="462">
        <f t="shared" si="91"/>
        <v>0</v>
      </c>
      <c r="BN368" s="462">
        <f>IF(AND(AT368=1,AK368="E",AU368&gt;=0.75,AW368=1),HealthBY,IF(AND(AT368=1,AK368="E",AU368&gt;=0.75),HealthBY*P368,IF(AND(AT368=1,AK368="E",AU368&gt;=0.5,AW368=1),PTHealthBY,IF(AND(AT368=1,AK368="E",AU368&gt;=0.5),PTHealthBY*P368,0))))</f>
        <v>0</v>
      </c>
      <c r="BO368" s="462">
        <f>IF(AND(AT368=3,AK368="E",AV368&gt;=0.75,AW368=1),HealthBY,IF(AND(AT368=3,AK368="E",AV368&gt;=0.75),HealthBY*P368,IF(AND(AT368=3,AK368="E",AV368&gt;=0.5,AW368=1),PTHealthBY,IF(AND(AT368=3,AK368="E",AV368&gt;=0.5),PTHealthBY*P368,0))))</f>
        <v>0</v>
      </c>
      <c r="BP368" s="462">
        <f>IF(AND(AT368&lt;&gt;0,(AX368+BA368)&gt;=MAXSSDIBY),SSDIBY*MAXSSDIBY*P368,IF(AT368&lt;&gt;0,SSDIBY*W368,0))</f>
        <v>0</v>
      </c>
      <c r="BQ368" s="462">
        <f>IF(AT368&lt;&gt;0,SSHIBY*W368,0)</f>
        <v>0</v>
      </c>
      <c r="BR368" s="462">
        <f>IF(AND(AT368&lt;&gt;0,AN368&lt;&gt;"NE"),VLOOKUP(AN368,Retirement_Rates,4,FALSE)*W368,0)</f>
        <v>0</v>
      </c>
      <c r="BS368" s="462">
        <f>IF(AND(AT368&lt;&gt;0,AJ368&lt;&gt;"PF"),LifeBY*W368,0)</f>
        <v>0</v>
      </c>
      <c r="BT368" s="462">
        <f>IF(AND(AT368&lt;&gt;0,AM368="Y"),UIBY*W368,0)</f>
        <v>0</v>
      </c>
      <c r="BU368" s="462">
        <f>IF(AND(AT368&lt;&gt;0,N368&lt;&gt;"NR"),DHRBY*W368,0)</f>
        <v>0</v>
      </c>
      <c r="BV368" s="462">
        <f>IF(AT368&lt;&gt;0,WCBY*W368,0)</f>
        <v>0</v>
      </c>
      <c r="BW368" s="462">
        <f>IF(OR(AND(AT368&lt;&gt;0,AJ368&lt;&gt;"PF",AN368&lt;&gt;"NE",AG368&lt;&gt;"A"),AND(AL368="E",OR(AT368=1,AT368=3))),SickBY*W368,0)</f>
        <v>0</v>
      </c>
      <c r="BX368" s="462">
        <f t="shared" si="92"/>
        <v>0</v>
      </c>
      <c r="BY368" s="462">
        <f t="shared" si="93"/>
        <v>0</v>
      </c>
      <c r="BZ368" s="462">
        <f t="shared" si="94"/>
        <v>0</v>
      </c>
      <c r="CA368" s="462">
        <f t="shared" si="95"/>
        <v>0</v>
      </c>
      <c r="CB368" s="462">
        <f t="shared" si="96"/>
        <v>0</v>
      </c>
      <c r="CC368" s="462">
        <f>IF(AT368&lt;&gt;0,SSHICHG*Y368,0)</f>
        <v>0</v>
      </c>
      <c r="CD368" s="462">
        <f>IF(AND(AT368&lt;&gt;0,AN368&lt;&gt;"NE"),VLOOKUP(AN368,Retirement_Rates,5,FALSE)*Y368,0)</f>
        <v>0</v>
      </c>
      <c r="CE368" s="462">
        <f>IF(AND(AT368&lt;&gt;0,AJ368&lt;&gt;"PF"),LifeCHG*Y368,0)</f>
        <v>0</v>
      </c>
      <c r="CF368" s="462">
        <f>IF(AND(AT368&lt;&gt;0,AM368="Y"),UICHG*Y368,0)</f>
        <v>0</v>
      </c>
      <c r="CG368" s="462">
        <f>IF(AND(AT368&lt;&gt;0,N368&lt;&gt;"NR"),DHRCHG*Y368,0)</f>
        <v>0</v>
      </c>
      <c r="CH368" s="462">
        <f>IF(AT368&lt;&gt;0,WCCHG*Y368,0)</f>
        <v>0</v>
      </c>
      <c r="CI368" s="462">
        <f>IF(OR(AND(AT368&lt;&gt;0,AJ368&lt;&gt;"PF",AN368&lt;&gt;"NE",AG368&lt;&gt;"A"),AND(AL368="E",OR(AT368=1,AT368=3))),SickCHG*Y368,0)</f>
        <v>0</v>
      </c>
      <c r="CJ368" s="462">
        <f t="shared" si="97"/>
        <v>0</v>
      </c>
      <c r="CK368" s="462" t="str">
        <f t="shared" si="98"/>
        <v/>
      </c>
      <c r="CL368" s="462">
        <f t="shared" si="99"/>
        <v>0</v>
      </c>
      <c r="CM368" s="462">
        <f t="shared" si="100"/>
        <v>0</v>
      </c>
      <c r="CN368" s="462" t="str">
        <f t="shared" si="101"/>
        <v>0330-13</v>
      </c>
    </row>
    <row r="369" spans="1:92" ht="15" thickBot="1" x14ac:dyDescent="0.35">
      <c r="A369" s="376" t="s">
        <v>161</v>
      </c>
      <c r="B369" s="376" t="s">
        <v>162</v>
      </c>
      <c r="C369" s="376" t="s">
        <v>860</v>
      </c>
      <c r="D369" s="376" t="s">
        <v>861</v>
      </c>
      <c r="E369" s="376" t="s">
        <v>931</v>
      </c>
      <c r="F369" s="382" t="s">
        <v>964</v>
      </c>
      <c r="G369" s="376" t="s">
        <v>762</v>
      </c>
      <c r="H369" s="378"/>
      <c r="I369" s="378"/>
      <c r="J369" s="376" t="s">
        <v>168</v>
      </c>
      <c r="K369" s="376" t="s">
        <v>862</v>
      </c>
      <c r="L369" s="376" t="s">
        <v>274</v>
      </c>
      <c r="M369" s="376" t="s">
        <v>201</v>
      </c>
      <c r="N369" s="376" t="s">
        <v>202</v>
      </c>
      <c r="O369" s="379">
        <v>0</v>
      </c>
      <c r="P369" s="460">
        <v>1</v>
      </c>
      <c r="Q369" s="460">
        <v>1</v>
      </c>
      <c r="R369" s="380">
        <v>80</v>
      </c>
      <c r="S369" s="460">
        <v>1</v>
      </c>
      <c r="T369" s="380">
        <v>0</v>
      </c>
      <c r="U369" s="380">
        <v>0</v>
      </c>
      <c r="V369" s="380">
        <v>17.45</v>
      </c>
      <c r="W369" s="380">
        <v>37502.400000000001</v>
      </c>
      <c r="X369" s="380">
        <v>16426.05</v>
      </c>
      <c r="Y369" s="380">
        <v>37502.400000000001</v>
      </c>
      <c r="Z369" s="380">
        <v>16238.53</v>
      </c>
      <c r="AA369" s="378"/>
      <c r="AB369" s="376" t="s">
        <v>45</v>
      </c>
      <c r="AC369" s="376" t="s">
        <v>45</v>
      </c>
      <c r="AD369" s="378"/>
      <c r="AE369" s="378"/>
      <c r="AF369" s="378"/>
      <c r="AG369" s="378"/>
      <c r="AH369" s="379">
        <v>0</v>
      </c>
      <c r="AI369" s="379">
        <v>0</v>
      </c>
      <c r="AJ369" s="378"/>
      <c r="AK369" s="378"/>
      <c r="AL369" s="376" t="s">
        <v>180</v>
      </c>
      <c r="AM369" s="378"/>
      <c r="AN369" s="378"/>
      <c r="AO369" s="379">
        <v>0</v>
      </c>
      <c r="AP369" s="460">
        <v>0</v>
      </c>
      <c r="AQ369" s="460">
        <v>0</v>
      </c>
      <c r="AR369" s="459"/>
      <c r="AS369" s="462">
        <f t="shared" si="85"/>
        <v>0</v>
      </c>
      <c r="AT369">
        <f t="shared" si="86"/>
        <v>0</v>
      </c>
      <c r="AU369" s="462" t="str">
        <f>IF(AT369=0,"",IF(AND(AT369=1,M369="F",SUMIF(C2:C698,C369,AS2:AS698)&lt;=1),SUMIF(C2:C698,C369,AS2:AS698),IF(AND(AT369=1,M369="F",SUMIF(C2:C698,C369,AS2:AS698)&gt;1),1,"")))</f>
        <v/>
      </c>
      <c r="AV369" s="462" t="str">
        <f>IF(AT369=0,"",IF(AND(AT369=3,M369="F",SUMIF(C2:C698,C369,AS2:AS698)&lt;=1),SUMIF(C2:C698,C369,AS2:AS698),IF(AND(AT369=3,M369="F",SUMIF(C2:C698,C369,AS2:AS698)&gt;1),1,"")))</f>
        <v/>
      </c>
      <c r="AW369" s="462">
        <f>SUMIF(C2:C698,C369,O2:O698)</f>
        <v>0</v>
      </c>
      <c r="AX369" s="462">
        <f>IF(AND(M369="F",AS369&lt;&gt;0),SUMIF(C2:C698,C369,W2:W698),0)</f>
        <v>0</v>
      </c>
      <c r="AY369" s="462" t="str">
        <f t="shared" si="87"/>
        <v/>
      </c>
      <c r="AZ369" s="462" t="str">
        <f t="shared" si="88"/>
        <v/>
      </c>
      <c r="BA369" s="462">
        <f t="shared" si="89"/>
        <v>0</v>
      </c>
      <c r="BB369" s="462">
        <f>IF(AND(AT369=1,AK369="E",AU369&gt;=0.75,AW369=1),Health,IF(AND(AT369=1,AK369="E",AU369&gt;=0.75),Health*P369,IF(AND(AT369=1,AK369="E",AU369&gt;=0.5,AW369=1),PTHealth,IF(AND(AT369=1,AK369="E",AU369&gt;=0.5),PTHealth*P369,0))))</f>
        <v>0</v>
      </c>
      <c r="BC369" s="462">
        <f>IF(AND(AT369=3,AK369="E",AV369&gt;=0.75,AW369=1),Health,IF(AND(AT369=3,AK369="E",AV369&gt;=0.75),Health*P369,IF(AND(AT369=3,AK369="E",AV369&gt;=0.5,AW369=1),PTHealth,IF(AND(AT369=3,AK369="E",AV369&gt;=0.5),PTHealth*P369,0))))</f>
        <v>0</v>
      </c>
      <c r="BD369" s="462">
        <f>IF(AND(AT369&lt;&gt;0,AX369&gt;=MAXSSDI),SSDI*MAXSSDI*P369,IF(AT369&lt;&gt;0,SSDI*W369,0))</f>
        <v>0</v>
      </c>
      <c r="BE369" s="462">
        <f>IF(AT369&lt;&gt;0,SSHI*W369,0)</f>
        <v>0</v>
      </c>
      <c r="BF369" s="462">
        <f>IF(AND(AT369&lt;&gt;0,AN369&lt;&gt;"NE"),VLOOKUP(AN369,Retirement_Rates,3,FALSE)*W369,0)</f>
        <v>0</v>
      </c>
      <c r="BG369" s="462">
        <f>IF(AND(AT369&lt;&gt;0,AJ369&lt;&gt;"PF"),Life*W369,0)</f>
        <v>0</v>
      </c>
      <c r="BH369" s="462">
        <f>IF(AND(AT369&lt;&gt;0,AM369="Y"),UI*W369,0)</f>
        <v>0</v>
      </c>
      <c r="BI369" s="462">
        <f>IF(AND(AT369&lt;&gt;0,N369&lt;&gt;"NR"),DHR*W369,0)</f>
        <v>0</v>
      </c>
      <c r="BJ369" s="462">
        <f>IF(AT369&lt;&gt;0,WC*W369,0)</f>
        <v>0</v>
      </c>
      <c r="BK369" s="462">
        <f>IF(OR(AND(AT369&lt;&gt;0,AJ369&lt;&gt;"PF",AN369&lt;&gt;"NE",AG369&lt;&gt;"A"),AND(AL369="E",OR(AT369=1,AT369=3))),Sick*W369,0)</f>
        <v>0</v>
      </c>
      <c r="BL369" s="462">
        <f t="shared" si="90"/>
        <v>0</v>
      </c>
      <c r="BM369" s="462">
        <f t="shared" si="91"/>
        <v>0</v>
      </c>
      <c r="BN369" s="462">
        <f>IF(AND(AT369=1,AK369="E",AU369&gt;=0.75,AW369=1),HealthBY,IF(AND(AT369=1,AK369="E",AU369&gt;=0.75),HealthBY*P369,IF(AND(AT369=1,AK369="E",AU369&gt;=0.5,AW369=1),PTHealthBY,IF(AND(AT369=1,AK369="E",AU369&gt;=0.5),PTHealthBY*P369,0))))</f>
        <v>0</v>
      </c>
      <c r="BO369" s="462">
        <f>IF(AND(AT369=3,AK369="E",AV369&gt;=0.75,AW369=1),HealthBY,IF(AND(AT369=3,AK369="E",AV369&gt;=0.75),HealthBY*P369,IF(AND(AT369=3,AK369="E",AV369&gt;=0.5,AW369=1),PTHealthBY,IF(AND(AT369=3,AK369="E",AV369&gt;=0.5),PTHealthBY*P369,0))))</f>
        <v>0</v>
      </c>
      <c r="BP369" s="462">
        <f>IF(AND(AT369&lt;&gt;0,(AX369+BA369)&gt;=MAXSSDIBY),SSDIBY*MAXSSDIBY*P369,IF(AT369&lt;&gt;0,SSDIBY*W369,0))</f>
        <v>0</v>
      </c>
      <c r="BQ369" s="462">
        <f>IF(AT369&lt;&gt;0,SSHIBY*W369,0)</f>
        <v>0</v>
      </c>
      <c r="BR369" s="462">
        <f>IF(AND(AT369&lt;&gt;0,AN369&lt;&gt;"NE"),VLOOKUP(AN369,Retirement_Rates,4,FALSE)*W369,0)</f>
        <v>0</v>
      </c>
      <c r="BS369" s="462">
        <f>IF(AND(AT369&lt;&gt;0,AJ369&lt;&gt;"PF"),LifeBY*W369,0)</f>
        <v>0</v>
      </c>
      <c r="BT369" s="462">
        <f>IF(AND(AT369&lt;&gt;0,AM369="Y"),UIBY*W369,0)</f>
        <v>0</v>
      </c>
      <c r="BU369" s="462">
        <f>IF(AND(AT369&lt;&gt;0,N369&lt;&gt;"NR"),DHRBY*W369,0)</f>
        <v>0</v>
      </c>
      <c r="BV369" s="462">
        <f>IF(AT369&lt;&gt;0,WCBY*W369,0)</f>
        <v>0</v>
      </c>
      <c r="BW369" s="462">
        <f>IF(OR(AND(AT369&lt;&gt;0,AJ369&lt;&gt;"PF",AN369&lt;&gt;"NE",AG369&lt;&gt;"A"),AND(AL369="E",OR(AT369=1,AT369=3))),SickBY*W369,0)</f>
        <v>0</v>
      </c>
      <c r="BX369" s="462">
        <f t="shared" si="92"/>
        <v>0</v>
      </c>
      <c r="BY369" s="462">
        <f t="shared" si="93"/>
        <v>0</v>
      </c>
      <c r="BZ369" s="462">
        <f t="shared" si="94"/>
        <v>0</v>
      </c>
      <c r="CA369" s="462">
        <f t="shared" si="95"/>
        <v>0</v>
      </c>
      <c r="CB369" s="462">
        <f t="shared" si="96"/>
        <v>0</v>
      </c>
      <c r="CC369" s="462">
        <f>IF(AT369&lt;&gt;0,SSHICHG*Y369,0)</f>
        <v>0</v>
      </c>
      <c r="CD369" s="462">
        <f>IF(AND(AT369&lt;&gt;0,AN369&lt;&gt;"NE"),VLOOKUP(AN369,Retirement_Rates,5,FALSE)*Y369,0)</f>
        <v>0</v>
      </c>
      <c r="CE369" s="462">
        <f>IF(AND(AT369&lt;&gt;0,AJ369&lt;&gt;"PF"),LifeCHG*Y369,0)</f>
        <v>0</v>
      </c>
      <c r="CF369" s="462">
        <f>IF(AND(AT369&lt;&gt;0,AM369="Y"),UICHG*Y369,0)</f>
        <v>0</v>
      </c>
      <c r="CG369" s="462">
        <f>IF(AND(AT369&lt;&gt;0,N369&lt;&gt;"NR"),DHRCHG*Y369,0)</f>
        <v>0</v>
      </c>
      <c r="CH369" s="462">
        <f>IF(AT369&lt;&gt;0,WCCHG*Y369,0)</f>
        <v>0</v>
      </c>
      <c r="CI369" s="462">
        <f>IF(OR(AND(AT369&lt;&gt;0,AJ369&lt;&gt;"PF",AN369&lt;&gt;"NE",AG369&lt;&gt;"A"),AND(AL369="E",OR(AT369=1,AT369=3))),SickCHG*Y369,0)</f>
        <v>0</v>
      </c>
      <c r="CJ369" s="462">
        <f t="shared" si="97"/>
        <v>0</v>
      </c>
      <c r="CK369" s="462" t="str">
        <f t="shared" si="98"/>
        <v/>
      </c>
      <c r="CL369" s="462" t="str">
        <f t="shared" si="99"/>
        <v/>
      </c>
      <c r="CM369" s="462" t="str">
        <f t="shared" si="100"/>
        <v/>
      </c>
      <c r="CN369" s="462" t="str">
        <f t="shared" si="101"/>
        <v>0330-13</v>
      </c>
    </row>
    <row r="370" spans="1:92" ht="15" thickBot="1" x14ac:dyDescent="0.35">
      <c r="A370" s="376" t="s">
        <v>161</v>
      </c>
      <c r="B370" s="376" t="s">
        <v>162</v>
      </c>
      <c r="C370" s="376" t="s">
        <v>874</v>
      </c>
      <c r="D370" s="376" t="s">
        <v>761</v>
      </c>
      <c r="E370" s="376" t="s">
        <v>931</v>
      </c>
      <c r="F370" s="382" t="s">
        <v>964</v>
      </c>
      <c r="G370" s="376" t="s">
        <v>762</v>
      </c>
      <c r="H370" s="378"/>
      <c r="I370" s="378"/>
      <c r="J370" s="376" t="s">
        <v>168</v>
      </c>
      <c r="K370" s="376" t="s">
        <v>763</v>
      </c>
      <c r="L370" s="376" t="s">
        <v>166</v>
      </c>
      <c r="M370" s="376" t="s">
        <v>170</v>
      </c>
      <c r="N370" s="376" t="s">
        <v>291</v>
      </c>
      <c r="O370" s="379">
        <v>0</v>
      </c>
      <c r="P370" s="460">
        <v>1</v>
      </c>
      <c r="Q370" s="460">
        <v>0</v>
      </c>
      <c r="R370" s="380">
        <v>0</v>
      </c>
      <c r="S370" s="460">
        <v>0</v>
      </c>
      <c r="T370" s="380">
        <v>9351.2000000000007</v>
      </c>
      <c r="U370" s="380">
        <v>0</v>
      </c>
      <c r="V370" s="380">
        <v>1761.92</v>
      </c>
      <c r="W370" s="380">
        <v>34686.35</v>
      </c>
      <c r="X370" s="380">
        <v>15276.1</v>
      </c>
      <c r="Y370" s="380">
        <v>34686.35</v>
      </c>
      <c r="Z370" s="380">
        <v>15276.1</v>
      </c>
      <c r="AA370" s="378"/>
      <c r="AB370" s="376" t="s">
        <v>45</v>
      </c>
      <c r="AC370" s="376" t="s">
        <v>45</v>
      </c>
      <c r="AD370" s="378"/>
      <c r="AE370" s="378"/>
      <c r="AF370" s="378"/>
      <c r="AG370" s="378"/>
      <c r="AH370" s="379">
        <v>0</v>
      </c>
      <c r="AI370" s="379">
        <v>0</v>
      </c>
      <c r="AJ370" s="378"/>
      <c r="AK370" s="378"/>
      <c r="AL370" s="376" t="s">
        <v>180</v>
      </c>
      <c r="AM370" s="378"/>
      <c r="AN370" s="378"/>
      <c r="AO370" s="379">
        <v>0</v>
      </c>
      <c r="AP370" s="460">
        <v>0</v>
      </c>
      <c r="AQ370" s="460">
        <v>0</v>
      </c>
      <c r="AR370" s="459"/>
      <c r="AS370" s="462">
        <f t="shared" si="85"/>
        <v>0</v>
      </c>
      <c r="AT370">
        <f t="shared" si="86"/>
        <v>0</v>
      </c>
      <c r="AU370" s="462" t="str">
        <f>IF(AT370=0,"",IF(AND(AT370=1,M370="F",SUMIF(C2:C698,C370,AS2:AS698)&lt;=1),SUMIF(C2:C698,C370,AS2:AS698),IF(AND(AT370=1,M370="F",SUMIF(C2:C698,C370,AS2:AS698)&gt;1),1,"")))</f>
        <v/>
      </c>
      <c r="AV370" s="462" t="str">
        <f>IF(AT370=0,"",IF(AND(AT370=3,M370="F",SUMIF(C2:C698,C370,AS2:AS698)&lt;=1),SUMIF(C2:C698,C370,AS2:AS698),IF(AND(AT370=3,M370="F",SUMIF(C2:C698,C370,AS2:AS698)&gt;1),1,"")))</f>
        <v/>
      </c>
      <c r="AW370" s="462">
        <f>SUMIF(C2:C698,C370,O2:O698)</f>
        <v>0</v>
      </c>
      <c r="AX370" s="462">
        <f>IF(AND(M370="F",AS370&lt;&gt;0),SUMIF(C2:C698,C370,W2:W698),0)</f>
        <v>0</v>
      </c>
      <c r="AY370" s="462" t="str">
        <f t="shared" si="87"/>
        <v/>
      </c>
      <c r="AZ370" s="462" t="str">
        <f t="shared" si="88"/>
        <v/>
      </c>
      <c r="BA370" s="462">
        <f t="shared" si="89"/>
        <v>0</v>
      </c>
      <c r="BB370" s="462">
        <f>IF(AND(AT370=1,AK370="E",AU370&gt;=0.75,AW370=1),Health,IF(AND(AT370=1,AK370="E",AU370&gt;=0.75),Health*P370,IF(AND(AT370=1,AK370="E",AU370&gt;=0.5,AW370=1),PTHealth,IF(AND(AT370=1,AK370="E",AU370&gt;=0.5),PTHealth*P370,0))))</f>
        <v>0</v>
      </c>
      <c r="BC370" s="462">
        <f>IF(AND(AT370=3,AK370="E",AV370&gt;=0.75,AW370=1),Health,IF(AND(AT370=3,AK370="E",AV370&gt;=0.75),Health*P370,IF(AND(AT370=3,AK370="E",AV370&gt;=0.5,AW370=1),PTHealth,IF(AND(AT370=3,AK370="E",AV370&gt;=0.5),PTHealth*P370,0))))</f>
        <v>0</v>
      </c>
      <c r="BD370" s="462">
        <f>IF(AND(AT370&lt;&gt;0,AX370&gt;=MAXSSDI),SSDI*MAXSSDI*P370,IF(AT370&lt;&gt;0,SSDI*W370,0))</f>
        <v>0</v>
      </c>
      <c r="BE370" s="462">
        <f>IF(AT370&lt;&gt;0,SSHI*W370,0)</f>
        <v>0</v>
      </c>
      <c r="BF370" s="462">
        <f>IF(AND(AT370&lt;&gt;0,AN370&lt;&gt;"NE"),VLOOKUP(AN370,Retirement_Rates,3,FALSE)*W370,0)</f>
        <v>0</v>
      </c>
      <c r="BG370" s="462">
        <f>IF(AND(AT370&lt;&gt;0,AJ370&lt;&gt;"PF"),Life*W370,0)</f>
        <v>0</v>
      </c>
      <c r="BH370" s="462">
        <f>IF(AND(AT370&lt;&gt;0,AM370="Y"),UI*W370,0)</f>
        <v>0</v>
      </c>
      <c r="BI370" s="462">
        <f>IF(AND(AT370&lt;&gt;0,N370&lt;&gt;"NR"),DHR*W370,0)</f>
        <v>0</v>
      </c>
      <c r="BJ370" s="462">
        <f>IF(AT370&lt;&gt;0,WC*W370,0)</f>
        <v>0</v>
      </c>
      <c r="BK370" s="462">
        <f>IF(OR(AND(AT370&lt;&gt;0,AJ370&lt;&gt;"PF",AN370&lt;&gt;"NE",AG370&lt;&gt;"A"),AND(AL370="E",OR(AT370=1,AT370=3))),Sick*W370,0)</f>
        <v>0</v>
      </c>
      <c r="BL370" s="462">
        <f t="shared" si="90"/>
        <v>0</v>
      </c>
      <c r="BM370" s="462">
        <f t="shared" si="91"/>
        <v>0</v>
      </c>
      <c r="BN370" s="462">
        <f>IF(AND(AT370=1,AK370="E",AU370&gt;=0.75,AW370=1),HealthBY,IF(AND(AT370=1,AK370="E",AU370&gt;=0.75),HealthBY*P370,IF(AND(AT370=1,AK370="E",AU370&gt;=0.5,AW370=1),PTHealthBY,IF(AND(AT370=1,AK370="E",AU370&gt;=0.5),PTHealthBY*P370,0))))</f>
        <v>0</v>
      </c>
      <c r="BO370" s="462">
        <f>IF(AND(AT370=3,AK370="E",AV370&gt;=0.75,AW370=1),HealthBY,IF(AND(AT370=3,AK370="E",AV370&gt;=0.75),HealthBY*P370,IF(AND(AT370=3,AK370="E",AV370&gt;=0.5,AW370=1),PTHealthBY,IF(AND(AT370=3,AK370="E",AV370&gt;=0.5),PTHealthBY*P370,0))))</f>
        <v>0</v>
      </c>
      <c r="BP370" s="462">
        <f>IF(AND(AT370&lt;&gt;0,(AX370+BA370)&gt;=MAXSSDIBY),SSDIBY*MAXSSDIBY*P370,IF(AT370&lt;&gt;0,SSDIBY*W370,0))</f>
        <v>0</v>
      </c>
      <c r="BQ370" s="462">
        <f>IF(AT370&lt;&gt;0,SSHIBY*W370,0)</f>
        <v>0</v>
      </c>
      <c r="BR370" s="462">
        <f>IF(AND(AT370&lt;&gt;0,AN370&lt;&gt;"NE"),VLOOKUP(AN370,Retirement_Rates,4,FALSE)*W370,0)</f>
        <v>0</v>
      </c>
      <c r="BS370" s="462">
        <f>IF(AND(AT370&lt;&gt;0,AJ370&lt;&gt;"PF"),LifeBY*W370,0)</f>
        <v>0</v>
      </c>
      <c r="BT370" s="462">
        <f>IF(AND(AT370&lt;&gt;0,AM370="Y"),UIBY*W370,0)</f>
        <v>0</v>
      </c>
      <c r="BU370" s="462">
        <f>IF(AND(AT370&lt;&gt;0,N370&lt;&gt;"NR"),DHRBY*W370,0)</f>
        <v>0</v>
      </c>
      <c r="BV370" s="462">
        <f>IF(AT370&lt;&gt;0,WCBY*W370,0)</f>
        <v>0</v>
      </c>
      <c r="BW370" s="462">
        <f>IF(OR(AND(AT370&lt;&gt;0,AJ370&lt;&gt;"PF",AN370&lt;&gt;"NE",AG370&lt;&gt;"A"),AND(AL370="E",OR(AT370=1,AT370=3))),SickBY*W370,0)</f>
        <v>0</v>
      </c>
      <c r="BX370" s="462">
        <f t="shared" si="92"/>
        <v>0</v>
      </c>
      <c r="BY370" s="462">
        <f t="shared" si="93"/>
        <v>0</v>
      </c>
      <c r="BZ370" s="462">
        <f t="shared" si="94"/>
        <v>0</v>
      </c>
      <c r="CA370" s="462">
        <f t="shared" si="95"/>
        <v>0</v>
      </c>
      <c r="CB370" s="462">
        <f t="shared" si="96"/>
        <v>0</v>
      </c>
      <c r="CC370" s="462">
        <f>IF(AT370&lt;&gt;0,SSHICHG*Y370,0)</f>
        <v>0</v>
      </c>
      <c r="CD370" s="462">
        <f>IF(AND(AT370&lt;&gt;0,AN370&lt;&gt;"NE"),VLOOKUP(AN370,Retirement_Rates,5,FALSE)*Y370,0)</f>
        <v>0</v>
      </c>
      <c r="CE370" s="462">
        <f>IF(AND(AT370&lt;&gt;0,AJ370&lt;&gt;"PF"),LifeCHG*Y370,0)</f>
        <v>0</v>
      </c>
      <c r="CF370" s="462">
        <f>IF(AND(AT370&lt;&gt;0,AM370="Y"),UICHG*Y370,0)</f>
        <v>0</v>
      </c>
      <c r="CG370" s="462">
        <f>IF(AND(AT370&lt;&gt;0,N370&lt;&gt;"NR"),DHRCHG*Y370,0)</f>
        <v>0</v>
      </c>
      <c r="CH370" s="462">
        <f>IF(AT370&lt;&gt;0,WCCHG*Y370,0)</f>
        <v>0</v>
      </c>
      <c r="CI370" s="462">
        <f>IF(OR(AND(AT370&lt;&gt;0,AJ370&lt;&gt;"PF",AN370&lt;&gt;"NE",AG370&lt;&gt;"A"),AND(AL370="E",OR(AT370=1,AT370=3))),SickCHG*Y370,0)</f>
        <v>0</v>
      </c>
      <c r="CJ370" s="462">
        <f t="shared" si="97"/>
        <v>0</v>
      </c>
      <c r="CK370" s="462" t="str">
        <f t="shared" si="98"/>
        <v/>
      </c>
      <c r="CL370" s="462">
        <f t="shared" si="99"/>
        <v>9351.2000000000007</v>
      </c>
      <c r="CM370" s="462">
        <f t="shared" si="100"/>
        <v>1761.92</v>
      </c>
      <c r="CN370" s="462" t="str">
        <f t="shared" si="101"/>
        <v>0330-13</v>
      </c>
    </row>
    <row r="371" spans="1:92" ht="15" thickBot="1" x14ac:dyDescent="0.35">
      <c r="A371" s="376" t="s">
        <v>161</v>
      </c>
      <c r="B371" s="376" t="s">
        <v>162</v>
      </c>
      <c r="C371" s="376" t="s">
        <v>868</v>
      </c>
      <c r="D371" s="376" t="s">
        <v>802</v>
      </c>
      <c r="E371" s="376" t="s">
        <v>931</v>
      </c>
      <c r="F371" s="382" t="s">
        <v>964</v>
      </c>
      <c r="G371" s="376" t="s">
        <v>762</v>
      </c>
      <c r="H371" s="378"/>
      <c r="I371" s="378"/>
      <c r="J371" s="376" t="s">
        <v>185</v>
      </c>
      <c r="K371" s="376" t="s">
        <v>803</v>
      </c>
      <c r="L371" s="376" t="s">
        <v>243</v>
      </c>
      <c r="M371" s="376" t="s">
        <v>170</v>
      </c>
      <c r="N371" s="376" t="s">
        <v>202</v>
      </c>
      <c r="O371" s="379">
        <v>1</v>
      </c>
      <c r="P371" s="460">
        <v>0.5</v>
      </c>
      <c r="Q371" s="460">
        <v>0.5</v>
      </c>
      <c r="R371" s="380">
        <v>80</v>
      </c>
      <c r="S371" s="460">
        <v>0.5</v>
      </c>
      <c r="T371" s="380">
        <v>37615.46</v>
      </c>
      <c r="U371" s="380">
        <v>0</v>
      </c>
      <c r="V371" s="380">
        <v>13506.58</v>
      </c>
      <c r="W371" s="380">
        <v>39041.599999999999</v>
      </c>
      <c r="X371" s="380">
        <v>14662.82</v>
      </c>
      <c r="Y371" s="380">
        <v>39041.599999999999</v>
      </c>
      <c r="Z371" s="380">
        <v>14561.32</v>
      </c>
      <c r="AA371" s="376" t="s">
        <v>869</v>
      </c>
      <c r="AB371" s="376" t="s">
        <v>870</v>
      </c>
      <c r="AC371" s="376" t="s">
        <v>871</v>
      </c>
      <c r="AD371" s="376" t="s">
        <v>224</v>
      </c>
      <c r="AE371" s="376" t="s">
        <v>803</v>
      </c>
      <c r="AF371" s="376" t="s">
        <v>248</v>
      </c>
      <c r="AG371" s="376" t="s">
        <v>177</v>
      </c>
      <c r="AH371" s="381">
        <v>37.54</v>
      </c>
      <c r="AI371" s="381">
        <v>7970.9</v>
      </c>
      <c r="AJ371" s="376" t="s">
        <v>178</v>
      </c>
      <c r="AK371" s="376" t="s">
        <v>179</v>
      </c>
      <c r="AL371" s="376" t="s">
        <v>180</v>
      </c>
      <c r="AM371" s="376" t="s">
        <v>181</v>
      </c>
      <c r="AN371" s="376" t="s">
        <v>68</v>
      </c>
      <c r="AO371" s="379">
        <v>80</v>
      </c>
      <c r="AP371" s="460">
        <v>1</v>
      </c>
      <c r="AQ371" s="460">
        <v>0.5</v>
      </c>
      <c r="AR371" s="458" t="s">
        <v>182</v>
      </c>
      <c r="AS371" s="462">
        <f t="shared" si="85"/>
        <v>0.5</v>
      </c>
      <c r="AT371">
        <f t="shared" si="86"/>
        <v>1</v>
      </c>
      <c r="AU371" s="462">
        <f>IF(AT371=0,"",IF(AND(AT371=1,M371="F",SUMIF(C2:C698,C371,AS2:AS698)&lt;=1),SUMIF(C2:C698,C371,AS2:AS698),IF(AND(AT371=1,M371="F",SUMIF(C2:C698,C371,AS2:AS698)&gt;1),1,"")))</f>
        <v>1</v>
      </c>
      <c r="AV371" s="462" t="str">
        <f>IF(AT371=0,"",IF(AND(AT371=3,M371="F",SUMIF(C2:C698,C371,AS2:AS698)&lt;=1),SUMIF(C2:C698,C371,AS2:AS698),IF(AND(AT371=3,M371="F",SUMIF(C2:C698,C371,AS2:AS698)&gt;1),1,"")))</f>
        <v/>
      </c>
      <c r="AW371" s="462">
        <f>SUMIF(C2:C698,C371,O2:O698)</f>
        <v>2</v>
      </c>
      <c r="AX371" s="462">
        <f>IF(AND(M371="F",AS371&lt;&gt;0),SUMIF(C2:C698,C371,W2:W698),0)</f>
        <v>78083.199999999997</v>
      </c>
      <c r="AY371" s="462">
        <f t="shared" si="87"/>
        <v>39041.599999999999</v>
      </c>
      <c r="AZ371" s="462" t="str">
        <f t="shared" si="88"/>
        <v/>
      </c>
      <c r="BA371" s="462">
        <f t="shared" si="89"/>
        <v>0</v>
      </c>
      <c r="BB371" s="462">
        <f>IF(AND(AT371=1,AK371="E",AU371&gt;=0.75,AW371=1),Health,IF(AND(AT371=1,AK371="E",AU371&gt;=0.75),Health*P371,IF(AND(AT371=1,AK371="E",AU371&gt;=0.5,AW371=1),PTHealth,IF(AND(AT371=1,AK371="E",AU371&gt;=0.5),PTHealth*P371,0))))</f>
        <v>5825</v>
      </c>
      <c r="BC371" s="462">
        <f>IF(AND(AT371=3,AK371="E",AV371&gt;=0.75,AW371=1),Health,IF(AND(AT371=3,AK371="E",AV371&gt;=0.75),Health*P371,IF(AND(AT371=3,AK371="E",AV371&gt;=0.5,AW371=1),PTHealth,IF(AND(AT371=3,AK371="E",AV371&gt;=0.5),PTHealth*P371,0))))</f>
        <v>0</v>
      </c>
      <c r="BD371" s="462">
        <f>IF(AND(AT371&lt;&gt;0,AX371&gt;=MAXSSDI),SSDI*MAXSSDI*P371,IF(AT371&lt;&gt;0,SSDI*W371,0))</f>
        <v>2420.5791999999997</v>
      </c>
      <c r="BE371" s="462">
        <f>IF(AT371&lt;&gt;0,SSHI*W371,0)</f>
        <v>566.10320000000002</v>
      </c>
      <c r="BF371" s="462">
        <f>IF(AND(AT371&lt;&gt;0,AN371&lt;&gt;"NE"),VLOOKUP(AN371,Retirement_Rates,3,FALSE)*W371,0)</f>
        <v>4661.5670399999999</v>
      </c>
      <c r="BG371" s="462">
        <f>IF(AND(AT371&lt;&gt;0,AJ371&lt;&gt;"PF"),Life*W371,0)</f>
        <v>281.489936</v>
      </c>
      <c r="BH371" s="462">
        <f>IF(AND(AT371&lt;&gt;0,AM371="Y"),UI*W371,0)</f>
        <v>191.30383999999998</v>
      </c>
      <c r="BI371" s="462">
        <f>IF(AND(AT371&lt;&gt;0,N371&lt;&gt;"NR"),DHR*W371,0)</f>
        <v>119.46729599999999</v>
      </c>
      <c r="BJ371" s="462">
        <f>IF(AT371&lt;&gt;0,WC*W371,0)</f>
        <v>597.33647999999994</v>
      </c>
      <c r="BK371" s="462">
        <f>IF(OR(AND(AT371&lt;&gt;0,AJ371&lt;&gt;"PF",AN371&lt;&gt;"NE",AG371&lt;&gt;"A"),AND(AL371="E",OR(AT371=1,AT371=3))),Sick*W371,0)</f>
        <v>0</v>
      </c>
      <c r="BL371" s="462">
        <f t="shared" si="90"/>
        <v>8837.8469919999989</v>
      </c>
      <c r="BM371" s="462">
        <f t="shared" si="91"/>
        <v>0</v>
      </c>
      <c r="BN371" s="462">
        <f>IF(AND(AT371=1,AK371="E",AU371&gt;=0.75,AW371=1),HealthBY,IF(AND(AT371=1,AK371="E",AU371&gt;=0.75),HealthBY*P371,IF(AND(AT371=1,AK371="E",AU371&gt;=0.5,AW371=1),PTHealthBY,IF(AND(AT371=1,AK371="E",AU371&gt;=0.5),PTHealthBY*P371,0))))</f>
        <v>5825</v>
      </c>
      <c r="BO371" s="462">
        <f>IF(AND(AT371=3,AK371="E",AV371&gt;=0.75,AW371=1),HealthBY,IF(AND(AT371=3,AK371="E",AV371&gt;=0.75),HealthBY*P371,IF(AND(AT371=3,AK371="E",AV371&gt;=0.5,AW371=1),PTHealthBY,IF(AND(AT371=3,AK371="E",AV371&gt;=0.5),PTHealthBY*P371,0))))</f>
        <v>0</v>
      </c>
      <c r="BP371" s="462">
        <f>IF(AND(AT371&lt;&gt;0,(AX371+BA371)&gt;=MAXSSDIBY),SSDIBY*MAXSSDIBY*P371,IF(AT371&lt;&gt;0,SSDIBY*W371,0))</f>
        <v>2420.5791999999997</v>
      </c>
      <c r="BQ371" s="462">
        <f>IF(AT371&lt;&gt;0,SSHIBY*W371,0)</f>
        <v>566.10320000000002</v>
      </c>
      <c r="BR371" s="462">
        <f>IF(AND(AT371&lt;&gt;0,AN371&lt;&gt;"NE"),VLOOKUP(AN371,Retirement_Rates,4,FALSE)*W371,0)</f>
        <v>4661.5670399999999</v>
      </c>
      <c r="BS371" s="462">
        <f>IF(AND(AT371&lt;&gt;0,AJ371&lt;&gt;"PF"),LifeBY*W371,0)</f>
        <v>281.489936</v>
      </c>
      <c r="BT371" s="462">
        <f>IF(AND(AT371&lt;&gt;0,AM371="Y"),UIBY*W371,0)</f>
        <v>0</v>
      </c>
      <c r="BU371" s="462">
        <f>IF(AND(AT371&lt;&gt;0,N371&lt;&gt;"NR"),DHRBY*W371,0)</f>
        <v>119.46729599999999</v>
      </c>
      <c r="BV371" s="462">
        <f>IF(AT371&lt;&gt;0,WCBY*W371,0)</f>
        <v>687.13216</v>
      </c>
      <c r="BW371" s="462">
        <f>IF(OR(AND(AT371&lt;&gt;0,AJ371&lt;&gt;"PF",AN371&lt;&gt;"NE",AG371&lt;&gt;"A"),AND(AL371="E",OR(AT371=1,AT371=3))),SickBY*W371,0)</f>
        <v>0</v>
      </c>
      <c r="BX371" s="462">
        <f t="shared" si="92"/>
        <v>8736.3388319999995</v>
      </c>
      <c r="BY371" s="462">
        <f t="shared" si="93"/>
        <v>0</v>
      </c>
      <c r="BZ371" s="462">
        <f t="shared" si="94"/>
        <v>0</v>
      </c>
      <c r="CA371" s="462">
        <f t="shared" si="95"/>
        <v>0</v>
      </c>
      <c r="CB371" s="462">
        <f t="shared" si="96"/>
        <v>0</v>
      </c>
      <c r="CC371" s="462">
        <f>IF(AT371&lt;&gt;0,SSHICHG*Y371,0)</f>
        <v>0</v>
      </c>
      <c r="CD371" s="462">
        <f>IF(AND(AT371&lt;&gt;0,AN371&lt;&gt;"NE"),VLOOKUP(AN371,Retirement_Rates,5,FALSE)*Y371,0)</f>
        <v>0</v>
      </c>
      <c r="CE371" s="462">
        <f>IF(AND(AT371&lt;&gt;0,AJ371&lt;&gt;"PF"),LifeCHG*Y371,0)</f>
        <v>0</v>
      </c>
      <c r="CF371" s="462">
        <f>IF(AND(AT371&lt;&gt;0,AM371="Y"),UICHG*Y371,0)</f>
        <v>-191.30383999999998</v>
      </c>
      <c r="CG371" s="462">
        <f>IF(AND(AT371&lt;&gt;0,N371&lt;&gt;"NR"),DHRCHG*Y371,0)</f>
        <v>0</v>
      </c>
      <c r="CH371" s="462">
        <f>IF(AT371&lt;&gt;0,WCCHG*Y371,0)</f>
        <v>89.795680000000061</v>
      </c>
      <c r="CI371" s="462">
        <f>IF(OR(AND(AT371&lt;&gt;0,AJ371&lt;&gt;"PF",AN371&lt;&gt;"NE",AG371&lt;&gt;"A"),AND(AL371="E",OR(AT371=1,AT371=3))),SickCHG*Y371,0)</f>
        <v>0</v>
      </c>
      <c r="CJ371" s="462">
        <f t="shared" si="97"/>
        <v>-101.50815999999992</v>
      </c>
      <c r="CK371" s="462" t="str">
        <f t="shared" si="98"/>
        <v/>
      </c>
      <c r="CL371" s="462" t="str">
        <f t="shared" si="99"/>
        <v/>
      </c>
      <c r="CM371" s="462" t="str">
        <f t="shared" si="100"/>
        <v/>
      </c>
      <c r="CN371" s="462" t="str">
        <f t="shared" si="101"/>
        <v>0330-13</v>
      </c>
    </row>
    <row r="372" spans="1:92" ht="15" thickBot="1" x14ac:dyDescent="0.35">
      <c r="A372" s="376" t="s">
        <v>161</v>
      </c>
      <c r="B372" s="376" t="s">
        <v>162</v>
      </c>
      <c r="C372" s="376" t="s">
        <v>711</v>
      </c>
      <c r="D372" s="376" t="s">
        <v>250</v>
      </c>
      <c r="E372" s="376" t="s">
        <v>931</v>
      </c>
      <c r="F372" s="382" t="s">
        <v>964</v>
      </c>
      <c r="G372" s="376" t="s">
        <v>762</v>
      </c>
      <c r="H372" s="378"/>
      <c r="I372" s="378"/>
      <c r="J372" s="376" t="s">
        <v>185</v>
      </c>
      <c r="K372" s="376" t="s">
        <v>407</v>
      </c>
      <c r="L372" s="376" t="s">
        <v>247</v>
      </c>
      <c r="M372" s="376" t="s">
        <v>170</v>
      </c>
      <c r="N372" s="376" t="s">
        <v>202</v>
      </c>
      <c r="O372" s="379">
        <v>1</v>
      </c>
      <c r="P372" s="460">
        <v>0.5</v>
      </c>
      <c r="Q372" s="460">
        <v>0.5</v>
      </c>
      <c r="R372" s="380">
        <v>80</v>
      </c>
      <c r="S372" s="460">
        <v>0.5</v>
      </c>
      <c r="T372" s="380">
        <v>256.79000000000002</v>
      </c>
      <c r="U372" s="380">
        <v>0</v>
      </c>
      <c r="V372" s="380">
        <v>-137.72999999999999</v>
      </c>
      <c r="W372" s="380">
        <v>29286.400000000001</v>
      </c>
      <c r="X372" s="380">
        <v>12454.54</v>
      </c>
      <c r="Y372" s="380">
        <v>29286.400000000001</v>
      </c>
      <c r="Z372" s="380">
        <v>12378.4</v>
      </c>
      <c r="AA372" s="376" t="s">
        <v>712</v>
      </c>
      <c r="AB372" s="376" t="s">
        <v>713</v>
      </c>
      <c r="AC372" s="376" t="s">
        <v>714</v>
      </c>
      <c r="AD372" s="376" t="s">
        <v>278</v>
      </c>
      <c r="AE372" s="376" t="s">
        <v>407</v>
      </c>
      <c r="AF372" s="376" t="s">
        <v>299</v>
      </c>
      <c r="AG372" s="376" t="s">
        <v>177</v>
      </c>
      <c r="AH372" s="381">
        <v>28.16</v>
      </c>
      <c r="AI372" s="381">
        <v>4619.7</v>
      </c>
      <c r="AJ372" s="376" t="s">
        <v>178</v>
      </c>
      <c r="AK372" s="376" t="s">
        <v>179</v>
      </c>
      <c r="AL372" s="376" t="s">
        <v>180</v>
      </c>
      <c r="AM372" s="376" t="s">
        <v>181</v>
      </c>
      <c r="AN372" s="376" t="s">
        <v>68</v>
      </c>
      <c r="AO372" s="379">
        <v>80</v>
      </c>
      <c r="AP372" s="460">
        <v>1</v>
      </c>
      <c r="AQ372" s="460">
        <v>0.5</v>
      </c>
      <c r="AR372" s="458" t="s">
        <v>182</v>
      </c>
      <c r="AS372" s="462">
        <f t="shared" si="85"/>
        <v>0.5</v>
      </c>
      <c r="AT372">
        <f t="shared" si="86"/>
        <v>1</v>
      </c>
      <c r="AU372" s="462">
        <f>IF(AT372=0,"",IF(AND(AT372=1,M372="F",SUMIF(C2:C698,C372,AS2:AS698)&lt;=1),SUMIF(C2:C698,C372,AS2:AS698),IF(AND(AT372=1,M372="F",SUMIF(C2:C698,C372,AS2:AS698)&gt;1),1,"")))</f>
        <v>1</v>
      </c>
      <c r="AV372" s="462" t="str">
        <f>IF(AT372=0,"",IF(AND(AT372=3,M372="F",SUMIF(C2:C698,C372,AS2:AS698)&lt;=1),SUMIF(C2:C698,C372,AS2:AS698),IF(AND(AT372=3,M372="F",SUMIF(C2:C698,C372,AS2:AS698)&gt;1),1,"")))</f>
        <v/>
      </c>
      <c r="AW372" s="462">
        <f>SUMIF(C2:C698,C372,O2:O698)</f>
        <v>4</v>
      </c>
      <c r="AX372" s="462">
        <f>IF(AND(M372="F",AS372&lt;&gt;0),SUMIF(C2:C698,C372,W2:W698),0)</f>
        <v>58572.800000000003</v>
      </c>
      <c r="AY372" s="462">
        <f t="shared" si="87"/>
        <v>29286.400000000001</v>
      </c>
      <c r="AZ372" s="462" t="str">
        <f t="shared" si="88"/>
        <v/>
      </c>
      <c r="BA372" s="462">
        <f t="shared" si="89"/>
        <v>0</v>
      </c>
      <c r="BB372" s="462">
        <f>IF(AND(AT372=1,AK372="E",AU372&gt;=0.75,AW372=1),Health,IF(AND(AT372=1,AK372="E",AU372&gt;=0.75),Health*P372,IF(AND(AT372=1,AK372="E",AU372&gt;=0.5,AW372=1),PTHealth,IF(AND(AT372=1,AK372="E",AU372&gt;=0.5),PTHealth*P372,0))))</f>
        <v>5825</v>
      </c>
      <c r="BC372" s="462">
        <f>IF(AND(AT372=3,AK372="E",AV372&gt;=0.75,AW372=1),Health,IF(AND(AT372=3,AK372="E",AV372&gt;=0.75),Health*P372,IF(AND(AT372=3,AK372="E",AV372&gt;=0.5,AW372=1),PTHealth,IF(AND(AT372=3,AK372="E",AV372&gt;=0.5),PTHealth*P372,0))))</f>
        <v>0</v>
      </c>
      <c r="BD372" s="462">
        <f>IF(AND(AT372&lt;&gt;0,AX372&gt;=MAXSSDI),SSDI*MAXSSDI*P372,IF(AT372&lt;&gt;0,SSDI*W372,0))</f>
        <v>1815.7568000000001</v>
      </c>
      <c r="BE372" s="462">
        <f>IF(AT372&lt;&gt;0,SSHI*W372,0)</f>
        <v>424.65280000000007</v>
      </c>
      <c r="BF372" s="462">
        <f>IF(AND(AT372&lt;&gt;0,AN372&lt;&gt;"NE"),VLOOKUP(AN372,Retirement_Rates,3,FALSE)*W372,0)</f>
        <v>3496.7961600000003</v>
      </c>
      <c r="BG372" s="462">
        <f>IF(AND(AT372&lt;&gt;0,AJ372&lt;&gt;"PF"),Life*W372,0)</f>
        <v>211.15494400000003</v>
      </c>
      <c r="BH372" s="462">
        <f>IF(AND(AT372&lt;&gt;0,AM372="Y"),UI*W372,0)</f>
        <v>143.50336000000001</v>
      </c>
      <c r="BI372" s="462">
        <f>IF(AND(AT372&lt;&gt;0,N372&lt;&gt;"NR"),DHR*W372,0)</f>
        <v>89.616383999999996</v>
      </c>
      <c r="BJ372" s="462">
        <f>IF(AT372&lt;&gt;0,WC*W372,0)</f>
        <v>448.08192000000003</v>
      </c>
      <c r="BK372" s="462">
        <f>IF(OR(AND(AT372&lt;&gt;0,AJ372&lt;&gt;"PF",AN372&lt;&gt;"NE",AG372&lt;&gt;"A"),AND(AL372="E",OR(AT372=1,AT372=3))),Sick*W372,0)</f>
        <v>0</v>
      </c>
      <c r="BL372" s="462">
        <f t="shared" si="90"/>
        <v>6629.5623679999999</v>
      </c>
      <c r="BM372" s="462">
        <f t="shared" si="91"/>
        <v>0</v>
      </c>
      <c r="BN372" s="462">
        <f>IF(AND(AT372=1,AK372="E",AU372&gt;=0.75,AW372=1),HealthBY,IF(AND(AT372=1,AK372="E",AU372&gt;=0.75),HealthBY*P372,IF(AND(AT372=1,AK372="E",AU372&gt;=0.5,AW372=1),PTHealthBY,IF(AND(AT372=1,AK372="E",AU372&gt;=0.5),PTHealthBY*P372,0))))</f>
        <v>5825</v>
      </c>
      <c r="BO372" s="462">
        <f>IF(AND(AT372=3,AK372="E",AV372&gt;=0.75,AW372=1),HealthBY,IF(AND(AT372=3,AK372="E",AV372&gt;=0.75),HealthBY*P372,IF(AND(AT372=3,AK372="E",AV372&gt;=0.5,AW372=1),PTHealthBY,IF(AND(AT372=3,AK372="E",AV372&gt;=0.5),PTHealthBY*P372,0))))</f>
        <v>0</v>
      </c>
      <c r="BP372" s="462">
        <f>IF(AND(AT372&lt;&gt;0,(AX372+BA372)&gt;=MAXSSDIBY),SSDIBY*MAXSSDIBY*P372,IF(AT372&lt;&gt;0,SSDIBY*W372,0))</f>
        <v>1815.7568000000001</v>
      </c>
      <c r="BQ372" s="462">
        <f>IF(AT372&lt;&gt;0,SSHIBY*W372,0)</f>
        <v>424.65280000000007</v>
      </c>
      <c r="BR372" s="462">
        <f>IF(AND(AT372&lt;&gt;0,AN372&lt;&gt;"NE"),VLOOKUP(AN372,Retirement_Rates,4,FALSE)*W372,0)</f>
        <v>3496.7961600000003</v>
      </c>
      <c r="BS372" s="462">
        <f>IF(AND(AT372&lt;&gt;0,AJ372&lt;&gt;"PF"),LifeBY*W372,0)</f>
        <v>211.15494400000003</v>
      </c>
      <c r="BT372" s="462">
        <f>IF(AND(AT372&lt;&gt;0,AM372="Y"),UIBY*W372,0)</f>
        <v>0</v>
      </c>
      <c r="BU372" s="462">
        <f>IF(AND(AT372&lt;&gt;0,N372&lt;&gt;"NR"),DHRBY*W372,0)</f>
        <v>89.616383999999996</v>
      </c>
      <c r="BV372" s="462">
        <f>IF(AT372&lt;&gt;0,WCBY*W372,0)</f>
        <v>515.44064000000003</v>
      </c>
      <c r="BW372" s="462">
        <f>IF(OR(AND(AT372&lt;&gt;0,AJ372&lt;&gt;"PF",AN372&lt;&gt;"NE",AG372&lt;&gt;"A"),AND(AL372="E",OR(AT372=1,AT372=3))),SickBY*W372,0)</f>
        <v>0</v>
      </c>
      <c r="BX372" s="462">
        <f t="shared" si="92"/>
        <v>6553.4177280000004</v>
      </c>
      <c r="BY372" s="462">
        <f t="shared" si="93"/>
        <v>0</v>
      </c>
      <c r="BZ372" s="462">
        <f t="shared" si="94"/>
        <v>0</v>
      </c>
      <c r="CA372" s="462">
        <f t="shared" si="95"/>
        <v>0</v>
      </c>
      <c r="CB372" s="462">
        <f t="shared" si="96"/>
        <v>0</v>
      </c>
      <c r="CC372" s="462">
        <f>IF(AT372&lt;&gt;0,SSHICHG*Y372,0)</f>
        <v>0</v>
      </c>
      <c r="CD372" s="462">
        <f>IF(AND(AT372&lt;&gt;0,AN372&lt;&gt;"NE"),VLOOKUP(AN372,Retirement_Rates,5,FALSE)*Y372,0)</f>
        <v>0</v>
      </c>
      <c r="CE372" s="462">
        <f>IF(AND(AT372&lt;&gt;0,AJ372&lt;&gt;"PF"),LifeCHG*Y372,0)</f>
        <v>0</v>
      </c>
      <c r="CF372" s="462">
        <f>IF(AND(AT372&lt;&gt;0,AM372="Y"),UICHG*Y372,0)</f>
        <v>-143.50336000000001</v>
      </c>
      <c r="CG372" s="462">
        <f>IF(AND(AT372&lt;&gt;0,N372&lt;&gt;"NR"),DHRCHG*Y372,0)</f>
        <v>0</v>
      </c>
      <c r="CH372" s="462">
        <f>IF(AT372&lt;&gt;0,WCCHG*Y372,0)</f>
        <v>67.358720000000048</v>
      </c>
      <c r="CI372" s="462">
        <f>IF(OR(AND(AT372&lt;&gt;0,AJ372&lt;&gt;"PF",AN372&lt;&gt;"NE",AG372&lt;&gt;"A"),AND(AL372="E",OR(AT372=1,AT372=3))),SickCHG*Y372,0)</f>
        <v>0</v>
      </c>
      <c r="CJ372" s="462">
        <f t="shared" si="97"/>
        <v>-76.144639999999967</v>
      </c>
      <c r="CK372" s="462" t="str">
        <f t="shared" si="98"/>
        <v/>
      </c>
      <c r="CL372" s="462" t="str">
        <f t="shared" si="99"/>
        <v/>
      </c>
      <c r="CM372" s="462" t="str">
        <f t="shared" si="100"/>
        <v/>
      </c>
      <c r="CN372" s="462" t="str">
        <f t="shared" si="101"/>
        <v>0330-13</v>
      </c>
    </row>
    <row r="373" spans="1:92" ht="15" thickBot="1" x14ac:dyDescent="0.35">
      <c r="A373" s="376" t="s">
        <v>161</v>
      </c>
      <c r="B373" s="376" t="s">
        <v>162</v>
      </c>
      <c r="C373" s="376" t="s">
        <v>966</v>
      </c>
      <c r="D373" s="376" t="s">
        <v>250</v>
      </c>
      <c r="E373" s="376" t="s">
        <v>931</v>
      </c>
      <c r="F373" s="382" t="s">
        <v>964</v>
      </c>
      <c r="G373" s="376" t="s">
        <v>762</v>
      </c>
      <c r="H373" s="378"/>
      <c r="I373" s="378"/>
      <c r="J373" s="376" t="s">
        <v>168</v>
      </c>
      <c r="K373" s="376" t="s">
        <v>407</v>
      </c>
      <c r="L373" s="376" t="s">
        <v>247</v>
      </c>
      <c r="M373" s="376" t="s">
        <v>170</v>
      </c>
      <c r="N373" s="376" t="s">
        <v>202</v>
      </c>
      <c r="O373" s="379">
        <v>1</v>
      </c>
      <c r="P373" s="460">
        <v>1</v>
      </c>
      <c r="Q373" s="460">
        <v>1</v>
      </c>
      <c r="R373" s="380">
        <v>80</v>
      </c>
      <c r="S373" s="460">
        <v>1</v>
      </c>
      <c r="T373" s="380">
        <v>59928.800000000003</v>
      </c>
      <c r="U373" s="380">
        <v>0</v>
      </c>
      <c r="V373" s="380">
        <v>24534.18</v>
      </c>
      <c r="W373" s="380">
        <v>62192</v>
      </c>
      <c r="X373" s="380">
        <v>25728.37</v>
      </c>
      <c r="Y373" s="380">
        <v>62192</v>
      </c>
      <c r="Z373" s="380">
        <v>25566.67</v>
      </c>
      <c r="AA373" s="376" t="s">
        <v>967</v>
      </c>
      <c r="AB373" s="376" t="s">
        <v>968</v>
      </c>
      <c r="AC373" s="376" t="s">
        <v>969</v>
      </c>
      <c r="AD373" s="376" t="s">
        <v>970</v>
      </c>
      <c r="AE373" s="376" t="s">
        <v>407</v>
      </c>
      <c r="AF373" s="376" t="s">
        <v>299</v>
      </c>
      <c r="AG373" s="376" t="s">
        <v>177</v>
      </c>
      <c r="AH373" s="381">
        <v>29.9</v>
      </c>
      <c r="AI373" s="381">
        <v>8538.5</v>
      </c>
      <c r="AJ373" s="376" t="s">
        <v>178</v>
      </c>
      <c r="AK373" s="376" t="s">
        <v>179</v>
      </c>
      <c r="AL373" s="376" t="s">
        <v>180</v>
      </c>
      <c r="AM373" s="376" t="s">
        <v>181</v>
      </c>
      <c r="AN373" s="376" t="s">
        <v>68</v>
      </c>
      <c r="AO373" s="379">
        <v>80</v>
      </c>
      <c r="AP373" s="460">
        <v>1</v>
      </c>
      <c r="AQ373" s="460">
        <v>1</v>
      </c>
      <c r="AR373" s="458" t="s">
        <v>182</v>
      </c>
      <c r="AS373" s="462">
        <f t="shared" si="85"/>
        <v>1</v>
      </c>
      <c r="AT373">
        <f t="shared" si="86"/>
        <v>1</v>
      </c>
      <c r="AU373" s="462">
        <f>IF(AT373=0,"",IF(AND(AT373=1,M373="F",SUMIF(C2:C698,C373,AS2:AS698)&lt;=1),SUMIF(C2:C698,C373,AS2:AS698),IF(AND(AT373=1,M373="F",SUMIF(C2:C698,C373,AS2:AS698)&gt;1),1,"")))</f>
        <v>1</v>
      </c>
      <c r="AV373" s="462" t="str">
        <f>IF(AT373=0,"",IF(AND(AT373=3,M373="F",SUMIF(C2:C698,C373,AS2:AS698)&lt;=1),SUMIF(C2:C698,C373,AS2:AS698),IF(AND(AT373=3,M373="F",SUMIF(C2:C698,C373,AS2:AS698)&gt;1),1,"")))</f>
        <v/>
      </c>
      <c r="AW373" s="462">
        <f>SUMIF(C2:C698,C373,O2:O698)</f>
        <v>1</v>
      </c>
      <c r="AX373" s="462">
        <f>IF(AND(M373="F",AS373&lt;&gt;0),SUMIF(C2:C698,C373,W2:W698),0)</f>
        <v>62192</v>
      </c>
      <c r="AY373" s="462">
        <f t="shared" si="87"/>
        <v>62192</v>
      </c>
      <c r="AZ373" s="462" t="str">
        <f t="shared" si="88"/>
        <v/>
      </c>
      <c r="BA373" s="462">
        <f t="shared" si="89"/>
        <v>0</v>
      </c>
      <c r="BB373" s="462">
        <f>IF(AND(AT373=1,AK373="E",AU373&gt;=0.75,AW373=1),Health,IF(AND(AT373=1,AK373="E",AU373&gt;=0.75),Health*P373,IF(AND(AT373=1,AK373="E",AU373&gt;=0.5,AW373=1),PTHealth,IF(AND(AT373=1,AK373="E",AU373&gt;=0.5),PTHealth*P373,0))))</f>
        <v>11650</v>
      </c>
      <c r="BC373" s="462">
        <f>IF(AND(AT373=3,AK373="E",AV373&gt;=0.75,AW373=1),Health,IF(AND(AT373=3,AK373="E",AV373&gt;=0.75),Health*P373,IF(AND(AT373=3,AK373="E",AV373&gt;=0.5,AW373=1),PTHealth,IF(AND(AT373=3,AK373="E",AV373&gt;=0.5),PTHealth*P373,0))))</f>
        <v>0</v>
      </c>
      <c r="BD373" s="462">
        <f>IF(AND(AT373&lt;&gt;0,AX373&gt;=MAXSSDI),SSDI*MAXSSDI*P373,IF(AT373&lt;&gt;0,SSDI*W373,0))</f>
        <v>3855.904</v>
      </c>
      <c r="BE373" s="462">
        <f>IF(AT373&lt;&gt;0,SSHI*W373,0)</f>
        <v>901.78399999999999</v>
      </c>
      <c r="BF373" s="462">
        <f>IF(AND(AT373&lt;&gt;0,AN373&lt;&gt;"NE"),VLOOKUP(AN373,Retirement_Rates,3,FALSE)*W373,0)</f>
        <v>7425.7248</v>
      </c>
      <c r="BG373" s="462">
        <f>IF(AND(AT373&lt;&gt;0,AJ373&lt;&gt;"PF"),Life*W373,0)</f>
        <v>448.40432000000004</v>
      </c>
      <c r="BH373" s="462">
        <f>IF(AND(AT373&lt;&gt;0,AM373="Y"),UI*W373,0)</f>
        <v>304.74079999999998</v>
      </c>
      <c r="BI373" s="462">
        <f>IF(AND(AT373&lt;&gt;0,N373&lt;&gt;"NR"),DHR*W373,0)</f>
        <v>190.30751999999998</v>
      </c>
      <c r="BJ373" s="462">
        <f>IF(AT373&lt;&gt;0,WC*W373,0)</f>
        <v>951.5376</v>
      </c>
      <c r="BK373" s="462">
        <f>IF(OR(AND(AT373&lt;&gt;0,AJ373&lt;&gt;"PF",AN373&lt;&gt;"NE",AG373&lt;&gt;"A"),AND(AL373="E",OR(AT373=1,AT373=3))),Sick*W373,0)</f>
        <v>0</v>
      </c>
      <c r="BL373" s="462">
        <f t="shared" si="90"/>
        <v>14078.403039999999</v>
      </c>
      <c r="BM373" s="462">
        <f t="shared" si="91"/>
        <v>0</v>
      </c>
      <c r="BN373" s="462">
        <f>IF(AND(AT373=1,AK373="E",AU373&gt;=0.75,AW373=1),HealthBY,IF(AND(AT373=1,AK373="E",AU373&gt;=0.75),HealthBY*P373,IF(AND(AT373=1,AK373="E",AU373&gt;=0.5,AW373=1),PTHealthBY,IF(AND(AT373=1,AK373="E",AU373&gt;=0.5),PTHealthBY*P373,0))))</f>
        <v>11650</v>
      </c>
      <c r="BO373" s="462">
        <f>IF(AND(AT373=3,AK373="E",AV373&gt;=0.75,AW373=1),HealthBY,IF(AND(AT373=3,AK373="E",AV373&gt;=0.75),HealthBY*P373,IF(AND(AT373=3,AK373="E",AV373&gt;=0.5,AW373=1),PTHealthBY,IF(AND(AT373=3,AK373="E",AV373&gt;=0.5),PTHealthBY*P373,0))))</f>
        <v>0</v>
      </c>
      <c r="BP373" s="462">
        <f>IF(AND(AT373&lt;&gt;0,(AX373+BA373)&gt;=MAXSSDIBY),SSDIBY*MAXSSDIBY*P373,IF(AT373&lt;&gt;0,SSDIBY*W373,0))</f>
        <v>3855.904</v>
      </c>
      <c r="BQ373" s="462">
        <f>IF(AT373&lt;&gt;0,SSHIBY*W373,0)</f>
        <v>901.78399999999999</v>
      </c>
      <c r="BR373" s="462">
        <f>IF(AND(AT373&lt;&gt;0,AN373&lt;&gt;"NE"),VLOOKUP(AN373,Retirement_Rates,4,FALSE)*W373,0)</f>
        <v>7425.7248</v>
      </c>
      <c r="BS373" s="462">
        <f>IF(AND(AT373&lt;&gt;0,AJ373&lt;&gt;"PF"),LifeBY*W373,0)</f>
        <v>448.40432000000004</v>
      </c>
      <c r="BT373" s="462">
        <f>IF(AND(AT373&lt;&gt;0,AM373="Y"),UIBY*W373,0)</f>
        <v>0</v>
      </c>
      <c r="BU373" s="462">
        <f>IF(AND(AT373&lt;&gt;0,N373&lt;&gt;"NR"),DHRBY*W373,0)</f>
        <v>190.30751999999998</v>
      </c>
      <c r="BV373" s="462">
        <f>IF(AT373&lt;&gt;0,WCBY*W373,0)</f>
        <v>1094.5792000000001</v>
      </c>
      <c r="BW373" s="462">
        <f>IF(OR(AND(AT373&lt;&gt;0,AJ373&lt;&gt;"PF",AN373&lt;&gt;"NE",AG373&lt;&gt;"A"),AND(AL373="E",OR(AT373=1,AT373=3))),SickBY*W373,0)</f>
        <v>0</v>
      </c>
      <c r="BX373" s="462">
        <f t="shared" si="92"/>
        <v>13916.70384</v>
      </c>
      <c r="BY373" s="462">
        <f t="shared" si="93"/>
        <v>0</v>
      </c>
      <c r="BZ373" s="462">
        <f t="shared" si="94"/>
        <v>0</v>
      </c>
      <c r="CA373" s="462">
        <f t="shared" si="95"/>
        <v>0</v>
      </c>
      <c r="CB373" s="462">
        <f t="shared" si="96"/>
        <v>0</v>
      </c>
      <c r="CC373" s="462">
        <f>IF(AT373&lt;&gt;0,SSHICHG*Y373,0)</f>
        <v>0</v>
      </c>
      <c r="CD373" s="462">
        <f>IF(AND(AT373&lt;&gt;0,AN373&lt;&gt;"NE"),VLOOKUP(AN373,Retirement_Rates,5,FALSE)*Y373,0)</f>
        <v>0</v>
      </c>
      <c r="CE373" s="462">
        <f>IF(AND(AT373&lt;&gt;0,AJ373&lt;&gt;"PF"),LifeCHG*Y373,0)</f>
        <v>0</v>
      </c>
      <c r="CF373" s="462">
        <f>IF(AND(AT373&lt;&gt;0,AM373="Y"),UICHG*Y373,0)</f>
        <v>-304.74079999999998</v>
      </c>
      <c r="CG373" s="462">
        <f>IF(AND(AT373&lt;&gt;0,N373&lt;&gt;"NR"),DHRCHG*Y373,0)</f>
        <v>0</v>
      </c>
      <c r="CH373" s="462">
        <f>IF(AT373&lt;&gt;0,WCCHG*Y373,0)</f>
        <v>143.0416000000001</v>
      </c>
      <c r="CI373" s="462">
        <f>IF(OR(AND(AT373&lt;&gt;0,AJ373&lt;&gt;"PF",AN373&lt;&gt;"NE",AG373&lt;&gt;"A"),AND(AL373="E",OR(AT373=1,AT373=3))),SickCHG*Y373,0)</f>
        <v>0</v>
      </c>
      <c r="CJ373" s="462">
        <f t="shared" si="97"/>
        <v>-161.69919999999988</v>
      </c>
      <c r="CK373" s="462" t="str">
        <f t="shared" si="98"/>
        <v/>
      </c>
      <c r="CL373" s="462" t="str">
        <f t="shared" si="99"/>
        <v/>
      </c>
      <c r="CM373" s="462" t="str">
        <f t="shared" si="100"/>
        <v/>
      </c>
      <c r="CN373" s="462" t="str">
        <f t="shared" si="101"/>
        <v>0330-13</v>
      </c>
    </row>
    <row r="374" spans="1:92" ht="15" thickBot="1" x14ac:dyDescent="0.35">
      <c r="A374" s="376" t="s">
        <v>161</v>
      </c>
      <c r="B374" s="376" t="s">
        <v>162</v>
      </c>
      <c r="C374" s="376" t="s">
        <v>923</v>
      </c>
      <c r="D374" s="376" t="s">
        <v>362</v>
      </c>
      <c r="E374" s="376" t="s">
        <v>931</v>
      </c>
      <c r="F374" s="382" t="s">
        <v>964</v>
      </c>
      <c r="G374" s="376" t="s">
        <v>762</v>
      </c>
      <c r="H374" s="378"/>
      <c r="I374" s="378"/>
      <c r="J374" s="376" t="s">
        <v>168</v>
      </c>
      <c r="K374" s="376" t="s">
        <v>363</v>
      </c>
      <c r="L374" s="376" t="s">
        <v>200</v>
      </c>
      <c r="M374" s="376" t="s">
        <v>170</v>
      </c>
      <c r="N374" s="376" t="s">
        <v>202</v>
      </c>
      <c r="O374" s="379">
        <v>1</v>
      </c>
      <c r="P374" s="460">
        <v>0</v>
      </c>
      <c r="Q374" s="460">
        <v>0</v>
      </c>
      <c r="R374" s="380">
        <v>80</v>
      </c>
      <c r="S374" s="460">
        <v>0</v>
      </c>
      <c r="T374" s="380">
        <v>42.62</v>
      </c>
      <c r="U374" s="380">
        <v>0</v>
      </c>
      <c r="V374" s="380">
        <v>21.1</v>
      </c>
      <c r="W374" s="380">
        <v>0</v>
      </c>
      <c r="X374" s="380">
        <v>0</v>
      </c>
      <c r="Y374" s="380">
        <v>0</v>
      </c>
      <c r="Z374" s="380">
        <v>0</v>
      </c>
      <c r="AA374" s="376" t="s">
        <v>924</v>
      </c>
      <c r="AB374" s="376" t="s">
        <v>925</v>
      </c>
      <c r="AC374" s="376" t="s">
        <v>926</v>
      </c>
      <c r="AD374" s="376" t="s">
        <v>177</v>
      </c>
      <c r="AE374" s="376" t="s">
        <v>363</v>
      </c>
      <c r="AF374" s="376" t="s">
        <v>210</v>
      </c>
      <c r="AG374" s="376" t="s">
        <v>177</v>
      </c>
      <c r="AH374" s="381">
        <v>22.5</v>
      </c>
      <c r="AI374" s="381">
        <v>13298.5</v>
      </c>
      <c r="AJ374" s="376" t="s">
        <v>178</v>
      </c>
      <c r="AK374" s="376" t="s">
        <v>179</v>
      </c>
      <c r="AL374" s="376" t="s">
        <v>180</v>
      </c>
      <c r="AM374" s="376" t="s">
        <v>181</v>
      </c>
      <c r="AN374" s="376" t="s">
        <v>68</v>
      </c>
      <c r="AO374" s="379">
        <v>80</v>
      </c>
      <c r="AP374" s="460">
        <v>1</v>
      </c>
      <c r="AQ374" s="460">
        <v>0</v>
      </c>
      <c r="AR374" s="458" t="s">
        <v>182</v>
      </c>
      <c r="AS374" s="462">
        <f t="shared" si="85"/>
        <v>0</v>
      </c>
      <c r="AT374">
        <f t="shared" si="86"/>
        <v>0</v>
      </c>
      <c r="AU374" s="462" t="str">
        <f>IF(AT374=0,"",IF(AND(AT374=1,M374="F",SUMIF(C2:C698,C374,AS2:AS698)&lt;=1),SUMIF(C2:C698,C374,AS2:AS698),IF(AND(AT374=1,M374="F",SUMIF(C2:C698,C374,AS2:AS698)&gt;1),1,"")))</f>
        <v/>
      </c>
      <c r="AV374" s="462" t="str">
        <f>IF(AT374=0,"",IF(AND(AT374=3,M374="F",SUMIF(C2:C698,C374,AS2:AS698)&lt;=1),SUMIF(C2:C698,C374,AS2:AS698),IF(AND(AT374=3,M374="F",SUMIF(C2:C698,C374,AS2:AS698)&gt;1),1,"")))</f>
        <v/>
      </c>
      <c r="AW374" s="462">
        <f>SUMIF(C2:C698,C374,O2:O698)</f>
        <v>9</v>
      </c>
      <c r="AX374" s="462">
        <f>IF(AND(M374="F",AS374&lt;&gt;0),SUMIF(C2:C698,C374,W2:W698),0)</f>
        <v>0</v>
      </c>
      <c r="AY374" s="462" t="str">
        <f t="shared" si="87"/>
        <v/>
      </c>
      <c r="AZ374" s="462" t="str">
        <f t="shared" si="88"/>
        <v/>
      </c>
      <c r="BA374" s="462">
        <f t="shared" si="89"/>
        <v>0</v>
      </c>
      <c r="BB374" s="462">
        <f>IF(AND(AT374=1,AK374="E",AU374&gt;=0.75,AW374=1),Health,IF(AND(AT374=1,AK374="E",AU374&gt;=0.75),Health*P374,IF(AND(AT374=1,AK374="E",AU374&gt;=0.5,AW374=1),PTHealth,IF(AND(AT374=1,AK374="E",AU374&gt;=0.5),PTHealth*P374,0))))</f>
        <v>0</v>
      </c>
      <c r="BC374" s="462">
        <f>IF(AND(AT374=3,AK374="E",AV374&gt;=0.75,AW374=1),Health,IF(AND(AT374=3,AK374="E",AV374&gt;=0.75),Health*P374,IF(AND(AT374=3,AK374="E",AV374&gt;=0.5,AW374=1),PTHealth,IF(AND(AT374=3,AK374="E",AV374&gt;=0.5),PTHealth*P374,0))))</f>
        <v>0</v>
      </c>
      <c r="BD374" s="462">
        <f>IF(AND(AT374&lt;&gt;0,AX374&gt;=MAXSSDI),SSDI*MAXSSDI*P374,IF(AT374&lt;&gt;0,SSDI*W374,0))</f>
        <v>0</v>
      </c>
      <c r="BE374" s="462">
        <f>IF(AT374&lt;&gt;0,SSHI*W374,0)</f>
        <v>0</v>
      </c>
      <c r="BF374" s="462">
        <f>IF(AND(AT374&lt;&gt;0,AN374&lt;&gt;"NE"),VLOOKUP(AN374,Retirement_Rates,3,FALSE)*W374,0)</f>
        <v>0</v>
      </c>
      <c r="BG374" s="462">
        <f>IF(AND(AT374&lt;&gt;0,AJ374&lt;&gt;"PF"),Life*W374,0)</f>
        <v>0</v>
      </c>
      <c r="BH374" s="462">
        <f>IF(AND(AT374&lt;&gt;0,AM374="Y"),UI*W374,0)</f>
        <v>0</v>
      </c>
      <c r="BI374" s="462">
        <f>IF(AND(AT374&lt;&gt;0,N374&lt;&gt;"NR"),DHR*W374,0)</f>
        <v>0</v>
      </c>
      <c r="BJ374" s="462">
        <f>IF(AT374&lt;&gt;0,WC*W374,0)</f>
        <v>0</v>
      </c>
      <c r="BK374" s="462">
        <f>IF(OR(AND(AT374&lt;&gt;0,AJ374&lt;&gt;"PF",AN374&lt;&gt;"NE",AG374&lt;&gt;"A"),AND(AL374="E",OR(AT374=1,AT374=3))),Sick*W374,0)</f>
        <v>0</v>
      </c>
      <c r="BL374" s="462">
        <f t="shared" si="90"/>
        <v>0</v>
      </c>
      <c r="BM374" s="462">
        <f t="shared" si="91"/>
        <v>0</v>
      </c>
      <c r="BN374" s="462">
        <f>IF(AND(AT374=1,AK374="E",AU374&gt;=0.75,AW374=1),HealthBY,IF(AND(AT374=1,AK374="E",AU374&gt;=0.75),HealthBY*P374,IF(AND(AT374=1,AK374="E",AU374&gt;=0.5,AW374=1),PTHealthBY,IF(AND(AT374=1,AK374="E",AU374&gt;=0.5),PTHealthBY*P374,0))))</f>
        <v>0</v>
      </c>
      <c r="BO374" s="462">
        <f>IF(AND(AT374=3,AK374="E",AV374&gt;=0.75,AW374=1),HealthBY,IF(AND(AT374=3,AK374="E",AV374&gt;=0.75),HealthBY*P374,IF(AND(AT374=3,AK374="E",AV374&gt;=0.5,AW374=1),PTHealthBY,IF(AND(AT374=3,AK374="E",AV374&gt;=0.5),PTHealthBY*P374,0))))</f>
        <v>0</v>
      </c>
      <c r="BP374" s="462">
        <f>IF(AND(AT374&lt;&gt;0,(AX374+BA374)&gt;=MAXSSDIBY),SSDIBY*MAXSSDIBY*P374,IF(AT374&lt;&gt;0,SSDIBY*W374,0))</f>
        <v>0</v>
      </c>
      <c r="BQ374" s="462">
        <f>IF(AT374&lt;&gt;0,SSHIBY*W374,0)</f>
        <v>0</v>
      </c>
      <c r="BR374" s="462">
        <f>IF(AND(AT374&lt;&gt;0,AN374&lt;&gt;"NE"),VLOOKUP(AN374,Retirement_Rates,4,FALSE)*W374,0)</f>
        <v>0</v>
      </c>
      <c r="BS374" s="462">
        <f>IF(AND(AT374&lt;&gt;0,AJ374&lt;&gt;"PF"),LifeBY*W374,0)</f>
        <v>0</v>
      </c>
      <c r="BT374" s="462">
        <f>IF(AND(AT374&lt;&gt;0,AM374="Y"),UIBY*W374,0)</f>
        <v>0</v>
      </c>
      <c r="BU374" s="462">
        <f>IF(AND(AT374&lt;&gt;0,N374&lt;&gt;"NR"),DHRBY*W374,0)</f>
        <v>0</v>
      </c>
      <c r="BV374" s="462">
        <f>IF(AT374&lt;&gt;0,WCBY*W374,0)</f>
        <v>0</v>
      </c>
      <c r="BW374" s="462">
        <f>IF(OR(AND(AT374&lt;&gt;0,AJ374&lt;&gt;"PF",AN374&lt;&gt;"NE",AG374&lt;&gt;"A"),AND(AL374="E",OR(AT374=1,AT374=3))),SickBY*W374,0)</f>
        <v>0</v>
      </c>
      <c r="BX374" s="462">
        <f t="shared" si="92"/>
        <v>0</v>
      </c>
      <c r="BY374" s="462">
        <f t="shared" si="93"/>
        <v>0</v>
      </c>
      <c r="BZ374" s="462">
        <f t="shared" si="94"/>
        <v>0</v>
      </c>
      <c r="CA374" s="462">
        <f t="shared" si="95"/>
        <v>0</v>
      </c>
      <c r="CB374" s="462">
        <f t="shared" si="96"/>
        <v>0</v>
      </c>
      <c r="CC374" s="462">
        <f>IF(AT374&lt;&gt;0,SSHICHG*Y374,0)</f>
        <v>0</v>
      </c>
      <c r="CD374" s="462">
        <f>IF(AND(AT374&lt;&gt;0,AN374&lt;&gt;"NE"),VLOOKUP(AN374,Retirement_Rates,5,FALSE)*Y374,0)</f>
        <v>0</v>
      </c>
      <c r="CE374" s="462">
        <f>IF(AND(AT374&lt;&gt;0,AJ374&lt;&gt;"PF"),LifeCHG*Y374,0)</f>
        <v>0</v>
      </c>
      <c r="CF374" s="462">
        <f>IF(AND(AT374&lt;&gt;0,AM374="Y"),UICHG*Y374,0)</f>
        <v>0</v>
      </c>
      <c r="CG374" s="462">
        <f>IF(AND(AT374&lt;&gt;0,N374&lt;&gt;"NR"),DHRCHG*Y374,0)</f>
        <v>0</v>
      </c>
      <c r="CH374" s="462">
        <f>IF(AT374&lt;&gt;0,WCCHG*Y374,0)</f>
        <v>0</v>
      </c>
      <c r="CI374" s="462">
        <f>IF(OR(AND(AT374&lt;&gt;0,AJ374&lt;&gt;"PF",AN374&lt;&gt;"NE",AG374&lt;&gt;"A"),AND(AL374="E",OR(AT374=1,AT374=3))),SickCHG*Y374,0)</f>
        <v>0</v>
      </c>
      <c r="CJ374" s="462">
        <f t="shared" si="97"/>
        <v>0</v>
      </c>
      <c r="CK374" s="462" t="str">
        <f t="shared" si="98"/>
        <v/>
      </c>
      <c r="CL374" s="462" t="str">
        <f t="shared" si="99"/>
        <v/>
      </c>
      <c r="CM374" s="462" t="str">
        <f t="shared" si="100"/>
        <v/>
      </c>
      <c r="CN374" s="462" t="str">
        <f t="shared" si="101"/>
        <v>0330-13</v>
      </c>
    </row>
    <row r="375" spans="1:92" ht="15" thickBot="1" x14ac:dyDescent="0.35">
      <c r="A375" s="376" t="s">
        <v>161</v>
      </c>
      <c r="B375" s="376" t="s">
        <v>162</v>
      </c>
      <c r="C375" s="376" t="s">
        <v>775</v>
      </c>
      <c r="D375" s="376" t="s">
        <v>776</v>
      </c>
      <c r="E375" s="376" t="s">
        <v>931</v>
      </c>
      <c r="F375" s="382" t="s">
        <v>964</v>
      </c>
      <c r="G375" s="376" t="s">
        <v>762</v>
      </c>
      <c r="H375" s="378"/>
      <c r="I375" s="378"/>
      <c r="J375" s="376" t="s">
        <v>185</v>
      </c>
      <c r="K375" s="376" t="s">
        <v>777</v>
      </c>
      <c r="L375" s="376" t="s">
        <v>247</v>
      </c>
      <c r="M375" s="376" t="s">
        <v>170</v>
      </c>
      <c r="N375" s="376" t="s">
        <v>202</v>
      </c>
      <c r="O375" s="379">
        <v>1</v>
      </c>
      <c r="P375" s="460">
        <v>0.34</v>
      </c>
      <c r="Q375" s="460">
        <v>0.34</v>
      </c>
      <c r="R375" s="380">
        <v>80</v>
      </c>
      <c r="S375" s="460">
        <v>0.34</v>
      </c>
      <c r="T375" s="380">
        <v>1724.25</v>
      </c>
      <c r="U375" s="380">
        <v>0</v>
      </c>
      <c r="V375" s="380">
        <v>680.97</v>
      </c>
      <c r="W375" s="380">
        <v>22128.28</v>
      </c>
      <c r="X375" s="380">
        <v>8970.16</v>
      </c>
      <c r="Y375" s="380">
        <v>22128.28</v>
      </c>
      <c r="Z375" s="380">
        <v>8912.6299999999992</v>
      </c>
      <c r="AA375" s="376" t="s">
        <v>778</v>
      </c>
      <c r="AB375" s="376" t="s">
        <v>779</v>
      </c>
      <c r="AC375" s="376" t="s">
        <v>780</v>
      </c>
      <c r="AD375" s="376" t="s">
        <v>215</v>
      </c>
      <c r="AE375" s="376" t="s">
        <v>777</v>
      </c>
      <c r="AF375" s="376" t="s">
        <v>299</v>
      </c>
      <c r="AG375" s="376" t="s">
        <v>177</v>
      </c>
      <c r="AH375" s="381">
        <v>31.29</v>
      </c>
      <c r="AI375" s="379">
        <v>3512</v>
      </c>
      <c r="AJ375" s="376" t="s">
        <v>178</v>
      </c>
      <c r="AK375" s="376" t="s">
        <v>179</v>
      </c>
      <c r="AL375" s="376" t="s">
        <v>180</v>
      </c>
      <c r="AM375" s="376" t="s">
        <v>181</v>
      </c>
      <c r="AN375" s="376" t="s">
        <v>68</v>
      </c>
      <c r="AO375" s="379">
        <v>80</v>
      </c>
      <c r="AP375" s="460">
        <v>1</v>
      </c>
      <c r="AQ375" s="460">
        <v>0.34</v>
      </c>
      <c r="AR375" s="458" t="s">
        <v>182</v>
      </c>
      <c r="AS375" s="462">
        <f t="shared" si="85"/>
        <v>0.34</v>
      </c>
      <c r="AT375">
        <f t="shared" si="86"/>
        <v>1</v>
      </c>
      <c r="AU375" s="462">
        <f>IF(AT375=0,"",IF(AND(AT375=1,M375="F",SUMIF(C2:C698,C375,AS2:AS698)&lt;=1),SUMIF(C2:C698,C375,AS2:AS698),IF(AND(AT375=1,M375="F",SUMIF(C2:C698,C375,AS2:AS698)&gt;1),1,"")))</f>
        <v>1</v>
      </c>
      <c r="AV375" s="462" t="str">
        <f>IF(AT375=0,"",IF(AND(AT375=3,M375="F",SUMIF(C2:C698,C375,AS2:AS698)&lt;=1),SUMIF(C2:C698,C375,AS2:AS698),IF(AND(AT375=3,M375="F",SUMIF(C2:C698,C375,AS2:AS698)&gt;1),1,"")))</f>
        <v/>
      </c>
      <c r="AW375" s="462">
        <f>SUMIF(C2:C698,C375,O2:O698)</f>
        <v>3</v>
      </c>
      <c r="AX375" s="462">
        <f>IF(AND(M375="F",AS375&lt;&gt;0),SUMIF(C2:C698,C375,W2:W698),0)</f>
        <v>65083.19</v>
      </c>
      <c r="AY375" s="462">
        <f t="shared" si="87"/>
        <v>22128.28</v>
      </c>
      <c r="AZ375" s="462" t="str">
        <f t="shared" si="88"/>
        <v/>
      </c>
      <c r="BA375" s="462">
        <f t="shared" si="89"/>
        <v>0</v>
      </c>
      <c r="BB375" s="462">
        <f>IF(AND(AT375=1,AK375="E",AU375&gt;=0.75,AW375=1),Health,IF(AND(AT375=1,AK375="E",AU375&gt;=0.75),Health*P375,IF(AND(AT375=1,AK375="E",AU375&gt;=0.5,AW375=1),PTHealth,IF(AND(AT375=1,AK375="E",AU375&gt;=0.5),PTHealth*P375,0))))</f>
        <v>3961.0000000000005</v>
      </c>
      <c r="BC375" s="462">
        <f>IF(AND(AT375=3,AK375="E",AV375&gt;=0.75,AW375=1),Health,IF(AND(AT375=3,AK375="E",AV375&gt;=0.75),Health*P375,IF(AND(AT375=3,AK375="E",AV375&gt;=0.5,AW375=1),PTHealth,IF(AND(AT375=3,AK375="E",AV375&gt;=0.5),PTHealth*P375,0))))</f>
        <v>0</v>
      </c>
      <c r="BD375" s="462">
        <f>IF(AND(AT375&lt;&gt;0,AX375&gt;=MAXSSDI),SSDI*MAXSSDI*P375,IF(AT375&lt;&gt;0,SSDI*W375,0))</f>
        <v>1371.95336</v>
      </c>
      <c r="BE375" s="462">
        <f>IF(AT375&lt;&gt;0,SSHI*W375,0)</f>
        <v>320.86005999999998</v>
      </c>
      <c r="BF375" s="462">
        <f>IF(AND(AT375&lt;&gt;0,AN375&lt;&gt;"NE"),VLOOKUP(AN375,Retirement_Rates,3,FALSE)*W375,0)</f>
        <v>2642.1166320000002</v>
      </c>
      <c r="BG375" s="462">
        <f>IF(AND(AT375&lt;&gt;0,AJ375&lt;&gt;"PF"),Life*W375,0)</f>
        <v>159.5448988</v>
      </c>
      <c r="BH375" s="462">
        <f>IF(AND(AT375&lt;&gt;0,AM375="Y"),UI*W375,0)</f>
        <v>108.42857199999999</v>
      </c>
      <c r="BI375" s="462">
        <f>IF(AND(AT375&lt;&gt;0,N375&lt;&gt;"NR"),DHR*W375,0)</f>
        <v>67.712536799999995</v>
      </c>
      <c r="BJ375" s="462">
        <f>IF(AT375&lt;&gt;0,WC*W375,0)</f>
        <v>338.56268399999999</v>
      </c>
      <c r="BK375" s="462">
        <f>IF(OR(AND(AT375&lt;&gt;0,AJ375&lt;&gt;"PF",AN375&lt;&gt;"NE",AG375&lt;&gt;"A"),AND(AL375="E",OR(AT375=1,AT375=3))),Sick*W375,0)</f>
        <v>0</v>
      </c>
      <c r="BL375" s="462">
        <f t="shared" si="90"/>
        <v>5009.1787435999995</v>
      </c>
      <c r="BM375" s="462">
        <f t="shared" si="91"/>
        <v>0</v>
      </c>
      <c r="BN375" s="462">
        <f>IF(AND(AT375=1,AK375="E",AU375&gt;=0.75,AW375=1),HealthBY,IF(AND(AT375=1,AK375="E",AU375&gt;=0.75),HealthBY*P375,IF(AND(AT375=1,AK375="E",AU375&gt;=0.5,AW375=1),PTHealthBY,IF(AND(AT375=1,AK375="E",AU375&gt;=0.5),PTHealthBY*P375,0))))</f>
        <v>3961.0000000000005</v>
      </c>
      <c r="BO375" s="462">
        <f>IF(AND(AT375=3,AK375="E",AV375&gt;=0.75,AW375=1),HealthBY,IF(AND(AT375=3,AK375="E",AV375&gt;=0.75),HealthBY*P375,IF(AND(AT375=3,AK375="E",AV375&gt;=0.5,AW375=1),PTHealthBY,IF(AND(AT375=3,AK375="E",AV375&gt;=0.5),PTHealthBY*P375,0))))</f>
        <v>0</v>
      </c>
      <c r="BP375" s="462">
        <f>IF(AND(AT375&lt;&gt;0,(AX375+BA375)&gt;=MAXSSDIBY),SSDIBY*MAXSSDIBY*P375,IF(AT375&lt;&gt;0,SSDIBY*W375,0))</f>
        <v>1371.95336</v>
      </c>
      <c r="BQ375" s="462">
        <f>IF(AT375&lt;&gt;0,SSHIBY*W375,0)</f>
        <v>320.86005999999998</v>
      </c>
      <c r="BR375" s="462">
        <f>IF(AND(AT375&lt;&gt;0,AN375&lt;&gt;"NE"),VLOOKUP(AN375,Retirement_Rates,4,FALSE)*W375,0)</f>
        <v>2642.1166320000002</v>
      </c>
      <c r="BS375" s="462">
        <f>IF(AND(AT375&lt;&gt;0,AJ375&lt;&gt;"PF"),LifeBY*W375,0)</f>
        <v>159.5448988</v>
      </c>
      <c r="BT375" s="462">
        <f>IF(AND(AT375&lt;&gt;0,AM375="Y"),UIBY*W375,0)</f>
        <v>0</v>
      </c>
      <c r="BU375" s="462">
        <f>IF(AND(AT375&lt;&gt;0,N375&lt;&gt;"NR"),DHRBY*W375,0)</f>
        <v>67.712536799999995</v>
      </c>
      <c r="BV375" s="462">
        <f>IF(AT375&lt;&gt;0,WCBY*W375,0)</f>
        <v>389.45772799999997</v>
      </c>
      <c r="BW375" s="462">
        <f>IF(OR(AND(AT375&lt;&gt;0,AJ375&lt;&gt;"PF",AN375&lt;&gt;"NE",AG375&lt;&gt;"A"),AND(AL375="E",OR(AT375=1,AT375=3))),SickBY*W375,0)</f>
        <v>0</v>
      </c>
      <c r="BX375" s="462">
        <f t="shared" si="92"/>
        <v>4951.6452155999996</v>
      </c>
      <c r="BY375" s="462">
        <f t="shared" si="93"/>
        <v>0</v>
      </c>
      <c r="BZ375" s="462">
        <f t="shared" si="94"/>
        <v>0</v>
      </c>
      <c r="CA375" s="462">
        <f t="shared" si="95"/>
        <v>0</v>
      </c>
      <c r="CB375" s="462">
        <f t="shared" si="96"/>
        <v>0</v>
      </c>
      <c r="CC375" s="462">
        <f>IF(AT375&lt;&gt;0,SSHICHG*Y375,0)</f>
        <v>0</v>
      </c>
      <c r="CD375" s="462">
        <f>IF(AND(AT375&lt;&gt;0,AN375&lt;&gt;"NE"),VLOOKUP(AN375,Retirement_Rates,5,FALSE)*Y375,0)</f>
        <v>0</v>
      </c>
      <c r="CE375" s="462">
        <f>IF(AND(AT375&lt;&gt;0,AJ375&lt;&gt;"PF"),LifeCHG*Y375,0)</f>
        <v>0</v>
      </c>
      <c r="CF375" s="462">
        <f>IF(AND(AT375&lt;&gt;0,AM375="Y"),UICHG*Y375,0)</f>
        <v>-108.42857199999999</v>
      </c>
      <c r="CG375" s="462">
        <f>IF(AND(AT375&lt;&gt;0,N375&lt;&gt;"NR"),DHRCHG*Y375,0)</f>
        <v>0</v>
      </c>
      <c r="CH375" s="462">
        <f>IF(AT375&lt;&gt;0,WCCHG*Y375,0)</f>
        <v>50.895044000000034</v>
      </c>
      <c r="CI375" s="462">
        <f>IF(OR(AND(AT375&lt;&gt;0,AJ375&lt;&gt;"PF",AN375&lt;&gt;"NE",AG375&lt;&gt;"A"),AND(AL375="E",OR(AT375=1,AT375=3))),SickCHG*Y375,0)</f>
        <v>0</v>
      </c>
      <c r="CJ375" s="462">
        <f t="shared" si="97"/>
        <v>-57.533527999999954</v>
      </c>
      <c r="CK375" s="462" t="str">
        <f t="shared" si="98"/>
        <v/>
      </c>
      <c r="CL375" s="462" t="str">
        <f t="shared" si="99"/>
        <v/>
      </c>
      <c r="CM375" s="462" t="str">
        <f t="shared" si="100"/>
        <v/>
      </c>
      <c r="CN375" s="462" t="str">
        <f t="shared" si="101"/>
        <v>0330-13</v>
      </c>
    </row>
    <row r="376" spans="1:92" ht="15" thickBot="1" x14ac:dyDescent="0.35">
      <c r="A376" s="376" t="s">
        <v>161</v>
      </c>
      <c r="B376" s="376" t="s">
        <v>162</v>
      </c>
      <c r="C376" s="376" t="s">
        <v>830</v>
      </c>
      <c r="D376" s="376" t="s">
        <v>250</v>
      </c>
      <c r="E376" s="376" t="s">
        <v>931</v>
      </c>
      <c r="F376" s="382" t="s">
        <v>964</v>
      </c>
      <c r="G376" s="376" t="s">
        <v>762</v>
      </c>
      <c r="H376" s="378"/>
      <c r="I376" s="378"/>
      <c r="J376" s="376" t="s">
        <v>168</v>
      </c>
      <c r="K376" s="376" t="s">
        <v>407</v>
      </c>
      <c r="L376" s="376" t="s">
        <v>247</v>
      </c>
      <c r="M376" s="376" t="s">
        <v>170</v>
      </c>
      <c r="N376" s="376" t="s">
        <v>202</v>
      </c>
      <c r="O376" s="379">
        <v>1</v>
      </c>
      <c r="P376" s="460">
        <v>1</v>
      </c>
      <c r="Q376" s="460">
        <v>1</v>
      </c>
      <c r="R376" s="380">
        <v>80</v>
      </c>
      <c r="S376" s="460">
        <v>1</v>
      </c>
      <c r="T376" s="380">
        <v>6821.06</v>
      </c>
      <c r="U376" s="380">
        <v>0</v>
      </c>
      <c r="V376" s="380">
        <v>2794.7</v>
      </c>
      <c r="W376" s="380">
        <v>62192</v>
      </c>
      <c r="X376" s="380">
        <v>25728.37</v>
      </c>
      <c r="Y376" s="380">
        <v>62192</v>
      </c>
      <c r="Z376" s="380">
        <v>25566.67</v>
      </c>
      <c r="AA376" s="376" t="s">
        <v>831</v>
      </c>
      <c r="AB376" s="376" t="s">
        <v>832</v>
      </c>
      <c r="AC376" s="376" t="s">
        <v>800</v>
      </c>
      <c r="AD376" s="376" t="s">
        <v>190</v>
      </c>
      <c r="AE376" s="376" t="s">
        <v>407</v>
      </c>
      <c r="AF376" s="376" t="s">
        <v>299</v>
      </c>
      <c r="AG376" s="376" t="s">
        <v>177</v>
      </c>
      <c r="AH376" s="381">
        <v>29.9</v>
      </c>
      <c r="AI376" s="381">
        <v>17156.099999999999</v>
      </c>
      <c r="AJ376" s="376" t="s">
        <v>178</v>
      </c>
      <c r="AK376" s="376" t="s">
        <v>179</v>
      </c>
      <c r="AL376" s="376" t="s">
        <v>180</v>
      </c>
      <c r="AM376" s="376" t="s">
        <v>181</v>
      </c>
      <c r="AN376" s="376" t="s">
        <v>68</v>
      </c>
      <c r="AO376" s="379">
        <v>80</v>
      </c>
      <c r="AP376" s="460">
        <v>1</v>
      </c>
      <c r="AQ376" s="460">
        <v>1</v>
      </c>
      <c r="AR376" s="458" t="s">
        <v>182</v>
      </c>
      <c r="AS376" s="462">
        <f t="shared" si="85"/>
        <v>1</v>
      </c>
      <c r="AT376">
        <f t="shared" si="86"/>
        <v>1</v>
      </c>
      <c r="AU376" s="462">
        <f>IF(AT376=0,"",IF(AND(AT376=1,M376="F",SUMIF(C2:C698,C376,AS2:AS698)&lt;=1),SUMIF(C2:C698,C376,AS2:AS698),IF(AND(AT376=1,M376="F",SUMIF(C2:C698,C376,AS2:AS698)&gt;1),1,"")))</f>
        <v>1</v>
      </c>
      <c r="AV376" s="462" t="str">
        <f>IF(AT376=0,"",IF(AND(AT376=3,M376="F",SUMIF(C2:C698,C376,AS2:AS698)&lt;=1),SUMIF(C2:C698,C376,AS2:AS698),IF(AND(AT376=3,M376="F",SUMIF(C2:C698,C376,AS2:AS698)&gt;1),1,"")))</f>
        <v/>
      </c>
      <c r="AW376" s="462">
        <f>SUMIF(C2:C698,C376,O2:O698)</f>
        <v>3</v>
      </c>
      <c r="AX376" s="462">
        <f>IF(AND(M376="F",AS376&lt;&gt;0),SUMIF(C2:C698,C376,W2:W698),0)</f>
        <v>62192</v>
      </c>
      <c r="AY376" s="462">
        <f t="shared" si="87"/>
        <v>62192</v>
      </c>
      <c r="AZ376" s="462" t="str">
        <f t="shared" si="88"/>
        <v/>
      </c>
      <c r="BA376" s="462">
        <f t="shared" si="89"/>
        <v>0</v>
      </c>
      <c r="BB376" s="462">
        <f>IF(AND(AT376=1,AK376="E",AU376&gt;=0.75,AW376=1),Health,IF(AND(AT376=1,AK376="E",AU376&gt;=0.75),Health*P376,IF(AND(AT376=1,AK376="E",AU376&gt;=0.5,AW376=1),PTHealth,IF(AND(AT376=1,AK376="E",AU376&gt;=0.5),PTHealth*P376,0))))</f>
        <v>11650</v>
      </c>
      <c r="BC376" s="462">
        <f>IF(AND(AT376=3,AK376="E",AV376&gt;=0.75,AW376=1),Health,IF(AND(AT376=3,AK376="E",AV376&gt;=0.75),Health*P376,IF(AND(AT376=3,AK376="E",AV376&gt;=0.5,AW376=1),PTHealth,IF(AND(AT376=3,AK376="E",AV376&gt;=0.5),PTHealth*P376,0))))</f>
        <v>0</v>
      </c>
      <c r="BD376" s="462">
        <f>IF(AND(AT376&lt;&gt;0,AX376&gt;=MAXSSDI),SSDI*MAXSSDI*P376,IF(AT376&lt;&gt;0,SSDI*W376,0))</f>
        <v>3855.904</v>
      </c>
      <c r="BE376" s="462">
        <f>IF(AT376&lt;&gt;0,SSHI*W376,0)</f>
        <v>901.78399999999999</v>
      </c>
      <c r="BF376" s="462">
        <f>IF(AND(AT376&lt;&gt;0,AN376&lt;&gt;"NE"),VLOOKUP(AN376,Retirement_Rates,3,FALSE)*W376,0)</f>
        <v>7425.7248</v>
      </c>
      <c r="BG376" s="462">
        <f>IF(AND(AT376&lt;&gt;0,AJ376&lt;&gt;"PF"),Life*W376,0)</f>
        <v>448.40432000000004</v>
      </c>
      <c r="BH376" s="462">
        <f>IF(AND(AT376&lt;&gt;0,AM376="Y"),UI*W376,0)</f>
        <v>304.74079999999998</v>
      </c>
      <c r="BI376" s="462">
        <f>IF(AND(AT376&lt;&gt;0,N376&lt;&gt;"NR"),DHR*W376,0)</f>
        <v>190.30751999999998</v>
      </c>
      <c r="BJ376" s="462">
        <f>IF(AT376&lt;&gt;0,WC*W376,0)</f>
        <v>951.5376</v>
      </c>
      <c r="BK376" s="462">
        <f>IF(OR(AND(AT376&lt;&gt;0,AJ376&lt;&gt;"PF",AN376&lt;&gt;"NE",AG376&lt;&gt;"A"),AND(AL376="E",OR(AT376=1,AT376=3))),Sick*W376,0)</f>
        <v>0</v>
      </c>
      <c r="BL376" s="462">
        <f t="shared" si="90"/>
        <v>14078.403039999999</v>
      </c>
      <c r="BM376" s="462">
        <f t="shared" si="91"/>
        <v>0</v>
      </c>
      <c r="BN376" s="462">
        <f>IF(AND(AT376=1,AK376="E",AU376&gt;=0.75,AW376=1),HealthBY,IF(AND(AT376=1,AK376="E",AU376&gt;=0.75),HealthBY*P376,IF(AND(AT376=1,AK376="E",AU376&gt;=0.5,AW376=1),PTHealthBY,IF(AND(AT376=1,AK376="E",AU376&gt;=0.5),PTHealthBY*P376,0))))</f>
        <v>11650</v>
      </c>
      <c r="BO376" s="462">
        <f>IF(AND(AT376=3,AK376="E",AV376&gt;=0.75,AW376=1),HealthBY,IF(AND(AT376=3,AK376="E",AV376&gt;=0.75),HealthBY*P376,IF(AND(AT376=3,AK376="E",AV376&gt;=0.5,AW376=1),PTHealthBY,IF(AND(AT376=3,AK376="E",AV376&gt;=0.5),PTHealthBY*P376,0))))</f>
        <v>0</v>
      </c>
      <c r="BP376" s="462">
        <f>IF(AND(AT376&lt;&gt;0,(AX376+BA376)&gt;=MAXSSDIBY),SSDIBY*MAXSSDIBY*P376,IF(AT376&lt;&gt;0,SSDIBY*W376,0))</f>
        <v>3855.904</v>
      </c>
      <c r="BQ376" s="462">
        <f>IF(AT376&lt;&gt;0,SSHIBY*W376,0)</f>
        <v>901.78399999999999</v>
      </c>
      <c r="BR376" s="462">
        <f>IF(AND(AT376&lt;&gt;0,AN376&lt;&gt;"NE"),VLOOKUP(AN376,Retirement_Rates,4,FALSE)*W376,0)</f>
        <v>7425.7248</v>
      </c>
      <c r="BS376" s="462">
        <f>IF(AND(AT376&lt;&gt;0,AJ376&lt;&gt;"PF"),LifeBY*W376,0)</f>
        <v>448.40432000000004</v>
      </c>
      <c r="BT376" s="462">
        <f>IF(AND(AT376&lt;&gt;0,AM376="Y"),UIBY*W376,0)</f>
        <v>0</v>
      </c>
      <c r="BU376" s="462">
        <f>IF(AND(AT376&lt;&gt;0,N376&lt;&gt;"NR"),DHRBY*W376,0)</f>
        <v>190.30751999999998</v>
      </c>
      <c r="BV376" s="462">
        <f>IF(AT376&lt;&gt;0,WCBY*W376,0)</f>
        <v>1094.5792000000001</v>
      </c>
      <c r="BW376" s="462">
        <f>IF(OR(AND(AT376&lt;&gt;0,AJ376&lt;&gt;"PF",AN376&lt;&gt;"NE",AG376&lt;&gt;"A"),AND(AL376="E",OR(AT376=1,AT376=3))),SickBY*W376,0)</f>
        <v>0</v>
      </c>
      <c r="BX376" s="462">
        <f t="shared" si="92"/>
        <v>13916.70384</v>
      </c>
      <c r="BY376" s="462">
        <f t="shared" si="93"/>
        <v>0</v>
      </c>
      <c r="BZ376" s="462">
        <f t="shared" si="94"/>
        <v>0</v>
      </c>
      <c r="CA376" s="462">
        <f t="shared" si="95"/>
        <v>0</v>
      </c>
      <c r="CB376" s="462">
        <f t="shared" si="96"/>
        <v>0</v>
      </c>
      <c r="CC376" s="462">
        <f>IF(AT376&lt;&gt;0,SSHICHG*Y376,0)</f>
        <v>0</v>
      </c>
      <c r="CD376" s="462">
        <f>IF(AND(AT376&lt;&gt;0,AN376&lt;&gt;"NE"),VLOOKUP(AN376,Retirement_Rates,5,FALSE)*Y376,0)</f>
        <v>0</v>
      </c>
      <c r="CE376" s="462">
        <f>IF(AND(AT376&lt;&gt;0,AJ376&lt;&gt;"PF"),LifeCHG*Y376,0)</f>
        <v>0</v>
      </c>
      <c r="CF376" s="462">
        <f>IF(AND(AT376&lt;&gt;0,AM376="Y"),UICHG*Y376,0)</f>
        <v>-304.74079999999998</v>
      </c>
      <c r="CG376" s="462">
        <f>IF(AND(AT376&lt;&gt;0,N376&lt;&gt;"NR"),DHRCHG*Y376,0)</f>
        <v>0</v>
      </c>
      <c r="CH376" s="462">
        <f>IF(AT376&lt;&gt;0,WCCHG*Y376,0)</f>
        <v>143.0416000000001</v>
      </c>
      <c r="CI376" s="462">
        <f>IF(OR(AND(AT376&lt;&gt;0,AJ376&lt;&gt;"PF",AN376&lt;&gt;"NE",AG376&lt;&gt;"A"),AND(AL376="E",OR(AT376=1,AT376=3))),SickCHG*Y376,0)</f>
        <v>0</v>
      </c>
      <c r="CJ376" s="462">
        <f t="shared" si="97"/>
        <v>-161.69919999999988</v>
      </c>
      <c r="CK376" s="462" t="str">
        <f t="shared" si="98"/>
        <v/>
      </c>
      <c r="CL376" s="462" t="str">
        <f t="shared" si="99"/>
        <v/>
      </c>
      <c r="CM376" s="462" t="str">
        <f t="shared" si="100"/>
        <v/>
      </c>
      <c r="CN376" s="462" t="str">
        <f t="shared" si="101"/>
        <v>0330-13</v>
      </c>
    </row>
    <row r="377" spans="1:92" ht="15" thickBot="1" x14ac:dyDescent="0.35">
      <c r="A377" s="376" t="s">
        <v>161</v>
      </c>
      <c r="B377" s="376" t="s">
        <v>162</v>
      </c>
      <c r="C377" s="376" t="s">
        <v>971</v>
      </c>
      <c r="D377" s="376" t="s">
        <v>765</v>
      </c>
      <c r="E377" s="376" t="s">
        <v>931</v>
      </c>
      <c r="F377" s="382" t="s">
        <v>964</v>
      </c>
      <c r="G377" s="376" t="s">
        <v>762</v>
      </c>
      <c r="H377" s="378"/>
      <c r="I377" s="378"/>
      <c r="J377" s="376" t="s">
        <v>168</v>
      </c>
      <c r="K377" s="376" t="s">
        <v>766</v>
      </c>
      <c r="L377" s="376" t="s">
        <v>166</v>
      </c>
      <c r="M377" s="376" t="s">
        <v>170</v>
      </c>
      <c r="N377" s="376" t="s">
        <v>291</v>
      </c>
      <c r="O377" s="379">
        <v>0</v>
      </c>
      <c r="P377" s="460">
        <v>1</v>
      </c>
      <c r="Q377" s="460">
        <v>0</v>
      </c>
      <c r="R377" s="380">
        <v>0</v>
      </c>
      <c r="S377" s="460">
        <v>0</v>
      </c>
      <c r="T377" s="380">
        <v>435</v>
      </c>
      <c r="U377" s="380">
        <v>0</v>
      </c>
      <c r="V377" s="380">
        <v>69.31</v>
      </c>
      <c r="W377" s="380">
        <v>435</v>
      </c>
      <c r="X377" s="380">
        <v>69.31</v>
      </c>
      <c r="Y377" s="380">
        <v>435</v>
      </c>
      <c r="Z377" s="380">
        <v>69.31</v>
      </c>
      <c r="AA377" s="378"/>
      <c r="AB377" s="376" t="s">
        <v>45</v>
      </c>
      <c r="AC377" s="376" t="s">
        <v>45</v>
      </c>
      <c r="AD377" s="378"/>
      <c r="AE377" s="378"/>
      <c r="AF377" s="378"/>
      <c r="AG377" s="378"/>
      <c r="AH377" s="379">
        <v>0</v>
      </c>
      <c r="AI377" s="379">
        <v>0</v>
      </c>
      <c r="AJ377" s="378"/>
      <c r="AK377" s="378"/>
      <c r="AL377" s="376" t="s">
        <v>180</v>
      </c>
      <c r="AM377" s="378"/>
      <c r="AN377" s="378"/>
      <c r="AO377" s="379">
        <v>0</v>
      </c>
      <c r="AP377" s="460">
        <v>0</v>
      </c>
      <c r="AQ377" s="460">
        <v>0</v>
      </c>
      <c r="AR377" s="459"/>
      <c r="AS377" s="462">
        <f t="shared" si="85"/>
        <v>0</v>
      </c>
      <c r="AT377">
        <f t="shared" si="86"/>
        <v>0</v>
      </c>
      <c r="AU377" s="462" t="str">
        <f>IF(AT377=0,"",IF(AND(AT377=1,M377="F",SUMIF(C2:C698,C377,AS2:AS698)&lt;=1),SUMIF(C2:C698,C377,AS2:AS698),IF(AND(AT377=1,M377="F",SUMIF(C2:C698,C377,AS2:AS698)&gt;1),1,"")))</f>
        <v/>
      </c>
      <c r="AV377" s="462" t="str">
        <f>IF(AT377=0,"",IF(AND(AT377=3,M377="F",SUMIF(C2:C698,C377,AS2:AS698)&lt;=1),SUMIF(C2:C698,C377,AS2:AS698),IF(AND(AT377=3,M377="F",SUMIF(C2:C698,C377,AS2:AS698)&gt;1),1,"")))</f>
        <v/>
      </c>
      <c r="AW377" s="462">
        <f>SUMIF(C2:C698,C377,O2:O698)</f>
        <v>0</v>
      </c>
      <c r="AX377" s="462">
        <f>IF(AND(M377="F",AS377&lt;&gt;0),SUMIF(C2:C698,C377,W2:W698),0)</f>
        <v>0</v>
      </c>
      <c r="AY377" s="462" t="str">
        <f t="shared" si="87"/>
        <v/>
      </c>
      <c r="AZ377" s="462" t="str">
        <f t="shared" si="88"/>
        <v/>
      </c>
      <c r="BA377" s="462">
        <f t="shared" si="89"/>
        <v>0</v>
      </c>
      <c r="BB377" s="462">
        <f>IF(AND(AT377=1,AK377="E",AU377&gt;=0.75,AW377=1),Health,IF(AND(AT377=1,AK377="E",AU377&gt;=0.75),Health*P377,IF(AND(AT377=1,AK377="E",AU377&gt;=0.5,AW377=1),PTHealth,IF(AND(AT377=1,AK377="E",AU377&gt;=0.5),PTHealth*P377,0))))</f>
        <v>0</v>
      </c>
      <c r="BC377" s="462">
        <f>IF(AND(AT377=3,AK377="E",AV377&gt;=0.75,AW377=1),Health,IF(AND(AT377=3,AK377="E",AV377&gt;=0.75),Health*P377,IF(AND(AT377=3,AK377="E",AV377&gt;=0.5,AW377=1),PTHealth,IF(AND(AT377=3,AK377="E",AV377&gt;=0.5),PTHealth*P377,0))))</f>
        <v>0</v>
      </c>
      <c r="BD377" s="462">
        <f>IF(AND(AT377&lt;&gt;0,AX377&gt;=MAXSSDI),SSDI*MAXSSDI*P377,IF(AT377&lt;&gt;0,SSDI*W377,0))</f>
        <v>0</v>
      </c>
      <c r="BE377" s="462">
        <f>IF(AT377&lt;&gt;0,SSHI*W377,0)</f>
        <v>0</v>
      </c>
      <c r="BF377" s="462">
        <f>IF(AND(AT377&lt;&gt;0,AN377&lt;&gt;"NE"),VLOOKUP(AN377,Retirement_Rates,3,FALSE)*W377,0)</f>
        <v>0</v>
      </c>
      <c r="BG377" s="462">
        <f>IF(AND(AT377&lt;&gt;0,AJ377&lt;&gt;"PF"),Life*W377,0)</f>
        <v>0</v>
      </c>
      <c r="BH377" s="462">
        <f>IF(AND(AT377&lt;&gt;0,AM377="Y"),UI*W377,0)</f>
        <v>0</v>
      </c>
      <c r="BI377" s="462">
        <f>IF(AND(AT377&lt;&gt;0,N377&lt;&gt;"NR"),DHR*W377,0)</f>
        <v>0</v>
      </c>
      <c r="BJ377" s="462">
        <f>IF(AT377&lt;&gt;0,WC*W377,0)</f>
        <v>0</v>
      </c>
      <c r="BK377" s="462">
        <f>IF(OR(AND(AT377&lt;&gt;0,AJ377&lt;&gt;"PF",AN377&lt;&gt;"NE",AG377&lt;&gt;"A"),AND(AL377="E",OR(AT377=1,AT377=3))),Sick*W377,0)</f>
        <v>0</v>
      </c>
      <c r="BL377" s="462">
        <f t="shared" si="90"/>
        <v>0</v>
      </c>
      <c r="BM377" s="462">
        <f t="shared" si="91"/>
        <v>0</v>
      </c>
      <c r="BN377" s="462">
        <f>IF(AND(AT377=1,AK377="E",AU377&gt;=0.75,AW377=1),HealthBY,IF(AND(AT377=1,AK377="E",AU377&gt;=0.75),HealthBY*P377,IF(AND(AT377=1,AK377="E",AU377&gt;=0.5,AW377=1),PTHealthBY,IF(AND(AT377=1,AK377="E",AU377&gt;=0.5),PTHealthBY*P377,0))))</f>
        <v>0</v>
      </c>
      <c r="BO377" s="462">
        <f>IF(AND(AT377=3,AK377="E",AV377&gt;=0.75,AW377=1),HealthBY,IF(AND(AT377=3,AK377="E",AV377&gt;=0.75),HealthBY*P377,IF(AND(AT377=3,AK377="E",AV377&gt;=0.5,AW377=1),PTHealthBY,IF(AND(AT377=3,AK377="E",AV377&gt;=0.5),PTHealthBY*P377,0))))</f>
        <v>0</v>
      </c>
      <c r="BP377" s="462">
        <f>IF(AND(AT377&lt;&gt;0,(AX377+BA377)&gt;=MAXSSDIBY),SSDIBY*MAXSSDIBY*P377,IF(AT377&lt;&gt;0,SSDIBY*W377,0))</f>
        <v>0</v>
      </c>
      <c r="BQ377" s="462">
        <f>IF(AT377&lt;&gt;0,SSHIBY*W377,0)</f>
        <v>0</v>
      </c>
      <c r="BR377" s="462">
        <f>IF(AND(AT377&lt;&gt;0,AN377&lt;&gt;"NE"),VLOOKUP(AN377,Retirement_Rates,4,FALSE)*W377,0)</f>
        <v>0</v>
      </c>
      <c r="BS377" s="462">
        <f>IF(AND(AT377&lt;&gt;0,AJ377&lt;&gt;"PF"),LifeBY*W377,0)</f>
        <v>0</v>
      </c>
      <c r="BT377" s="462">
        <f>IF(AND(AT377&lt;&gt;0,AM377="Y"),UIBY*W377,0)</f>
        <v>0</v>
      </c>
      <c r="BU377" s="462">
        <f>IF(AND(AT377&lt;&gt;0,N377&lt;&gt;"NR"),DHRBY*W377,0)</f>
        <v>0</v>
      </c>
      <c r="BV377" s="462">
        <f>IF(AT377&lt;&gt;0,WCBY*W377,0)</f>
        <v>0</v>
      </c>
      <c r="BW377" s="462">
        <f>IF(OR(AND(AT377&lt;&gt;0,AJ377&lt;&gt;"PF",AN377&lt;&gt;"NE",AG377&lt;&gt;"A"),AND(AL377="E",OR(AT377=1,AT377=3))),SickBY*W377,0)</f>
        <v>0</v>
      </c>
      <c r="BX377" s="462">
        <f t="shared" si="92"/>
        <v>0</v>
      </c>
      <c r="BY377" s="462">
        <f t="shared" si="93"/>
        <v>0</v>
      </c>
      <c r="BZ377" s="462">
        <f t="shared" si="94"/>
        <v>0</v>
      </c>
      <c r="CA377" s="462">
        <f t="shared" si="95"/>
        <v>0</v>
      </c>
      <c r="CB377" s="462">
        <f t="shared" si="96"/>
        <v>0</v>
      </c>
      <c r="CC377" s="462">
        <f>IF(AT377&lt;&gt;0,SSHICHG*Y377,0)</f>
        <v>0</v>
      </c>
      <c r="CD377" s="462">
        <f>IF(AND(AT377&lt;&gt;0,AN377&lt;&gt;"NE"),VLOOKUP(AN377,Retirement_Rates,5,FALSE)*Y377,0)</f>
        <v>0</v>
      </c>
      <c r="CE377" s="462">
        <f>IF(AND(AT377&lt;&gt;0,AJ377&lt;&gt;"PF"),LifeCHG*Y377,0)</f>
        <v>0</v>
      </c>
      <c r="CF377" s="462">
        <f>IF(AND(AT377&lt;&gt;0,AM377="Y"),UICHG*Y377,0)</f>
        <v>0</v>
      </c>
      <c r="CG377" s="462">
        <f>IF(AND(AT377&lt;&gt;0,N377&lt;&gt;"NR"),DHRCHG*Y377,0)</f>
        <v>0</v>
      </c>
      <c r="CH377" s="462">
        <f>IF(AT377&lt;&gt;0,WCCHG*Y377,0)</f>
        <v>0</v>
      </c>
      <c r="CI377" s="462">
        <f>IF(OR(AND(AT377&lt;&gt;0,AJ377&lt;&gt;"PF",AN377&lt;&gt;"NE",AG377&lt;&gt;"A"),AND(AL377="E",OR(AT377=1,AT377=3))),SickCHG*Y377,0)</f>
        <v>0</v>
      </c>
      <c r="CJ377" s="462">
        <f t="shared" si="97"/>
        <v>0</v>
      </c>
      <c r="CK377" s="462" t="str">
        <f t="shared" si="98"/>
        <v/>
      </c>
      <c r="CL377" s="462">
        <f t="shared" si="99"/>
        <v>435</v>
      </c>
      <c r="CM377" s="462">
        <f t="shared" si="100"/>
        <v>69.31</v>
      </c>
      <c r="CN377" s="462" t="str">
        <f t="shared" si="101"/>
        <v>0330-13</v>
      </c>
    </row>
    <row r="378" spans="1:92" ht="15" thickBot="1" x14ac:dyDescent="0.35">
      <c r="A378" s="376" t="s">
        <v>161</v>
      </c>
      <c r="B378" s="376" t="s">
        <v>162</v>
      </c>
      <c r="C378" s="376" t="s">
        <v>972</v>
      </c>
      <c r="D378" s="376" t="s">
        <v>765</v>
      </c>
      <c r="E378" s="376" t="s">
        <v>931</v>
      </c>
      <c r="F378" s="382" t="s">
        <v>964</v>
      </c>
      <c r="G378" s="376" t="s">
        <v>762</v>
      </c>
      <c r="H378" s="378"/>
      <c r="I378" s="378"/>
      <c r="J378" s="376" t="s">
        <v>168</v>
      </c>
      <c r="K378" s="376" t="s">
        <v>766</v>
      </c>
      <c r="L378" s="376" t="s">
        <v>166</v>
      </c>
      <c r="M378" s="376" t="s">
        <v>201</v>
      </c>
      <c r="N378" s="376" t="s">
        <v>291</v>
      </c>
      <c r="O378" s="379">
        <v>0</v>
      </c>
      <c r="P378" s="460">
        <v>1</v>
      </c>
      <c r="Q378" s="460">
        <v>0</v>
      </c>
      <c r="R378" s="380">
        <v>0</v>
      </c>
      <c r="S378" s="460">
        <v>0</v>
      </c>
      <c r="T378" s="380">
        <v>0</v>
      </c>
      <c r="U378" s="380">
        <v>0</v>
      </c>
      <c r="V378" s="380">
        <v>0</v>
      </c>
      <c r="W378" s="380">
        <v>0</v>
      </c>
      <c r="X378" s="380">
        <v>0</v>
      </c>
      <c r="Y378" s="380">
        <v>0</v>
      </c>
      <c r="Z378" s="380">
        <v>0</v>
      </c>
      <c r="AA378" s="378"/>
      <c r="AB378" s="376" t="s">
        <v>45</v>
      </c>
      <c r="AC378" s="376" t="s">
        <v>45</v>
      </c>
      <c r="AD378" s="378"/>
      <c r="AE378" s="378"/>
      <c r="AF378" s="378"/>
      <c r="AG378" s="378"/>
      <c r="AH378" s="379">
        <v>0</v>
      </c>
      <c r="AI378" s="379">
        <v>0</v>
      </c>
      <c r="AJ378" s="378"/>
      <c r="AK378" s="378"/>
      <c r="AL378" s="376" t="s">
        <v>180</v>
      </c>
      <c r="AM378" s="378"/>
      <c r="AN378" s="378"/>
      <c r="AO378" s="379">
        <v>0</v>
      </c>
      <c r="AP378" s="460">
        <v>0</v>
      </c>
      <c r="AQ378" s="460">
        <v>0</v>
      </c>
      <c r="AR378" s="459"/>
      <c r="AS378" s="462">
        <f t="shared" si="85"/>
        <v>0</v>
      </c>
      <c r="AT378">
        <f t="shared" si="86"/>
        <v>0</v>
      </c>
      <c r="AU378" s="462" t="str">
        <f>IF(AT378=0,"",IF(AND(AT378=1,M378="F",SUMIF(C2:C698,C378,AS2:AS698)&lt;=1),SUMIF(C2:C698,C378,AS2:AS698),IF(AND(AT378=1,M378="F",SUMIF(C2:C698,C378,AS2:AS698)&gt;1),1,"")))</f>
        <v/>
      </c>
      <c r="AV378" s="462" t="str">
        <f>IF(AT378=0,"",IF(AND(AT378=3,M378="F",SUMIF(C2:C698,C378,AS2:AS698)&lt;=1),SUMIF(C2:C698,C378,AS2:AS698),IF(AND(AT378=3,M378="F",SUMIF(C2:C698,C378,AS2:AS698)&gt;1),1,"")))</f>
        <v/>
      </c>
      <c r="AW378" s="462">
        <f>SUMIF(C2:C698,C378,O2:O698)</f>
        <v>0</v>
      </c>
      <c r="AX378" s="462">
        <f>IF(AND(M378="F",AS378&lt;&gt;0),SUMIF(C2:C698,C378,W2:W698),0)</f>
        <v>0</v>
      </c>
      <c r="AY378" s="462" t="str">
        <f t="shared" si="87"/>
        <v/>
      </c>
      <c r="AZ378" s="462" t="str">
        <f t="shared" si="88"/>
        <v/>
      </c>
      <c r="BA378" s="462">
        <f t="shared" si="89"/>
        <v>0</v>
      </c>
      <c r="BB378" s="462">
        <f>IF(AND(AT378=1,AK378="E",AU378&gt;=0.75,AW378=1),Health,IF(AND(AT378=1,AK378="E",AU378&gt;=0.75),Health*P378,IF(AND(AT378=1,AK378="E",AU378&gt;=0.5,AW378=1),PTHealth,IF(AND(AT378=1,AK378="E",AU378&gt;=0.5),PTHealth*P378,0))))</f>
        <v>0</v>
      </c>
      <c r="BC378" s="462">
        <f>IF(AND(AT378=3,AK378="E",AV378&gt;=0.75,AW378=1),Health,IF(AND(AT378=3,AK378="E",AV378&gt;=0.75),Health*P378,IF(AND(AT378=3,AK378="E",AV378&gt;=0.5,AW378=1),PTHealth,IF(AND(AT378=3,AK378="E",AV378&gt;=0.5),PTHealth*P378,0))))</f>
        <v>0</v>
      </c>
      <c r="BD378" s="462">
        <f>IF(AND(AT378&lt;&gt;0,AX378&gt;=MAXSSDI),SSDI*MAXSSDI*P378,IF(AT378&lt;&gt;0,SSDI*W378,0))</f>
        <v>0</v>
      </c>
      <c r="BE378" s="462">
        <f>IF(AT378&lt;&gt;0,SSHI*W378,0)</f>
        <v>0</v>
      </c>
      <c r="BF378" s="462">
        <f>IF(AND(AT378&lt;&gt;0,AN378&lt;&gt;"NE"),VLOOKUP(AN378,Retirement_Rates,3,FALSE)*W378,0)</f>
        <v>0</v>
      </c>
      <c r="BG378" s="462">
        <f>IF(AND(AT378&lt;&gt;0,AJ378&lt;&gt;"PF"),Life*W378,0)</f>
        <v>0</v>
      </c>
      <c r="BH378" s="462">
        <f>IF(AND(AT378&lt;&gt;0,AM378="Y"),UI*W378,0)</f>
        <v>0</v>
      </c>
      <c r="BI378" s="462">
        <f>IF(AND(AT378&lt;&gt;0,N378&lt;&gt;"NR"),DHR*W378,0)</f>
        <v>0</v>
      </c>
      <c r="BJ378" s="462">
        <f>IF(AT378&lt;&gt;0,WC*W378,0)</f>
        <v>0</v>
      </c>
      <c r="BK378" s="462">
        <f>IF(OR(AND(AT378&lt;&gt;0,AJ378&lt;&gt;"PF",AN378&lt;&gt;"NE",AG378&lt;&gt;"A"),AND(AL378="E",OR(AT378=1,AT378=3))),Sick*W378,0)</f>
        <v>0</v>
      </c>
      <c r="BL378" s="462">
        <f t="shared" si="90"/>
        <v>0</v>
      </c>
      <c r="BM378" s="462">
        <f t="shared" si="91"/>
        <v>0</v>
      </c>
      <c r="BN378" s="462">
        <f>IF(AND(AT378=1,AK378="E",AU378&gt;=0.75,AW378=1),HealthBY,IF(AND(AT378=1,AK378="E",AU378&gt;=0.75),HealthBY*P378,IF(AND(AT378=1,AK378="E",AU378&gt;=0.5,AW378=1),PTHealthBY,IF(AND(AT378=1,AK378="E",AU378&gt;=0.5),PTHealthBY*P378,0))))</f>
        <v>0</v>
      </c>
      <c r="BO378" s="462">
        <f>IF(AND(AT378=3,AK378="E",AV378&gt;=0.75,AW378=1),HealthBY,IF(AND(AT378=3,AK378="E",AV378&gt;=0.75),HealthBY*P378,IF(AND(AT378=3,AK378="E",AV378&gt;=0.5,AW378=1),PTHealthBY,IF(AND(AT378=3,AK378="E",AV378&gt;=0.5),PTHealthBY*P378,0))))</f>
        <v>0</v>
      </c>
      <c r="BP378" s="462">
        <f>IF(AND(AT378&lt;&gt;0,(AX378+BA378)&gt;=MAXSSDIBY),SSDIBY*MAXSSDIBY*P378,IF(AT378&lt;&gt;0,SSDIBY*W378,0))</f>
        <v>0</v>
      </c>
      <c r="BQ378" s="462">
        <f>IF(AT378&lt;&gt;0,SSHIBY*W378,0)</f>
        <v>0</v>
      </c>
      <c r="BR378" s="462">
        <f>IF(AND(AT378&lt;&gt;0,AN378&lt;&gt;"NE"),VLOOKUP(AN378,Retirement_Rates,4,FALSE)*W378,0)</f>
        <v>0</v>
      </c>
      <c r="BS378" s="462">
        <f>IF(AND(AT378&lt;&gt;0,AJ378&lt;&gt;"PF"),LifeBY*W378,0)</f>
        <v>0</v>
      </c>
      <c r="BT378" s="462">
        <f>IF(AND(AT378&lt;&gt;0,AM378="Y"),UIBY*W378,0)</f>
        <v>0</v>
      </c>
      <c r="BU378" s="462">
        <f>IF(AND(AT378&lt;&gt;0,N378&lt;&gt;"NR"),DHRBY*W378,0)</f>
        <v>0</v>
      </c>
      <c r="BV378" s="462">
        <f>IF(AT378&lt;&gt;0,WCBY*W378,0)</f>
        <v>0</v>
      </c>
      <c r="BW378" s="462">
        <f>IF(OR(AND(AT378&lt;&gt;0,AJ378&lt;&gt;"PF",AN378&lt;&gt;"NE",AG378&lt;&gt;"A"),AND(AL378="E",OR(AT378=1,AT378=3))),SickBY*W378,0)</f>
        <v>0</v>
      </c>
      <c r="BX378" s="462">
        <f t="shared" si="92"/>
        <v>0</v>
      </c>
      <c r="BY378" s="462">
        <f t="shared" si="93"/>
        <v>0</v>
      </c>
      <c r="BZ378" s="462">
        <f t="shared" si="94"/>
        <v>0</v>
      </c>
      <c r="CA378" s="462">
        <f t="shared" si="95"/>
        <v>0</v>
      </c>
      <c r="CB378" s="462">
        <f t="shared" si="96"/>
        <v>0</v>
      </c>
      <c r="CC378" s="462">
        <f>IF(AT378&lt;&gt;0,SSHICHG*Y378,0)</f>
        <v>0</v>
      </c>
      <c r="CD378" s="462">
        <f>IF(AND(AT378&lt;&gt;0,AN378&lt;&gt;"NE"),VLOOKUP(AN378,Retirement_Rates,5,FALSE)*Y378,0)</f>
        <v>0</v>
      </c>
      <c r="CE378" s="462">
        <f>IF(AND(AT378&lt;&gt;0,AJ378&lt;&gt;"PF"),LifeCHG*Y378,0)</f>
        <v>0</v>
      </c>
      <c r="CF378" s="462">
        <f>IF(AND(AT378&lt;&gt;0,AM378="Y"),UICHG*Y378,0)</f>
        <v>0</v>
      </c>
      <c r="CG378" s="462">
        <f>IF(AND(AT378&lt;&gt;0,N378&lt;&gt;"NR"),DHRCHG*Y378,0)</f>
        <v>0</v>
      </c>
      <c r="CH378" s="462">
        <f>IF(AT378&lt;&gt;0,WCCHG*Y378,0)</f>
        <v>0</v>
      </c>
      <c r="CI378" s="462">
        <f>IF(OR(AND(AT378&lt;&gt;0,AJ378&lt;&gt;"PF",AN378&lt;&gt;"NE",AG378&lt;&gt;"A"),AND(AL378="E",OR(AT378=1,AT378=3))),SickCHG*Y378,0)</f>
        <v>0</v>
      </c>
      <c r="CJ378" s="462">
        <f t="shared" si="97"/>
        <v>0</v>
      </c>
      <c r="CK378" s="462" t="str">
        <f t="shared" si="98"/>
        <v/>
      </c>
      <c r="CL378" s="462">
        <f t="shared" si="99"/>
        <v>0</v>
      </c>
      <c r="CM378" s="462">
        <f t="shared" si="100"/>
        <v>0</v>
      </c>
      <c r="CN378" s="462" t="str">
        <f t="shared" si="101"/>
        <v>0330-13</v>
      </c>
    </row>
    <row r="379" spans="1:92" ht="15" thickBot="1" x14ac:dyDescent="0.35">
      <c r="A379" s="376" t="s">
        <v>161</v>
      </c>
      <c r="B379" s="376" t="s">
        <v>162</v>
      </c>
      <c r="C379" s="376" t="s">
        <v>952</v>
      </c>
      <c r="D379" s="376" t="s">
        <v>250</v>
      </c>
      <c r="E379" s="376" t="s">
        <v>535</v>
      </c>
      <c r="F379" s="382" t="s">
        <v>973</v>
      </c>
      <c r="G379" s="376" t="s">
        <v>762</v>
      </c>
      <c r="H379" s="378"/>
      <c r="I379" s="378"/>
      <c r="J379" s="376" t="s">
        <v>547</v>
      </c>
      <c r="K379" s="376" t="s">
        <v>407</v>
      </c>
      <c r="L379" s="376" t="s">
        <v>247</v>
      </c>
      <c r="M379" s="376" t="s">
        <v>170</v>
      </c>
      <c r="N379" s="376" t="s">
        <v>202</v>
      </c>
      <c r="O379" s="379">
        <v>1</v>
      </c>
      <c r="P379" s="460">
        <v>1</v>
      </c>
      <c r="Q379" s="460">
        <v>1</v>
      </c>
      <c r="R379" s="380">
        <v>80</v>
      </c>
      <c r="S379" s="460">
        <v>1</v>
      </c>
      <c r="T379" s="380">
        <v>60115.199999999997</v>
      </c>
      <c r="U379" s="380">
        <v>0</v>
      </c>
      <c r="V379" s="380">
        <v>23392.31</v>
      </c>
      <c r="W379" s="380">
        <v>62483.199999999997</v>
      </c>
      <c r="X379" s="380">
        <v>25794.27</v>
      </c>
      <c r="Y379" s="380">
        <v>62483.199999999997</v>
      </c>
      <c r="Z379" s="380">
        <v>25631.82</v>
      </c>
      <c r="AA379" s="376" t="s">
        <v>953</v>
      </c>
      <c r="AB379" s="376" t="s">
        <v>954</v>
      </c>
      <c r="AC379" s="376" t="s">
        <v>955</v>
      </c>
      <c r="AD379" s="376" t="s">
        <v>215</v>
      </c>
      <c r="AE379" s="376" t="s">
        <v>407</v>
      </c>
      <c r="AF379" s="376" t="s">
        <v>299</v>
      </c>
      <c r="AG379" s="376" t="s">
        <v>177</v>
      </c>
      <c r="AH379" s="381">
        <v>30.04</v>
      </c>
      <c r="AI379" s="381">
        <v>16345.7</v>
      </c>
      <c r="AJ379" s="376" t="s">
        <v>178</v>
      </c>
      <c r="AK379" s="376" t="s">
        <v>179</v>
      </c>
      <c r="AL379" s="376" t="s">
        <v>180</v>
      </c>
      <c r="AM379" s="376" t="s">
        <v>181</v>
      </c>
      <c r="AN379" s="376" t="s">
        <v>68</v>
      </c>
      <c r="AO379" s="379">
        <v>80</v>
      </c>
      <c r="AP379" s="460">
        <v>1</v>
      </c>
      <c r="AQ379" s="460">
        <v>1</v>
      </c>
      <c r="AR379" s="458" t="s">
        <v>182</v>
      </c>
      <c r="AS379" s="462">
        <f t="shared" si="85"/>
        <v>1</v>
      </c>
      <c r="AT379">
        <f t="shared" si="86"/>
        <v>1</v>
      </c>
      <c r="AU379" s="462">
        <f>IF(AT379=0,"",IF(AND(AT379=1,M379="F",SUMIF(C2:C698,C379,AS2:AS698)&lt;=1),SUMIF(C2:C698,C379,AS2:AS698),IF(AND(AT379=1,M379="F",SUMIF(C2:C698,C379,AS2:AS698)&gt;1),1,"")))</f>
        <v>1</v>
      </c>
      <c r="AV379" s="462" t="str">
        <f>IF(AT379=0,"",IF(AND(AT379=3,M379="F",SUMIF(C2:C698,C379,AS2:AS698)&lt;=1),SUMIF(C2:C698,C379,AS2:AS698),IF(AND(AT379=3,M379="F",SUMIF(C2:C698,C379,AS2:AS698)&gt;1),1,"")))</f>
        <v/>
      </c>
      <c r="AW379" s="462">
        <f>SUMIF(C2:C698,C379,O2:O698)</f>
        <v>2</v>
      </c>
      <c r="AX379" s="462">
        <f>IF(AND(M379="F",AS379&lt;&gt;0),SUMIF(C2:C698,C379,W2:W698),0)</f>
        <v>62483.199999999997</v>
      </c>
      <c r="AY379" s="462">
        <f t="shared" si="87"/>
        <v>62483.199999999997</v>
      </c>
      <c r="AZ379" s="462" t="str">
        <f t="shared" si="88"/>
        <v/>
      </c>
      <c r="BA379" s="462">
        <f t="shared" si="89"/>
        <v>0</v>
      </c>
      <c r="BB379" s="462">
        <f>IF(AND(AT379=1,AK379="E",AU379&gt;=0.75,AW379=1),Health,IF(AND(AT379=1,AK379="E",AU379&gt;=0.75),Health*P379,IF(AND(AT379=1,AK379="E",AU379&gt;=0.5,AW379=1),PTHealth,IF(AND(AT379=1,AK379="E",AU379&gt;=0.5),PTHealth*P379,0))))</f>
        <v>11650</v>
      </c>
      <c r="BC379" s="462">
        <f>IF(AND(AT379=3,AK379="E",AV379&gt;=0.75,AW379=1),Health,IF(AND(AT379=3,AK379="E",AV379&gt;=0.75),Health*P379,IF(AND(AT379=3,AK379="E",AV379&gt;=0.5,AW379=1),PTHealth,IF(AND(AT379=3,AK379="E",AV379&gt;=0.5),PTHealth*P379,0))))</f>
        <v>0</v>
      </c>
      <c r="BD379" s="462">
        <f>IF(AND(AT379&lt;&gt;0,AX379&gt;=MAXSSDI),SSDI*MAXSSDI*P379,IF(AT379&lt;&gt;0,SSDI*W379,0))</f>
        <v>3873.9584</v>
      </c>
      <c r="BE379" s="462">
        <f>IF(AT379&lt;&gt;0,SSHI*W379,0)</f>
        <v>906.00639999999999</v>
      </c>
      <c r="BF379" s="462">
        <f>IF(AND(AT379&lt;&gt;0,AN379&lt;&gt;"NE"),VLOOKUP(AN379,Retirement_Rates,3,FALSE)*W379,0)</f>
        <v>7460.4940800000004</v>
      </c>
      <c r="BG379" s="462">
        <f>IF(AND(AT379&lt;&gt;0,AJ379&lt;&gt;"PF"),Life*W379,0)</f>
        <v>450.503872</v>
      </c>
      <c r="BH379" s="462">
        <f>IF(AND(AT379&lt;&gt;0,AM379="Y"),UI*W379,0)</f>
        <v>306.16767999999996</v>
      </c>
      <c r="BI379" s="462">
        <f>IF(AND(AT379&lt;&gt;0,N379&lt;&gt;"NR"),DHR*W379,0)</f>
        <v>191.19859199999999</v>
      </c>
      <c r="BJ379" s="462">
        <f>IF(AT379&lt;&gt;0,WC*W379,0)</f>
        <v>955.99295999999993</v>
      </c>
      <c r="BK379" s="462">
        <f>IF(OR(AND(AT379&lt;&gt;0,AJ379&lt;&gt;"PF",AN379&lt;&gt;"NE",AG379&lt;&gt;"A"),AND(AL379="E",OR(AT379=1,AT379=3))),Sick*W379,0)</f>
        <v>0</v>
      </c>
      <c r="BL379" s="462">
        <f t="shared" si="90"/>
        <v>14144.321984</v>
      </c>
      <c r="BM379" s="462">
        <f t="shared" si="91"/>
        <v>0</v>
      </c>
      <c r="BN379" s="462">
        <f>IF(AND(AT379=1,AK379="E",AU379&gt;=0.75,AW379=1),HealthBY,IF(AND(AT379=1,AK379="E",AU379&gt;=0.75),HealthBY*P379,IF(AND(AT379=1,AK379="E",AU379&gt;=0.5,AW379=1),PTHealthBY,IF(AND(AT379=1,AK379="E",AU379&gt;=0.5),PTHealthBY*P379,0))))</f>
        <v>11650</v>
      </c>
      <c r="BO379" s="462">
        <f>IF(AND(AT379=3,AK379="E",AV379&gt;=0.75,AW379=1),HealthBY,IF(AND(AT379=3,AK379="E",AV379&gt;=0.75),HealthBY*P379,IF(AND(AT379=3,AK379="E",AV379&gt;=0.5,AW379=1),PTHealthBY,IF(AND(AT379=3,AK379="E",AV379&gt;=0.5),PTHealthBY*P379,0))))</f>
        <v>0</v>
      </c>
      <c r="BP379" s="462">
        <f>IF(AND(AT379&lt;&gt;0,(AX379+BA379)&gt;=MAXSSDIBY),SSDIBY*MAXSSDIBY*P379,IF(AT379&lt;&gt;0,SSDIBY*W379,0))</f>
        <v>3873.9584</v>
      </c>
      <c r="BQ379" s="462">
        <f>IF(AT379&lt;&gt;0,SSHIBY*W379,0)</f>
        <v>906.00639999999999</v>
      </c>
      <c r="BR379" s="462">
        <f>IF(AND(AT379&lt;&gt;0,AN379&lt;&gt;"NE"),VLOOKUP(AN379,Retirement_Rates,4,FALSE)*W379,0)</f>
        <v>7460.4940800000004</v>
      </c>
      <c r="BS379" s="462">
        <f>IF(AND(AT379&lt;&gt;0,AJ379&lt;&gt;"PF"),LifeBY*W379,0)</f>
        <v>450.503872</v>
      </c>
      <c r="BT379" s="462">
        <f>IF(AND(AT379&lt;&gt;0,AM379="Y"),UIBY*W379,0)</f>
        <v>0</v>
      </c>
      <c r="BU379" s="462">
        <f>IF(AND(AT379&lt;&gt;0,N379&lt;&gt;"NR"),DHRBY*W379,0)</f>
        <v>191.19859199999999</v>
      </c>
      <c r="BV379" s="462">
        <f>IF(AT379&lt;&gt;0,WCBY*W379,0)</f>
        <v>1099.7043200000001</v>
      </c>
      <c r="BW379" s="462">
        <f>IF(OR(AND(AT379&lt;&gt;0,AJ379&lt;&gt;"PF",AN379&lt;&gt;"NE",AG379&lt;&gt;"A"),AND(AL379="E",OR(AT379=1,AT379=3))),SickBY*W379,0)</f>
        <v>0</v>
      </c>
      <c r="BX379" s="462">
        <f t="shared" si="92"/>
        <v>13981.865664000001</v>
      </c>
      <c r="BY379" s="462">
        <f t="shared" si="93"/>
        <v>0</v>
      </c>
      <c r="BZ379" s="462">
        <f t="shared" si="94"/>
        <v>0</v>
      </c>
      <c r="CA379" s="462">
        <f t="shared" si="95"/>
        <v>0</v>
      </c>
      <c r="CB379" s="462">
        <f t="shared" si="96"/>
        <v>0</v>
      </c>
      <c r="CC379" s="462">
        <f>IF(AT379&lt;&gt;0,SSHICHG*Y379,0)</f>
        <v>0</v>
      </c>
      <c r="CD379" s="462">
        <f>IF(AND(AT379&lt;&gt;0,AN379&lt;&gt;"NE"),VLOOKUP(AN379,Retirement_Rates,5,FALSE)*Y379,0)</f>
        <v>0</v>
      </c>
      <c r="CE379" s="462">
        <f>IF(AND(AT379&lt;&gt;0,AJ379&lt;&gt;"PF"),LifeCHG*Y379,0)</f>
        <v>0</v>
      </c>
      <c r="CF379" s="462">
        <f>IF(AND(AT379&lt;&gt;0,AM379="Y"),UICHG*Y379,0)</f>
        <v>-306.16767999999996</v>
      </c>
      <c r="CG379" s="462">
        <f>IF(AND(AT379&lt;&gt;0,N379&lt;&gt;"NR"),DHRCHG*Y379,0)</f>
        <v>0</v>
      </c>
      <c r="CH379" s="462">
        <f>IF(AT379&lt;&gt;0,WCCHG*Y379,0)</f>
        <v>143.7113600000001</v>
      </c>
      <c r="CI379" s="462">
        <f>IF(OR(AND(AT379&lt;&gt;0,AJ379&lt;&gt;"PF",AN379&lt;&gt;"NE",AG379&lt;&gt;"A"),AND(AL379="E",OR(AT379=1,AT379=3))),SickCHG*Y379,0)</f>
        <v>0</v>
      </c>
      <c r="CJ379" s="462">
        <f t="shared" si="97"/>
        <v>-162.45631999999986</v>
      </c>
      <c r="CK379" s="462" t="str">
        <f t="shared" si="98"/>
        <v/>
      </c>
      <c r="CL379" s="462" t="str">
        <f t="shared" si="99"/>
        <v/>
      </c>
      <c r="CM379" s="462" t="str">
        <f t="shared" si="100"/>
        <v/>
      </c>
      <c r="CN379" s="462" t="str">
        <f t="shared" si="101"/>
        <v>0332-04</v>
      </c>
    </row>
    <row r="380" spans="1:92" ht="15" thickBot="1" x14ac:dyDescent="0.35">
      <c r="A380" s="376" t="s">
        <v>161</v>
      </c>
      <c r="B380" s="376" t="s">
        <v>162</v>
      </c>
      <c r="C380" s="376" t="s">
        <v>542</v>
      </c>
      <c r="D380" s="376" t="s">
        <v>372</v>
      </c>
      <c r="E380" s="376" t="s">
        <v>535</v>
      </c>
      <c r="F380" s="382" t="s">
        <v>973</v>
      </c>
      <c r="G380" s="376" t="s">
        <v>762</v>
      </c>
      <c r="H380" s="378"/>
      <c r="I380" s="378"/>
      <c r="J380" s="376" t="s">
        <v>168</v>
      </c>
      <c r="K380" s="376" t="s">
        <v>373</v>
      </c>
      <c r="L380" s="376" t="s">
        <v>374</v>
      </c>
      <c r="M380" s="376" t="s">
        <v>170</v>
      </c>
      <c r="N380" s="376" t="s">
        <v>202</v>
      </c>
      <c r="O380" s="379">
        <v>1</v>
      </c>
      <c r="P380" s="460">
        <v>0</v>
      </c>
      <c r="Q380" s="460">
        <v>0</v>
      </c>
      <c r="R380" s="380">
        <v>80</v>
      </c>
      <c r="S380" s="460">
        <v>0</v>
      </c>
      <c r="T380" s="380">
        <v>20072.21</v>
      </c>
      <c r="U380" s="380">
        <v>0</v>
      </c>
      <c r="V380" s="380">
        <v>7024.39</v>
      </c>
      <c r="W380" s="380">
        <v>0</v>
      </c>
      <c r="X380" s="380">
        <v>0</v>
      </c>
      <c r="Y380" s="380">
        <v>0</v>
      </c>
      <c r="Z380" s="380">
        <v>0</v>
      </c>
      <c r="AA380" s="376" t="s">
        <v>543</v>
      </c>
      <c r="AB380" s="376" t="s">
        <v>544</v>
      </c>
      <c r="AC380" s="376" t="s">
        <v>231</v>
      </c>
      <c r="AD380" s="376" t="s">
        <v>545</v>
      </c>
      <c r="AE380" s="376" t="s">
        <v>373</v>
      </c>
      <c r="AF380" s="376" t="s">
        <v>378</v>
      </c>
      <c r="AG380" s="376" t="s">
        <v>177</v>
      </c>
      <c r="AH380" s="381">
        <v>41.69</v>
      </c>
      <c r="AI380" s="381">
        <v>50266.5</v>
      </c>
      <c r="AJ380" s="376" t="s">
        <v>178</v>
      </c>
      <c r="AK380" s="376" t="s">
        <v>179</v>
      </c>
      <c r="AL380" s="376" t="s">
        <v>180</v>
      </c>
      <c r="AM380" s="376" t="s">
        <v>181</v>
      </c>
      <c r="AN380" s="376" t="s">
        <v>68</v>
      </c>
      <c r="AO380" s="379">
        <v>80</v>
      </c>
      <c r="AP380" s="460">
        <v>1</v>
      </c>
      <c r="AQ380" s="460">
        <v>0</v>
      </c>
      <c r="AR380" s="458" t="s">
        <v>182</v>
      </c>
      <c r="AS380" s="462">
        <f t="shared" si="85"/>
        <v>0</v>
      </c>
      <c r="AT380">
        <f t="shared" si="86"/>
        <v>0</v>
      </c>
      <c r="AU380" s="462" t="str">
        <f>IF(AT380=0,"",IF(AND(AT380=1,M380="F",SUMIF(C2:C698,C380,AS2:AS698)&lt;=1),SUMIF(C2:C698,C380,AS2:AS698),IF(AND(AT380=1,M380="F",SUMIF(C2:C698,C380,AS2:AS698)&gt;1),1,"")))</f>
        <v/>
      </c>
      <c r="AV380" s="462" t="str">
        <f>IF(AT380=0,"",IF(AND(AT380=3,M380="F",SUMIF(C2:C698,C380,AS2:AS698)&lt;=1),SUMIF(C2:C698,C380,AS2:AS698),IF(AND(AT380=3,M380="F",SUMIF(C2:C698,C380,AS2:AS698)&gt;1),1,"")))</f>
        <v/>
      </c>
      <c r="AW380" s="462">
        <f>SUMIF(C2:C698,C380,O2:O698)</f>
        <v>6</v>
      </c>
      <c r="AX380" s="462">
        <f>IF(AND(M380="F",AS380&lt;&gt;0),SUMIF(C2:C698,C380,W2:W698),0)</f>
        <v>0</v>
      </c>
      <c r="AY380" s="462" t="str">
        <f t="shared" si="87"/>
        <v/>
      </c>
      <c r="AZ380" s="462" t="str">
        <f t="shared" si="88"/>
        <v/>
      </c>
      <c r="BA380" s="462">
        <f t="shared" si="89"/>
        <v>0</v>
      </c>
      <c r="BB380" s="462">
        <f>IF(AND(AT380=1,AK380="E",AU380&gt;=0.75,AW380=1),Health,IF(AND(AT380=1,AK380="E",AU380&gt;=0.75),Health*P380,IF(AND(AT380=1,AK380="E",AU380&gt;=0.5,AW380=1),PTHealth,IF(AND(AT380=1,AK380="E",AU380&gt;=0.5),PTHealth*P380,0))))</f>
        <v>0</v>
      </c>
      <c r="BC380" s="462">
        <f>IF(AND(AT380=3,AK380="E",AV380&gt;=0.75,AW380=1),Health,IF(AND(AT380=3,AK380="E",AV380&gt;=0.75),Health*P380,IF(AND(AT380=3,AK380="E",AV380&gt;=0.5,AW380=1),PTHealth,IF(AND(AT380=3,AK380="E",AV380&gt;=0.5),PTHealth*P380,0))))</f>
        <v>0</v>
      </c>
      <c r="BD380" s="462">
        <f>IF(AND(AT380&lt;&gt;0,AX380&gt;=MAXSSDI),SSDI*MAXSSDI*P380,IF(AT380&lt;&gt;0,SSDI*W380,0))</f>
        <v>0</v>
      </c>
      <c r="BE380" s="462">
        <f>IF(AT380&lt;&gt;0,SSHI*W380,0)</f>
        <v>0</v>
      </c>
      <c r="BF380" s="462">
        <f>IF(AND(AT380&lt;&gt;0,AN380&lt;&gt;"NE"),VLOOKUP(AN380,Retirement_Rates,3,FALSE)*W380,0)</f>
        <v>0</v>
      </c>
      <c r="BG380" s="462">
        <f>IF(AND(AT380&lt;&gt;0,AJ380&lt;&gt;"PF"),Life*W380,0)</f>
        <v>0</v>
      </c>
      <c r="BH380" s="462">
        <f>IF(AND(AT380&lt;&gt;0,AM380="Y"),UI*W380,0)</f>
        <v>0</v>
      </c>
      <c r="BI380" s="462">
        <f>IF(AND(AT380&lt;&gt;0,N380&lt;&gt;"NR"),DHR*W380,0)</f>
        <v>0</v>
      </c>
      <c r="BJ380" s="462">
        <f>IF(AT380&lt;&gt;0,WC*W380,0)</f>
        <v>0</v>
      </c>
      <c r="BK380" s="462">
        <f>IF(OR(AND(AT380&lt;&gt;0,AJ380&lt;&gt;"PF",AN380&lt;&gt;"NE",AG380&lt;&gt;"A"),AND(AL380="E",OR(AT380=1,AT380=3))),Sick*W380,0)</f>
        <v>0</v>
      </c>
      <c r="BL380" s="462">
        <f t="shared" si="90"/>
        <v>0</v>
      </c>
      <c r="BM380" s="462">
        <f t="shared" si="91"/>
        <v>0</v>
      </c>
      <c r="BN380" s="462">
        <f>IF(AND(AT380=1,AK380="E",AU380&gt;=0.75,AW380=1),HealthBY,IF(AND(AT380=1,AK380="E",AU380&gt;=0.75),HealthBY*P380,IF(AND(AT380=1,AK380="E",AU380&gt;=0.5,AW380=1),PTHealthBY,IF(AND(AT380=1,AK380="E",AU380&gt;=0.5),PTHealthBY*P380,0))))</f>
        <v>0</v>
      </c>
      <c r="BO380" s="462">
        <f>IF(AND(AT380=3,AK380="E",AV380&gt;=0.75,AW380=1),HealthBY,IF(AND(AT380=3,AK380="E",AV380&gt;=0.75),HealthBY*P380,IF(AND(AT380=3,AK380="E",AV380&gt;=0.5,AW380=1),PTHealthBY,IF(AND(AT380=3,AK380="E",AV380&gt;=0.5),PTHealthBY*P380,0))))</f>
        <v>0</v>
      </c>
      <c r="BP380" s="462">
        <f>IF(AND(AT380&lt;&gt;0,(AX380+BA380)&gt;=MAXSSDIBY),SSDIBY*MAXSSDIBY*P380,IF(AT380&lt;&gt;0,SSDIBY*W380,0))</f>
        <v>0</v>
      </c>
      <c r="BQ380" s="462">
        <f>IF(AT380&lt;&gt;0,SSHIBY*W380,0)</f>
        <v>0</v>
      </c>
      <c r="BR380" s="462">
        <f>IF(AND(AT380&lt;&gt;0,AN380&lt;&gt;"NE"),VLOOKUP(AN380,Retirement_Rates,4,FALSE)*W380,0)</f>
        <v>0</v>
      </c>
      <c r="BS380" s="462">
        <f>IF(AND(AT380&lt;&gt;0,AJ380&lt;&gt;"PF"),LifeBY*W380,0)</f>
        <v>0</v>
      </c>
      <c r="BT380" s="462">
        <f>IF(AND(AT380&lt;&gt;0,AM380="Y"),UIBY*W380,0)</f>
        <v>0</v>
      </c>
      <c r="BU380" s="462">
        <f>IF(AND(AT380&lt;&gt;0,N380&lt;&gt;"NR"),DHRBY*W380,0)</f>
        <v>0</v>
      </c>
      <c r="BV380" s="462">
        <f>IF(AT380&lt;&gt;0,WCBY*W380,0)</f>
        <v>0</v>
      </c>
      <c r="BW380" s="462">
        <f>IF(OR(AND(AT380&lt;&gt;0,AJ380&lt;&gt;"PF",AN380&lt;&gt;"NE",AG380&lt;&gt;"A"),AND(AL380="E",OR(AT380=1,AT380=3))),SickBY*W380,0)</f>
        <v>0</v>
      </c>
      <c r="BX380" s="462">
        <f t="shared" si="92"/>
        <v>0</v>
      </c>
      <c r="BY380" s="462">
        <f t="shared" si="93"/>
        <v>0</v>
      </c>
      <c r="BZ380" s="462">
        <f t="shared" si="94"/>
        <v>0</v>
      </c>
      <c r="CA380" s="462">
        <f t="shared" si="95"/>
        <v>0</v>
      </c>
      <c r="CB380" s="462">
        <f t="shared" si="96"/>
        <v>0</v>
      </c>
      <c r="CC380" s="462">
        <f>IF(AT380&lt;&gt;0,SSHICHG*Y380,0)</f>
        <v>0</v>
      </c>
      <c r="CD380" s="462">
        <f>IF(AND(AT380&lt;&gt;0,AN380&lt;&gt;"NE"),VLOOKUP(AN380,Retirement_Rates,5,FALSE)*Y380,0)</f>
        <v>0</v>
      </c>
      <c r="CE380" s="462">
        <f>IF(AND(AT380&lt;&gt;0,AJ380&lt;&gt;"PF"),LifeCHG*Y380,0)</f>
        <v>0</v>
      </c>
      <c r="CF380" s="462">
        <f>IF(AND(AT380&lt;&gt;0,AM380="Y"),UICHG*Y380,0)</f>
        <v>0</v>
      </c>
      <c r="CG380" s="462">
        <f>IF(AND(AT380&lt;&gt;0,N380&lt;&gt;"NR"),DHRCHG*Y380,0)</f>
        <v>0</v>
      </c>
      <c r="CH380" s="462">
        <f>IF(AT380&lt;&gt;0,WCCHG*Y380,0)</f>
        <v>0</v>
      </c>
      <c r="CI380" s="462">
        <f>IF(OR(AND(AT380&lt;&gt;0,AJ380&lt;&gt;"PF",AN380&lt;&gt;"NE",AG380&lt;&gt;"A"),AND(AL380="E",OR(AT380=1,AT380=3))),SickCHG*Y380,0)</f>
        <v>0</v>
      </c>
      <c r="CJ380" s="462">
        <f t="shared" si="97"/>
        <v>0</v>
      </c>
      <c r="CK380" s="462" t="str">
        <f t="shared" si="98"/>
        <v/>
      </c>
      <c r="CL380" s="462" t="str">
        <f t="shared" si="99"/>
        <v/>
      </c>
      <c r="CM380" s="462" t="str">
        <f t="shared" si="100"/>
        <v/>
      </c>
      <c r="CN380" s="462" t="str">
        <f t="shared" si="101"/>
        <v>0332-04</v>
      </c>
    </row>
    <row r="381" spans="1:92" ht="15" thickBot="1" x14ac:dyDescent="0.35">
      <c r="A381" s="376" t="s">
        <v>161</v>
      </c>
      <c r="B381" s="376" t="s">
        <v>162</v>
      </c>
      <c r="C381" s="376" t="s">
        <v>920</v>
      </c>
      <c r="D381" s="376" t="s">
        <v>362</v>
      </c>
      <c r="E381" s="376" t="s">
        <v>535</v>
      </c>
      <c r="F381" s="382" t="s">
        <v>973</v>
      </c>
      <c r="G381" s="376" t="s">
        <v>762</v>
      </c>
      <c r="H381" s="378"/>
      <c r="I381" s="378"/>
      <c r="J381" s="376" t="s">
        <v>877</v>
      </c>
      <c r="K381" s="376" t="s">
        <v>363</v>
      </c>
      <c r="L381" s="376" t="s">
        <v>200</v>
      </c>
      <c r="M381" s="376" t="s">
        <v>170</v>
      </c>
      <c r="N381" s="376" t="s">
        <v>202</v>
      </c>
      <c r="O381" s="379">
        <v>1</v>
      </c>
      <c r="P381" s="460">
        <v>0.35</v>
      </c>
      <c r="Q381" s="460">
        <v>0.35</v>
      </c>
      <c r="R381" s="380">
        <v>80</v>
      </c>
      <c r="S381" s="460">
        <v>0.35</v>
      </c>
      <c r="T381" s="380">
        <v>17991.73</v>
      </c>
      <c r="U381" s="380">
        <v>0</v>
      </c>
      <c r="V381" s="380">
        <v>8628.58</v>
      </c>
      <c r="W381" s="380">
        <v>16380</v>
      </c>
      <c r="X381" s="380">
        <v>7785.43</v>
      </c>
      <c r="Y381" s="380">
        <v>16380</v>
      </c>
      <c r="Z381" s="380">
        <v>7742.84</v>
      </c>
      <c r="AA381" s="376" t="s">
        <v>921</v>
      </c>
      <c r="AB381" s="376" t="s">
        <v>922</v>
      </c>
      <c r="AC381" s="376" t="s">
        <v>486</v>
      </c>
      <c r="AD381" s="376" t="s">
        <v>278</v>
      </c>
      <c r="AE381" s="376" t="s">
        <v>363</v>
      </c>
      <c r="AF381" s="376" t="s">
        <v>210</v>
      </c>
      <c r="AG381" s="376" t="s">
        <v>177</v>
      </c>
      <c r="AH381" s="381">
        <v>22.5</v>
      </c>
      <c r="AI381" s="379">
        <v>6896</v>
      </c>
      <c r="AJ381" s="376" t="s">
        <v>178</v>
      </c>
      <c r="AK381" s="376" t="s">
        <v>179</v>
      </c>
      <c r="AL381" s="376" t="s">
        <v>180</v>
      </c>
      <c r="AM381" s="376" t="s">
        <v>181</v>
      </c>
      <c r="AN381" s="376" t="s">
        <v>68</v>
      </c>
      <c r="AO381" s="379">
        <v>80</v>
      </c>
      <c r="AP381" s="460">
        <v>1</v>
      </c>
      <c r="AQ381" s="460">
        <v>0.35</v>
      </c>
      <c r="AR381" s="458" t="s">
        <v>182</v>
      </c>
      <c r="AS381" s="462">
        <f t="shared" si="85"/>
        <v>0.35</v>
      </c>
      <c r="AT381">
        <f t="shared" si="86"/>
        <v>1</v>
      </c>
      <c r="AU381" s="462">
        <f>IF(AT381=0,"",IF(AND(AT381=1,M381="F",SUMIF(C2:C698,C381,AS2:AS698)&lt;=1),SUMIF(C2:C698,C381,AS2:AS698),IF(AND(AT381=1,M381="F",SUMIF(C2:C698,C381,AS2:AS698)&gt;1),1,"")))</f>
        <v>1</v>
      </c>
      <c r="AV381" s="462" t="str">
        <f>IF(AT381=0,"",IF(AND(AT381=3,M381="F",SUMIF(C2:C698,C381,AS2:AS698)&lt;=1),SUMIF(C2:C698,C381,AS2:AS698),IF(AND(AT381=3,M381="F",SUMIF(C2:C698,C381,AS2:AS698)&gt;1),1,"")))</f>
        <v/>
      </c>
      <c r="AW381" s="462">
        <f>SUMIF(C2:C698,C381,O2:O698)</f>
        <v>6</v>
      </c>
      <c r="AX381" s="462">
        <f>IF(AND(M381="F",AS381&lt;&gt;0),SUMIF(C2:C698,C381,W2:W698),0)</f>
        <v>46800</v>
      </c>
      <c r="AY381" s="462">
        <f t="shared" si="87"/>
        <v>16380</v>
      </c>
      <c r="AZ381" s="462" t="str">
        <f t="shared" si="88"/>
        <v/>
      </c>
      <c r="BA381" s="462">
        <f t="shared" si="89"/>
        <v>0</v>
      </c>
      <c r="BB381" s="462">
        <f>IF(AND(AT381=1,AK381="E",AU381&gt;=0.75,AW381=1),Health,IF(AND(AT381=1,AK381="E",AU381&gt;=0.75),Health*P381,IF(AND(AT381=1,AK381="E",AU381&gt;=0.5,AW381=1),PTHealth,IF(AND(AT381=1,AK381="E",AU381&gt;=0.5),PTHealth*P381,0))))</f>
        <v>4077.4999999999995</v>
      </c>
      <c r="BC381" s="462">
        <f>IF(AND(AT381=3,AK381="E",AV381&gt;=0.75,AW381=1),Health,IF(AND(AT381=3,AK381="E",AV381&gt;=0.75),Health*P381,IF(AND(AT381=3,AK381="E",AV381&gt;=0.5,AW381=1),PTHealth,IF(AND(AT381=3,AK381="E",AV381&gt;=0.5),PTHealth*P381,0))))</f>
        <v>0</v>
      </c>
      <c r="BD381" s="462">
        <f>IF(AND(AT381&lt;&gt;0,AX381&gt;=MAXSSDI),SSDI*MAXSSDI*P381,IF(AT381&lt;&gt;0,SSDI*W381,0))</f>
        <v>1015.56</v>
      </c>
      <c r="BE381" s="462">
        <f>IF(AT381&lt;&gt;0,SSHI*W381,0)</f>
        <v>237.51000000000002</v>
      </c>
      <c r="BF381" s="462">
        <f>IF(AND(AT381&lt;&gt;0,AN381&lt;&gt;"NE"),VLOOKUP(AN381,Retirement_Rates,3,FALSE)*W381,0)</f>
        <v>1955.7720000000002</v>
      </c>
      <c r="BG381" s="462">
        <f>IF(AND(AT381&lt;&gt;0,AJ381&lt;&gt;"PF"),Life*W381,0)</f>
        <v>118.0998</v>
      </c>
      <c r="BH381" s="462">
        <f>IF(AND(AT381&lt;&gt;0,AM381="Y"),UI*W381,0)</f>
        <v>80.262</v>
      </c>
      <c r="BI381" s="462">
        <f>IF(AND(AT381&lt;&gt;0,N381&lt;&gt;"NR"),DHR*W381,0)</f>
        <v>50.122799999999998</v>
      </c>
      <c r="BJ381" s="462">
        <f>IF(AT381&lt;&gt;0,WC*W381,0)</f>
        <v>250.61399999999998</v>
      </c>
      <c r="BK381" s="462">
        <f>IF(OR(AND(AT381&lt;&gt;0,AJ381&lt;&gt;"PF",AN381&lt;&gt;"NE",AG381&lt;&gt;"A"),AND(AL381="E",OR(AT381=1,AT381=3))),Sick*W381,0)</f>
        <v>0</v>
      </c>
      <c r="BL381" s="462">
        <f t="shared" si="90"/>
        <v>3707.9406000000004</v>
      </c>
      <c r="BM381" s="462">
        <f t="shared" si="91"/>
        <v>0</v>
      </c>
      <c r="BN381" s="462">
        <f>IF(AND(AT381=1,AK381="E",AU381&gt;=0.75,AW381=1),HealthBY,IF(AND(AT381=1,AK381="E",AU381&gt;=0.75),HealthBY*P381,IF(AND(AT381=1,AK381="E",AU381&gt;=0.5,AW381=1),PTHealthBY,IF(AND(AT381=1,AK381="E",AU381&gt;=0.5),PTHealthBY*P381,0))))</f>
        <v>4077.4999999999995</v>
      </c>
      <c r="BO381" s="462">
        <f>IF(AND(AT381=3,AK381="E",AV381&gt;=0.75,AW381=1),HealthBY,IF(AND(AT381=3,AK381="E",AV381&gt;=0.75),HealthBY*P381,IF(AND(AT381=3,AK381="E",AV381&gt;=0.5,AW381=1),PTHealthBY,IF(AND(AT381=3,AK381="E",AV381&gt;=0.5),PTHealthBY*P381,0))))</f>
        <v>0</v>
      </c>
      <c r="BP381" s="462">
        <f>IF(AND(AT381&lt;&gt;0,(AX381+BA381)&gt;=MAXSSDIBY),SSDIBY*MAXSSDIBY*P381,IF(AT381&lt;&gt;0,SSDIBY*W381,0))</f>
        <v>1015.56</v>
      </c>
      <c r="BQ381" s="462">
        <f>IF(AT381&lt;&gt;0,SSHIBY*W381,0)</f>
        <v>237.51000000000002</v>
      </c>
      <c r="BR381" s="462">
        <f>IF(AND(AT381&lt;&gt;0,AN381&lt;&gt;"NE"),VLOOKUP(AN381,Retirement_Rates,4,FALSE)*W381,0)</f>
        <v>1955.7720000000002</v>
      </c>
      <c r="BS381" s="462">
        <f>IF(AND(AT381&lt;&gt;0,AJ381&lt;&gt;"PF"),LifeBY*W381,0)</f>
        <v>118.0998</v>
      </c>
      <c r="BT381" s="462">
        <f>IF(AND(AT381&lt;&gt;0,AM381="Y"),UIBY*W381,0)</f>
        <v>0</v>
      </c>
      <c r="BU381" s="462">
        <f>IF(AND(AT381&lt;&gt;0,N381&lt;&gt;"NR"),DHRBY*W381,0)</f>
        <v>50.122799999999998</v>
      </c>
      <c r="BV381" s="462">
        <f>IF(AT381&lt;&gt;0,WCBY*W381,0)</f>
        <v>288.28800000000001</v>
      </c>
      <c r="BW381" s="462">
        <f>IF(OR(AND(AT381&lt;&gt;0,AJ381&lt;&gt;"PF",AN381&lt;&gt;"NE",AG381&lt;&gt;"A"),AND(AL381="E",OR(AT381=1,AT381=3))),SickBY*W381,0)</f>
        <v>0</v>
      </c>
      <c r="BX381" s="462">
        <f t="shared" si="92"/>
        <v>3665.3526000000002</v>
      </c>
      <c r="BY381" s="462">
        <f t="shared" si="93"/>
        <v>0</v>
      </c>
      <c r="BZ381" s="462">
        <f t="shared" si="94"/>
        <v>0</v>
      </c>
      <c r="CA381" s="462">
        <f t="shared" si="95"/>
        <v>0</v>
      </c>
      <c r="CB381" s="462">
        <f t="shared" si="96"/>
        <v>0</v>
      </c>
      <c r="CC381" s="462">
        <f>IF(AT381&lt;&gt;0,SSHICHG*Y381,0)</f>
        <v>0</v>
      </c>
      <c r="CD381" s="462">
        <f>IF(AND(AT381&lt;&gt;0,AN381&lt;&gt;"NE"),VLOOKUP(AN381,Retirement_Rates,5,FALSE)*Y381,0)</f>
        <v>0</v>
      </c>
      <c r="CE381" s="462">
        <f>IF(AND(AT381&lt;&gt;0,AJ381&lt;&gt;"PF"),LifeCHG*Y381,0)</f>
        <v>0</v>
      </c>
      <c r="CF381" s="462">
        <f>IF(AND(AT381&lt;&gt;0,AM381="Y"),UICHG*Y381,0)</f>
        <v>-80.262</v>
      </c>
      <c r="CG381" s="462">
        <f>IF(AND(AT381&lt;&gt;0,N381&lt;&gt;"NR"),DHRCHG*Y381,0)</f>
        <v>0</v>
      </c>
      <c r="CH381" s="462">
        <f>IF(AT381&lt;&gt;0,WCCHG*Y381,0)</f>
        <v>37.674000000000028</v>
      </c>
      <c r="CI381" s="462">
        <f>IF(OR(AND(AT381&lt;&gt;0,AJ381&lt;&gt;"PF",AN381&lt;&gt;"NE",AG381&lt;&gt;"A"),AND(AL381="E",OR(AT381=1,AT381=3))),SickCHG*Y381,0)</f>
        <v>0</v>
      </c>
      <c r="CJ381" s="462">
        <f t="shared" si="97"/>
        <v>-42.587999999999973</v>
      </c>
      <c r="CK381" s="462" t="str">
        <f t="shared" si="98"/>
        <v/>
      </c>
      <c r="CL381" s="462" t="str">
        <f t="shared" si="99"/>
        <v/>
      </c>
      <c r="CM381" s="462" t="str">
        <f t="shared" si="100"/>
        <v/>
      </c>
      <c r="CN381" s="462" t="str">
        <f t="shared" si="101"/>
        <v>0332-04</v>
      </c>
    </row>
    <row r="382" spans="1:92" ht="15" thickBot="1" x14ac:dyDescent="0.35">
      <c r="A382" s="376" t="s">
        <v>161</v>
      </c>
      <c r="B382" s="376" t="s">
        <v>162</v>
      </c>
      <c r="C382" s="376" t="s">
        <v>974</v>
      </c>
      <c r="D382" s="376" t="s">
        <v>287</v>
      </c>
      <c r="E382" s="376" t="s">
        <v>535</v>
      </c>
      <c r="F382" s="382" t="s">
        <v>973</v>
      </c>
      <c r="G382" s="376" t="s">
        <v>762</v>
      </c>
      <c r="H382" s="378"/>
      <c r="I382" s="378"/>
      <c r="J382" s="376" t="s">
        <v>168</v>
      </c>
      <c r="K382" s="376" t="s">
        <v>290</v>
      </c>
      <c r="L382" s="376" t="s">
        <v>166</v>
      </c>
      <c r="M382" s="376" t="s">
        <v>201</v>
      </c>
      <c r="N382" s="376" t="s">
        <v>291</v>
      </c>
      <c r="O382" s="379">
        <v>0</v>
      </c>
      <c r="P382" s="460">
        <v>1</v>
      </c>
      <c r="Q382" s="460">
        <v>0</v>
      </c>
      <c r="R382" s="380">
        <v>0</v>
      </c>
      <c r="S382" s="460">
        <v>0</v>
      </c>
      <c r="T382" s="380">
        <v>0</v>
      </c>
      <c r="U382" s="380">
        <v>0</v>
      </c>
      <c r="V382" s="380">
        <v>0</v>
      </c>
      <c r="W382" s="380">
        <v>0</v>
      </c>
      <c r="X382" s="380">
        <v>0</v>
      </c>
      <c r="Y382" s="380">
        <v>0</v>
      </c>
      <c r="Z382" s="380">
        <v>0</v>
      </c>
      <c r="AA382" s="378"/>
      <c r="AB382" s="376" t="s">
        <v>45</v>
      </c>
      <c r="AC382" s="376" t="s">
        <v>45</v>
      </c>
      <c r="AD382" s="378"/>
      <c r="AE382" s="378"/>
      <c r="AF382" s="378"/>
      <c r="AG382" s="378"/>
      <c r="AH382" s="379">
        <v>0</v>
      </c>
      <c r="AI382" s="379">
        <v>0</v>
      </c>
      <c r="AJ382" s="378"/>
      <c r="AK382" s="378"/>
      <c r="AL382" s="376" t="s">
        <v>180</v>
      </c>
      <c r="AM382" s="378"/>
      <c r="AN382" s="378"/>
      <c r="AO382" s="379">
        <v>0</v>
      </c>
      <c r="AP382" s="460">
        <v>0</v>
      </c>
      <c r="AQ382" s="460">
        <v>0</v>
      </c>
      <c r="AR382" s="459"/>
      <c r="AS382" s="462">
        <f t="shared" si="85"/>
        <v>0</v>
      </c>
      <c r="AT382">
        <f t="shared" si="86"/>
        <v>0</v>
      </c>
      <c r="AU382" s="462" t="str">
        <f>IF(AT382=0,"",IF(AND(AT382=1,M382="F",SUMIF(C2:C698,C382,AS2:AS698)&lt;=1),SUMIF(C2:C698,C382,AS2:AS698),IF(AND(AT382=1,M382="F",SUMIF(C2:C698,C382,AS2:AS698)&gt;1),1,"")))</f>
        <v/>
      </c>
      <c r="AV382" s="462" t="str">
        <f>IF(AT382=0,"",IF(AND(AT382=3,M382="F",SUMIF(C2:C698,C382,AS2:AS698)&lt;=1),SUMIF(C2:C698,C382,AS2:AS698),IF(AND(AT382=3,M382="F",SUMIF(C2:C698,C382,AS2:AS698)&gt;1),1,"")))</f>
        <v/>
      </c>
      <c r="AW382" s="462">
        <f>SUMIF(C2:C698,C382,O2:O698)</f>
        <v>0</v>
      </c>
      <c r="AX382" s="462">
        <f>IF(AND(M382="F",AS382&lt;&gt;0),SUMIF(C2:C698,C382,W2:W698),0)</f>
        <v>0</v>
      </c>
      <c r="AY382" s="462" t="str">
        <f t="shared" si="87"/>
        <v/>
      </c>
      <c r="AZ382" s="462" t="str">
        <f t="shared" si="88"/>
        <v/>
      </c>
      <c r="BA382" s="462">
        <f t="shared" si="89"/>
        <v>0</v>
      </c>
      <c r="BB382" s="462">
        <f>IF(AND(AT382=1,AK382="E",AU382&gt;=0.75,AW382=1),Health,IF(AND(AT382=1,AK382="E",AU382&gt;=0.75),Health*P382,IF(AND(AT382=1,AK382="E",AU382&gt;=0.5,AW382=1),PTHealth,IF(AND(AT382=1,AK382="E",AU382&gt;=0.5),PTHealth*P382,0))))</f>
        <v>0</v>
      </c>
      <c r="BC382" s="462">
        <f>IF(AND(AT382=3,AK382="E",AV382&gt;=0.75,AW382=1),Health,IF(AND(AT382=3,AK382="E",AV382&gt;=0.75),Health*P382,IF(AND(AT382=3,AK382="E",AV382&gt;=0.5,AW382=1),PTHealth,IF(AND(AT382=3,AK382="E",AV382&gt;=0.5),PTHealth*P382,0))))</f>
        <v>0</v>
      </c>
      <c r="BD382" s="462">
        <f>IF(AND(AT382&lt;&gt;0,AX382&gt;=MAXSSDI),SSDI*MAXSSDI*P382,IF(AT382&lt;&gt;0,SSDI*W382,0))</f>
        <v>0</v>
      </c>
      <c r="BE382" s="462">
        <f>IF(AT382&lt;&gt;0,SSHI*W382,0)</f>
        <v>0</v>
      </c>
      <c r="BF382" s="462">
        <f>IF(AND(AT382&lt;&gt;0,AN382&lt;&gt;"NE"),VLOOKUP(AN382,Retirement_Rates,3,FALSE)*W382,0)</f>
        <v>0</v>
      </c>
      <c r="BG382" s="462">
        <f>IF(AND(AT382&lt;&gt;0,AJ382&lt;&gt;"PF"),Life*W382,0)</f>
        <v>0</v>
      </c>
      <c r="BH382" s="462">
        <f>IF(AND(AT382&lt;&gt;0,AM382="Y"),UI*W382,0)</f>
        <v>0</v>
      </c>
      <c r="BI382" s="462">
        <f>IF(AND(AT382&lt;&gt;0,N382&lt;&gt;"NR"),DHR*W382,0)</f>
        <v>0</v>
      </c>
      <c r="BJ382" s="462">
        <f>IF(AT382&lt;&gt;0,WC*W382,0)</f>
        <v>0</v>
      </c>
      <c r="BK382" s="462">
        <f>IF(OR(AND(AT382&lt;&gt;0,AJ382&lt;&gt;"PF",AN382&lt;&gt;"NE",AG382&lt;&gt;"A"),AND(AL382="E",OR(AT382=1,AT382=3))),Sick*W382,0)</f>
        <v>0</v>
      </c>
      <c r="BL382" s="462">
        <f t="shared" si="90"/>
        <v>0</v>
      </c>
      <c r="BM382" s="462">
        <f t="shared" si="91"/>
        <v>0</v>
      </c>
      <c r="BN382" s="462">
        <f>IF(AND(AT382=1,AK382="E",AU382&gt;=0.75,AW382=1),HealthBY,IF(AND(AT382=1,AK382="E",AU382&gt;=0.75),HealthBY*P382,IF(AND(AT382=1,AK382="E",AU382&gt;=0.5,AW382=1),PTHealthBY,IF(AND(AT382=1,AK382="E",AU382&gt;=0.5),PTHealthBY*P382,0))))</f>
        <v>0</v>
      </c>
      <c r="BO382" s="462">
        <f>IF(AND(AT382=3,AK382="E",AV382&gt;=0.75,AW382=1),HealthBY,IF(AND(AT382=3,AK382="E",AV382&gt;=0.75),HealthBY*P382,IF(AND(AT382=3,AK382="E",AV382&gt;=0.5,AW382=1),PTHealthBY,IF(AND(AT382=3,AK382="E",AV382&gt;=0.5),PTHealthBY*P382,0))))</f>
        <v>0</v>
      </c>
      <c r="BP382" s="462">
        <f>IF(AND(AT382&lt;&gt;0,(AX382+BA382)&gt;=MAXSSDIBY),SSDIBY*MAXSSDIBY*P382,IF(AT382&lt;&gt;0,SSDIBY*W382,0))</f>
        <v>0</v>
      </c>
      <c r="BQ382" s="462">
        <f>IF(AT382&lt;&gt;0,SSHIBY*W382,0)</f>
        <v>0</v>
      </c>
      <c r="BR382" s="462">
        <f>IF(AND(AT382&lt;&gt;0,AN382&lt;&gt;"NE"),VLOOKUP(AN382,Retirement_Rates,4,FALSE)*W382,0)</f>
        <v>0</v>
      </c>
      <c r="BS382" s="462">
        <f>IF(AND(AT382&lt;&gt;0,AJ382&lt;&gt;"PF"),LifeBY*W382,0)</f>
        <v>0</v>
      </c>
      <c r="BT382" s="462">
        <f>IF(AND(AT382&lt;&gt;0,AM382="Y"),UIBY*W382,0)</f>
        <v>0</v>
      </c>
      <c r="BU382" s="462">
        <f>IF(AND(AT382&lt;&gt;0,N382&lt;&gt;"NR"),DHRBY*W382,0)</f>
        <v>0</v>
      </c>
      <c r="BV382" s="462">
        <f>IF(AT382&lt;&gt;0,WCBY*W382,0)</f>
        <v>0</v>
      </c>
      <c r="BW382" s="462">
        <f>IF(OR(AND(AT382&lt;&gt;0,AJ382&lt;&gt;"PF",AN382&lt;&gt;"NE",AG382&lt;&gt;"A"),AND(AL382="E",OR(AT382=1,AT382=3))),SickBY*W382,0)</f>
        <v>0</v>
      </c>
      <c r="BX382" s="462">
        <f t="shared" si="92"/>
        <v>0</v>
      </c>
      <c r="BY382" s="462">
        <f t="shared" si="93"/>
        <v>0</v>
      </c>
      <c r="BZ382" s="462">
        <f t="shared" si="94"/>
        <v>0</v>
      </c>
      <c r="CA382" s="462">
        <f t="shared" si="95"/>
        <v>0</v>
      </c>
      <c r="CB382" s="462">
        <f t="shared" si="96"/>
        <v>0</v>
      </c>
      <c r="CC382" s="462">
        <f>IF(AT382&lt;&gt;0,SSHICHG*Y382,0)</f>
        <v>0</v>
      </c>
      <c r="CD382" s="462">
        <f>IF(AND(AT382&lt;&gt;0,AN382&lt;&gt;"NE"),VLOOKUP(AN382,Retirement_Rates,5,FALSE)*Y382,0)</f>
        <v>0</v>
      </c>
      <c r="CE382" s="462">
        <f>IF(AND(AT382&lt;&gt;0,AJ382&lt;&gt;"PF"),LifeCHG*Y382,0)</f>
        <v>0</v>
      </c>
      <c r="CF382" s="462">
        <f>IF(AND(AT382&lt;&gt;0,AM382="Y"),UICHG*Y382,0)</f>
        <v>0</v>
      </c>
      <c r="CG382" s="462">
        <f>IF(AND(AT382&lt;&gt;0,N382&lt;&gt;"NR"),DHRCHG*Y382,0)</f>
        <v>0</v>
      </c>
      <c r="CH382" s="462">
        <f>IF(AT382&lt;&gt;0,WCCHG*Y382,0)</f>
        <v>0</v>
      </c>
      <c r="CI382" s="462">
        <f>IF(OR(AND(AT382&lt;&gt;0,AJ382&lt;&gt;"PF",AN382&lt;&gt;"NE",AG382&lt;&gt;"A"),AND(AL382="E",OR(AT382=1,AT382=3))),SickCHG*Y382,0)</f>
        <v>0</v>
      </c>
      <c r="CJ382" s="462">
        <f t="shared" si="97"/>
        <v>0</v>
      </c>
      <c r="CK382" s="462" t="str">
        <f t="shared" si="98"/>
        <v/>
      </c>
      <c r="CL382" s="462">
        <f t="shared" si="99"/>
        <v>0</v>
      </c>
      <c r="CM382" s="462">
        <f t="shared" si="100"/>
        <v>0</v>
      </c>
      <c r="CN382" s="462" t="str">
        <f t="shared" si="101"/>
        <v>0332-04</v>
      </c>
    </row>
    <row r="383" spans="1:92" ht="15" thickBot="1" x14ac:dyDescent="0.35">
      <c r="A383" s="376" t="s">
        <v>161</v>
      </c>
      <c r="B383" s="376" t="s">
        <v>162</v>
      </c>
      <c r="C383" s="376" t="s">
        <v>789</v>
      </c>
      <c r="D383" s="376" t="s">
        <v>250</v>
      </c>
      <c r="E383" s="376" t="s">
        <v>535</v>
      </c>
      <c r="F383" s="382" t="s">
        <v>973</v>
      </c>
      <c r="G383" s="376" t="s">
        <v>762</v>
      </c>
      <c r="H383" s="378"/>
      <c r="I383" s="378"/>
      <c r="J383" s="376" t="s">
        <v>768</v>
      </c>
      <c r="K383" s="376" t="s">
        <v>407</v>
      </c>
      <c r="L383" s="376" t="s">
        <v>247</v>
      </c>
      <c r="M383" s="376" t="s">
        <v>201</v>
      </c>
      <c r="N383" s="376" t="s">
        <v>202</v>
      </c>
      <c r="O383" s="379">
        <v>0</v>
      </c>
      <c r="P383" s="460">
        <v>0.1</v>
      </c>
      <c r="Q383" s="460">
        <v>0.1</v>
      </c>
      <c r="R383" s="380">
        <v>80</v>
      </c>
      <c r="S383" s="460">
        <v>0.1</v>
      </c>
      <c r="T383" s="380">
        <v>33486.47</v>
      </c>
      <c r="U383" s="380">
        <v>0</v>
      </c>
      <c r="V383" s="380">
        <v>13673.2</v>
      </c>
      <c r="W383" s="380">
        <v>6046.56</v>
      </c>
      <c r="X383" s="380">
        <v>2648.38</v>
      </c>
      <c r="Y383" s="380">
        <v>6046.56</v>
      </c>
      <c r="Z383" s="380">
        <v>2618.16</v>
      </c>
      <c r="AA383" s="378"/>
      <c r="AB383" s="376" t="s">
        <v>45</v>
      </c>
      <c r="AC383" s="376" t="s">
        <v>45</v>
      </c>
      <c r="AD383" s="378"/>
      <c r="AE383" s="378"/>
      <c r="AF383" s="378"/>
      <c r="AG383" s="378"/>
      <c r="AH383" s="379">
        <v>0</v>
      </c>
      <c r="AI383" s="379">
        <v>0</v>
      </c>
      <c r="AJ383" s="378"/>
      <c r="AK383" s="378"/>
      <c r="AL383" s="376" t="s">
        <v>180</v>
      </c>
      <c r="AM383" s="378"/>
      <c r="AN383" s="378"/>
      <c r="AO383" s="379">
        <v>0</v>
      </c>
      <c r="AP383" s="460">
        <v>0</v>
      </c>
      <c r="AQ383" s="460">
        <v>0</v>
      </c>
      <c r="AR383" s="459"/>
      <c r="AS383" s="462">
        <f t="shared" si="85"/>
        <v>0</v>
      </c>
      <c r="AT383">
        <f t="shared" si="86"/>
        <v>0</v>
      </c>
      <c r="AU383" s="462" t="str">
        <f>IF(AT383=0,"",IF(AND(AT383=1,M383="F",SUMIF(C2:C698,C383,AS2:AS698)&lt;=1),SUMIF(C2:C698,C383,AS2:AS698),IF(AND(AT383=1,M383="F",SUMIF(C2:C698,C383,AS2:AS698)&gt;1),1,"")))</f>
        <v/>
      </c>
      <c r="AV383" s="462" t="str">
        <f>IF(AT383=0,"",IF(AND(AT383=3,M383="F",SUMIF(C2:C698,C383,AS2:AS698)&lt;=1),SUMIF(C2:C698,C383,AS2:AS698),IF(AND(AT383=3,M383="F",SUMIF(C2:C698,C383,AS2:AS698)&gt;1),1,"")))</f>
        <v/>
      </c>
      <c r="AW383" s="462">
        <f>SUMIF(C2:C698,C383,O2:O698)</f>
        <v>0</v>
      </c>
      <c r="AX383" s="462">
        <f>IF(AND(M383="F",AS383&lt;&gt;0),SUMIF(C2:C698,C383,W2:W698),0)</f>
        <v>0</v>
      </c>
      <c r="AY383" s="462" t="str">
        <f t="shared" si="87"/>
        <v/>
      </c>
      <c r="AZ383" s="462" t="str">
        <f t="shared" si="88"/>
        <v/>
      </c>
      <c r="BA383" s="462">
        <f t="shared" si="89"/>
        <v>0</v>
      </c>
      <c r="BB383" s="462">
        <f>IF(AND(AT383=1,AK383="E",AU383&gt;=0.75,AW383=1),Health,IF(AND(AT383=1,AK383="E",AU383&gt;=0.75),Health*P383,IF(AND(AT383=1,AK383="E",AU383&gt;=0.5,AW383=1),PTHealth,IF(AND(AT383=1,AK383="E",AU383&gt;=0.5),PTHealth*P383,0))))</f>
        <v>0</v>
      </c>
      <c r="BC383" s="462">
        <f>IF(AND(AT383=3,AK383="E",AV383&gt;=0.75,AW383=1),Health,IF(AND(AT383=3,AK383="E",AV383&gt;=0.75),Health*P383,IF(AND(AT383=3,AK383="E",AV383&gt;=0.5,AW383=1),PTHealth,IF(AND(AT383=3,AK383="E",AV383&gt;=0.5),PTHealth*P383,0))))</f>
        <v>0</v>
      </c>
      <c r="BD383" s="462">
        <f>IF(AND(AT383&lt;&gt;0,AX383&gt;=MAXSSDI),SSDI*MAXSSDI*P383,IF(AT383&lt;&gt;0,SSDI*W383,0))</f>
        <v>0</v>
      </c>
      <c r="BE383" s="462">
        <f>IF(AT383&lt;&gt;0,SSHI*W383,0)</f>
        <v>0</v>
      </c>
      <c r="BF383" s="462">
        <f>IF(AND(AT383&lt;&gt;0,AN383&lt;&gt;"NE"),VLOOKUP(AN383,Retirement_Rates,3,FALSE)*W383,0)</f>
        <v>0</v>
      </c>
      <c r="BG383" s="462">
        <f>IF(AND(AT383&lt;&gt;0,AJ383&lt;&gt;"PF"),Life*W383,0)</f>
        <v>0</v>
      </c>
      <c r="BH383" s="462">
        <f>IF(AND(AT383&lt;&gt;0,AM383="Y"),UI*W383,0)</f>
        <v>0</v>
      </c>
      <c r="BI383" s="462">
        <f>IF(AND(AT383&lt;&gt;0,N383&lt;&gt;"NR"),DHR*W383,0)</f>
        <v>0</v>
      </c>
      <c r="BJ383" s="462">
        <f>IF(AT383&lt;&gt;0,WC*W383,0)</f>
        <v>0</v>
      </c>
      <c r="BK383" s="462">
        <f>IF(OR(AND(AT383&lt;&gt;0,AJ383&lt;&gt;"PF",AN383&lt;&gt;"NE",AG383&lt;&gt;"A"),AND(AL383="E",OR(AT383=1,AT383=3))),Sick*W383,0)</f>
        <v>0</v>
      </c>
      <c r="BL383" s="462">
        <f t="shared" si="90"/>
        <v>0</v>
      </c>
      <c r="BM383" s="462">
        <f t="shared" si="91"/>
        <v>0</v>
      </c>
      <c r="BN383" s="462">
        <f>IF(AND(AT383=1,AK383="E",AU383&gt;=0.75,AW383=1),HealthBY,IF(AND(AT383=1,AK383="E",AU383&gt;=0.75),HealthBY*P383,IF(AND(AT383=1,AK383="E",AU383&gt;=0.5,AW383=1),PTHealthBY,IF(AND(AT383=1,AK383="E",AU383&gt;=0.5),PTHealthBY*P383,0))))</f>
        <v>0</v>
      </c>
      <c r="BO383" s="462">
        <f>IF(AND(AT383=3,AK383="E",AV383&gt;=0.75,AW383=1),HealthBY,IF(AND(AT383=3,AK383="E",AV383&gt;=0.75),HealthBY*P383,IF(AND(AT383=3,AK383="E",AV383&gt;=0.5,AW383=1),PTHealthBY,IF(AND(AT383=3,AK383="E",AV383&gt;=0.5),PTHealthBY*P383,0))))</f>
        <v>0</v>
      </c>
      <c r="BP383" s="462">
        <f>IF(AND(AT383&lt;&gt;0,(AX383+BA383)&gt;=MAXSSDIBY),SSDIBY*MAXSSDIBY*P383,IF(AT383&lt;&gt;0,SSDIBY*W383,0))</f>
        <v>0</v>
      </c>
      <c r="BQ383" s="462">
        <f>IF(AT383&lt;&gt;0,SSHIBY*W383,0)</f>
        <v>0</v>
      </c>
      <c r="BR383" s="462">
        <f>IF(AND(AT383&lt;&gt;0,AN383&lt;&gt;"NE"),VLOOKUP(AN383,Retirement_Rates,4,FALSE)*W383,0)</f>
        <v>0</v>
      </c>
      <c r="BS383" s="462">
        <f>IF(AND(AT383&lt;&gt;0,AJ383&lt;&gt;"PF"),LifeBY*W383,0)</f>
        <v>0</v>
      </c>
      <c r="BT383" s="462">
        <f>IF(AND(AT383&lt;&gt;0,AM383="Y"),UIBY*W383,0)</f>
        <v>0</v>
      </c>
      <c r="BU383" s="462">
        <f>IF(AND(AT383&lt;&gt;0,N383&lt;&gt;"NR"),DHRBY*W383,0)</f>
        <v>0</v>
      </c>
      <c r="BV383" s="462">
        <f>IF(AT383&lt;&gt;0,WCBY*W383,0)</f>
        <v>0</v>
      </c>
      <c r="BW383" s="462">
        <f>IF(OR(AND(AT383&lt;&gt;0,AJ383&lt;&gt;"PF",AN383&lt;&gt;"NE",AG383&lt;&gt;"A"),AND(AL383="E",OR(AT383=1,AT383=3))),SickBY*W383,0)</f>
        <v>0</v>
      </c>
      <c r="BX383" s="462">
        <f t="shared" si="92"/>
        <v>0</v>
      </c>
      <c r="BY383" s="462">
        <f t="shared" si="93"/>
        <v>0</v>
      </c>
      <c r="BZ383" s="462">
        <f t="shared" si="94"/>
        <v>0</v>
      </c>
      <c r="CA383" s="462">
        <f t="shared" si="95"/>
        <v>0</v>
      </c>
      <c r="CB383" s="462">
        <f t="shared" si="96"/>
        <v>0</v>
      </c>
      <c r="CC383" s="462">
        <f>IF(AT383&lt;&gt;0,SSHICHG*Y383,0)</f>
        <v>0</v>
      </c>
      <c r="CD383" s="462">
        <f>IF(AND(AT383&lt;&gt;0,AN383&lt;&gt;"NE"),VLOOKUP(AN383,Retirement_Rates,5,FALSE)*Y383,0)</f>
        <v>0</v>
      </c>
      <c r="CE383" s="462">
        <f>IF(AND(AT383&lt;&gt;0,AJ383&lt;&gt;"PF"),LifeCHG*Y383,0)</f>
        <v>0</v>
      </c>
      <c r="CF383" s="462">
        <f>IF(AND(AT383&lt;&gt;0,AM383="Y"),UICHG*Y383,0)</f>
        <v>0</v>
      </c>
      <c r="CG383" s="462">
        <f>IF(AND(AT383&lt;&gt;0,N383&lt;&gt;"NR"),DHRCHG*Y383,0)</f>
        <v>0</v>
      </c>
      <c r="CH383" s="462">
        <f>IF(AT383&lt;&gt;0,WCCHG*Y383,0)</f>
        <v>0</v>
      </c>
      <c r="CI383" s="462">
        <f>IF(OR(AND(AT383&lt;&gt;0,AJ383&lt;&gt;"PF",AN383&lt;&gt;"NE",AG383&lt;&gt;"A"),AND(AL383="E",OR(AT383=1,AT383=3))),SickCHG*Y383,0)</f>
        <v>0</v>
      </c>
      <c r="CJ383" s="462">
        <f t="shared" si="97"/>
        <v>0</v>
      </c>
      <c r="CK383" s="462" t="str">
        <f t="shared" si="98"/>
        <v/>
      </c>
      <c r="CL383" s="462" t="str">
        <f t="shared" si="99"/>
        <v/>
      </c>
      <c r="CM383" s="462" t="str">
        <f t="shared" si="100"/>
        <v/>
      </c>
      <c r="CN383" s="462" t="str">
        <f t="shared" si="101"/>
        <v>0332-04</v>
      </c>
    </row>
    <row r="384" spans="1:92" ht="15" thickBot="1" x14ac:dyDescent="0.35">
      <c r="A384" s="376" t="s">
        <v>161</v>
      </c>
      <c r="B384" s="376" t="s">
        <v>162</v>
      </c>
      <c r="C384" s="376" t="s">
        <v>923</v>
      </c>
      <c r="D384" s="376" t="s">
        <v>362</v>
      </c>
      <c r="E384" s="376" t="s">
        <v>535</v>
      </c>
      <c r="F384" s="382" t="s">
        <v>973</v>
      </c>
      <c r="G384" s="376" t="s">
        <v>762</v>
      </c>
      <c r="H384" s="378"/>
      <c r="I384" s="378"/>
      <c r="J384" s="376" t="s">
        <v>168</v>
      </c>
      <c r="K384" s="376" t="s">
        <v>363</v>
      </c>
      <c r="L384" s="376" t="s">
        <v>200</v>
      </c>
      <c r="M384" s="376" t="s">
        <v>170</v>
      </c>
      <c r="N384" s="376" t="s">
        <v>202</v>
      </c>
      <c r="O384" s="379">
        <v>1</v>
      </c>
      <c r="P384" s="460">
        <v>1</v>
      </c>
      <c r="Q384" s="460">
        <v>1</v>
      </c>
      <c r="R384" s="380">
        <v>80</v>
      </c>
      <c r="S384" s="460">
        <v>1</v>
      </c>
      <c r="T384" s="380">
        <v>3913.47</v>
      </c>
      <c r="U384" s="380">
        <v>0</v>
      </c>
      <c r="V384" s="380">
        <v>1922.52</v>
      </c>
      <c r="W384" s="380">
        <v>46800</v>
      </c>
      <c r="X384" s="380">
        <v>22244.1</v>
      </c>
      <c r="Y384" s="380">
        <v>46800</v>
      </c>
      <c r="Z384" s="380">
        <v>22122.42</v>
      </c>
      <c r="AA384" s="376" t="s">
        <v>924</v>
      </c>
      <c r="AB384" s="376" t="s">
        <v>925</v>
      </c>
      <c r="AC384" s="376" t="s">
        <v>926</v>
      </c>
      <c r="AD384" s="376" t="s">
        <v>177</v>
      </c>
      <c r="AE384" s="376" t="s">
        <v>363</v>
      </c>
      <c r="AF384" s="376" t="s">
        <v>210</v>
      </c>
      <c r="AG384" s="376" t="s">
        <v>177</v>
      </c>
      <c r="AH384" s="381">
        <v>22.5</v>
      </c>
      <c r="AI384" s="381">
        <v>13298.5</v>
      </c>
      <c r="AJ384" s="376" t="s">
        <v>178</v>
      </c>
      <c r="AK384" s="376" t="s">
        <v>179</v>
      </c>
      <c r="AL384" s="376" t="s">
        <v>180</v>
      </c>
      <c r="AM384" s="376" t="s">
        <v>181</v>
      </c>
      <c r="AN384" s="376" t="s">
        <v>68</v>
      </c>
      <c r="AO384" s="379">
        <v>80</v>
      </c>
      <c r="AP384" s="460">
        <v>1</v>
      </c>
      <c r="AQ384" s="460">
        <v>1</v>
      </c>
      <c r="AR384" s="458" t="s">
        <v>182</v>
      </c>
      <c r="AS384" s="462">
        <f t="shared" si="85"/>
        <v>1</v>
      </c>
      <c r="AT384">
        <f t="shared" si="86"/>
        <v>1</v>
      </c>
      <c r="AU384" s="462">
        <f>IF(AT384=0,"",IF(AND(AT384=1,M384="F",SUMIF(C2:C698,C384,AS2:AS698)&lt;=1),SUMIF(C2:C698,C384,AS2:AS698),IF(AND(AT384=1,M384="F",SUMIF(C2:C698,C384,AS2:AS698)&gt;1),1,"")))</f>
        <v>1</v>
      </c>
      <c r="AV384" s="462" t="str">
        <f>IF(AT384=0,"",IF(AND(AT384=3,M384="F",SUMIF(C2:C698,C384,AS2:AS698)&lt;=1),SUMIF(C2:C698,C384,AS2:AS698),IF(AND(AT384=3,M384="F",SUMIF(C2:C698,C384,AS2:AS698)&gt;1),1,"")))</f>
        <v/>
      </c>
      <c r="AW384" s="462">
        <f>SUMIF(C2:C698,C384,O2:O698)</f>
        <v>9</v>
      </c>
      <c r="AX384" s="462">
        <f>IF(AND(M384="F",AS384&lt;&gt;0),SUMIF(C2:C698,C384,W2:W698),0)</f>
        <v>46800</v>
      </c>
      <c r="AY384" s="462">
        <f t="shared" si="87"/>
        <v>46800</v>
      </c>
      <c r="AZ384" s="462" t="str">
        <f t="shared" si="88"/>
        <v/>
      </c>
      <c r="BA384" s="462">
        <f t="shared" si="89"/>
        <v>0</v>
      </c>
      <c r="BB384" s="462">
        <f>IF(AND(AT384=1,AK384="E",AU384&gt;=0.75,AW384=1),Health,IF(AND(AT384=1,AK384="E",AU384&gt;=0.75),Health*P384,IF(AND(AT384=1,AK384="E",AU384&gt;=0.5,AW384=1),PTHealth,IF(AND(AT384=1,AK384="E",AU384&gt;=0.5),PTHealth*P384,0))))</f>
        <v>11650</v>
      </c>
      <c r="BC384" s="462">
        <f>IF(AND(AT384=3,AK384="E",AV384&gt;=0.75,AW384=1),Health,IF(AND(AT384=3,AK384="E",AV384&gt;=0.75),Health*P384,IF(AND(AT384=3,AK384="E",AV384&gt;=0.5,AW384=1),PTHealth,IF(AND(AT384=3,AK384="E",AV384&gt;=0.5),PTHealth*P384,0))))</f>
        <v>0</v>
      </c>
      <c r="BD384" s="462">
        <f>IF(AND(AT384&lt;&gt;0,AX384&gt;=MAXSSDI),SSDI*MAXSSDI*P384,IF(AT384&lt;&gt;0,SSDI*W384,0))</f>
        <v>2901.6</v>
      </c>
      <c r="BE384" s="462">
        <f>IF(AT384&lt;&gt;0,SSHI*W384,0)</f>
        <v>678.6</v>
      </c>
      <c r="BF384" s="462">
        <f>IF(AND(AT384&lt;&gt;0,AN384&lt;&gt;"NE"),VLOOKUP(AN384,Retirement_Rates,3,FALSE)*W384,0)</f>
        <v>5587.92</v>
      </c>
      <c r="BG384" s="462">
        <f>IF(AND(AT384&lt;&gt;0,AJ384&lt;&gt;"PF"),Life*W384,0)</f>
        <v>337.428</v>
      </c>
      <c r="BH384" s="462">
        <f>IF(AND(AT384&lt;&gt;0,AM384="Y"),UI*W384,0)</f>
        <v>229.32</v>
      </c>
      <c r="BI384" s="462">
        <f>IF(AND(AT384&lt;&gt;0,N384&lt;&gt;"NR"),DHR*W384,0)</f>
        <v>143.208</v>
      </c>
      <c r="BJ384" s="462">
        <f>IF(AT384&lt;&gt;0,WC*W384,0)</f>
        <v>716.04</v>
      </c>
      <c r="BK384" s="462">
        <f>IF(OR(AND(AT384&lt;&gt;0,AJ384&lt;&gt;"PF",AN384&lt;&gt;"NE",AG384&lt;&gt;"A"),AND(AL384="E",OR(AT384=1,AT384=3))),Sick*W384,0)</f>
        <v>0</v>
      </c>
      <c r="BL384" s="462">
        <f t="shared" si="90"/>
        <v>10594.115999999998</v>
      </c>
      <c r="BM384" s="462">
        <f t="shared" si="91"/>
        <v>0</v>
      </c>
      <c r="BN384" s="462">
        <f>IF(AND(AT384=1,AK384="E",AU384&gt;=0.75,AW384=1),HealthBY,IF(AND(AT384=1,AK384="E",AU384&gt;=0.75),HealthBY*P384,IF(AND(AT384=1,AK384="E",AU384&gt;=0.5,AW384=1),PTHealthBY,IF(AND(AT384=1,AK384="E",AU384&gt;=0.5),PTHealthBY*P384,0))))</f>
        <v>11650</v>
      </c>
      <c r="BO384" s="462">
        <f>IF(AND(AT384=3,AK384="E",AV384&gt;=0.75,AW384=1),HealthBY,IF(AND(AT384=3,AK384="E",AV384&gt;=0.75),HealthBY*P384,IF(AND(AT384=3,AK384="E",AV384&gt;=0.5,AW384=1),PTHealthBY,IF(AND(AT384=3,AK384="E",AV384&gt;=0.5),PTHealthBY*P384,0))))</f>
        <v>0</v>
      </c>
      <c r="BP384" s="462">
        <f>IF(AND(AT384&lt;&gt;0,(AX384+BA384)&gt;=MAXSSDIBY),SSDIBY*MAXSSDIBY*P384,IF(AT384&lt;&gt;0,SSDIBY*W384,0))</f>
        <v>2901.6</v>
      </c>
      <c r="BQ384" s="462">
        <f>IF(AT384&lt;&gt;0,SSHIBY*W384,0)</f>
        <v>678.6</v>
      </c>
      <c r="BR384" s="462">
        <f>IF(AND(AT384&lt;&gt;0,AN384&lt;&gt;"NE"),VLOOKUP(AN384,Retirement_Rates,4,FALSE)*W384,0)</f>
        <v>5587.92</v>
      </c>
      <c r="BS384" s="462">
        <f>IF(AND(AT384&lt;&gt;0,AJ384&lt;&gt;"PF"),LifeBY*W384,0)</f>
        <v>337.428</v>
      </c>
      <c r="BT384" s="462">
        <f>IF(AND(AT384&lt;&gt;0,AM384="Y"),UIBY*W384,0)</f>
        <v>0</v>
      </c>
      <c r="BU384" s="462">
        <f>IF(AND(AT384&lt;&gt;0,N384&lt;&gt;"NR"),DHRBY*W384,0)</f>
        <v>143.208</v>
      </c>
      <c r="BV384" s="462">
        <f>IF(AT384&lt;&gt;0,WCBY*W384,0)</f>
        <v>823.68000000000006</v>
      </c>
      <c r="BW384" s="462">
        <f>IF(OR(AND(AT384&lt;&gt;0,AJ384&lt;&gt;"PF",AN384&lt;&gt;"NE",AG384&lt;&gt;"A"),AND(AL384="E",OR(AT384=1,AT384=3))),SickBY*W384,0)</f>
        <v>0</v>
      </c>
      <c r="BX384" s="462">
        <f t="shared" si="92"/>
        <v>10472.436</v>
      </c>
      <c r="BY384" s="462">
        <f t="shared" si="93"/>
        <v>0</v>
      </c>
      <c r="BZ384" s="462">
        <f t="shared" si="94"/>
        <v>0</v>
      </c>
      <c r="CA384" s="462">
        <f t="shared" si="95"/>
        <v>0</v>
      </c>
      <c r="CB384" s="462">
        <f t="shared" si="96"/>
        <v>0</v>
      </c>
      <c r="CC384" s="462">
        <f>IF(AT384&lt;&gt;0,SSHICHG*Y384,0)</f>
        <v>0</v>
      </c>
      <c r="CD384" s="462">
        <f>IF(AND(AT384&lt;&gt;0,AN384&lt;&gt;"NE"),VLOOKUP(AN384,Retirement_Rates,5,FALSE)*Y384,0)</f>
        <v>0</v>
      </c>
      <c r="CE384" s="462">
        <f>IF(AND(AT384&lt;&gt;0,AJ384&lt;&gt;"PF"),LifeCHG*Y384,0)</f>
        <v>0</v>
      </c>
      <c r="CF384" s="462">
        <f>IF(AND(AT384&lt;&gt;0,AM384="Y"),UICHG*Y384,0)</f>
        <v>-229.32</v>
      </c>
      <c r="CG384" s="462">
        <f>IF(AND(AT384&lt;&gt;0,N384&lt;&gt;"NR"),DHRCHG*Y384,0)</f>
        <v>0</v>
      </c>
      <c r="CH384" s="462">
        <f>IF(AT384&lt;&gt;0,WCCHG*Y384,0)</f>
        <v>107.64000000000009</v>
      </c>
      <c r="CI384" s="462">
        <f>IF(OR(AND(AT384&lt;&gt;0,AJ384&lt;&gt;"PF",AN384&lt;&gt;"NE",AG384&lt;&gt;"A"),AND(AL384="E",OR(AT384=1,AT384=3))),SickCHG*Y384,0)</f>
        <v>0</v>
      </c>
      <c r="CJ384" s="462">
        <f t="shared" si="97"/>
        <v>-121.67999999999991</v>
      </c>
      <c r="CK384" s="462" t="str">
        <f t="shared" si="98"/>
        <v/>
      </c>
      <c r="CL384" s="462" t="str">
        <f t="shared" si="99"/>
        <v/>
      </c>
      <c r="CM384" s="462" t="str">
        <f t="shared" si="100"/>
        <v/>
      </c>
      <c r="CN384" s="462" t="str">
        <f t="shared" si="101"/>
        <v>0332-04</v>
      </c>
    </row>
    <row r="385" spans="1:92" ht="15" thickBot="1" x14ac:dyDescent="0.35">
      <c r="A385" s="376" t="s">
        <v>161</v>
      </c>
      <c r="B385" s="376" t="s">
        <v>162</v>
      </c>
      <c r="C385" s="376" t="s">
        <v>928</v>
      </c>
      <c r="D385" s="376" t="s">
        <v>362</v>
      </c>
      <c r="E385" s="376" t="s">
        <v>535</v>
      </c>
      <c r="F385" s="382" t="s">
        <v>973</v>
      </c>
      <c r="G385" s="376" t="s">
        <v>762</v>
      </c>
      <c r="H385" s="378"/>
      <c r="I385" s="378"/>
      <c r="J385" s="376" t="s">
        <v>782</v>
      </c>
      <c r="K385" s="376" t="s">
        <v>363</v>
      </c>
      <c r="L385" s="376" t="s">
        <v>200</v>
      </c>
      <c r="M385" s="376" t="s">
        <v>170</v>
      </c>
      <c r="N385" s="376" t="s">
        <v>202</v>
      </c>
      <c r="O385" s="379">
        <v>1</v>
      </c>
      <c r="P385" s="460">
        <v>0.7</v>
      </c>
      <c r="Q385" s="460">
        <v>0.7</v>
      </c>
      <c r="R385" s="380">
        <v>80</v>
      </c>
      <c r="S385" s="460">
        <v>0.7</v>
      </c>
      <c r="T385" s="380">
        <v>10161.44</v>
      </c>
      <c r="U385" s="380">
        <v>0</v>
      </c>
      <c r="V385" s="380">
        <v>4680.99</v>
      </c>
      <c r="W385" s="380">
        <v>32760</v>
      </c>
      <c r="X385" s="380">
        <v>15570.86</v>
      </c>
      <c r="Y385" s="380">
        <v>32760</v>
      </c>
      <c r="Z385" s="380">
        <v>15485.68</v>
      </c>
      <c r="AA385" s="376" t="s">
        <v>929</v>
      </c>
      <c r="AB385" s="376" t="s">
        <v>409</v>
      </c>
      <c r="AC385" s="376" t="s">
        <v>930</v>
      </c>
      <c r="AD385" s="376" t="s">
        <v>177</v>
      </c>
      <c r="AE385" s="376" t="s">
        <v>363</v>
      </c>
      <c r="AF385" s="376" t="s">
        <v>210</v>
      </c>
      <c r="AG385" s="376" t="s">
        <v>177</v>
      </c>
      <c r="AH385" s="381">
        <v>22.5</v>
      </c>
      <c r="AI385" s="379">
        <v>960</v>
      </c>
      <c r="AJ385" s="376" t="s">
        <v>178</v>
      </c>
      <c r="AK385" s="376" t="s">
        <v>179</v>
      </c>
      <c r="AL385" s="376" t="s">
        <v>180</v>
      </c>
      <c r="AM385" s="376" t="s">
        <v>181</v>
      </c>
      <c r="AN385" s="376" t="s">
        <v>68</v>
      </c>
      <c r="AO385" s="379">
        <v>80</v>
      </c>
      <c r="AP385" s="460">
        <v>1</v>
      </c>
      <c r="AQ385" s="460">
        <v>0.7</v>
      </c>
      <c r="AR385" s="458" t="s">
        <v>182</v>
      </c>
      <c r="AS385" s="462">
        <f t="shared" si="85"/>
        <v>0.7</v>
      </c>
      <c r="AT385">
        <f t="shared" si="86"/>
        <v>1</v>
      </c>
      <c r="AU385" s="462">
        <f>IF(AT385=0,"",IF(AND(AT385=1,M385="F",SUMIF(C2:C698,C385,AS2:AS698)&lt;=1),SUMIF(C2:C698,C385,AS2:AS698),IF(AND(AT385=1,M385="F",SUMIF(C2:C698,C385,AS2:AS698)&gt;1),1,"")))</f>
        <v>1</v>
      </c>
      <c r="AV385" s="462" t="str">
        <f>IF(AT385=0,"",IF(AND(AT385=3,M385="F",SUMIF(C2:C698,C385,AS2:AS698)&lt;=1),SUMIF(C2:C698,C385,AS2:AS698),IF(AND(AT385=3,M385="F",SUMIF(C2:C698,C385,AS2:AS698)&gt;1),1,"")))</f>
        <v/>
      </c>
      <c r="AW385" s="462">
        <f>SUMIF(C2:C698,C385,O2:O698)</f>
        <v>6</v>
      </c>
      <c r="AX385" s="462">
        <f>IF(AND(M385="F",AS385&lt;&gt;0),SUMIF(C2:C698,C385,W2:W698),0)</f>
        <v>46800</v>
      </c>
      <c r="AY385" s="462">
        <f t="shared" si="87"/>
        <v>32760</v>
      </c>
      <c r="AZ385" s="462" t="str">
        <f t="shared" si="88"/>
        <v/>
      </c>
      <c r="BA385" s="462">
        <f t="shared" si="89"/>
        <v>0</v>
      </c>
      <c r="BB385" s="462">
        <f>IF(AND(AT385=1,AK385="E",AU385&gt;=0.75,AW385=1),Health,IF(AND(AT385=1,AK385="E",AU385&gt;=0.75),Health*P385,IF(AND(AT385=1,AK385="E",AU385&gt;=0.5,AW385=1),PTHealth,IF(AND(AT385=1,AK385="E",AU385&gt;=0.5),PTHealth*P385,0))))</f>
        <v>8154.9999999999991</v>
      </c>
      <c r="BC385" s="462">
        <f>IF(AND(AT385=3,AK385="E",AV385&gt;=0.75,AW385=1),Health,IF(AND(AT385=3,AK385="E",AV385&gt;=0.75),Health*P385,IF(AND(AT385=3,AK385="E",AV385&gt;=0.5,AW385=1),PTHealth,IF(AND(AT385=3,AK385="E",AV385&gt;=0.5),PTHealth*P385,0))))</f>
        <v>0</v>
      </c>
      <c r="BD385" s="462">
        <f>IF(AND(AT385&lt;&gt;0,AX385&gt;=MAXSSDI),SSDI*MAXSSDI*P385,IF(AT385&lt;&gt;0,SSDI*W385,0))</f>
        <v>2031.12</v>
      </c>
      <c r="BE385" s="462">
        <f>IF(AT385&lt;&gt;0,SSHI*W385,0)</f>
        <v>475.02000000000004</v>
      </c>
      <c r="BF385" s="462">
        <f>IF(AND(AT385&lt;&gt;0,AN385&lt;&gt;"NE"),VLOOKUP(AN385,Retirement_Rates,3,FALSE)*W385,0)</f>
        <v>3911.5440000000003</v>
      </c>
      <c r="BG385" s="462">
        <f>IF(AND(AT385&lt;&gt;0,AJ385&lt;&gt;"PF"),Life*W385,0)</f>
        <v>236.1996</v>
      </c>
      <c r="BH385" s="462">
        <f>IF(AND(AT385&lt;&gt;0,AM385="Y"),UI*W385,0)</f>
        <v>160.524</v>
      </c>
      <c r="BI385" s="462">
        <f>IF(AND(AT385&lt;&gt;0,N385&lt;&gt;"NR"),DHR*W385,0)</f>
        <v>100.2456</v>
      </c>
      <c r="BJ385" s="462">
        <f>IF(AT385&lt;&gt;0,WC*W385,0)</f>
        <v>501.22799999999995</v>
      </c>
      <c r="BK385" s="462">
        <f>IF(OR(AND(AT385&lt;&gt;0,AJ385&lt;&gt;"PF",AN385&lt;&gt;"NE",AG385&lt;&gt;"A"),AND(AL385="E",OR(AT385=1,AT385=3))),Sick*W385,0)</f>
        <v>0</v>
      </c>
      <c r="BL385" s="462">
        <f t="shared" si="90"/>
        <v>7415.8812000000007</v>
      </c>
      <c r="BM385" s="462">
        <f t="shared" si="91"/>
        <v>0</v>
      </c>
      <c r="BN385" s="462">
        <f>IF(AND(AT385=1,AK385="E",AU385&gt;=0.75,AW385=1),HealthBY,IF(AND(AT385=1,AK385="E",AU385&gt;=0.75),HealthBY*P385,IF(AND(AT385=1,AK385="E",AU385&gt;=0.5,AW385=1),PTHealthBY,IF(AND(AT385=1,AK385="E",AU385&gt;=0.5),PTHealthBY*P385,0))))</f>
        <v>8154.9999999999991</v>
      </c>
      <c r="BO385" s="462">
        <f>IF(AND(AT385=3,AK385="E",AV385&gt;=0.75,AW385=1),HealthBY,IF(AND(AT385=3,AK385="E",AV385&gt;=0.75),HealthBY*P385,IF(AND(AT385=3,AK385="E",AV385&gt;=0.5,AW385=1),PTHealthBY,IF(AND(AT385=3,AK385="E",AV385&gt;=0.5),PTHealthBY*P385,0))))</f>
        <v>0</v>
      </c>
      <c r="BP385" s="462">
        <f>IF(AND(AT385&lt;&gt;0,(AX385+BA385)&gt;=MAXSSDIBY),SSDIBY*MAXSSDIBY*P385,IF(AT385&lt;&gt;0,SSDIBY*W385,0))</f>
        <v>2031.12</v>
      </c>
      <c r="BQ385" s="462">
        <f>IF(AT385&lt;&gt;0,SSHIBY*W385,0)</f>
        <v>475.02000000000004</v>
      </c>
      <c r="BR385" s="462">
        <f>IF(AND(AT385&lt;&gt;0,AN385&lt;&gt;"NE"),VLOOKUP(AN385,Retirement_Rates,4,FALSE)*W385,0)</f>
        <v>3911.5440000000003</v>
      </c>
      <c r="BS385" s="462">
        <f>IF(AND(AT385&lt;&gt;0,AJ385&lt;&gt;"PF"),LifeBY*W385,0)</f>
        <v>236.1996</v>
      </c>
      <c r="BT385" s="462">
        <f>IF(AND(AT385&lt;&gt;0,AM385="Y"),UIBY*W385,0)</f>
        <v>0</v>
      </c>
      <c r="BU385" s="462">
        <f>IF(AND(AT385&lt;&gt;0,N385&lt;&gt;"NR"),DHRBY*W385,0)</f>
        <v>100.2456</v>
      </c>
      <c r="BV385" s="462">
        <f>IF(AT385&lt;&gt;0,WCBY*W385,0)</f>
        <v>576.57600000000002</v>
      </c>
      <c r="BW385" s="462">
        <f>IF(OR(AND(AT385&lt;&gt;0,AJ385&lt;&gt;"PF",AN385&lt;&gt;"NE",AG385&lt;&gt;"A"),AND(AL385="E",OR(AT385=1,AT385=3))),SickBY*W385,0)</f>
        <v>0</v>
      </c>
      <c r="BX385" s="462">
        <f t="shared" si="92"/>
        <v>7330.7052000000003</v>
      </c>
      <c r="BY385" s="462">
        <f t="shared" si="93"/>
        <v>0</v>
      </c>
      <c r="BZ385" s="462">
        <f t="shared" si="94"/>
        <v>0</v>
      </c>
      <c r="CA385" s="462">
        <f t="shared" si="95"/>
        <v>0</v>
      </c>
      <c r="CB385" s="462">
        <f t="shared" si="96"/>
        <v>0</v>
      </c>
      <c r="CC385" s="462">
        <f>IF(AT385&lt;&gt;0,SSHICHG*Y385,0)</f>
        <v>0</v>
      </c>
      <c r="CD385" s="462">
        <f>IF(AND(AT385&lt;&gt;0,AN385&lt;&gt;"NE"),VLOOKUP(AN385,Retirement_Rates,5,FALSE)*Y385,0)</f>
        <v>0</v>
      </c>
      <c r="CE385" s="462">
        <f>IF(AND(AT385&lt;&gt;0,AJ385&lt;&gt;"PF"),LifeCHG*Y385,0)</f>
        <v>0</v>
      </c>
      <c r="CF385" s="462">
        <f>IF(AND(AT385&lt;&gt;0,AM385="Y"),UICHG*Y385,0)</f>
        <v>-160.524</v>
      </c>
      <c r="CG385" s="462">
        <f>IF(AND(AT385&lt;&gt;0,N385&lt;&gt;"NR"),DHRCHG*Y385,0)</f>
        <v>0</v>
      </c>
      <c r="CH385" s="462">
        <f>IF(AT385&lt;&gt;0,WCCHG*Y385,0)</f>
        <v>75.348000000000056</v>
      </c>
      <c r="CI385" s="462">
        <f>IF(OR(AND(AT385&lt;&gt;0,AJ385&lt;&gt;"PF",AN385&lt;&gt;"NE",AG385&lt;&gt;"A"),AND(AL385="E",OR(AT385=1,AT385=3))),SickCHG*Y385,0)</f>
        <v>0</v>
      </c>
      <c r="CJ385" s="462">
        <f t="shared" si="97"/>
        <v>-85.175999999999945</v>
      </c>
      <c r="CK385" s="462" t="str">
        <f t="shared" si="98"/>
        <v/>
      </c>
      <c r="CL385" s="462" t="str">
        <f t="shared" si="99"/>
        <v/>
      </c>
      <c r="CM385" s="462" t="str">
        <f t="shared" si="100"/>
        <v/>
      </c>
      <c r="CN385" s="462" t="str">
        <f t="shared" si="101"/>
        <v>0332-04</v>
      </c>
    </row>
    <row r="386" spans="1:92" ht="15" thickBot="1" x14ac:dyDescent="0.35">
      <c r="A386" s="376" t="s">
        <v>161</v>
      </c>
      <c r="B386" s="376" t="s">
        <v>162</v>
      </c>
      <c r="C386" s="376" t="s">
        <v>767</v>
      </c>
      <c r="D386" s="376" t="s">
        <v>362</v>
      </c>
      <c r="E386" s="376" t="s">
        <v>535</v>
      </c>
      <c r="F386" s="382" t="s">
        <v>973</v>
      </c>
      <c r="G386" s="376" t="s">
        <v>762</v>
      </c>
      <c r="H386" s="378"/>
      <c r="I386" s="378"/>
      <c r="J386" s="376" t="s">
        <v>768</v>
      </c>
      <c r="K386" s="376" t="s">
        <v>363</v>
      </c>
      <c r="L386" s="376" t="s">
        <v>200</v>
      </c>
      <c r="M386" s="376" t="s">
        <v>170</v>
      </c>
      <c r="N386" s="376" t="s">
        <v>202</v>
      </c>
      <c r="O386" s="379">
        <v>1</v>
      </c>
      <c r="P386" s="460">
        <v>0.27</v>
      </c>
      <c r="Q386" s="460">
        <v>0.27</v>
      </c>
      <c r="R386" s="380">
        <v>80</v>
      </c>
      <c r="S386" s="460">
        <v>0.27</v>
      </c>
      <c r="T386" s="380">
        <v>3295.83</v>
      </c>
      <c r="U386" s="380">
        <v>0</v>
      </c>
      <c r="V386" s="380">
        <v>1424.82</v>
      </c>
      <c r="W386" s="380">
        <v>13573.87</v>
      </c>
      <c r="X386" s="380">
        <v>6218.2</v>
      </c>
      <c r="Y386" s="380">
        <v>13573.87</v>
      </c>
      <c r="Z386" s="380">
        <v>6182.91</v>
      </c>
      <c r="AA386" s="376" t="s">
        <v>769</v>
      </c>
      <c r="AB386" s="376" t="s">
        <v>770</v>
      </c>
      <c r="AC386" s="376" t="s">
        <v>771</v>
      </c>
      <c r="AD386" s="376" t="s">
        <v>278</v>
      </c>
      <c r="AE386" s="376" t="s">
        <v>363</v>
      </c>
      <c r="AF386" s="376" t="s">
        <v>210</v>
      </c>
      <c r="AG386" s="376" t="s">
        <v>177</v>
      </c>
      <c r="AH386" s="381">
        <v>24.17</v>
      </c>
      <c r="AI386" s="379">
        <v>25188</v>
      </c>
      <c r="AJ386" s="376" t="s">
        <v>178</v>
      </c>
      <c r="AK386" s="376" t="s">
        <v>179</v>
      </c>
      <c r="AL386" s="376" t="s">
        <v>180</v>
      </c>
      <c r="AM386" s="376" t="s">
        <v>181</v>
      </c>
      <c r="AN386" s="376" t="s">
        <v>68</v>
      </c>
      <c r="AO386" s="379">
        <v>80</v>
      </c>
      <c r="AP386" s="460">
        <v>1</v>
      </c>
      <c r="AQ386" s="460">
        <v>0.27</v>
      </c>
      <c r="AR386" s="458" t="s">
        <v>182</v>
      </c>
      <c r="AS386" s="462">
        <f t="shared" si="85"/>
        <v>0.27</v>
      </c>
      <c r="AT386">
        <f t="shared" si="86"/>
        <v>1</v>
      </c>
      <c r="AU386" s="462">
        <f>IF(AT386=0,"",IF(AND(AT386=1,M386="F",SUMIF(C2:C698,C386,AS2:AS698)&lt;=1),SUMIF(C2:C698,C386,AS2:AS698),IF(AND(AT386=1,M386="F",SUMIF(C2:C698,C386,AS2:AS698)&gt;1),1,"")))</f>
        <v>1</v>
      </c>
      <c r="AV386" s="462" t="str">
        <f>IF(AT386=0,"",IF(AND(AT386=3,M386="F",SUMIF(C2:C698,C386,AS2:AS698)&lt;=1),SUMIF(C2:C698,C386,AS2:AS698),IF(AND(AT386=3,M386="F",SUMIF(C2:C698,C386,AS2:AS698)&gt;1),1,"")))</f>
        <v/>
      </c>
      <c r="AW386" s="462">
        <f>SUMIF(C2:C698,C386,O2:O698)</f>
        <v>7</v>
      </c>
      <c r="AX386" s="462">
        <f>IF(AND(M386="F",AS386&lt;&gt;0),SUMIF(C2:C698,C386,W2:W698),0)</f>
        <v>50273.590000000004</v>
      </c>
      <c r="AY386" s="462">
        <f t="shared" si="87"/>
        <v>13573.87</v>
      </c>
      <c r="AZ386" s="462" t="str">
        <f t="shared" si="88"/>
        <v/>
      </c>
      <c r="BA386" s="462">
        <f t="shared" si="89"/>
        <v>0</v>
      </c>
      <c r="BB386" s="462">
        <f>IF(AND(AT386=1,AK386="E",AU386&gt;=0.75,AW386=1),Health,IF(AND(AT386=1,AK386="E",AU386&gt;=0.75),Health*P386,IF(AND(AT386=1,AK386="E",AU386&gt;=0.5,AW386=1),PTHealth,IF(AND(AT386=1,AK386="E",AU386&gt;=0.5),PTHealth*P386,0))))</f>
        <v>3145.5</v>
      </c>
      <c r="BC386" s="462">
        <f>IF(AND(AT386=3,AK386="E",AV386&gt;=0.75,AW386=1),Health,IF(AND(AT386=3,AK386="E",AV386&gt;=0.75),Health*P386,IF(AND(AT386=3,AK386="E",AV386&gt;=0.5,AW386=1),PTHealth,IF(AND(AT386=3,AK386="E",AV386&gt;=0.5),PTHealth*P386,0))))</f>
        <v>0</v>
      </c>
      <c r="BD386" s="462">
        <f>IF(AND(AT386&lt;&gt;0,AX386&gt;=MAXSSDI),SSDI*MAXSSDI*P386,IF(AT386&lt;&gt;0,SSDI*W386,0))</f>
        <v>841.57994000000008</v>
      </c>
      <c r="BE386" s="462">
        <f>IF(AT386&lt;&gt;0,SSHI*W386,0)</f>
        <v>196.82111500000002</v>
      </c>
      <c r="BF386" s="462">
        <f>IF(AND(AT386&lt;&gt;0,AN386&lt;&gt;"NE"),VLOOKUP(AN386,Retirement_Rates,3,FALSE)*W386,0)</f>
        <v>1620.7200780000003</v>
      </c>
      <c r="BG386" s="462">
        <f>IF(AND(AT386&lt;&gt;0,AJ386&lt;&gt;"PF"),Life*W386,0)</f>
        <v>97.867602700000006</v>
      </c>
      <c r="BH386" s="462">
        <f>IF(AND(AT386&lt;&gt;0,AM386="Y"),UI*W386,0)</f>
        <v>66.511963000000009</v>
      </c>
      <c r="BI386" s="462">
        <f>IF(AND(AT386&lt;&gt;0,N386&lt;&gt;"NR"),DHR*W386,0)</f>
        <v>41.536042199999997</v>
      </c>
      <c r="BJ386" s="462">
        <f>IF(AT386&lt;&gt;0,WC*W386,0)</f>
        <v>207.68021100000001</v>
      </c>
      <c r="BK386" s="462">
        <f>IF(OR(AND(AT386&lt;&gt;0,AJ386&lt;&gt;"PF",AN386&lt;&gt;"NE",AG386&lt;&gt;"A"),AND(AL386="E",OR(AT386=1,AT386=3))),Sick*W386,0)</f>
        <v>0</v>
      </c>
      <c r="BL386" s="462">
        <f t="shared" si="90"/>
        <v>3072.7169519000004</v>
      </c>
      <c r="BM386" s="462">
        <f t="shared" si="91"/>
        <v>0</v>
      </c>
      <c r="BN386" s="462">
        <f>IF(AND(AT386=1,AK386="E",AU386&gt;=0.75,AW386=1),HealthBY,IF(AND(AT386=1,AK386="E",AU386&gt;=0.75),HealthBY*P386,IF(AND(AT386=1,AK386="E",AU386&gt;=0.5,AW386=1),PTHealthBY,IF(AND(AT386=1,AK386="E",AU386&gt;=0.5),PTHealthBY*P386,0))))</f>
        <v>3145.5</v>
      </c>
      <c r="BO386" s="462">
        <f>IF(AND(AT386=3,AK386="E",AV386&gt;=0.75,AW386=1),HealthBY,IF(AND(AT386=3,AK386="E",AV386&gt;=0.75),HealthBY*P386,IF(AND(AT386=3,AK386="E",AV386&gt;=0.5,AW386=1),PTHealthBY,IF(AND(AT386=3,AK386="E",AV386&gt;=0.5),PTHealthBY*P386,0))))</f>
        <v>0</v>
      </c>
      <c r="BP386" s="462">
        <f>IF(AND(AT386&lt;&gt;0,(AX386+BA386)&gt;=MAXSSDIBY),SSDIBY*MAXSSDIBY*P386,IF(AT386&lt;&gt;0,SSDIBY*W386,0))</f>
        <v>841.57994000000008</v>
      </c>
      <c r="BQ386" s="462">
        <f>IF(AT386&lt;&gt;0,SSHIBY*W386,0)</f>
        <v>196.82111500000002</v>
      </c>
      <c r="BR386" s="462">
        <f>IF(AND(AT386&lt;&gt;0,AN386&lt;&gt;"NE"),VLOOKUP(AN386,Retirement_Rates,4,FALSE)*W386,0)</f>
        <v>1620.7200780000003</v>
      </c>
      <c r="BS386" s="462">
        <f>IF(AND(AT386&lt;&gt;0,AJ386&lt;&gt;"PF"),LifeBY*W386,0)</f>
        <v>97.867602700000006</v>
      </c>
      <c r="BT386" s="462">
        <f>IF(AND(AT386&lt;&gt;0,AM386="Y"),UIBY*W386,0)</f>
        <v>0</v>
      </c>
      <c r="BU386" s="462">
        <f>IF(AND(AT386&lt;&gt;0,N386&lt;&gt;"NR"),DHRBY*W386,0)</f>
        <v>41.536042199999997</v>
      </c>
      <c r="BV386" s="462">
        <f>IF(AT386&lt;&gt;0,WCBY*W386,0)</f>
        <v>238.90011200000004</v>
      </c>
      <c r="BW386" s="462">
        <f>IF(OR(AND(AT386&lt;&gt;0,AJ386&lt;&gt;"PF",AN386&lt;&gt;"NE",AG386&lt;&gt;"A"),AND(AL386="E",OR(AT386=1,AT386=3))),SickBY*W386,0)</f>
        <v>0</v>
      </c>
      <c r="BX386" s="462">
        <f t="shared" si="92"/>
        <v>3037.4248899000004</v>
      </c>
      <c r="BY386" s="462">
        <f t="shared" si="93"/>
        <v>0</v>
      </c>
      <c r="BZ386" s="462">
        <f t="shared" si="94"/>
        <v>0</v>
      </c>
      <c r="CA386" s="462">
        <f t="shared" si="95"/>
        <v>0</v>
      </c>
      <c r="CB386" s="462">
        <f t="shared" si="96"/>
        <v>0</v>
      </c>
      <c r="CC386" s="462">
        <f>IF(AT386&lt;&gt;0,SSHICHG*Y386,0)</f>
        <v>0</v>
      </c>
      <c r="CD386" s="462">
        <f>IF(AND(AT386&lt;&gt;0,AN386&lt;&gt;"NE"),VLOOKUP(AN386,Retirement_Rates,5,FALSE)*Y386,0)</f>
        <v>0</v>
      </c>
      <c r="CE386" s="462">
        <f>IF(AND(AT386&lt;&gt;0,AJ386&lt;&gt;"PF"),LifeCHG*Y386,0)</f>
        <v>0</v>
      </c>
      <c r="CF386" s="462">
        <f>IF(AND(AT386&lt;&gt;0,AM386="Y"),UICHG*Y386,0)</f>
        <v>-66.511963000000009</v>
      </c>
      <c r="CG386" s="462">
        <f>IF(AND(AT386&lt;&gt;0,N386&lt;&gt;"NR"),DHRCHG*Y386,0)</f>
        <v>0</v>
      </c>
      <c r="CH386" s="462">
        <f>IF(AT386&lt;&gt;0,WCCHG*Y386,0)</f>
        <v>31.219901000000025</v>
      </c>
      <c r="CI386" s="462">
        <f>IF(OR(AND(AT386&lt;&gt;0,AJ386&lt;&gt;"PF",AN386&lt;&gt;"NE",AG386&lt;&gt;"A"),AND(AL386="E",OR(AT386=1,AT386=3))),SickCHG*Y386,0)</f>
        <v>0</v>
      </c>
      <c r="CJ386" s="462">
        <f t="shared" si="97"/>
        <v>-35.292061999999987</v>
      </c>
      <c r="CK386" s="462" t="str">
        <f t="shared" si="98"/>
        <v/>
      </c>
      <c r="CL386" s="462" t="str">
        <f t="shared" si="99"/>
        <v/>
      </c>
      <c r="CM386" s="462" t="str">
        <f t="shared" si="100"/>
        <v/>
      </c>
      <c r="CN386" s="462" t="str">
        <f t="shared" si="101"/>
        <v>0332-04</v>
      </c>
    </row>
    <row r="387" spans="1:92" ht="15" thickBot="1" x14ac:dyDescent="0.35">
      <c r="A387" s="376" t="s">
        <v>161</v>
      </c>
      <c r="B387" s="376" t="s">
        <v>162</v>
      </c>
      <c r="C387" s="376" t="s">
        <v>975</v>
      </c>
      <c r="D387" s="376" t="s">
        <v>418</v>
      </c>
      <c r="E387" s="376" t="s">
        <v>535</v>
      </c>
      <c r="F387" s="382" t="s">
        <v>973</v>
      </c>
      <c r="G387" s="376" t="s">
        <v>762</v>
      </c>
      <c r="H387" s="378"/>
      <c r="I387" s="378"/>
      <c r="J387" s="376" t="s">
        <v>547</v>
      </c>
      <c r="K387" s="376" t="s">
        <v>419</v>
      </c>
      <c r="L387" s="376" t="s">
        <v>177</v>
      </c>
      <c r="M387" s="376" t="s">
        <v>170</v>
      </c>
      <c r="N387" s="376" t="s">
        <v>202</v>
      </c>
      <c r="O387" s="379">
        <v>1</v>
      </c>
      <c r="P387" s="460">
        <v>0.5</v>
      </c>
      <c r="Q387" s="460">
        <v>0.5</v>
      </c>
      <c r="R387" s="380">
        <v>80</v>
      </c>
      <c r="S387" s="460">
        <v>0.5</v>
      </c>
      <c r="T387" s="380">
        <v>16060.74</v>
      </c>
      <c r="U387" s="380">
        <v>0</v>
      </c>
      <c r="V387" s="380">
        <v>10093.44</v>
      </c>
      <c r="W387" s="380">
        <v>16192.8</v>
      </c>
      <c r="X387" s="380">
        <v>9490.5400000000009</v>
      </c>
      <c r="Y387" s="380">
        <v>16192.8</v>
      </c>
      <c r="Z387" s="380">
        <v>9448.44</v>
      </c>
      <c r="AA387" s="376" t="s">
        <v>976</v>
      </c>
      <c r="AB387" s="376" t="s">
        <v>977</v>
      </c>
      <c r="AC387" s="376" t="s">
        <v>978</v>
      </c>
      <c r="AD387" s="376" t="s">
        <v>278</v>
      </c>
      <c r="AE387" s="376" t="s">
        <v>419</v>
      </c>
      <c r="AF387" s="376" t="s">
        <v>436</v>
      </c>
      <c r="AG387" s="376" t="s">
        <v>177</v>
      </c>
      <c r="AH387" s="381">
        <v>15.57</v>
      </c>
      <c r="AI387" s="379">
        <v>1640</v>
      </c>
      <c r="AJ387" s="376" t="s">
        <v>178</v>
      </c>
      <c r="AK387" s="376" t="s">
        <v>179</v>
      </c>
      <c r="AL387" s="376" t="s">
        <v>180</v>
      </c>
      <c r="AM387" s="376" t="s">
        <v>181</v>
      </c>
      <c r="AN387" s="376" t="s">
        <v>68</v>
      </c>
      <c r="AO387" s="379">
        <v>80</v>
      </c>
      <c r="AP387" s="460">
        <v>1</v>
      </c>
      <c r="AQ387" s="460">
        <v>0.5</v>
      </c>
      <c r="AR387" s="458" t="s">
        <v>182</v>
      </c>
      <c r="AS387" s="462">
        <f t="shared" ref="AS387:AS450" si="102">IF(((AO387/80)*AP387*P387)&gt;1,AQ387,((AO387/80)*AP387*P387))</f>
        <v>0.5</v>
      </c>
      <c r="AT387">
        <f t="shared" ref="AT387:AT450" si="103">IF(AND(M387="F",N387&lt;&gt;"NG",AS387&lt;&gt;0,AND(AR387&lt;&gt;6,AR387&lt;&gt;36,AR387&lt;&gt;56),AG387&lt;&gt;"A",OR(AG387="H",AJ387="FS")),1,IF(AND(M387="F",N387&lt;&gt;"NG",AS387&lt;&gt;0,AG387="A"),3,0))</f>
        <v>1</v>
      </c>
      <c r="AU387" s="462">
        <f>IF(AT387=0,"",IF(AND(AT387=1,M387="F",SUMIF(C2:C698,C387,AS2:AS698)&lt;=1),SUMIF(C2:C698,C387,AS2:AS698),IF(AND(AT387=1,M387="F",SUMIF(C2:C698,C387,AS2:AS698)&gt;1),1,"")))</f>
        <v>1</v>
      </c>
      <c r="AV387" s="462" t="str">
        <f>IF(AT387=0,"",IF(AND(AT387=3,M387="F",SUMIF(C2:C698,C387,AS2:AS698)&lt;=1),SUMIF(C2:C698,C387,AS2:AS698),IF(AND(AT387=3,M387="F",SUMIF(C2:C698,C387,AS2:AS698)&gt;1),1,"")))</f>
        <v/>
      </c>
      <c r="AW387" s="462">
        <f>SUMIF(C2:C698,C387,O2:O698)</f>
        <v>2</v>
      </c>
      <c r="AX387" s="462">
        <f>IF(AND(M387="F",AS387&lt;&gt;0),SUMIF(C2:C698,C387,W2:W698),0)</f>
        <v>32385.599999999999</v>
      </c>
      <c r="AY387" s="462">
        <f t="shared" ref="AY387:AY450" si="104">IF(AT387=1,W387,"")</f>
        <v>16192.8</v>
      </c>
      <c r="AZ387" s="462" t="str">
        <f t="shared" ref="AZ387:AZ450" si="105">IF(AT387=3,W387,"")</f>
        <v/>
      </c>
      <c r="BA387" s="462">
        <f t="shared" ref="BA387:BA450" si="106">IF(AT387=1,Y387-W387,0)</f>
        <v>0</v>
      </c>
      <c r="BB387" s="462">
        <f>IF(AND(AT387=1,AK387="E",AU387&gt;=0.75,AW387=1),Health,IF(AND(AT387=1,AK387="E",AU387&gt;=0.75),Health*P387,IF(AND(AT387=1,AK387="E",AU387&gt;=0.5,AW387=1),PTHealth,IF(AND(AT387=1,AK387="E",AU387&gt;=0.5),PTHealth*P387,0))))</f>
        <v>5825</v>
      </c>
      <c r="BC387" s="462">
        <f>IF(AND(AT387=3,AK387="E",AV387&gt;=0.75,AW387=1),Health,IF(AND(AT387=3,AK387="E",AV387&gt;=0.75),Health*P387,IF(AND(AT387=3,AK387="E",AV387&gt;=0.5,AW387=1),PTHealth,IF(AND(AT387=3,AK387="E",AV387&gt;=0.5),PTHealth*P387,0))))</f>
        <v>0</v>
      </c>
      <c r="BD387" s="462">
        <f>IF(AND(AT387&lt;&gt;0,AX387&gt;=MAXSSDI),SSDI*MAXSSDI*P387,IF(AT387&lt;&gt;0,SSDI*W387,0))</f>
        <v>1003.9535999999999</v>
      </c>
      <c r="BE387" s="462">
        <f>IF(AT387&lt;&gt;0,SSHI*W387,0)</f>
        <v>234.79560000000001</v>
      </c>
      <c r="BF387" s="462">
        <f>IF(AND(AT387&lt;&gt;0,AN387&lt;&gt;"NE"),VLOOKUP(AN387,Retirement_Rates,3,FALSE)*W387,0)</f>
        <v>1933.4203199999999</v>
      </c>
      <c r="BG387" s="462">
        <f>IF(AND(AT387&lt;&gt;0,AJ387&lt;&gt;"PF"),Life*W387,0)</f>
        <v>116.75008800000001</v>
      </c>
      <c r="BH387" s="462">
        <f>IF(AND(AT387&lt;&gt;0,AM387="Y"),UI*W387,0)</f>
        <v>79.344719999999995</v>
      </c>
      <c r="BI387" s="462">
        <f>IF(AND(AT387&lt;&gt;0,N387&lt;&gt;"NR"),DHR*W387,0)</f>
        <v>49.549967999999993</v>
      </c>
      <c r="BJ387" s="462">
        <f>IF(AT387&lt;&gt;0,WC*W387,0)</f>
        <v>247.74983999999998</v>
      </c>
      <c r="BK387" s="462">
        <f>IF(OR(AND(AT387&lt;&gt;0,AJ387&lt;&gt;"PF",AN387&lt;&gt;"NE",AG387&lt;&gt;"A"),AND(AL387="E",OR(AT387=1,AT387=3))),Sick*W387,0)</f>
        <v>0</v>
      </c>
      <c r="BL387" s="462">
        <f t="shared" ref="BL387:BL450" si="107">IF(AT387=1,SUM(BD387:BK387),0)</f>
        <v>3665.564136</v>
      </c>
      <c r="BM387" s="462">
        <f t="shared" ref="BM387:BM450" si="108">IF(AT387=3,SUM(BD387:BK387),0)</f>
        <v>0</v>
      </c>
      <c r="BN387" s="462">
        <f>IF(AND(AT387=1,AK387="E",AU387&gt;=0.75,AW387=1),HealthBY,IF(AND(AT387=1,AK387="E",AU387&gt;=0.75),HealthBY*P387,IF(AND(AT387=1,AK387="E",AU387&gt;=0.5,AW387=1),PTHealthBY,IF(AND(AT387=1,AK387="E",AU387&gt;=0.5),PTHealthBY*P387,0))))</f>
        <v>5825</v>
      </c>
      <c r="BO387" s="462">
        <f>IF(AND(AT387=3,AK387="E",AV387&gt;=0.75,AW387=1),HealthBY,IF(AND(AT387=3,AK387="E",AV387&gt;=0.75),HealthBY*P387,IF(AND(AT387=3,AK387="E",AV387&gt;=0.5,AW387=1),PTHealthBY,IF(AND(AT387=3,AK387="E",AV387&gt;=0.5),PTHealthBY*P387,0))))</f>
        <v>0</v>
      </c>
      <c r="BP387" s="462">
        <f>IF(AND(AT387&lt;&gt;0,(AX387+BA387)&gt;=MAXSSDIBY),SSDIBY*MAXSSDIBY*P387,IF(AT387&lt;&gt;0,SSDIBY*W387,0))</f>
        <v>1003.9535999999999</v>
      </c>
      <c r="BQ387" s="462">
        <f>IF(AT387&lt;&gt;0,SSHIBY*W387,0)</f>
        <v>234.79560000000001</v>
      </c>
      <c r="BR387" s="462">
        <f>IF(AND(AT387&lt;&gt;0,AN387&lt;&gt;"NE"),VLOOKUP(AN387,Retirement_Rates,4,FALSE)*W387,0)</f>
        <v>1933.4203199999999</v>
      </c>
      <c r="BS387" s="462">
        <f>IF(AND(AT387&lt;&gt;0,AJ387&lt;&gt;"PF"),LifeBY*W387,0)</f>
        <v>116.75008800000001</v>
      </c>
      <c r="BT387" s="462">
        <f>IF(AND(AT387&lt;&gt;0,AM387="Y"),UIBY*W387,0)</f>
        <v>0</v>
      </c>
      <c r="BU387" s="462">
        <f>IF(AND(AT387&lt;&gt;0,N387&lt;&gt;"NR"),DHRBY*W387,0)</f>
        <v>49.549967999999993</v>
      </c>
      <c r="BV387" s="462">
        <f>IF(AT387&lt;&gt;0,WCBY*W387,0)</f>
        <v>284.99328000000003</v>
      </c>
      <c r="BW387" s="462">
        <f>IF(OR(AND(AT387&lt;&gt;0,AJ387&lt;&gt;"PF",AN387&lt;&gt;"NE",AG387&lt;&gt;"A"),AND(AL387="E",OR(AT387=1,AT387=3))),SickBY*W387,0)</f>
        <v>0</v>
      </c>
      <c r="BX387" s="462">
        <f t="shared" ref="BX387:BX450" si="109">IF(AT387=1,SUM(BP387:BW387),0)</f>
        <v>3623.4628560000001</v>
      </c>
      <c r="BY387" s="462">
        <f t="shared" ref="BY387:BY450" si="110">IF(AT387=3,SUM(BP387:BW387),0)</f>
        <v>0</v>
      </c>
      <c r="BZ387" s="462">
        <f t="shared" ref="BZ387:BZ450" si="111">IF(AT387=1,BN387-BB387,0)</f>
        <v>0</v>
      </c>
      <c r="CA387" s="462">
        <f t="shared" ref="CA387:CA450" si="112">IF(AT387=3,BO387-BC387,0)</f>
        <v>0</v>
      </c>
      <c r="CB387" s="462">
        <f t="shared" ref="CB387:CB450" si="113">BP387-BD387</f>
        <v>0</v>
      </c>
      <c r="CC387" s="462">
        <f>IF(AT387&lt;&gt;0,SSHICHG*Y387,0)</f>
        <v>0</v>
      </c>
      <c r="CD387" s="462">
        <f>IF(AND(AT387&lt;&gt;0,AN387&lt;&gt;"NE"),VLOOKUP(AN387,Retirement_Rates,5,FALSE)*Y387,0)</f>
        <v>0</v>
      </c>
      <c r="CE387" s="462">
        <f>IF(AND(AT387&lt;&gt;0,AJ387&lt;&gt;"PF"),LifeCHG*Y387,0)</f>
        <v>0</v>
      </c>
      <c r="CF387" s="462">
        <f>IF(AND(AT387&lt;&gt;0,AM387="Y"),UICHG*Y387,0)</f>
        <v>-79.344719999999995</v>
      </c>
      <c r="CG387" s="462">
        <f>IF(AND(AT387&lt;&gt;0,N387&lt;&gt;"NR"),DHRCHG*Y387,0)</f>
        <v>0</v>
      </c>
      <c r="CH387" s="462">
        <f>IF(AT387&lt;&gt;0,WCCHG*Y387,0)</f>
        <v>37.243440000000028</v>
      </c>
      <c r="CI387" s="462">
        <f>IF(OR(AND(AT387&lt;&gt;0,AJ387&lt;&gt;"PF",AN387&lt;&gt;"NE",AG387&lt;&gt;"A"),AND(AL387="E",OR(AT387=1,AT387=3))),SickCHG*Y387,0)</f>
        <v>0</v>
      </c>
      <c r="CJ387" s="462">
        <f t="shared" ref="CJ387:CJ450" si="114">IF(AT387=1,SUM(CB387:CI387),0)</f>
        <v>-42.101279999999967</v>
      </c>
      <c r="CK387" s="462" t="str">
        <f t="shared" ref="CK387:CK450" si="115">IF(AT387=3,SUM(CB387:CI387),"")</f>
        <v/>
      </c>
      <c r="CL387" s="462" t="str">
        <f t="shared" ref="CL387:CL450" si="116">IF(OR(N387="NG",AG387="D"),(T387+U387),"")</f>
        <v/>
      </c>
      <c r="CM387" s="462" t="str">
        <f t="shared" ref="CM387:CM450" si="117">IF(OR(N387="NG",AG387="D"),V387,"")</f>
        <v/>
      </c>
      <c r="CN387" s="462" t="str">
        <f t="shared" ref="CN387:CN450" si="118">E387 &amp; "-" &amp; F387</f>
        <v>0332-04</v>
      </c>
    </row>
    <row r="388" spans="1:92" ht="15" thickBot="1" x14ac:dyDescent="0.35">
      <c r="A388" s="376" t="s">
        <v>161</v>
      </c>
      <c r="B388" s="376" t="s">
        <v>162</v>
      </c>
      <c r="C388" s="376" t="s">
        <v>979</v>
      </c>
      <c r="D388" s="376" t="s">
        <v>250</v>
      </c>
      <c r="E388" s="376" t="s">
        <v>535</v>
      </c>
      <c r="F388" s="382" t="s">
        <v>973</v>
      </c>
      <c r="G388" s="376" t="s">
        <v>762</v>
      </c>
      <c r="H388" s="378"/>
      <c r="I388" s="378"/>
      <c r="J388" s="376" t="s">
        <v>547</v>
      </c>
      <c r="K388" s="376" t="s">
        <v>407</v>
      </c>
      <c r="L388" s="376" t="s">
        <v>247</v>
      </c>
      <c r="M388" s="376" t="s">
        <v>170</v>
      </c>
      <c r="N388" s="376" t="s">
        <v>202</v>
      </c>
      <c r="O388" s="379">
        <v>1</v>
      </c>
      <c r="P388" s="460">
        <v>1</v>
      </c>
      <c r="Q388" s="460">
        <v>1</v>
      </c>
      <c r="R388" s="380">
        <v>80</v>
      </c>
      <c r="S388" s="460">
        <v>1</v>
      </c>
      <c r="T388" s="380">
        <v>60201.599999999999</v>
      </c>
      <c r="U388" s="380">
        <v>0</v>
      </c>
      <c r="V388" s="380">
        <v>23755.27</v>
      </c>
      <c r="W388" s="380">
        <v>62483.199999999997</v>
      </c>
      <c r="X388" s="380">
        <v>25794.27</v>
      </c>
      <c r="Y388" s="380">
        <v>62483.199999999997</v>
      </c>
      <c r="Z388" s="380">
        <v>25631.82</v>
      </c>
      <c r="AA388" s="376" t="s">
        <v>980</v>
      </c>
      <c r="AB388" s="376" t="s">
        <v>981</v>
      </c>
      <c r="AC388" s="376" t="s">
        <v>607</v>
      </c>
      <c r="AD388" s="376" t="s">
        <v>215</v>
      </c>
      <c r="AE388" s="376" t="s">
        <v>407</v>
      </c>
      <c r="AF388" s="376" t="s">
        <v>299</v>
      </c>
      <c r="AG388" s="376" t="s">
        <v>177</v>
      </c>
      <c r="AH388" s="381">
        <v>30.04</v>
      </c>
      <c r="AI388" s="379">
        <v>12600</v>
      </c>
      <c r="AJ388" s="376" t="s">
        <v>178</v>
      </c>
      <c r="AK388" s="376" t="s">
        <v>179</v>
      </c>
      <c r="AL388" s="376" t="s">
        <v>180</v>
      </c>
      <c r="AM388" s="376" t="s">
        <v>181</v>
      </c>
      <c r="AN388" s="376" t="s">
        <v>68</v>
      </c>
      <c r="AO388" s="379">
        <v>80</v>
      </c>
      <c r="AP388" s="460">
        <v>1</v>
      </c>
      <c r="AQ388" s="460">
        <v>1</v>
      </c>
      <c r="AR388" s="458" t="s">
        <v>182</v>
      </c>
      <c r="AS388" s="462">
        <f t="shared" si="102"/>
        <v>1</v>
      </c>
      <c r="AT388">
        <f t="shared" si="103"/>
        <v>1</v>
      </c>
      <c r="AU388" s="462">
        <f>IF(AT388=0,"",IF(AND(AT388=1,M388="F",SUMIF(C2:C698,C388,AS2:AS698)&lt;=1),SUMIF(C2:C698,C388,AS2:AS698),IF(AND(AT388=1,M388="F",SUMIF(C2:C698,C388,AS2:AS698)&gt;1),1,"")))</f>
        <v>1</v>
      </c>
      <c r="AV388" s="462" t="str">
        <f>IF(AT388=0,"",IF(AND(AT388=3,M388="F",SUMIF(C2:C698,C388,AS2:AS698)&lt;=1),SUMIF(C2:C698,C388,AS2:AS698),IF(AND(AT388=3,M388="F",SUMIF(C2:C698,C388,AS2:AS698)&gt;1),1,"")))</f>
        <v/>
      </c>
      <c r="AW388" s="462">
        <f>SUMIF(C2:C698,C388,O2:O698)</f>
        <v>1</v>
      </c>
      <c r="AX388" s="462">
        <f>IF(AND(M388="F",AS388&lt;&gt;0),SUMIF(C2:C698,C388,W2:W698),0)</f>
        <v>62483.199999999997</v>
      </c>
      <c r="AY388" s="462">
        <f t="shared" si="104"/>
        <v>62483.199999999997</v>
      </c>
      <c r="AZ388" s="462" t="str">
        <f t="shared" si="105"/>
        <v/>
      </c>
      <c r="BA388" s="462">
        <f t="shared" si="106"/>
        <v>0</v>
      </c>
      <c r="BB388" s="462">
        <f>IF(AND(AT388=1,AK388="E",AU388&gt;=0.75,AW388=1),Health,IF(AND(AT388=1,AK388="E",AU388&gt;=0.75),Health*P388,IF(AND(AT388=1,AK388="E",AU388&gt;=0.5,AW388=1),PTHealth,IF(AND(AT388=1,AK388="E",AU388&gt;=0.5),PTHealth*P388,0))))</f>
        <v>11650</v>
      </c>
      <c r="BC388" s="462">
        <f>IF(AND(AT388=3,AK388="E",AV388&gt;=0.75,AW388=1),Health,IF(AND(AT388=3,AK388="E",AV388&gt;=0.75),Health*P388,IF(AND(AT388=3,AK388="E",AV388&gt;=0.5,AW388=1),PTHealth,IF(AND(AT388=3,AK388="E",AV388&gt;=0.5),PTHealth*P388,0))))</f>
        <v>0</v>
      </c>
      <c r="BD388" s="462">
        <f>IF(AND(AT388&lt;&gt;0,AX388&gt;=MAXSSDI),SSDI*MAXSSDI*P388,IF(AT388&lt;&gt;0,SSDI*W388,0))</f>
        <v>3873.9584</v>
      </c>
      <c r="BE388" s="462">
        <f>IF(AT388&lt;&gt;0,SSHI*W388,0)</f>
        <v>906.00639999999999</v>
      </c>
      <c r="BF388" s="462">
        <f>IF(AND(AT388&lt;&gt;0,AN388&lt;&gt;"NE"),VLOOKUP(AN388,Retirement_Rates,3,FALSE)*W388,0)</f>
        <v>7460.4940800000004</v>
      </c>
      <c r="BG388" s="462">
        <f>IF(AND(AT388&lt;&gt;0,AJ388&lt;&gt;"PF"),Life*W388,0)</f>
        <v>450.503872</v>
      </c>
      <c r="BH388" s="462">
        <f>IF(AND(AT388&lt;&gt;0,AM388="Y"),UI*W388,0)</f>
        <v>306.16767999999996</v>
      </c>
      <c r="BI388" s="462">
        <f>IF(AND(AT388&lt;&gt;0,N388&lt;&gt;"NR"),DHR*W388,0)</f>
        <v>191.19859199999999</v>
      </c>
      <c r="BJ388" s="462">
        <f>IF(AT388&lt;&gt;0,WC*W388,0)</f>
        <v>955.99295999999993</v>
      </c>
      <c r="BK388" s="462">
        <f>IF(OR(AND(AT388&lt;&gt;0,AJ388&lt;&gt;"PF",AN388&lt;&gt;"NE",AG388&lt;&gt;"A"),AND(AL388="E",OR(AT388=1,AT388=3))),Sick*W388,0)</f>
        <v>0</v>
      </c>
      <c r="BL388" s="462">
        <f t="shared" si="107"/>
        <v>14144.321984</v>
      </c>
      <c r="BM388" s="462">
        <f t="shared" si="108"/>
        <v>0</v>
      </c>
      <c r="BN388" s="462">
        <f>IF(AND(AT388=1,AK388="E",AU388&gt;=0.75,AW388=1),HealthBY,IF(AND(AT388=1,AK388="E",AU388&gt;=0.75),HealthBY*P388,IF(AND(AT388=1,AK388="E",AU388&gt;=0.5,AW388=1),PTHealthBY,IF(AND(AT388=1,AK388="E",AU388&gt;=0.5),PTHealthBY*P388,0))))</f>
        <v>11650</v>
      </c>
      <c r="BO388" s="462">
        <f>IF(AND(AT388=3,AK388="E",AV388&gt;=0.75,AW388=1),HealthBY,IF(AND(AT388=3,AK388="E",AV388&gt;=0.75),HealthBY*P388,IF(AND(AT388=3,AK388="E",AV388&gt;=0.5,AW388=1),PTHealthBY,IF(AND(AT388=3,AK388="E",AV388&gt;=0.5),PTHealthBY*P388,0))))</f>
        <v>0</v>
      </c>
      <c r="BP388" s="462">
        <f>IF(AND(AT388&lt;&gt;0,(AX388+BA388)&gt;=MAXSSDIBY),SSDIBY*MAXSSDIBY*P388,IF(AT388&lt;&gt;0,SSDIBY*W388,0))</f>
        <v>3873.9584</v>
      </c>
      <c r="BQ388" s="462">
        <f>IF(AT388&lt;&gt;0,SSHIBY*W388,0)</f>
        <v>906.00639999999999</v>
      </c>
      <c r="BR388" s="462">
        <f>IF(AND(AT388&lt;&gt;0,AN388&lt;&gt;"NE"),VLOOKUP(AN388,Retirement_Rates,4,FALSE)*W388,0)</f>
        <v>7460.4940800000004</v>
      </c>
      <c r="BS388" s="462">
        <f>IF(AND(AT388&lt;&gt;0,AJ388&lt;&gt;"PF"),LifeBY*W388,0)</f>
        <v>450.503872</v>
      </c>
      <c r="BT388" s="462">
        <f>IF(AND(AT388&lt;&gt;0,AM388="Y"),UIBY*W388,0)</f>
        <v>0</v>
      </c>
      <c r="BU388" s="462">
        <f>IF(AND(AT388&lt;&gt;0,N388&lt;&gt;"NR"),DHRBY*W388,0)</f>
        <v>191.19859199999999</v>
      </c>
      <c r="BV388" s="462">
        <f>IF(AT388&lt;&gt;0,WCBY*W388,0)</f>
        <v>1099.7043200000001</v>
      </c>
      <c r="BW388" s="462">
        <f>IF(OR(AND(AT388&lt;&gt;0,AJ388&lt;&gt;"PF",AN388&lt;&gt;"NE",AG388&lt;&gt;"A"),AND(AL388="E",OR(AT388=1,AT388=3))),SickBY*W388,0)</f>
        <v>0</v>
      </c>
      <c r="BX388" s="462">
        <f t="shared" si="109"/>
        <v>13981.865664000001</v>
      </c>
      <c r="BY388" s="462">
        <f t="shared" si="110"/>
        <v>0</v>
      </c>
      <c r="BZ388" s="462">
        <f t="shared" si="111"/>
        <v>0</v>
      </c>
      <c r="CA388" s="462">
        <f t="shared" si="112"/>
        <v>0</v>
      </c>
      <c r="CB388" s="462">
        <f t="shared" si="113"/>
        <v>0</v>
      </c>
      <c r="CC388" s="462">
        <f>IF(AT388&lt;&gt;0,SSHICHG*Y388,0)</f>
        <v>0</v>
      </c>
      <c r="CD388" s="462">
        <f>IF(AND(AT388&lt;&gt;0,AN388&lt;&gt;"NE"),VLOOKUP(AN388,Retirement_Rates,5,FALSE)*Y388,0)</f>
        <v>0</v>
      </c>
      <c r="CE388" s="462">
        <f>IF(AND(AT388&lt;&gt;0,AJ388&lt;&gt;"PF"),LifeCHG*Y388,0)</f>
        <v>0</v>
      </c>
      <c r="CF388" s="462">
        <f>IF(AND(AT388&lt;&gt;0,AM388="Y"),UICHG*Y388,0)</f>
        <v>-306.16767999999996</v>
      </c>
      <c r="CG388" s="462">
        <f>IF(AND(AT388&lt;&gt;0,N388&lt;&gt;"NR"),DHRCHG*Y388,0)</f>
        <v>0</v>
      </c>
      <c r="CH388" s="462">
        <f>IF(AT388&lt;&gt;0,WCCHG*Y388,0)</f>
        <v>143.7113600000001</v>
      </c>
      <c r="CI388" s="462">
        <f>IF(OR(AND(AT388&lt;&gt;0,AJ388&lt;&gt;"PF",AN388&lt;&gt;"NE",AG388&lt;&gt;"A"),AND(AL388="E",OR(AT388=1,AT388=3))),SickCHG*Y388,0)</f>
        <v>0</v>
      </c>
      <c r="CJ388" s="462">
        <f t="shared" si="114"/>
        <v>-162.45631999999986</v>
      </c>
      <c r="CK388" s="462" t="str">
        <f t="shared" si="115"/>
        <v/>
      </c>
      <c r="CL388" s="462" t="str">
        <f t="shared" si="116"/>
        <v/>
      </c>
      <c r="CM388" s="462" t="str">
        <f t="shared" si="117"/>
        <v/>
      </c>
      <c r="CN388" s="462" t="str">
        <f t="shared" si="118"/>
        <v>0332-04</v>
      </c>
    </row>
    <row r="389" spans="1:92" ht="15" thickBot="1" x14ac:dyDescent="0.35">
      <c r="A389" s="376" t="s">
        <v>161</v>
      </c>
      <c r="B389" s="376" t="s">
        <v>162</v>
      </c>
      <c r="C389" s="376" t="s">
        <v>772</v>
      </c>
      <c r="D389" s="376" t="s">
        <v>362</v>
      </c>
      <c r="E389" s="376" t="s">
        <v>535</v>
      </c>
      <c r="F389" s="382" t="s">
        <v>973</v>
      </c>
      <c r="G389" s="376" t="s">
        <v>762</v>
      </c>
      <c r="H389" s="378"/>
      <c r="I389" s="378"/>
      <c r="J389" s="376" t="s">
        <v>547</v>
      </c>
      <c r="K389" s="376" t="s">
        <v>363</v>
      </c>
      <c r="L389" s="376" t="s">
        <v>200</v>
      </c>
      <c r="M389" s="376" t="s">
        <v>170</v>
      </c>
      <c r="N389" s="376" t="s">
        <v>202</v>
      </c>
      <c r="O389" s="379">
        <v>1</v>
      </c>
      <c r="P389" s="460">
        <v>0.95</v>
      </c>
      <c r="Q389" s="460">
        <v>0.95</v>
      </c>
      <c r="R389" s="380">
        <v>80</v>
      </c>
      <c r="S389" s="460">
        <v>0.95</v>
      </c>
      <c r="T389" s="380">
        <v>5661.59</v>
      </c>
      <c r="U389" s="380">
        <v>0</v>
      </c>
      <c r="V389" s="380">
        <v>2674.16</v>
      </c>
      <c r="W389" s="380">
        <v>44460</v>
      </c>
      <c r="X389" s="380">
        <v>21131.88</v>
      </c>
      <c r="Y389" s="380">
        <v>44460</v>
      </c>
      <c r="Z389" s="380">
        <v>21016.29</v>
      </c>
      <c r="AA389" s="376" t="s">
        <v>773</v>
      </c>
      <c r="AB389" s="376" t="s">
        <v>774</v>
      </c>
      <c r="AC389" s="376" t="s">
        <v>690</v>
      </c>
      <c r="AD389" s="376" t="s">
        <v>225</v>
      </c>
      <c r="AE389" s="376" t="s">
        <v>363</v>
      </c>
      <c r="AF389" s="376" t="s">
        <v>210</v>
      </c>
      <c r="AG389" s="376" t="s">
        <v>177</v>
      </c>
      <c r="AH389" s="381">
        <v>22.5</v>
      </c>
      <c r="AI389" s="379">
        <v>9056</v>
      </c>
      <c r="AJ389" s="376" t="s">
        <v>178</v>
      </c>
      <c r="AK389" s="376" t="s">
        <v>179</v>
      </c>
      <c r="AL389" s="376" t="s">
        <v>180</v>
      </c>
      <c r="AM389" s="376" t="s">
        <v>181</v>
      </c>
      <c r="AN389" s="376" t="s">
        <v>68</v>
      </c>
      <c r="AO389" s="379">
        <v>80</v>
      </c>
      <c r="AP389" s="460">
        <v>1</v>
      </c>
      <c r="AQ389" s="460">
        <v>0.95</v>
      </c>
      <c r="AR389" s="458" t="s">
        <v>182</v>
      </c>
      <c r="AS389" s="462">
        <f t="shared" si="102"/>
        <v>0.95</v>
      </c>
      <c r="AT389">
        <f t="shared" si="103"/>
        <v>1</v>
      </c>
      <c r="AU389" s="462">
        <f>IF(AT389=0,"",IF(AND(AT389=1,M389="F",SUMIF(C2:C698,C389,AS2:AS698)&lt;=1),SUMIF(C2:C698,C389,AS2:AS698),IF(AND(AT389=1,M389="F",SUMIF(C2:C698,C389,AS2:AS698)&gt;1),1,"")))</f>
        <v>1</v>
      </c>
      <c r="AV389" s="462" t="str">
        <f>IF(AT389=0,"",IF(AND(AT389=3,M389="F",SUMIF(C2:C698,C389,AS2:AS698)&lt;=1),SUMIF(C2:C698,C389,AS2:AS698),IF(AND(AT389=3,M389="F",SUMIF(C2:C698,C389,AS2:AS698)&gt;1),1,"")))</f>
        <v/>
      </c>
      <c r="AW389" s="462">
        <f>SUMIF(C2:C698,C389,O2:O698)</f>
        <v>7</v>
      </c>
      <c r="AX389" s="462">
        <f>IF(AND(M389="F",AS389&lt;&gt;0),SUMIF(C2:C698,C389,W2:W698),0)</f>
        <v>46800</v>
      </c>
      <c r="AY389" s="462">
        <f t="shared" si="104"/>
        <v>44460</v>
      </c>
      <c r="AZ389" s="462" t="str">
        <f t="shared" si="105"/>
        <v/>
      </c>
      <c r="BA389" s="462">
        <f t="shared" si="106"/>
        <v>0</v>
      </c>
      <c r="BB389" s="462">
        <f>IF(AND(AT389=1,AK389="E",AU389&gt;=0.75,AW389=1),Health,IF(AND(AT389=1,AK389="E",AU389&gt;=0.75),Health*P389,IF(AND(AT389=1,AK389="E",AU389&gt;=0.5,AW389=1),PTHealth,IF(AND(AT389=1,AK389="E",AU389&gt;=0.5),PTHealth*P389,0))))</f>
        <v>11067.5</v>
      </c>
      <c r="BC389" s="462">
        <f>IF(AND(AT389=3,AK389="E",AV389&gt;=0.75,AW389=1),Health,IF(AND(AT389=3,AK389="E",AV389&gt;=0.75),Health*P389,IF(AND(AT389=3,AK389="E",AV389&gt;=0.5,AW389=1),PTHealth,IF(AND(AT389=3,AK389="E",AV389&gt;=0.5),PTHealth*P389,0))))</f>
        <v>0</v>
      </c>
      <c r="BD389" s="462">
        <f>IF(AND(AT389&lt;&gt;0,AX389&gt;=MAXSSDI),SSDI*MAXSSDI*P389,IF(AT389&lt;&gt;0,SSDI*W389,0))</f>
        <v>2756.52</v>
      </c>
      <c r="BE389" s="462">
        <f>IF(AT389&lt;&gt;0,SSHI*W389,0)</f>
        <v>644.67000000000007</v>
      </c>
      <c r="BF389" s="462">
        <f>IF(AND(AT389&lt;&gt;0,AN389&lt;&gt;"NE"),VLOOKUP(AN389,Retirement_Rates,3,FALSE)*W389,0)</f>
        <v>5308.5240000000003</v>
      </c>
      <c r="BG389" s="462">
        <f>IF(AND(AT389&lt;&gt;0,AJ389&lt;&gt;"PF"),Life*W389,0)</f>
        <v>320.5566</v>
      </c>
      <c r="BH389" s="462">
        <f>IF(AND(AT389&lt;&gt;0,AM389="Y"),UI*W389,0)</f>
        <v>217.85399999999998</v>
      </c>
      <c r="BI389" s="462">
        <f>IF(AND(AT389&lt;&gt;0,N389&lt;&gt;"NR"),DHR*W389,0)</f>
        <v>136.04759999999999</v>
      </c>
      <c r="BJ389" s="462">
        <f>IF(AT389&lt;&gt;0,WC*W389,0)</f>
        <v>680.23799999999994</v>
      </c>
      <c r="BK389" s="462">
        <f>IF(OR(AND(AT389&lt;&gt;0,AJ389&lt;&gt;"PF",AN389&lt;&gt;"NE",AG389&lt;&gt;"A"),AND(AL389="E",OR(AT389=1,AT389=3))),Sick*W389,0)</f>
        <v>0</v>
      </c>
      <c r="BL389" s="462">
        <f t="shared" si="107"/>
        <v>10064.410199999998</v>
      </c>
      <c r="BM389" s="462">
        <f t="shared" si="108"/>
        <v>0</v>
      </c>
      <c r="BN389" s="462">
        <f>IF(AND(AT389=1,AK389="E",AU389&gt;=0.75,AW389=1),HealthBY,IF(AND(AT389=1,AK389="E",AU389&gt;=0.75),HealthBY*P389,IF(AND(AT389=1,AK389="E",AU389&gt;=0.5,AW389=1),PTHealthBY,IF(AND(AT389=1,AK389="E",AU389&gt;=0.5),PTHealthBY*P389,0))))</f>
        <v>11067.5</v>
      </c>
      <c r="BO389" s="462">
        <f>IF(AND(AT389=3,AK389="E",AV389&gt;=0.75,AW389=1),HealthBY,IF(AND(AT389=3,AK389="E",AV389&gt;=0.75),HealthBY*P389,IF(AND(AT389=3,AK389="E",AV389&gt;=0.5,AW389=1),PTHealthBY,IF(AND(AT389=3,AK389="E",AV389&gt;=0.5),PTHealthBY*P389,0))))</f>
        <v>0</v>
      </c>
      <c r="BP389" s="462">
        <f>IF(AND(AT389&lt;&gt;0,(AX389+BA389)&gt;=MAXSSDIBY),SSDIBY*MAXSSDIBY*P389,IF(AT389&lt;&gt;0,SSDIBY*W389,0))</f>
        <v>2756.52</v>
      </c>
      <c r="BQ389" s="462">
        <f>IF(AT389&lt;&gt;0,SSHIBY*W389,0)</f>
        <v>644.67000000000007</v>
      </c>
      <c r="BR389" s="462">
        <f>IF(AND(AT389&lt;&gt;0,AN389&lt;&gt;"NE"),VLOOKUP(AN389,Retirement_Rates,4,FALSE)*W389,0)</f>
        <v>5308.5240000000003</v>
      </c>
      <c r="BS389" s="462">
        <f>IF(AND(AT389&lt;&gt;0,AJ389&lt;&gt;"PF"),LifeBY*W389,0)</f>
        <v>320.5566</v>
      </c>
      <c r="BT389" s="462">
        <f>IF(AND(AT389&lt;&gt;0,AM389="Y"),UIBY*W389,0)</f>
        <v>0</v>
      </c>
      <c r="BU389" s="462">
        <f>IF(AND(AT389&lt;&gt;0,N389&lt;&gt;"NR"),DHRBY*W389,0)</f>
        <v>136.04759999999999</v>
      </c>
      <c r="BV389" s="462">
        <f>IF(AT389&lt;&gt;0,WCBY*W389,0)</f>
        <v>782.49600000000009</v>
      </c>
      <c r="BW389" s="462">
        <f>IF(OR(AND(AT389&lt;&gt;0,AJ389&lt;&gt;"PF",AN389&lt;&gt;"NE",AG389&lt;&gt;"A"),AND(AL389="E",OR(AT389=1,AT389=3))),SickBY*W389,0)</f>
        <v>0</v>
      </c>
      <c r="BX389" s="462">
        <f t="shared" si="109"/>
        <v>9948.8142000000007</v>
      </c>
      <c r="BY389" s="462">
        <f t="shared" si="110"/>
        <v>0</v>
      </c>
      <c r="BZ389" s="462">
        <f t="shared" si="111"/>
        <v>0</v>
      </c>
      <c r="CA389" s="462">
        <f t="shared" si="112"/>
        <v>0</v>
      </c>
      <c r="CB389" s="462">
        <f t="shared" si="113"/>
        <v>0</v>
      </c>
      <c r="CC389" s="462">
        <f>IF(AT389&lt;&gt;0,SSHICHG*Y389,0)</f>
        <v>0</v>
      </c>
      <c r="CD389" s="462">
        <f>IF(AND(AT389&lt;&gt;0,AN389&lt;&gt;"NE"),VLOOKUP(AN389,Retirement_Rates,5,FALSE)*Y389,0)</f>
        <v>0</v>
      </c>
      <c r="CE389" s="462">
        <f>IF(AND(AT389&lt;&gt;0,AJ389&lt;&gt;"PF"),LifeCHG*Y389,0)</f>
        <v>0</v>
      </c>
      <c r="CF389" s="462">
        <f>IF(AND(AT389&lt;&gt;0,AM389="Y"),UICHG*Y389,0)</f>
        <v>-217.85399999999998</v>
      </c>
      <c r="CG389" s="462">
        <f>IF(AND(AT389&lt;&gt;0,N389&lt;&gt;"NR"),DHRCHG*Y389,0)</f>
        <v>0</v>
      </c>
      <c r="CH389" s="462">
        <f>IF(AT389&lt;&gt;0,WCCHG*Y389,0)</f>
        <v>102.25800000000008</v>
      </c>
      <c r="CI389" s="462">
        <f>IF(OR(AND(AT389&lt;&gt;0,AJ389&lt;&gt;"PF",AN389&lt;&gt;"NE",AG389&lt;&gt;"A"),AND(AL389="E",OR(AT389=1,AT389=3))),SickCHG*Y389,0)</f>
        <v>0</v>
      </c>
      <c r="CJ389" s="462">
        <f t="shared" si="114"/>
        <v>-115.5959999999999</v>
      </c>
      <c r="CK389" s="462" t="str">
        <f t="shared" si="115"/>
        <v/>
      </c>
      <c r="CL389" s="462" t="str">
        <f t="shared" si="116"/>
        <v/>
      </c>
      <c r="CM389" s="462" t="str">
        <f t="shared" si="117"/>
        <v/>
      </c>
      <c r="CN389" s="462" t="str">
        <f t="shared" si="118"/>
        <v>0332-04</v>
      </c>
    </row>
    <row r="390" spans="1:92" ht="15" thickBot="1" x14ac:dyDescent="0.35">
      <c r="A390" s="376" t="s">
        <v>161</v>
      </c>
      <c r="B390" s="376" t="s">
        <v>162</v>
      </c>
      <c r="C390" s="376" t="s">
        <v>781</v>
      </c>
      <c r="D390" s="376" t="s">
        <v>362</v>
      </c>
      <c r="E390" s="376" t="s">
        <v>535</v>
      </c>
      <c r="F390" s="382" t="s">
        <v>973</v>
      </c>
      <c r="G390" s="376" t="s">
        <v>762</v>
      </c>
      <c r="H390" s="378"/>
      <c r="I390" s="378"/>
      <c r="J390" s="376" t="s">
        <v>782</v>
      </c>
      <c r="K390" s="376" t="s">
        <v>363</v>
      </c>
      <c r="L390" s="376" t="s">
        <v>200</v>
      </c>
      <c r="M390" s="376" t="s">
        <v>170</v>
      </c>
      <c r="N390" s="376" t="s">
        <v>202</v>
      </c>
      <c r="O390" s="379">
        <v>1</v>
      </c>
      <c r="P390" s="460">
        <v>0.7</v>
      </c>
      <c r="Q390" s="460">
        <v>0.7</v>
      </c>
      <c r="R390" s="380">
        <v>80</v>
      </c>
      <c r="S390" s="460">
        <v>0.7</v>
      </c>
      <c r="T390" s="380">
        <v>7898.36</v>
      </c>
      <c r="U390" s="380">
        <v>0</v>
      </c>
      <c r="V390" s="380">
        <v>3864.88</v>
      </c>
      <c r="W390" s="380">
        <v>32760</v>
      </c>
      <c r="X390" s="380">
        <v>15570.86</v>
      </c>
      <c r="Y390" s="380">
        <v>32760</v>
      </c>
      <c r="Z390" s="380">
        <v>15485.68</v>
      </c>
      <c r="AA390" s="376" t="s">
        <v>783</v>
      </c>
      <c r="AB390" s="376" t="s">
        <v>784</v>
      </c>
      <c r="AC390" s="376" t="s">
        <v>690</v>
      </c>
      <c r="AD390" s="376" t="s">
        <v>215</v>
      </c>
      <c r="AE390" s="376" t="s">
        <v>363</v>
      </c>
      <c r="AF390" s="376" t="s">
        <v>210</v>
      </c>
      <c r="AG390" s="376" t="s">
        <v>177</v>
      </c>
      <c r="AH390" s="381">
        <v>22.5</v>
      </c>
      <c r="AI390" s="379">
        <v>3768</v>
      </c>
      <c r="AJ390" s="376" t="s">
        <v>178</v>
      </c>
      <c r="AK390" s="376" t="s">
        <v>179</v>
      </c>
      <c r="AL390" s="376" t="s">
        <v>180</v>
      </c>
      <c r="AM390" s="376" t="s">
        <v>181</v>
      </c>
      <c r="AN390" s="376" t="s">
        <v>68</v>
      </c>
      <c r="AO390" s="379">
        <v>80</v>
      </c>
      <c r="AP390" s="460">
        <v>1</v>
      </c>
      <c r="AQ390" s="460">
        <v>0.7</v>
      </c>
      <c r="AR390" s="458" t="s">
        <v>182</v>
      </c>
      <c r="AS390" s="462">
        <f t="shared" si="102"/>
        <v>0.7</v>
      </c>
      <c r="AT390">
        <f t="shared" si="103"/>
        <v>1</v>
      </c>
      <c r="AU390" s="462">
        <f>IF(AT390=0,"",IF(AND(AT390=1,M390="F",SUMIF(C2:C698,C390,AS2:AS698)&lt;=1),SUMIF(C2:C698,C390,AS2:AS698),IF(AND(AT390=1,M390="F",SUMIF(C2:C698,C390,AS2:AS698)&gt;1),1,"")))</f>
        <v>1</v>
      </c>
      <c r="AV390" s="462" t="str">
        <f>IF(AT390=0,"",IF(AND(AT390=3,M390="F",SUMIF(C2:C698,C390,AS2:AS698)&lt;=1),SUMIF(C2:C698,C390,AS2:AS698),IF(AND(AT390=3,M390="F",SUMIF(C2:C698,C390,AS2:AS698)&gt;1),1,"")))</f>
        <v/>
      </c>
      <c r="AW390" s="462">
        <f>SUMIF(C2:C698,C390,O2:O698)</f>
        <v>7</v>
      </c>
      <c r="AX390" s="462">
        <f>IF(AND(M390="F",AS390&lt;&gt;0),SUMIF(C2:C698,C390,W2:W698),0)</f>
        <v>46800</v>
      </c>
      <c r="AY390" s="462">
        <f t="shared" si="104"/>
        <v>32760</v>
      </c>
      <c r="AZ390" s="462" t="str">
        <f t="shared" si="105"/>
        <v/>
      </c>
      <c r="BA390" s="462">
        <f t="shared" si="106"/>
        <v>0</v>
      </c>
      <c r="BB390" s="462">
        <f>IF(AND(AT390=1,AK390="E",AU390&gt;=0.75,AW390=1),Health,IF(AND(AT390=1,AK390="E",AU390&gt;=0.75),Health*P390,IF(AND(AT390=1,AK390="E",AU390&gt;=0.5,AW390=1),PTHealth,IF(AND(AT390=1,AK390="E",AU390&gt;=0.5),PTHealth*P390,0))))</f>
        <v>8154.9999999999991</v>
      </c>
      <c r="BC390" s="462">
        <f>IF(AND(AT390=3,AK390="E",AV390&gt;=0.75,AW390=1),Health,IF(AND(AT390=3,AK390="E",AV390&gt;=0.75),Health*P390,IF(AND(AT390=3,AK390="E",AV390&gt;=0.5,AW390=1),PTHealth,IF(AND(AT390=3,AK390="E",AV390&gt;=0.5),PTHealth*P390,0))))</f>
        <v>0</v>
      </c>
      <c r="BD390" s="462">
        <f>IF(AND(AT390&lt;&gt;0,AX390&gt;=MAXSSDI),SSDI*MAXSSDI*P390,IF(AT390&lt;&gt;0,SSDI*W390,0))</f>
        <v>2031.12</v>
      </c>
      <c r="BE390" s="462">
        <f>IF(AT390&lt;&gt;0,SSHI*W390,0)</f>
        <v>475.02000000000004</v>
      </c>
      <c r="BF390" s="462">
        <f>IF(AND(AT390&lt;&gt;0,AN390&lt;&gt;"NE"),VLOOKUP(AN390,Retirement_Rates,3,FALSE)*W390,0)</f>
        <v>3911.5440000000003</v>
      </c>
      <c r="BG390" s="462">
        <f>IF(AND(AT390&lt;&gt;0,AJ390&lt;&gt;"PF"),Life*W390,0)</f>
        <v>236.1996</v>
      </c>
      <c r="BH390" s="462">
        <f>IF(AND(AT390&lt;&gt;0,AM390="Y"),UI*W390,0)</f>
        <v>160.524</v>
      </c>
      <c r="BI390" s="462">
        <f>IF(AND(AT390&lt;&gt;0,N390&lt;&gt;"NR"),DHR*W390,0)</f>
        <v>100.2456</v>
      </c>
      <c r="BJ390" s="462">
        <f>IF(AT390&lt;&gt;0,WC*W390,0)</f>
        <v>501.22799999999995</v>
      </c>
      <c r="BK390" s="462">
        <f>IF(OR(AND(AT390&lt;&gt;0,AJ390&lt;&gt;"PF",AN390&lt;&gt;"NE",AG390&lt;&gt;"A"),AND(AL390="E",OR(AT390=1,AT390=3))),Sick*W390,0)</f>
        <v>0</v>
      </c>
      <c r="BL390" s="462">
        <f t="shared" si="107"/>
        <v>7415.8812000000007</v>
      </c>
      <c r="BM390" s="462">
        <f t="shared" si="108"/>
        <v>0</v>
      </c>
      <c r="BN390" s="462">
        <f>IF(AND(AT390=1,AK390="E",AU390&gt;=0.75,AW390=1),HealthBY,IF(AND(AT390=1,AK390="E",AU390&gt;=0.75),HealthBY*P390,IF(AND(AT390=1,AK390="E",AU390&gt;=0.5,AW390=1),PTHealthBY,IF(AND(AT390=1,AK390="E",AU390&gt;=0.5),PTHealthBY*P390,0))))</f>
        <v>8154.9999999999991</v>
      </c>
      <c r="BO390" s="462">
        <f>IF(AND(AT390=3,AK390="E",AV390&gt;=0.75,AW390=1),HealthBY,IF(AND(AT390=3,AK390="E",AV390&gt;=0.75),HealthBY*P390,IF(AND(AT390=3,AK390="E",AV390&gt;=0.5,AW390=1),PTHealthBY,IF(AND(AT390=3,AK390="E",AV390&gt;=0.5),PTHealthBY*P390,0))))</f>
        <v>0</v>
      </c>
      <c r="BP390" s="462">
        <f>IF(AND(AT390&lt;&gt;0,(AX390+BA390)&gt;=MAXSSDIBY),SSDIBY*MAXSSDIBY*P390,IF(AT390&lt;&gt;0,SSDIBY*W390,0))</f>
        <v>2031.12</v>
      </c>
      <c r="BQ390" s="462">
        <f>IF(AT390&lt;&gt;0,SSHIBY*W390,0)</f>
        <v>475.02000000000004</v>
      </c>
      <c r="BR390" s="462">
        <f>IF(AND(AT390&lt;&gt;0,AN390&lt;&gt;"NE"),VLOOKUP(AN390,Retirement_Rates,4,FALSE)*W390,0)</f>
        <v>3911.5440000000003</v>
      </c>
      <c r="BS390" s="462">
        <f>IF(AND(AT390&lt;&gt;0,AJ390&lt;&gt;"PF"),LifeBY*W390,0)</f>
        <v>236.1996</v>
      </c>
      <c r="BT390" s="462">
        <f>IF(AND(AT390&lt;&gt;0,AM390="Y"),UIBY*W390,0)</f>
        <v>0</v>
      </c>
      <c r="BU390" s="462">
        <f>IF(AND(AT390&lt;&gt;0,N390&lt;&gt;"NR"),DHRBY*W390,0)</f>
        <v>100.2456</v>
      </c>
      <c r="BV390" s="462">
        <f>IF(AT390&lt;&gt;0,WCBY*W390,0)</f>
        <v>576.57600000000002</v>
      </c>
      <c r="BW390" s="462">
        <f>IF(OR(AND(AT390&lt;&gt;0,AJ390&lt;&gt;"PF",AN390&lt;&gt;"NE",AG390&lt;&gt;"A"),AND(AL390="E",OR(AT390=1,AT390=3))),SickBY*W390,0)</f>
        <v>0</v>
      </c>
      <c r="BX390" s="462">
        <f t="shared" si="109"/>
        <v>7330.7052000000003</v>
      </c>
      <c r="BY390" s="462">
        <f t="shared" si="110"/>
        <v>0</v>
      </c>
      <c r="BZ390" s="462">
        <f t="shared" si="111"/>
        <v>0</v>
      </c>
      <c r="CA390" s="462">
        <f t="shared" si="112"/>
        <v>0</v>
      </c>
      <c r="CB390" s="462">
        <f t="shared" si="113"/>
        <v>0</v>
      </c>
      <c r="CC390" s="462">
        <f>IF(AT390&lt;&gt;0,SSHICHG*Y390,0)</f>
        <v>0</v>
      </c>
      <c r="CD390" s="462">
        <f>IF(AND(AT390&lt;&gt;0,AN390&lt;&gt;"NE"),VLOOKUP(AN390,Retirement_Rates,5,FALSE)*Y390,0)</f>
        <v>0</v>
      </c>
      <c r="CE390" s="462">
        <f>IF(AND(AT390&lt;&gt;0,AJ390&lt;&gt;"PF"),LifeCHG*Y390,0)</f>
        <v>0</v>
      </c>
      <c r="CF390" s="462">
        <f>IF(AND(AT390&lt;&gt;0,AM390="Y"),UICHG*Y390,0)</f>
        <v>-160.524</v>
      </c>
      <c r="CG390" s="462">
        <f>IF(AND(AT390&lt;&gt;0,N390&lt;&gt;"NR"),DHRCHG*Y390,0)</f>
        <v>0</v>
      </c>
      <c r="CH390" s="462">
        <f>IF(AT390&lt;&gt;0,WCCHG*Y390,0)</f>
        <v>75.348000000000056</v>
      </c>
      <c r="CI390" s="462">
        <f>IF(OR(AND(AT390&lt;&gt;0,AJ390&lt;&gt;"PF",AN390&lt;&gt;"NE",AG390&lt;&gt;"A"),AND(AL390="E",OR(AT390=1,AT390=3))),SickCHG*Y390,0)</f>
        <v>0</v>
      </c>
      <c r="CJ390" s="462">
        <f t="shared" si="114"/>
        <v>-85.175999999999945</v>
      </c>
      <c r="CK390" s="462" t="str">
        <f t="shared" si="115"/>
        <v/>
      </c>
      <c r="CL390" s="462" t="str">
        <f t="shared" si="116"/>
        <v/>
      </c>
      <c r="CM390" s="462" t="str">
        <f t="shared" si="117"/>
        <v/>
      </c>
      <c r="CN390" s="462" t="str">
        <f t="shared" si="118"/>
        <v>0332-04</v>
      </c>
    </row>
    <row r="391" spans="1:92" ht="15" thickBot="1" x14ac:dyDescent="0.35">
      <c r="A391" s="376" t="s">
        <v>161</v>
      </c>
      <c r="B391" s="376" t="s">
        <v>162</v>
      </c>
      <c r="C391" s="376" t="s">
        <v>522</v>
      </c>
      <c r="D391" s="376" t="s">
        <v>457</v>
      </c>
      <c r="E391" s="376" t="s">
        <v>535</v>
      </c>
      <c r="F391" s="382" t="s">
        <v>973</v>
      </c>
      <c r="G391" s="376" t="s">
        <v>762</v>
      </c>
      <c r="H391" s="378"/>
      <c r="I391" s="378"/>
      <c r="J391" s="376" t="s">
        <v>455</v>
      </c>
      <c r="K391" s="376" t="s">
        <v>458</v>
      </c>
      <c r="L391" s="376" t="s">
        <v>177</v>
      </c>
      <c r="M391" s="376" t="s">
        <v>170</v>
      </c>
      <c r="N391" s="376" t="s">
        <v>202</v>
      </c>
      <c r="O391" s="379">
        <v>1</v>
      </c>
      <c r="P391" s="460">
        <v>0.6</v>
      </c>
      <c r="Q391" s="460">
        <v>0.6</v>
      </c>
      <c r="R391" s="380">
        <v>80</v>
      </c>
      <c r="S391" s="460">
        <v>0.6</v>
      </c>
      <c r="T391" s="380">
        <v>15605.96</v>
      </c>
      <c r="U391" s="380">
        <v>0</v>
      </c>
      <c r="V391" s="380">
        <v>9606.81</v>
      </c>
      <c r="W391" s="380">
        <v>19344</v>
      </c>
      <c r="X391" s="380">
        <v>11368.88</v>
      </c>
      <c r="Y391" s="380">
        <v>19344</v>
      </c>
      <c r="Z391" s="380">
        <v>11318.59</v>
      </c>
      <c r="AA391" s="376" t="s">
        <v>523</v>
      </c>
      <c r="AB391" s="376" t="s">
        <v>524</v>
      </c>
      <c r="AC391" s="376" t="s">
        <v>525</v>
      </c>
      <c r="AD391" s="376" t="s">
        <v>247</v>
      </c>
      <c r="AE391" s="376" t="s">
        <v>458</v>
      </c>
      <c r="AF391" s="376" t="s">
        <v>436</v>
      </c>
      <c r="AG391" s="376" t="s">
        <v>177</v>
      </c>
      <c r="AH391" s="381">
        <v>15.5</v>
      </c>
      <c r="AI391" s="381">
        <v>600.29999999999995</v>
      </c>
      <c r="AJ391" s="376" t="s">
        <v>178</v>
      </c>
      <c r="AK391" s="376" t="s">
        <v>179</v>
      </c>
      <c r="AL391" s="376" t="s">
        <v>180</v>
      </c>
      <c r="AM391" s="376" t="s">
        <v>181</v>
      </c>
      <c r="AN391" s="376" t="s">
        <v>68</v>
      </c>
      <c r="AO391" s="379">
        <v>80</v>
      </c>
      <c r="AP391" s="460">
        <v>1</v>
      </c>
      <c r="AQ391" s="460">
        <v>0.6</v>
      </c>
      <c r="AR391" s="458" t="s">
        <v>182</v>
      </c>
      <c r="AS391" s="462">
        <f t="shared" si="102"/>
        <v>0.6</v>
      </c>
      <c r="AT391">
        <f t="shared" si="103"/>
        <v>1</v>
      </c>
      <c r="AU391" s="462">
        <f>IF(AT391=0,"",IF(AND(AT391=1,M391="F",SUMIF(C2:C698,C391,AS2:AS698)&lt;=1),SUMIF(C2:C698,C391,AS2:AS698),IF(AND(AT391=1,M391="F",SUMIF(C2:C698,C391,AS2:AS698)&gt;1),1,"")))</f>
        <v>1</v>
      </c>
      <c r="AV391" s="462" t="str">
        <f>IF(AT391=0,"",IF(AND(AT391=3,M391="F",SUMIF(C2:C698,C391,AS2:AS698)&lt;=1),SUMIF(C2:C698,C391,AS2:AS698),IF(AND(AT391=3,M391="F",SUMIF(C2:C698,C391,AS2:AS698)&gt;1),1,"")))</f>
        <v/>
      </c>
      <c r="AW391" s="462">
        <f>SUMIF(C2:C698,C391,O2:O698)</f>
        <v>7</v>
      </c>
      <c r="AX391" s="462">
        <f>IF(AND(M391="F",AS391&lt;&gt;0),SUMIF(C2:C698,C391,W2:W698),0)</f>
        <v>32240</v>
      </c>
      <c r="AY391" s="462">
        <f t="shared" si="104"/>
        <v>19344</v>
      </c>
      <c r="AZ391" s="462" t="str">
        <f t="shared" si="105"/>
        <v/>
      </c>
      <c r="BA391" s="462">
        <f t="shared" si="106"/>
        <v>0</v>
      </c>
      <c r="BB391" s="462">
        <f>IF(AND(AT391=1,AK391="E",AU391&gt;=0.75,AW391=1),Health,IF(AND(AT391=1,AK391="E",AU391&gt;=0.75),Health*P391,IF(AND(AT391=1,AK391="E",AU391&gt;=0.5,AW391=1),PTHealth,IF(AND(AT391=1,AK391="E",AU391&gt;=0.5),PTHealth*P391,0))))</f>
        <v>6990</v>
      </c>
      <c r="BC391" s="462">
        <f>IF(AND(AT391=3,AK391="E",AV391&gt;=0.75,AW391=1),Health,IF(AND(AT391=3,AK391="E",AV391&gt;=0.75),Health*P391,IF(AND(AT391=3,AK391="E",AV391&gt;=0.5,AW391=1),PTHealth,IF(AND(AT391=3,AK391="E",AV391&gt;=0.5),PTHealth*P391,0))))</f>
        <v>0</v>
      </c>
      <c r="BD391" s="462">
        <f>IF(AND(AT391&lt;&gt;0,AX391&gt;=MAXSSDI),SSDI*MAXSSDI*P391,IF(AT391&lt;&gt;0,SSDI*W391,0))</f>
        <v>1199.328</v>
      </c>
      <c r="BE391" s="462">
        <f>IF(AT391&lt;&gt;0,SSHI*W391,0)</f>
        <v>280.488</v>
      </c>
      <c r="BF391" s="462">
        <f>IF(AND(AT391&lt;&gt;0,AN391&lt;&gt;"NE"),VLOOKUP(AN391,Retirement_Rates,3,FALSE)*W391,0)</f>
        <v>2309.6736000000001</v>
      </c>
      <c r="BG391" s="462">
        <f>IF(AND(AT391&lt;&gt;0,AJ391&lt;&gt;"PF"),Life*W391,0)</f>
        <v>139.47024000000002</v>
      </c>
      <c r="BH391" s="462">
        <f>IF(AND(AT391&lt;&gt;0,AM391="Y"),UI*W391,0)</f>
        <v>94.785600000000002</v>
      </c>
      <c r="BI391" s="462">
        <f>IF(AND(AT391&lt;&gt;0,N391&lt;&gt;"NR"),DHR*W391,0)</f>
        <v>59.192639999999997</v>
      </c>
      <c r="BJ391" s="462">
        <f>IF(AT391&lt;&gt;0,WC*W391,0)</f>
        <v>295.96319999999997</v>
      </c>
      <c r="BK391" s="462">
        <f>IF(OR(AND(AT391&lt;&gt;0,AJ391&lt;&gt;"PF",AN391&lt;&gt;"NE",AG391&lt;&gt;"A"),AND(AL391="E",OR(AT391=1,AT391=3))),Sick*W391,0)</f>
        <v>0</v>
      </c>
      <c r="BL391" s="462">
        <f t="shared" si="107"/>
        <v>4378.90128</v>
      </c>
      <c r="BM391" s="462">
        <f t="shared" si="108"/>
        <v>0</v>
      </c>
      <c r="BN391" s="462">
        <f>IF(AND(AT391=1,AK391="E",AU391&gt;=0.75,AW391=1),HealthBY,IF(AND(AT391=1,AK391="E",AU391&gt;=0.75),HealthBY*P391,IF(AND(AT391=1,AK391="E",AU391&gt;=0.5,AW391=1),PTHealthBY,IF(AND(AT391=1,AK391="E",AU391&gt;=0.5),PTHealthBY*P391,0))))</f>
        <v>6990</v>
      </c>
      <c r="BO391" s="462">
        <f>IF(AND(AT391=3,AK391="E",AV391&gt;=0.75,AW391=1),HealthBY,IF(AND(AT391=3,AK391="E",AV391&gt;=0.75),HealthBY*P391,IF(AND(AT391=3,AK391="E",AV391&gt;=0.5,AW391=1),PTHealthBY,IF(AND(AT391=3,AK391="E",AV391&gt;=0.5),PTHealthBY*P391,0))))</f>
        <v>0</v>
      </c>
      <c r="BP391" s="462">
        <f>IF(AND(AT391&lt;&gt;0,(AX391+BA391)&gt;=MAXSSDIBY),SSDIBY*MAXSSDIBY*P391,IF(AT391&lt;&gt;0,SSDIBY*W391,0))</f>
        <v>1199.328</v>
      </c>
      <c r="BQ391" s="462">
        <f>IF(AT391&lt;&gt;0,SSHIBY*W391,0)</f>
        <v>280.488</v>
      </c>
      <c r="BR391" s="462">
        <f>IF(AND(AT391&lt;&gt;0,AN391&lt;&gt;"NE"),VLOOKUP(AN391,Retirement_Rates,4,FALSE)*W391,0)</f>
        <v>2309.6736000000001</v>
      </c>
      <c r="BS391" s="462">
        <f>IF(AND(AT391&lt;&gt;0,AJ391&lt;&gt;"PF"),LifeBY*W391,0)</f>
        <v>139.47024000000002</v>
      </c>
      <c r="BT391" s="462">
        <f>IF(AND(AT391&lt;&gt;0,AM391="Y"),UIBY*W391,0)</f>
        <v>0</v>
      </c>
      <c r="BU391" s="462">
        <f>IF(AND(AT391&lt;&gt;0,N391&lt;&gt;"NR"),DHRBY*W391,0)</f>
        <v>59.192639999999997</v>
      </c>
      <c r="BV391" s="462">
        <f>IF(AT391&lt;&gt;0,WCBY*W391,0)</f>
        <v>340.45440000000002</v>
      </c>
      <c r="BW391" s="462">
        <f>IF(OR(AND(AT391&lt;&gt;0,AJ391&lt;&gt;"PF",AN391&lt;&gt;"NE",AG391&lt;&gt;"A"),AND(AL391="E",OR(AT391=1,AT391=3))),SickBY*W391,0)</f>
        <v>0</v>
      </c>
      <c r="BX391" s="462">
        <f t="shared" si="109"/>
        <v>4328.6068800000003</v>
      </c>
      <c r="BY391" s="462">
        <f t="shared" si="110"/>
        <v>0</v>
      </c>
      <c r="BZ391" s="462">
        <f t="shared" si="111"/>
        <v>0</v>
      </c>
      <c r="CA391" s="462">
        <f t="shared" si="112"/>
        <v>0</v>
      </c>
      <c r="CB391" s="462">
        <f t="shared" si="113"/>
        <v>0</v>
      </c>
      <c r="CC391" s="462">
        <f>IF(AT391&lt;&gt;0,SSHICHG*Y391,0)</f>
        <v>0</v>
      </c>
      <c r="CD391" s="462">
        <f>IF(AND(AT391&lt;&gt;0,AN391&lt;&gt;"NE"),VLOOKUP(AN391,Retirement_Rates,5,FALSE)*Y391,0)</f>
        <v>0</v>
      </c>
      <c r="CE391" s="462">
        <f>IF(AND(AT391&lt;&gt;0,AJ391&lt;&gt;"PF"),LifeCHG*Y391,0)</f>
        <v>0</v>
      </c>
      <c r="CF391" s="462">
        <f>IF(AND(AT391&lt;&gt;0,AM391="Y"),UICHG*Y391,0)</f>
        <v>-94.785600000000002</v>
      </c>
      <c r="CG391" s="462">
        <f>IF(AND(AT391&lt;&gt;0,N391&lt;&gt;"NR"),DHRCHG*Y391,0)</f>
        <v>0</v>
      </c>
      <c r="CH391" s="462">
        <f>IF(AT391&lt;&gt;0,WCCHG*Y391,0)</f>
        <v>44.491200000000035</v>
      </c>
      <c r="CI391" s="462">
        <f>IF(OR(AND(AT391&lt;&gt;0,AJ391&lt;&gt;"PF",AN391&lt;&gt;"NE",AG391&lt;&gt;"A"),AND(AL391="E",OR(AT391=1,AT391=3))),SickCHG*Y391,0)</f>
        <v>0</v>
      </c>
      <c r="CJ391" s="462">
        <f t="shared" si="114"/>
        <v>-50.294399999999968</v>
      </c>
      <c r="CK391" s="462" t="str">
        <f t="shared" si="115"/>
        <v/>
      </c>
      <c r="CL391" s="462" t="str">
        <f t="shared" si="116"/>
        <v/>
      </c>
      <c r="CM391" s="462" t="str">
        <f t="shared" si="117"/>
        <v/>
      </c>
      <c r="CN391" s="462" t="str">
        <f t="shared" si="118"/>
        <v>0332-04</v>
      </c>
    </row>
    <row r="392" spans="1:92" ht="15" thickBot="1" x14ac:dyDescent="0.35">
      <c r="A392" s="376" t="s">
        <v>161</v>
      </c>
      <c r="B392" s="376" t="s">
        <v>162</v>
      </c>
      <c r="C392" s="376" t="s">
        <v>872</v>
      </c>
      <c r="D392" s="376" t="s">
        <v>362</v>
      </c>
      <c r="E392" s="376" t="s">
        <v>535</v>
      </c>
      <c r="F392" s="382" t="s">
        <v>973</v>
      </c>
      <c r="G392" s="376" t="s">
        <v>762</v>
      </c>
      <c r="H392" s="378"/>
      <c r="I392" s="378"/>
      <c r="J392" s="376" t="s">
        <v>168</v>
      </c>
      <c r="K392" s="376" t="s">
        <v>363</v>
      </c>
      <c r="L392" s="376" t="s">
        <v>200</v>
      </c>
      <c r="M392" s="376" t="s">
        <v>201</v>
      </c>
      <c r="N392" s="376" t="s">
        <v>202</v>
      </c>
      <c r="O392" s="379">
        <v>0</v>
      </c>
      <c r="P392" s="460">
        <v>1</v>
      </c>
      <c r="Q392" s="460">
        <v>1</v>
      </c>
      <c r="R392" s="380">
        <v>80</v>
      </c>
      <c r="S392" s="460">
        <v>1</v>
      </c>
      <c r="T392" s="380">
        <v>12971.7</v>
      </c>
      <c r="U392" s="380">
        <v>0</v>
      </c>
      <c r="V392" s="380">
        <v>6261.89</v>
      </c>
      <c r="W392" s="380">
        <v>47403.199999999997</v>
      </c>
      <c r="X392" s="380">
        <v>20762.599999999999</v>
      </c>
      <c r="Y392" s="380">
        <v>47403.199999999997</v>
      </c>
      <c r="Z392" s="380">
        <v>20525.580000000002</v>
      </c>
      <c r="AA392" s="378"/>
      <c r="AB392" s="376" t="s">
        <v>45</v>
      </c>
      <c r="AC392" s="376" t="s">
        <v>45</v>
      </c>
      <c r="AD392" s="378"/>
      <c r="AE392" s="378"/>
      <c r="AF392" s="378"/>
      <c r="AG392" s="378"/>
      <c r="AH392" s="379">
        <v>0</v>
      </c>
      <c r="AI392" s="379">
        <v>0</v>
      </c>
      <c r="AJ392" s="378"/>
      <c r="AK392" s="378"/>
      <c r="AL392" s="376" t="s">
        <v>180</v>
      </c>
      <c r="AM392" s="378"/>
      <c r="AN392" s="378"/>
      <c r="AO392" s="379">
        <v>0</v>
      </c>
      <c r="AP392" s="460">
        <v>0</v>
      </c>
      <c r="AQ392" s="460">
        <v>0</v>
      </c>
      <c r="AR392" s="459"/>
      <c r="AS392" s="462">
        <f t="shared" si="102"/>
        <v>0</v>
      </c>
      <c r="AT392">
        <f t="shared" si="103"/>
        <v>0</v>
      </c>
      <c r="AU392" s="462" t="str">
        <f>IF(AT392=0,"",IF(AND(AT392=1,M392="F",SUMIF(C2:C698,C392,AS2:AS698)&lt;=1),SUMIF(C2:C698,C392,AS2:AS698),IF(AND(AT392=1,M392="F",SUMIF(C2:C698,C392,AS2:AS698)&gt;1),1,"")))</f>
        <v/>
      </c>
      <c r="AV392" s="462" t="str">
        <f>IF(AT392=0,"",IF(AND(AT392=3,M392="F",SUMIF(C2:C698,C392,AS2:AS698)&lt;=1),SUMIF(C2:C698,C392,AS2:AS698),IF(AND(AT392=3,M392="F",SUMIF(C2:C698,C392,AS2:AS698)&gt;1),1,"")))</f>
        <v/>
      </c>
      <c r="AW392" s="462">
        <f>SUMIF(C2:C698,C392,O2:O698)</f>
        <v>0</v>
      </c>
      <c r="AX392" s="462">
        <f>IF(AND(M392="F",AS392&lt;&gt;0),SUMIF(C2:C698,C392,W2:W698),0)</f>
        <v>0</v>
      </c>
      <c r="AY392" s="462" t="str">
        <f t="shared" si="104"/>
        <v/>
      </c>
      <c r="AZ392" s="462" t="str">
        <f t="shared" si="105"/>
        <v/>
      </c>
      <c r="BA392" s="462">
        <f t="shared" si="106"/>
        <v>0</v>
      </c>
      <c r="BB392" s="462">
        <f>IF(AND(AT392=1,AK392="E",AU392&gt;=0.75,AW392=1),Health,IF(AND(AT392=1,AK392="E",AU392&gt;=0.75),Health*P392,IF(AND(AT392=1,AK392="E",AU392&gt;=0.5,AW392=1),PTHealth,IF(AND(AT392=1,AK392="E",AU392&gt;=0.5),PTHealth*P392,0))))</f>
        <v>0</v>
      </c>
      <c r="BC392" s="462">
        <f>IF(AND(AT392=3,AK392="E",AV392&gt;=0.75,AW392=1),Health,IF(AND(AT392=3,AK392="E",AV392&gt;=0.75),Health*P392,IF(AND(AT392=3,AK392="E",AV392&gt;=0.5,AW392=1),PTHealth,IF(AND(AT392=3,AK392="E",AV392&gt;=0.5),PTHealth*P392,0))))</f>
        <v>0</v>
      </c>
      <c r="BD392" s="462">
        <f>IF(AND(AT392&lt;&gt;0,AX392&gt;=MAXSSDI),SSDI*MAXSSDI*P392,IF(AT392&lt;&gt;0,SSDI*W392,0))</f>
        <v>0</v>
      </c>
      <c r="BE392" s="462">
        <f>IF(AT392&lt;&gt;0,SSHI*W392,0)</f>
        <v>0</v>
      </c>
      <c r="BF392" s="462">
        <f>IF(AND(AT392&lt;&gt;0,AN392&lt;&gt;"NE"),VLOOKUP(AN392,Retirement_Rates,3,FALSE)*W392,0)</f>
        <v>0</v>
      </c>
      <c r="BG392" s="462">
        <f>IF(AND(AT392&lt;&gt;0,AJ392&lt;&gt;"PF"),Life*W392,0)</f>
        <v>0</v>
      </c>
      <c r="BH392" s="462">
        <f>IF(AND(AT392&lt;&gt;0,AM392="Y"),UI*W392,0)</f>
        <v>0</v>
      </c>
      <c r="BI392" s="462">
        <f>IF(AND(AT392&lt;&gt;0,N392&lt;&gt;"NR"),DHR*W392,0)</f>
        <v>0</v>
      </c>
      <c r="BJ392" s="462">
        <f>IF(AT392&lt;&gt;0,WC*W392,0)</f>
        <v>0</v>
      </c>
      <c r="BK392" s="462">
        <f>IF(OR(AND(AT392&lt;&gt;0,AJ392&lt;&gt;"PF",AN392&lt;&gt;"NE",AG392&lt;&gt;"A"),AND(AL392="E",OR(AT392=1,AT392=3))),Sick*W392,0)</f>
        <v>0</v>
      </c>
      <c r="BL392" s="462">
        <f t="shared" si="107"/>
        <v>0</v>
      </c>
      <c r="BM392" s="462">
        <f t="shared" si="108"/>
        <v>0</v>
      </c>
      <c r="BN392" s="462">
        <f>IF(AND(AT392=1,AK392="E",AU392&gt;=0.75,AW392=1),HealthBY,IF(AND(AT392=1,AK392="E",AU392&gt;=0.75),HealthBY*P392,IF(AND(AT392=1,AK392="E",AU392&gt;=0.5,AW392=1),PTHealthBY,IF(AND(AT392=1,AK392="E",AU392&gt;=0.5),PTHealthBY*P392,0))))</f>
        <v>0</v>
      </c>
      <c r="BO392" s="462">
        <f>IF(AND(AT392=3,AK392="E",AV392&gt;=0.75,AW392=1),HealthBY,IF(AND(AT392=3,AK392="E",AV392&gt;=0.75),HealthBY*P392,IF(AND(AT392=3,AK392="E",AV392&gt;=0.5,AW392=1),PTHealthBY,IF(AND(AT392=3,AK392="E",AV392&gt;=0.5),PTHealthBY*P392,0))))</f>
        <v>0</v>
      </c>
      <c r="BP392" s="462">
        <f>IF(AND(AT392&lt;&gt;0,(AX392+BA392)&gt;=MAXSSDIBY),SSDIBY*MAXSSDIBY*P392,IF(AT392&lt;&gt;0,SSDIBY*W392,0))</f>
        <v>0</v>
      </c>
      <c r="BQ392" s="462">
        <f>IF(AT392&lt;&gt;0,SSHIBY*W392,0)</f>
        <v>0</v>
      </c>
      <c r="BR392" s="462">
        <f>IF(AND(AT392&lt;&gt;0,AN392&lt;&gt;"NE"),VLOOKUP(AN392,Retirement_Rates,4,FALSE)*W392,0)</f>
        <v>0</v>
      </c>
      <c r="BS392" s="462">
        <f>IF(AND(AT392&lt;&gt;0,AJ392&lt;&gt;"PF"),LifeBY*W392,0)</f>
        <v>0</v>
      </c>
      <c r="BT392" s="462">
        <f>IF(AND(AT392&lt;&gt;0,AM392="Y"),UIBY*W392,0)</f>
        <v>0</v>
      </c>
      <c r="BU392" s="462">
        <f>IF(AND(AT392&lt;&gt;0,N392&lt;&gt;"NR"),DHRBY*W392,0)</f>
        <v>0</v>
      </c>
      <c r="BV392" s="462">
        <f>IF(AT392&lt;&gt;0,WCBY*W392,0)</f>
        <v>0</v>
      </c>
      <c r="BW392" s="462">
        <f>IF(OR(AND(AT392&lt;&gt;0,AJ392&lt;&gt;"PF",AN392&lt;&gt;"NE",AG392&lt;&gt;"A"),AND(AL392="E",OR(AT392=1,AT392=3))),SickBY*W392,0)</f>
        <v>0</v>
      </c>
      <c r="BX392" s="462">
        <f t="shared" si="109"/>
        <v>0</v>
      </c>
      <c r="BY392" s="462">
        <f t="shared" si="110"/>
        <v>0</v>
      </c>
      <c r="BZ392" s="462">
        <f t="shared" si="111"/>
        <v>0</v>
      </c>
      <c r="CA392" s="462">
        <f t="shared" si="112"/>
        <v>0</v>
      </c>
      <c r="CB392" s="462">
        <f t="shared" si="113"/>
        <v>0</v>
      </c>
      <c r="CC392" s="462">
        <f>IF(AT392&lt;&gt;0,SSHICHG*Y392,0)</f>
        <v>0</v>
      </c>
      <c r="CD392" s="462">
        <f>IF(AND(AT392&lt;&gt;0,AN392&lt;&gt;"NE"),VLOOKUP(AN392,Retirement_Rates,5,FALSE)*Y392,0)</f>
        <v>0</v>
      </c>
      <c r="CE392" s="462">
        <f>IF(AND(AT392&lt;&gt;0,AJ392&lt;&gt;"PF"),LifeCHG*Y392,0)</f>
        <v>0</v>
      </c>
      <c r="CF392" s="462">
        <f>IF(AND(AT392&lt;&gt;0,AM392="Y"),UICHG*Y392,0)</f>
        <v>0</v>
      </c>
      <c r="CG392" s="462">
        <f>IF(AND(AT392&lt;&gt;0,N392&lt;&gt;"NR"),DHRCHG*Y392,0)</f>
        <v>0</v>
      </c>
      <c r="CH392" s="462">
        <f>IF(AT392&lt;&gt;0,WCCHG*Y392,0)</f>
        <v>0</v>
      </c>
      <c r="CI392" s="462">
        <f>IF(OR(AND(AT392&lt;&gt;0,AJ392&lt;&gt;"PF",AN392&lt;&gt;"NE",AG392&lt;&gt;"A"),AND(AL392="E",OR(AT392=1,AT392=3))),SickCHG*Y392,0)</f>
        <v>0</v>
      </c>
      <c r="CJ392" s="462">
        <f t="shared" si="114"/>
        <v>0</v>
      </c>
      <c r="CK392" s="462" t="str">
        <f t="shared" si="115"/>
        <v/>
      </c>
      <c r="CL392" s="462" t="str">
        <f t="shared" si="116"/>
        <v/>
      </c>
      <c r="CM392" s="462" t="str">
        <f t="shared" si="117"/>
        <v/>
      </c>
      <c r="CN392" s="462" t="str">
        <f t="shared" si="118"/>
        <v>0332-04</v>
      </c>
    </row>
    <row r="393" spans="1:92" ht="15" thickBot="1" x14ac:dyDescent="0.35">
      <c r="A393" s="376" t="s">
        <v>161</v>
      </c>
      <c r="B393" s="376" t="s">
        <v>162</v>
      </c>
      <c r="C393" s="376" t="s">
        <v>785</v>
      </c>
      <c r="D393" s="376" t="s">
        <v>250</v>
      </c>
      <c r="E393" s="376" t="s">
        <v>535</v>
      </c>
      <c r="F393" s="382" t="s">
        <v>973</v>
      </c>
      <c r="G393" s="376" t="s">
        <v>762</v>
      </c>
      <c r="H393" s="378"/>
      <c r="I393" s="378"/>
      <c r="J393" s="376" t="s">
        <v>768</v>
      </c>
      <c r="K393" s="376" t="s">
        <v>407</v>
      </c>
      <c r="L393" s="376" t="s">
        <v>247</v>
      </c>
      <c r="M393" s="376" t="s">
        <v>170</v>
      </c>
      <c r="N393" s="376" t="s">
        <v>202</v>
      </c>
      <c r="O393" s="379">
        <v>1</v>
      </c>
      <c r="P393" s="460">
        <v>0.1</v>
      </c>
      <c r="Q393" s="460">
        <v>0.1</v>
      </c>
      <c r="R393" s="380">
        <v>80</v>
      </c>
      <c r="S393" s="460">
        <v>0.1</v>
      </c>
      <c r="T393" s="380">
        <v>6230.56</v>
      </c>
      <c r="U393" s="380">
        <v>0</v>
      </c>
      <c r="V393" s="380">
        <v>2427.42</v>
      </c>
      <c r="W393" s="380">
        <v>6277.44</v>
      </c>
      <c r="X393" s="380">
        <v>2586.02</v>
      </c>
      <c r="Y393" s="380">
        <v>6277.44</v>
      </c>
      <c r="Z393" s="380">
        <v>2569.6799999999998</v>
      </c>
      <c r="AA393" s="376" t="s">
        <v>786</v>
      </c>
      <c r="AB393" s="376" t="s">
        <v>787</v>
      </c>
      <c r="AC393" s="376" t="s">
        <v>788</v>
      </c>
      <c r="AD393" s="376" t="s">
        <v>325</v>
      </c>
      <c r="AE393" s="376" t="s">
        <v>407</v>
      </c>
      <c r="AF393" s="376" t="s">
        <v>299</v>
      </c>
      <c r="AG393" s="376" t="s">
        <v>177</v>
      </c>
      <c r="AH393" s="381">
        <v>30.18</v>
      </c>
      <c r="AI393" s="381">
        <v>73366.600000000006</v>
      </c>
      <c r="AJ393" s="376" t="s">
        <v>178</v>
      </c>
      <c r="AK393" s="376" t="s">
        <v>179</v>
      </c>
      <c r="AL393" s="376" t="s">
        <v>180</v>
      </c>
      <c r="AM393" s="376" t="s">
        <v>181</v>
      </c>
      <c r="AN393" s="376" t="s">
        <v>68</v>
      </c>
      <c r="AO393" s="379">
        <v>80</v>
      </c>
      <c r="AP393" s="460">
        <v>1</v>
      </c>
      <c r="AQ393" s="460">
        <v>0.1</v>
      </c>
      <c r="AR393" s="458" t="s">
        <v>182</v>
      </c>
      <c r="AS393" s="462">
        <f t="shared" si="102"/>
        <v>0.1</v>
      </c>
      <c r="AT393">
        <f t="shared" si="103"/>
        <v>1</v>
      </c>
      <c r="AU393" s="462">
        <f>IF(AT393=0,"",IF(AND(AT393=1,M393="F",SUMIF(C2:C698,C393,AS2:AS698)&lt;=1),SUMIF(C2:C698,C393,AS2:AS698),IF(AND(AT393=1,M393="F",SUMIF(C2:C698,C393,AS2:AS698)&gt;1),1,"")))</f>
        <v>1</v>
      </c>
      <c r="AV393" s="462" t="str">
        <f>IF(AT393=0,"",IF(AND(AT393=3,M393="F",SUMIF(C2:C698,C393,AS2:AS698)&lt;=1),SUMIF(C2:C698,C393,AS2:AS698),IF(AND(AT393=3,M393="F",SUMIF(C2:C698,C393,AS2:AS698)&gt;1),1,"")))</f>
        <v/>
      </c>
      <c r="AW393" s="462">
        <f>SUMIF(C2:C698,C393,O2:O698)</f>
        <v>7</v>
      </c>
      <c r="AX393" s="462">
        <f>IF(AND(M393="F",AS393&lt;&gt;0),SUMIF(C2:C698,C393,W2:W698),0)</f>
        <v>62774.400000000001</v>
      </c>
      <c r="AY393" s="462">
        <f t="shared" si="104"/>
        <v>6277.44</v>
      </c>
      <c r="AZ393" s="462" t="str">
        <f t="shared" si="105"/>
        <v/>
      </c>
      <c r="BA393" s="462">
        <f t="shared" si="106"/>
        <v>0</v>
      </c>
      <c r="BB393" s="462">
        <f>IF(AND(AT393=1,AK393="E",AU393&gt;=0.75,AW393=1),Health,IF(AND(AT393=1,AK393="E",AU393&gt;=0.75),Health*P393,IF(AND(AT393=1,AK393="E",AU393&gt;=0.5,AW393=1),PTHealth,IF(AND(AT393=1,AK393="E",AU393&gt;=0.5),PTHealth*P393,0))))</f>
        <v>1165</v>
      </c>
      <c r="BC393" s="462">
        <f>IF(AND(AT393=3,AK393="E",AV393&gt;=0.75,AW393=1),Health,IF(AND(AT393=3,AK393="E",AV393&gt;=0.75),Health*P393,IF(AND(AT393=3,AK393="E",AV393&gt;=0.5,AW393=1),PTHealth,IF(AND(AT393=3,AK393="E",AV393&gt;=0.5),PTHealth*P393,0))))</f>
        <v>0</v>
      </c>
      <c r="BD393" s="462">
        <f>IF(AND(AT393&lt;&gt;0,AX393&gt;=MAXSSDI),SSDI*MAXSSDI*P393,IF(AT393&lt;&gt;0,SSDI*W393,0))</f>
        <v>389.20128</v>
      </c>
      <c r="BE393" s="462">
        <f>IF(AT393&lt;&gt;0,SSHI*W393,0)</f>
        <v>91.022880000000001</v>
      </c>
      <c r="BF393" s="462">
        <f>IF(AND(AT393&lt;&gt;0,AN393&lt;&gt;"NE"),VLOOKUP(AN393,Retirement_Rates,3,FALSE)*W393,0)</f>
        <v>749.52633600000001</v>
      </c>
      <c r="BG393" s="462">
        <f>IF(AND(AT393&lt;&gt;0,AJ393&lt;&gt;"PF"),Life*W393,0)</f>
        <v>45.260342399999999</v>
      </c>
      <c r="BH393" s="462">
        <f>IF(AND(AT393&lt;&gt;0,AM393="Y"),UI*W393,0)</f>
        <v>30.759455999999997</v>
      </c>
      <c r="BI393" s="462">
        <f>IF(AND(AT393&lt;&gt;0,N393&lt;&gt;"NR"),DHR*W393,0)</f>
        <v>19.208966399999998</v>
      </c>
      <c r="BJ393" s="462">
        <f>IF(AT393&lt;&gt;0,WC*W393,0)</f>
        <v>96.044831999999985</v>
      </c>
      <c r="BK393" s="462">
        <f>IF(OR(AND(AT393&lt;&gt;0,AJ393&lt;&gt;"PF",AN393&lt;&gt;"NE",AG393&lt;&gt;"A"),AND(AL393="E",OR(AT393=1,AT393=3))),Sick*W393,0)</f>
        <v>0</v>
      </c>
      <c r="BL393" s="462">
        <f t="shared" si="107"/>
        <v>1421.0240928000001</v>
      </c>
      <c r="BM393" s="462">
        <f t="shared" si="108"/>
        <v>0</v>
      </c>
      <c r="BN393" s="462">
        <f>IF(AND(AT393=1,AK393="E",AU393&gt;=0.75,AW393=1),HealthBY,IF(AND(AT393=1,AK393="E",AU393&gt;=0.75),HealthBY*P393,IF(AND(AT393=1,AK393="E",AU393&gt;=0.5,AW393=1),PTHealthBY,IF(AND(AT393=1,AK393="E",AU393&gt;=0.5),PTHealthBY*P393,0))))</f>
        <v>1165</v>
      </c>
      <c r="BO393" s="462">
        <f>IF(AND(AT393=3,AK393="E",AV393&gt;=0.75,AW393=1),HealthBY,IF(AND(AT393=3,AK393="E",AV393&gt;=0.75),HealthBY*P393,IF(AND(AT393=3,AK393="E",AV393&gt;=0.5,AW393=1),PTHealthBY,IF(AND(AT393=3,AK393="E",AV393&gt;=0.5),PTHealthBY*P393,0))))</f>
        <v>0</v>
      </c>
      <c r="BP393" s="462">
        <f>IF(AND(AT393&lt;&gt;0,(AX393+BA393)&gt;=MAXSSDIBY),SSDIBY*MAXSSDIBY*P393,IF(AT393&lt;&gt;0,SSDIBY*W393,0))</f>
        <v>389.20128</v>
      </c>
      <c r="BQ393" s="462">
        <f>IF(AT393&lt;&gt;0,SSHIBY*W393,0)</f>
        <v>91.022880000000001</v>
      </c>
      <c r="BR393" s="462">
        <f>IF(AND(AT393&lt;&gt;0,AN393&lt;&gt;"NE"),VLOOKUP(AN393,Retirement_Rates,4,FALSE)*W393,0)</f>
        <v>749.52633600000001</v>
      </c>
      <c r="BS393" s="462">
        <f>IF(AND(AT393&lt;&gt;0,AJ393&lt;&gt;"PF"),LifeBY*W393,0)</f>
        <v>45.260342399999999</v>
      </c>
      <c r="BT393" s="462">
        <f>IF(AND(AT393&lt;&gt;0,AM393="Y"),UIBY*W393,0)</f>
        <v>0</v>
      </c>
      <c r="BU393" s="462">
        <f>IF(AND(AT393&lt;&gt;0,N393&lt;&gt;"NR"),DHRBY*W393,0)</f>
        <v>19.208966399999998</v>
      </c>
      <c r="BV393" s="462">
        <f>IF(AT393&lt;&gt;0,WCBY*W393,0)</f>
        <v>110.482944</v>
      </c>
      <c r="BW393" s="462">
        <f>IF(OR(AND(AT393&lt;&gt;0,AJ393&lt;&gt;"PF",AN393&lt;&gt;"NE",AG393&lt;&gt;"A"),AND(AL393="E",OR(AT393=1,AT393=3))),SickBY*W393,0)</f>
        <v>0</v>
      </c>
      <c r="BX393" s="462">
        <f t="shared" si="109"/>
        <v>1404.7027488000001</v>
      </c>
      <c r="BY393" s="462">
        <f t="shared" si="110"/>
        <v>0</v>
      </c>
      <c r="BZ393" s="462">
        <f t="shared" si="111"/>
        <v>0</v>
      </c>
      <c r="CA393" s="462">
        <f t="shared" si="112"/>
        <v>0</v>
      </c>
      <c r="CB393" s="462">
        <f t="shared" si="113"/>
        <v>0</v>
      </c>
      <c r="CC393" s="462">
        <f>IF(AT393&lt;&gt;0,SSHICHG*Y393,0)</f>
        <v>0</v>
      </c>
      <c r="CD393" s="462">
        <f>IF(AND(AT393&lt;&gt;0,AN393&lt;&gt;"NE"),VLOOKUP(AN393,Retirement_Rates,5,FALSE)*Y393,0)</f>
        <v>0</v>
      </c>
      <c r="CE393" s="462">
        <f>IF(AND(AT393&lt;&gt;0,AJ393&lt;&gt;"PF"),LifeCHG*Y393,0)</f>
        <v>0</v>
      </c>
      <c r="CF393" s="462">
        <f>IF(AND(AT393&lt;&gt;0,AM393="Y"),UICHG*Y393,0)</f>
        <v>-30.759455999999997</v>
      </c>
      <c r="CG393" s="462">
        <f>IF(AND(AT393&lt;&gt;0,N393&lt;&gt;"NR"),DHRCHG*Y393,0)</f>
        <v>0</v>
      </c>
      <c r="CH393" s="462">
        <f>IF(AT393&lt;&gt;0,WCCHG*Y393,0)</f>
        <v>14.438112000000009</v>
      </c>
      <c r="CI393" s="462">
        <f>IF(OR(AND(AT393&lt;&gt;0,AJ393&lt;&gt;"PF",AN393&lt;&gt;"NE",AG393&lt;&gt;"A"),AND(AL393="E",OR(AT393=1,AT393=3))),SickCHG*Y393,0)</f>
        <v>0</v>
      </c>
      <c r="CJ393" s="462">
        <f t="shared" si="114"/>
        <v>-16.321343999999989</v>
      </c>
      <c r="CK393" s="462" t="str">
        <f t="shared" si="115"/>
        <v/>
      </c>
      <c r="CL393" s="462" t="str">
        <f t="shared" si="116"/>
        <v/>
      </c>
      <c r="CM393" s="462" t="str">
        <f t="shared" si="117"/>
        <v/>
      </c>
      <c r="CN393" s="462" t="str">
        <f t="shared" si="118"/>
        <v>0332-04</v>
      </c>
    </row>
    <row r="394" spans="1:92" ht="15" thickBot="1" x14ac:dyDescent="0.35">
      <c r="A394" s="376" t="s">
        <v>161</v>
      </c>
      <c r="B394" s="376" t="s">
        <v>162</v>
      </c>
      <c r="C394" s="376" t="s">
        <v>454</v>
      </c>
      <c r="D394" s="376" t="s">
        <v>287</v>
      </c>
      <c r="E394" s="376" t="s">
        <v>535</v>
      </c>
      <c r="F394" s="382" t="s">
        <v>973</v>
      </c>
      <c r="G394" s="376" t="s">
        <v>762</v>
      </c>
      <c r="H394" s="378"/>
      <c r="I394" s="378"/>
      <c r="J394" s="376" t="s">
        <v>455</v>
      </c>
      <c r="K394" s="376" t="s">
        <v>290</v>
      </c>
      <c r="L394" s="376" t="s">
        <v>166</v>
      </c>
      <c r="M394" s="376" t="s">
        <v>201</v>
      </c>
      <c r="N394" s="376" t="s">
        <v>291</v>
      </c>
      <c r="O394" s="379">
        <v>0</v>
      </c>
      <c r="P394" s="460">
        <v>0.28999999999999998</v>
      </c>
      <c r="Q394" s="460">
        <v>0</v>
      </c>
      <c r="R394" s="380">
        <v>0</v>
      </c>
      <c r="S394" s="460">
        <v>0</v>
      </c>
      <c r="T394" s="380">
        <v>0</v>
      </c>
      <c r="U394" s="380">
        <v>0</v>
      </c>
      <c r="V394" s="380">
        <v>0</v>
      </c>
      <c r="W394" s="380">
        <v>0</v>
      </c>
      <c r="X394" s="380">
        <v>0</v>
      </c>
      <c r="Y394" s="380">
        <v>0</v>
      </c>
      <c r="Z394" s="380">
        <v>0</v>
      </c>
      <c r="AA394" s="378"/>
      <c r="AB394" s="376" t="s">
        <v>45</v>
      </c>
      <c r="AC394" s="376" t="s">
        <v>45</v>
      </c>
      <c r="AD394" s="378"/>
      <c r="AE394" s="378"/>
      <c r="AF394" s="378"/>
      <c r="AG394" s="378"/>
      <c r="AH394" s="379">
        <v>0</v>
      </c>
      <c r="AI394" s="379">
        <v>0</v>
      </c>
      <c r="AJ394" s="378"/>
      <c r="AK394" s="378"/>
      <c r="AL394" s="376" t="s">
        <v>180</v>
      </c>
      <c r="AM394" s="378"/>
      <c r="AN394" s="378"/>
      <c r="AO394" s="379">
        <v>0</v>
      </c>
      <c r="AP394" s="460">
        <v>0</v>
      </c>
      <c r="AQ394" s="460">
        <v>0</v>
      </c>
      <c r="AR394" s="459"/>
      <c r="AS394" s="462">
        <f t="shared" si="102"/>
        <v>0</v>
      </c>
      <c r="AT394">
        <f t="shared" si="103"/>
        <v>0</v>
      </c>
      <c r="AU394" s="462" t="str">
        <f>IF(AT394=0,"",IF(AND(AT394=1,M394="F",SUMIF(C2:C698,C394,AS2:AS698)&lt;=1),SUMIF(C2:C698,C394,AS2:AS698),IF(AND(AT394=1,M394="F",SUMIF(C2:C698,C394,AS2:AS698)&gt;1),1,"")))</f>
        <v/>
      </c>
      <c r="AV394" s="462" t="str">
        <f>IF(AT394=0,"",IF(AND(AT394=3,M394="F",SUMIF(C2:C698,C394,AS2:AS698)&lt;=1),SUMIF(C2:C698,C394,AS2:AS698),IF(AND(AT394=3,M394="F",SUMIF(C2:C698,C394,AS2:AS698)&gt;1),1,"")))</f>
        <v/>
      </c>
      <c r="AW394" s="462">
        <f>SUMIF(C2:C698,C394,O2:O698)</f>
        <v>0</v>
      </c>
      <c r="AX394" s="462">
        <f>IF(AND(M394="F",AS394&lt;&gt;0),SUMIF(C2:C698,C394,W2:W698),0)</f>
        <v>0</v>
      </c>
      <c r="AY394" s="462" t="str">
        <f t="shared" si="104"/>
        <v/>
      </c>
      <c r="AZ394" s="462" t="str">
        <f t="shared" si="105"/>
        <v/>
      </c>
      <c r="BA394" s="462">
        <f t="shared" si="106"/>
        <v>0</v>
      </c>
      <c r="BB394" s="462">
        <f>IF(AND(AT394=1,AK394="E",AU394&gt;=0.75,AW394=1),Health,IF(AND(AT394=1,AK394="E",AU394&gt;=0.75),Health*P394,IF(AND(AT394=1,AK394="E",AU394&gt;=0.5,AW394=1),PTHealth,IF(AND(AT394=1,AK394="E",AU394&gt;=0.5),PTHealth*P394,0))))</f>
        <v>0</v>
      </c>
      <c r="BC394" s="462">
        <f>IF(AND(AT394=3,AK394="E",AV394&gt;=0.75,AW394=1),Health,IF(AND(AT394=3,AK394="E",AV394&gt;=0.75),Health*P394,IF(AND(AT394=3,AK394="E",AV394&gt;=0.5,AW394=1),PTHealth,IF(AND(AT394=3,AK394="E",AV394&gt;=0.5),PTHealth*P394,0))))</f>
        <v>0</v>
      </c>
      <c r="BD394" s="462">
        <f>IF(AND(AT394&lt;&gt;0,AX394&gt;=MAXSSDI),SSDI*MAXSSDI*P394,IF(AT394&lt;&gt;0,SSDI*W394,0))</f>
        <v>0</v>
      </c>
      <c r="BE394" s="462">
        <f>IF(AT394&lt;&gt;0,SSHI*W394,0)</f>
        <v>0</v>
      </c>
      <c r="BF394" s="462">
        <f>IF(AND(AT394&lt;&gt;0,AN394&lt;&gt;"NE"),VLOOKUP(AN394,Retirement_Rates,3,FALSE)*W394,0)</f>
        <v>0</v>
      </c>
      <c r="BG394" s="462">
        <f>IF(AND(AT394&lt;&gt;0,AJ394&lt;&gt;"PF"),Life*W394,0)</f>
        <v>0</v>
      </c>
      <c r="BH394" s="462">
        <f>IF(AND(AT394&lt;&gt;0,AM394="Y"),UI*W394,0)</f>
        <v>0</v>
      </c>
      <c r="BI394" s="462">
        <f>IF(AND(AT394&lt;&gt;0,N394&lt;&gt;"NR"),DHR*W394,0)</f>
        <v>0</v>
      </c>
      <c r="BJ394" s="462">
        <f>IF(AT394&lt;&gt;0,WC*W394,0)</f>
        <v>0</v>
      </c>
      <c r="BK394" s="462">
        <f>IF(OR(AND(AT394&lt;&gt;0,AJ394&lt;&gt;"PF",AN394&lt;&gt;"NE",AG394&lt;&gt;"A"),AND(AL394="E",OR(AT394=1,AT394=3))),Sick*W394,0)</f>
        <v>0</v>
      </c>
      <c r="BL394" s="462">
        <f t="shared" si="107"/>
        <v>0</v>
      </c>
      <c r="BM394" s="462">
        <f t="shared" si="108"/>
        <v>0</v>
      </c>
      <c r="BN394" s="462">
        <f>IF(AND(AT394=1,AK394="E",AU394&gt;=0.75,AW394=1),HealthBY,IF(AND(AT394=1,AK394="E",AU394&gt;=0.75),HealthBY*P394,IF(AND(AT394=1,AK394="E",AU394&gt;=0.5,AW394=1),PTHealthBY,IF(AND(AT394=1,AK394="E",AU394&gt;=0.5),PTHealthBY*P394,0))))</f>
        <v>0</v>
      </c>
      <c r="BO394" s="462">
        <f>IF(AND(AT394=3,AK394="E",AV394&gt;=0.75,AW394=1),HealthBY,IF(AND(AT394=3,AK394="E",AV394&gt;=0.75),HealthBY*P394,IF(AND(AT394=3,AK394="E",AV394&gt;=0.5,AW394=1),PTHealthBY,IF(AND(AT394=3,AK394="E",AV394&gt;=0.5),PTHealthBY*P394,0))))</f>
        <v>0</v>
      </c>
      <c r="BP394" s="462">
        <f>IF(AND(AT394&lt;&gt;0,(AX394+BA394)&gt;=MAXSSDIBY),SSDIBY*MAXSSDIBY*P394,IF(AT394&lt;&gt;0,SSDIBY*W394,0))</f>
        <v>0</v>
      </c>
      <c r="BQ394" s="462">
        <f>IF(AT394&lt;&gt;0,SSHIBY*W394,0)</f>
        <v>0</v>
      </c>
      <c r="BR394" s="462">
        <f>IF(AND(AT394&lt;&gt;0,AN394&lt;&gt;"NE"),VLOOKUP(AN394,Retirement_Rates,4,FALSE)*W394,0)</f>
        <v>0</v>
      </c>
      <c r="BS394" s="462">
        <f>IF(AND(AT394&lt;&gt;0,AJ394&lt;&gt;"PF"),LifeBY*W394,0)</f>
        <v>0</v>
      </c>
      <c r="BT394" s="462">
        <f>IF(AND(AT394&lt;&gt;0,AM394="Y"),UIBY*W394,0)</f>
        <v>0</v>
      </c>
      <c r="BU394" s="462">
        <f>IF(AND(AT394&lt;&gt;0,N394&lt;&gt;"NR"),DHRBY*W394,0)</f>
        <v>0</v>
      </c>
      <c r="BV394" s="462">
        <f>IF(AT394&lt;&gt;0,WCBY*W394,0)</f>
        <v>0</v>
      </c>
      <c r="BW394" s="462">
        <f>IF(OR(AND(AT394&lt;&gt;0,AJ394&lt;&gt;"PF",AN394&lt;&gt;"NE",AG394&lt;&gt;"A"),AND(AL394="E",OR(AT394=1,AT394=3))),SickBY*W394,0)</f>
        <v>0</v>
      </c>
      <c r="BX394" s="462">
        <f t="shared" si="109"/>
        <v>0</v>
      </c>
      <c r="BY394" s="462">
        <f t="shared" si="110"/>
        <v>0</v>
      </c>
      <c r="BZ394" s="462">
        <f t="shared" si="111"/>
        <v>0</v>
      </c>
      <c r="CA394" s="462">
        <f t="shared" si="112"/>
        <v>0</v>
      </c>
      <c r="CB394" s="462">
        <f t="shared" si="113"/>
        <v>0</v>
      </c>
      <c r="CC394" s="462">
        <f>IF(AT394&lt;&gt;0,SSHICHG*Y394,0)</f>
        <v>0</v>
      </c>
      <c r="CD394" s="462">
        <f>IF(AND(AT394&lt;&gt;0,AN394&lt;&gt;"NE"),VLOOKUP(AN394,Retirement_Rates,5,FALSE)*Y394,0)</f>
        <v>0</v>
      </c>
      <c r="CE394" s="462">
        <f>IF(AND(AT394&lt;&gt;0,AJ394&lt;&gt;"PF"),LifeCHG*Y394,0)</f>
        <v>0</v>
      </c>
      <c r="CF394" s="462">
        <f>IF(AND(AT394&lt;&gt;0,AM394="Y"),UICHG*Y394,0)</f>
        <v>0</v>
      </c>
      <c r="CG394" s="462">
        <f>IF(AND(AT394&lt;&gt;0,N394&lt;&gt;"NR"),DHRCHG*Y394,0)</f>
        <v>0</v>
      </c>
      <c r="CH394" s="462">
        <f>IF(AT394&lt;&gt;0,WCCHG*Y394,0)</f>
        <v>0</v>
      </c>
      <c r="CI394" s="462">
        <f>IF(OR(AND(AT394&lt;&gt;0,AJ394&lt;&gt;"PF",AN394&lt;&gt;"NE",AG394&lt;&gt;"A"),AND(AL394="E",OR(AT394=1,AT394=3))),SickCHG*Y394,0)</f>
        <v>0</v>
      </c>
      <c r="CJ394" s="462">
        <f t="shared" si="114"/>
        <v>0</v>
      </c>
      <c r="CK394" s="462" t="str">
        <f t="shared" si="115"/>
        <v/>
      </c>
      <c r="CL394" s="462">
        <f t="shared" si="116"/>
        <v>0</v>
      </c>
      <c r="CM394" s="462">
        <f t="shared" si="117"/>
        <v>0</v>
      </c>
      <c r="CN394" s="462" t="str">
        <f t="shared" si="118"/>
        <v>0332-04</v>
      </c>
    </row>
    <row r="395" spans="1:92" ht="15" thickBot="1" x14ac:dyDescent="0.35">
      <c r="A395" s="376" t="s">
        <v>161</v>
      </c>
      <c r="B395" s="376" t="s">
        <v>162</v>
      </c>
      <c r="C395" s="376" t="s">
        <v>546</v>
      </c>
      <c r="D395" s="376" t="s">
        <v>222</v>
      </c>
      <c r="E395" s="376" t="s">
        <v>535</v>
      </c>
      <c r="F395" s="382" t="s">
        <v>973</v>
      </c>
      <c r="G395" s="376" t="s">
        <v>762</v>
      </c>
      <c r="H395" s="378"/>
      <c r="I395" s="378"/>
      <c r="J395" s="376" t="s">
        <v>547</v>
      </c>
      <c r="K395" s="376" t="s">
        <v>548</v>
      </c>
      <c r="L395" s="376" t="s">
        <v>247</v>
      </c>
      <c r="M395" s="376" t="s">
        <v>170</v>
      </c>
      <c r="N395" s="376" t="s">
        <v>202</v>
      </c>
      <c r="O395" s="379">
        <v>1</v>
      </c>
      <c r="P395" s="460">
        <v>0.4</v>
      </c>
      <c r="Q395" s="460">
        <v>0.4</v>
      </c>
      <c r="R395" s="380">
        <v>80</v>
      </c>
      <c r="S395" s="460">
        <v>0.4</v>
      </c>
      <c r="T395" s="380">
        <v>33441.26</v>
      </c>
      <c r="U395" s="380">
        <v>0</v>
      </c>
      <c r="V395" s="380">
        <v>11442.82</v>
      </c>
      <c r="W395" s="380">
        <v>34677.760000000002</v>
      </c>
      <c r="X395" s="380">
        <v>12509.99</v>
      </c>
      <c r="Y395" s="380">
        <v>34677.760000000002</v>
      </c>
      <c r="Z395" s="380">
        <v>12419.83</v>
      </c>
      <c r="AA395" s="376" t="s">
        <v>549</v>
      </c>
      <c r="AB395" s="376" t="s">
        <v>550</v>
      </c>
      <c r="AC395" s="376" t="s">
        <v>551</v>
      </c>
      <c r="AD395" s="376" t="s">
        <v>200</v>
      </c>
      <c r="AE395" s="376" t="s">
        <v>548</v>
      </c>
      <c r="AF395" s="376" t="s">
        <v>299</v>
      </c>
      <c r="AG395" s="376" t="s">
        <v>177</v>
      </c>
      <c r="AH395" s="381">
        <v>41.68</v>
      </c>
      <c r="AI395" s="381">
        <v>67068.3</v>
      </c>
      <c r="AJ395" s="376" t="s">
        <v>178</v>
      </c>
      <c r="AK395" s="376" t="s">
        <v>179</v>
      </c>
      <c r="AL395" s="376" t="s">
        <v>180</v>
      </c>
      <c r="AM395" s="376" t="s">
        <v>181</v>
      </c>
      <c r="AN395" s="376" t="s">
        <v>68</v>
      </c>
      <c r="AO395" s="379">
        <v>80</v>
      </c>
      <c r="AP395" s="460">
        <v>1</v>
      </c>
      <c r="AQ395" s="460">
        <v>0.4</v>
      </c>
      <c r="AR395" s="458" t="s">
        <v>182</v>
      </c>
      <c r="AS395" s="462">
        <f t="shared" si="102"/>
        <v>0.4</v>
      </c>
      <c r="AT395">
        <f t="shared" si="103"/>
        <v>1</v>
      </c>
      <c r="AU395" s="462">
        <f>IF(AT395=0,"",IF(AND(AT395=1,M395="F",SUMIF(C2:C698,C395,AS2:AS698)&lt;=1),SUMIF(C2:C698,C395,AS2:AS698),IF(AND(AT395=1,M395="F",SUMIF(C2:C698,C395,AS2:AS698)&gt;1),1,"")))</f>
        <v>1</v>
      </c>
      <c r="AV395" s="462" t="str">
        <f>IF(AT395=0,"",IF(AND(AT395=3,M395="F",SUMIF(C2:C698,C395,AS2:AS698)&lt;=1),SUMIF(C2:C698,C395,AS2:AS698),IF(AND(AT395=3,M395="F",SUMIF(C2:C698,C395,AS2:AS698)&gt;1),1,"")))</f>
        <v/>
      </c>
      <c r="AW395" s="462">
        <f>SUMIF(C2:C698,C395,O2:O698)</f>
        <v>3</v>
      </c>
      <c r="AX395" s="462">
        <f>IF(AND(M395="F",AS395&lt;&gt;0),SUMIF(C2:C698,C395,W2:W698),0)</f>
        <v>86694.399999999994</v>
      </c>
      <c r="AY395" s="462">
        <f t="shared" si="104"/>
        <v>34677.760000000002</v>
      </c>
      <c r="AZ395" s="462" t="str">
        <f t="shared" si="105"/>
        <v/>
      </c>
      <c r="BA395" s="462">
        <f t="shared" si="106"/>
        <v>0</v>
      </c>
      <c r="BB395" s="462">
        <f>IF(AND(AT395=1,AK395="E",AU395&gt;=0.75,AW395=1),Health,IF(AND(AT395=1,AK395="E",AU395&gt;=0.75),Health*P395,IF(AND(AT395=1,AK395="E",AU395&gt;=0.5,AW395=1),PTHealth,IF(AND(AT395=1,AK395="E",AU395&gt;=0.5),PTHealth*P395,0))))</f>
        <v>4660</v>
      </c>
      <c r="BC395" s="462">
        <f>IF(AND(AT395=3,AK395="E",AV395&gt;=0.75,AW395=1),Health,IF(AND(AT395=3,AK395="E",AV395&gt;=0.75),Health*P395,IF(AND(AT395=3,AK395="E",AV395&gt;=0.5,AW395=1),PTHealth,IF(AND(AT395=3,AK395="E",AV395&gt;=0.5),PTHealth*P395,0))))</f>
        <v>0</v>
      </c>
      <c r="BD395" s="462">
        <f>IF(AND(AT395&lt;&gt;0,AX395&gt;=MAXSSDI),SSDI*MAXSSDI*P395,IF(AT395&lt;&gt;0,SSDI*W395,0))</f>
        <v>2150.0211200000003</v>
      </c>
      <c r="BE395" s="462">
        <f>IF(AT395&lt;&gt;0,SSHI*W395,0)</f>
        <v>502.82752000000005</v>
      </c>
      <c r="BF395" s="462">
        <f>IF(AND(AT395&lt;&gt;0,AN395&lt;&gt;"NE"),VLOOKUP(AN395,Retirement_Rates,3,FALSE)*W395,0)</f>
        <v>4140.5245440000008</v>
      </c>
      <c r="BG395" s="462">
        <f>IF(AND(AT395&lt;&gt;0,AJ395&lt;&gt;"PF"),Life*W395,0)</f>
        <v>250.02664960000001</v>
      </c>
      <c r="BH395" s="462">
        <f>IF(AND(AT395&lt;&gt;0,AM395="Y"),UI*W395,0)</f>
        <v>169.92102400000002</v>
      </c>
      <c r="BI395" s="462">
        <f>IF(AND(AT395&lt;&gt;0,N395&lt;&gt;"NR"),DHR*W395,0)</f>
        <v>106.11394559999999</v>
      </c>
      <c r="BJ395" s="462">
        <f>IF(AT395&lt;&gt;0,WC*W395,0)</f>
        <v>530.56972800000005</v>
      </c>
      <c r="BK395" s="462">
        <f>IF(OR(AND(AT395&lt;&gt;0,AJ395&lt;&gt;"PF",AN395&lt;&gt;"NE",AG395&lt;&gt;"A"),AND(AL395="E",OR(AT395=1,AT395=3))),Sick*W395,0)</f>
        <v>0</v>
      </c>
      <c r="BL395" s="462">
        <f t="shared" si="107"/>
        <v>7850.004531200002</v>
      </c>
      <c r="BM395" s="462">
        <f t="shared" si="108"/>
        <v>0</v>
      </c>
      <c r="BN395" s="462">
        <f>IF(AND(AT395=1,AK395="E",AU395&gt;=0.75,AW395=1),HealthBY,IF(AND(AT395=1,AK395="E",AU395&gt;=0.75),HealthBY*P395,IF(AND(AT395=1,AK395="E",AU395&gt;=0.5,AW395=1),PTHealthBY,IF(AND(AT395=1,AK395="E",AU395&gt;=0.5),PTHealthBY*P395,0))))</f>
        <v>4660</v>
      </c>
      <c r="BO395" s="462">
        <f>IF(AND(AT395=3,AK395="E",AV395&gt;=0.75,AW395=1),HealthBY,IF(AND(AT395=3,AK395="E",AV395&gt;=0.75),HealthBY*P395,IF(AND(AT395=3,AK395="E",AV395&gt;=0.5,AW395=1),PTHealthBY,IF(AND(AT395=3,AK395="E",AV395&gt;=0.5),PTHealthBY*P395,0))))</f>
        <v>0</v>
      </c>
      <c r="BP395" s="462">
        <f>IF(AND(AT395&lt;&gt;0,(AX395+BA395)&gt;=MAXSSDIBY),SSDIBY*MAXSSDIBY*P395,IF(AT395&lt;&gt;0,SSDIBY*W395,0))</f>
        <v>2150.0211200000003</v>
      </c>
      <c r="BQ395" s="462">
        <f>IF(AT395&lt;&gt;0,SSHIBY*W395,0)</f>
        <v>502.82752000000005</v>
      </c>
      <c r="BR395" s="462">
        <f>IF(AND(AT395&lt;&gt;0,AN395&lt;&gt;"NE"),VLOOKUP(AN395,Retirement_Rates,4,FALSE)*W395,0)</f>
        <v>4140.5245440000008</v>
      </c>
      <c r="BS395" s="462">
        <f>IF(AND(AT395&lt;&gt;0,AJ395&lt;&gt;"PF"),LifeBY*W395,0)</f>
        <v>250.02664960000001</v>
      </c>
      <c r="BT395" s="462">
        <f>IF(AND(AT395&lt;&gt;0,AM395="Y"),UIBY*W395,0)</f>
        <v>0</v>
      </c>
      <c r="BU395" s="462">
        <f>IF(AND(AT395&lt;&gt;0,N395&lt;&gt;"NR"),DHRBY*W395,0)</f>
        <v>106.11394559999999</v>
      </c>
      <c r="BV395" s="462">
        <f>IF(AT395&lt;&gt;0,WCBY*W395,0)</f>
        <v>610.32857600000011</v>
      </c>
      <c r="BW395" s="462">
        <f>IF(OR(AND(AT395&lt;&gt;0,AJ395&lt;&gt;"PF",AN395&lt;&gt;"NE",AG395&lt;&gt;"A"),AND(AL395="E",OR(AT395=1,AT395=3))),SickBY*W395,0)</f>
        <v>0</v>
      </c>
      <c r="BX395" s="462">
        <f t="shared" si="109"/>
        <v>7759.8423552000013</v>
      </c>
      <c r="BY395" s="462">
        <f t="shared" si="110"/>
        <v>0</v>
      </c>
      <c r="BZ395" s="462">
        <f t="shared" si="111"/>
        <v>0</v>
      </c>
      <c r="CA395" s="462">
        <f t="shared" si="112"/>
        <v>0</v>
      </c>
      <c r="CB395" s="462">
        <f t="shared" si="113"/>
        <v>0</v>
      </c>
      <c r="CC395" s="462">
        <f>IF(AT395&lt;&gt;0,SSHICHG*Y395,0)</f>
        <v>0</v>
      </c>
      <c r="CD395" s="462">
        <f>IF(AND(AT395&lt;&gt;0,AN395&lt;&gt;"NE"),VLOOKUP(AN395,Retirement_Rates,5,FALSE)*Y395,0)</f>
        <v>0</v>
      </c>
      <c r="CE395" s="462">
        <f>IF(AND(AT395&lt;&gt;0,AJ395&lt;&gt;"PF"),LifeCHG*Y395,0)</f>
        <v>0</v>
      </c>
      <c r="CF395" s="462">
        <f>IF(AND(AT395&lt;&gt;0,AM395="Y"),UICHG*Y395,0)</f>
        <v>-169.92102400000002</v>
      </c>
      <c r="CG395" s="462">
        <f>IF(AND(AT395&lt;&gt;0,N395&lt;&gt;"NR"),DHRCHG*Y395,0)</f>
        <v>0</v>
      </c>
      <c r="CH395" s="462">
        <f>IF(AT395&lt;&gt;0,WCCHG*Y395,0)</f>
        <v>79.758848000000057</v>
      </c>
      <c r="CI395" s="462">
        <f>IF(OR(AND(AT395&lt;&gt;0,AJ395&lt;&gt;"PF",AN395&lt;&gt;"NE",AG395&lt;&gt;"A"),AND(AL395="E",OR(AT395=1,AT395=3))),SickCHG*Y395,0)</f>
        <v>0</v>
      </c>
      <c r="CJ395" s="462">
        <f t="shared" si="114"/>
        <v>-90.16217599999996</v>
      </c>
      <c r="CK395" s="462" t="str">
        <f t="shared" si="115"/>
        <v/>
      </c>
      <c r="CL395" s="462" t="str">
        <f t="shared" si="116"/>
        <v/>
      </c>
      <c r="CM395" s="462" t="str">
        <f t="shared" si="117"/>
        <v/>
      </c>
      <c r="CN395" s="462" t="str">
        <f t="shared" si="118"/>
        <v>0332-04</v>
      </c>
    </row>
    <row r="396" spans="1:92" ht="15" thickBot="1" x14ac:dyDescent="0.35">
      <c r="A396" s="376" t="s">
        <v>161</v>
      </c>
      <c r="B396" s="376" t="s">
        <v>162</v>
      </c>
      <c r="C396" s="376" t="s">
        <v>552</v>
      </c>
      <c r="D396" s="376" t="s">
        <v>553</v>
      </c>
      <c r="E396" s="376" t="s">
        <v>535</v>
      </c>
      <c r="F396" s="382" t="s">
        <v>973</v>
      </c>
      <c r="G396" s="376" t="s">
        <v>762</v>
      </c>
      <c r="H396" s="378"/>
      <c r="I396" s="378"/>
      <c r="J396" s="376" t="s">
        <v>547</v>
      </c>
      <c r="K396" s="376" t="s">
        <v>554</v>
      </c>
      <c r="L396" s="376" t="s">
        <v>180</v>
      </c>
      <c r="M396" s="376" t="s">
        <v>170</v>
      </c>
      <c r="N396" s="376" t="s">
        <v>202</v>
      </c>
      <c r="O396" s="379">
        <v>1</v>
      </c>
      <c r="P396" s="460">
        <v>0.35</v>
      </c>
      <c r="Q396" s="460">
        <v>0.35</v>
      </c>
      <c r="R396" s="380">
        <v>80</v>
      </c>
      <c r="S396" s="460">
        <v>0.35</v>
      </c>
      <c r="T396" s="380">
        <v>22597.84</v>
      </c>
      <c r="U396" s="380">
        <v>0</v>
      </c>
      <c r="V396" s="380">
        <v>8846.8799999999992</v>
      </c>
      <c r="W396" s="380">
        <v>23550.799999999999</v>
      </c>
      <c r="X396" s="380">
        <v>9408.68</v>
      </c>
      <c r="Y396" s="380">
        <v>23550.799999999999</v>
      </c>
      <c r="Z396" s="380">
        <v>9347.4500000000007</v>
      </c>
      <c r="AA396" s="376" t="s">
        <v>555</v>
      </c>
      <c r="AB396" s="376" t="s">
        <v>556</v>
      </c>
      <c r="AC396" s="376" t="s">
        <v>557</v>
      </c>
      <c r="AD396" s="376" t="s">
        <v>558</v>
      </c>
      <c r="AE396" s="376" t="s">
        <v>554</v>
      </c>
      <c r="AF396" s="376" t="s">
        <v>256</v>
      </c>
      <c r="AG396" s="376" t="s">
        <v>177</v>
      </c>
      <c r="AH396" s="381">
        <v>32.35</v>
      </c>
      <c r="AI396" s="381">
        <v>20350.900000000001</v>
      </c>
      <c r="AJ396" s="376" t="s">
        <v>178</v>
      </c>
      <c r="AK396" s="376" t="s">
        <v>179</v>
      </c>
      <c r="AL396" s="376" t="s">
        <v>180</v>
      </c>
      <c r="AM396" s="376" t="s">
        <v>181</v>
      </c>
      <c r="AN396" s="376" t="s">
        <v>68</v>
      </c>
      <c r="AO396" s="379">
        <v>80</v>
      </c>
      <c r="AP396" s="460">
        <v>1</v>
      </c>
      <c r="AQ396" s="460">
        <v>0.35</v>
      </c>
      <c r="AR396" s="458" t="s">
        <v>182</v>
      </c>
      <c r="AS396" s="462">
        <f t="shared" si="102"/>
        <v>0.35</v>
      </c>
      <c r="AT396">
        <f t="shared" si="103"/>
        <v>1</v>
      </c>
      <c r="AU396" s="462">
        <f>IF(AT396=0,"",IF(AND(AT396=1,M396="F",SUMIF(C2:C698,C396,AS2:AS698)&lt;=1),SUMIF(C2:C698,C396,AS2:AS698),IF(AND(AT396=1,M396="F",SUMIF(C2:C698,C396,AS2:AS698)&gt;1),1,"")))</f>
        <v>0.99999999999999989</v>
      </c>
      <c r="AV396" s="462" t="str">
        <f>IF(AT396=0,"",IF(AND(AT396=3,M396="F",SUMIF(C2:C698,C396,AS2:AS698)&lt;=1),SUMIF(C2:C698,C396,AS2:AS698),IF(AND(AT396=3,M396="F",SUMIF(C2:C698,C396,AS2:AS698)&gt;1),1,"")))</f>
        <v/>
      </c>
      <c r="AW396" s="462">
        <f>SUMIF(C2:C698,C396,O2:O698)</f>
        <v>3</v>
      </c>
      <c r="AX396" s="462">
        <f>IF(AND(M396="F",AS396&lt;&gt;0),SUMIF(C2:C698,C396,W2:W698),0)</f>
        <v>67288</v>
      </c>
      <c r="AY396" s="462">
        <f t="shared" si="104"/>
        <v>23550.799999999999</v>
      </c>
      <c r="AZ396" s="462" t="str">
        <f t="shared" si="105"/>
        <v/>
      </c>
      <c r="BA396" s="462">
        <f t="shared" si="106"/>
        <v>0</v>
      </c>
      <c r="BB396" s="462">
        <f>IF(AND(AT396=1,AK396="E",AU396&gt;=0.75,AW396=1),Health,IF(AND(AT396=1,AK396="E",AU396&gt;=0.75),Health*P396,IF(AND(AT396=1,AK396="E",AU396&gt;=0.5,AW396=1),PTHealth,IF(AND(AT396=1,AK396="E",AU396&gt;=0.5),PTHealth*P396,0))))</f>
        <v>4077.4999999999995</v>
      </c>
      <c r="BC396" s="462">
        <f>IF(AND(AT396=3,AK396="E",AV396&gt;=0.75,AW396=1),Health,IF(AND(AT396=3,AK396="E",AV396&gt;=0.75),Health*P396,IF(AND(AT396=3,AK396="E",AV396&gt;=0.5,AW396=1),PTHealth,IF(AND(AT396=3,AK396="E",AV396&gt;=0.5),PTHealth*P396,0))))</f>
        <v>0</v>
      </c>
      <c r="BD396" s="462">
        <f>IF(AND(AT396&lt;&gt;0,AX396&gt;=MAXSSDI),SSDI*MAXSSDI*P396,IF(AT396&lt;&gt;0,SSDI*W396,0))</f>
        <v>1460.1496</v>
      </c>
      <c r="BE396" s="462">
        <f>IF(AT396&lt;&gt;0,SSHI*W396,0)</f>
        <v>341.48660000000001</v>
      </c>
      <c r="BF396" s="462">
        <f>IF(AND(AT396&lt;&gt;0,AN396&lt;&gt;"NE"),VLOOKUP(AN396,Retirement_Rates,3,FALSE)*W396,0)</f>
        <v>2811.9655200000002</v>
      </c>
      <c r="BG396" s="462">
        <f>IF(AND(AT396&lt;&gt;0,AJ396&lt;&gt;"PF"),Life*W396,0)</f>
        <v>169.80126799999999</v>
      </c>
      <c r="BH396" s="462">
        <f>IF(AND(AT396&lt;&gt;0,AM396="Y"),UI*W396,0)</f>
        <v>115.39891999999999</v>
      </c>
      <c r="BI396" s="462">
        <f>IF(AND(AT396&lt;&gt;0,N396&lt;&gt;"NR"),DHR*W396,0)</f>
        <v>72.065447999999989</v>
      </c>
      <c r="BJ396" s="462">
        <f>IF(AT396&lt;&gt;0,WC*W396,0)</f>
        <v>360.32723999999996</v>
      </c>
      <c r="BK396" s="462">
        <f>IF(OR(AND(AT396&lt;&gt;0,AJ396&lt;&gt;"PF",AN396&lt;&gt;"NE",AG396&lt;&gt;"A"),AND(AL396="E",OR(AT396=1,AT396=3))),Sick*W396,0)</f>
        <v>0</v>
      </c>
      <c r="BL396" s="462">
        <f t="shared" si="107"/>
        <v>5331.1945960000003</v>
      </c>
      <c r="BM396" s="462">
        <f t="shared" si="108"/>
        <v>0</v>
      </c>
      <c r="BN396" s="462">
        <f>IF(AND(AT396=1,AK396="E",AU396&gt;=0.75,AW396=1),HealthBY,IF(AND(AT396=1,AK396="E",AU396&gt;=0.75),HealthBY*P396,IF(AND(AT396=1,AK396="E",AU396&gt;=0.5,AW396=1),PTHealthBY,IF(AND(AT396=1,AK396="E",AU396&gt;=0.5),PTHealthBY*P396,0))))</f>
        <v>4077.4999999999995</v>
      </c>
      <c r="BO396" s="462">
        <f>IF(AND(AT396=3,AK396="E",AV396&gt;=0.75,AW396=1),HealthBY,IF(AND(AT396=3,AK396="E",AV396&gt;=0.75),HealthBY*P396,IF(AND(AT396=3,AK396="E",AV396&gt;=0.5,AW396=1),PTHealthBY,IF(AND(AT396=3,AK396="E",AV396&gt;=0.5),PTHealthBY*P396,0))))</f>
        <v>0</v>
      </c>
      <c r="BP396" s="462">
        <f>IF(AND(AT396&lt;&gt;0,(AX396+BA396)&gt;=MAXSSDIBY),SSDIBY*MAXSSDIBY*P396,IF(AT396&lt;&gt;0,SSDIBY*W396,0))</f>
        <v>1460.1496</v>
      </c>
      <c r="BQ396" s="462">
        <f>IF(AT396&lt;&gt;0,SSHIBY*W396,0)</f>
        <v>341.48660000000001</v>
      </c>
      <c r="BR396" s="462">
        <f>IF(AND(AT396&lt;&gt;0,AN396&lt;&gt;"NE"),VLOOKUP(AN396,Retirement_Rates,4,FALSE)*W396,0)</f>
        <v>2811.9655200000002</v>
      </c>
      <c r="BS396" s="462">
        <f>IF(AND(AT396&lt;&gt;0,AJ396&lt;&gt;"PF"),LifeBY*W396,0)</f>
        <v>169.80126799999999</v>
      </c>
      <c r="BT396" s="462">
        <f>IF(AND(AT396&lt;&gt;0,AM396="Y"),UIBY*W396,0)</f>
        <v>0</v>
      </c>
      <c r="BU396" s="462">
        <f>IF(AND(AT396&lt;&gt;0,N396&lt;&gt;"NR"),DHRBY*W396,0)</f>
        <v>72.065447999999989</v>
      </c>
      <c r="BV396" s="462">
        <f>IF(AT396&lt;&gt;0,WCBY*W396,0)</f>
        <v>414.49408</v>
      </c>
      <c r="BW396" s="462">
        <f>IF(OR(AND(AT396&lt;&gt;0,AJ396&lt;&gt;"PF",AN396&lt;&gt;"NE",AG396&lt;&gt;"A"),AND(AL396="E",OR(AT396=1,AT396=3))),SickBY*W396,0)</f>
        <v>0</v>
      </c>
      <c r="BX396" s="462">
        <f t="shared" si="109"/>
        <v>5269.9625160000014</v>
      </c>
      <c r="BY396" s="462">
        <f t="shared" si="110"/>
        <v>0</v>
      </c>
      <c r="BZ396" s="462">
        <f t="shared" si="111"/>
        <v>0</v>
      </c>
      <c r="CA396" s="462">
        <f t="shared" si="112"/>
        <v>0</v>
      </c>
      <c r="CB396" s="462">
        <f t="shared" si="113"/>
        <v>0</v>
      </c>
      <c r="CC396" s="462">
        <f>IF(AT396&lt;&gt;0,SSHICHG*Y396,0)</f>
        <v>0</v>
      </c>
      <c r="CD396" s="462">
        <f>IF(AND(AT396&lt;&gt;0,AN396&lt;&gt;"NE"),VLOOKUP(AN396,Retirement_Rates,5,FALSE)*Y396,0)</f>
        <v>0</v>
      </c>
      <c r="CE396" s="462">
        <f>IF(AND(AT396&lt;&gt;0,AJ396&lt;&gt;"PF"),LifeCHG*Y396,0)</f>
        <v>0</v>
      </c>
      <c r="CF396" s="462">
        <f>IF(AND(AT396&lt;&gt;0,AM396="Y"),UICHG*Y396,0)</f>
        <v>-115.39891999999999</v>
      </c>
      <c r="CG396" s="462">
        <f>IF(AND(AT396&lt;&gt;0,N396&lt;&gt;"NR"),DHRCHG*Y396,0)</f>
        <v>0</v>
      </c>
      <c r="CH396" s="462">
        <f>IF(AT396&lt;&gt;0,WCCHG*Y396,0)</f>
        <v>54.166840000000036</v>
      </c>
      <c r="CI396" s="462">
        <f>IF(OR(AND(AT396&lt;&gt;0,AJ396&lt;&gt;"PF",AN396&lt;&gt;"NE",AG396&lt;&gt;"A"),AND(AL396="E",OR(AT396=1,AT396=3))),SickCHG*Y396,0)</f>
        <v>0</v>
      </c>
      <c r="CJ396" s="462">
        <f t="shared" si="114"/>
        <v>-61.232079999999954</v>
      </c>
      <c r="CK396" s="462" t="str">
        <f t="shared" si="115"/>
        <v/>
      </c>
      <c r="CL396" s="462" t="str">
        <f t="shared" si="116"/>
        <v/>
      </c>
      <c r="CM396" s="462" t="str">
        <f t="shared" si="117"/>
        <v/>
      </c>
      <c r="CN396" s="462" t="str">
        <f t="shared" si="118"/>
        <v>0332-04</v>
      </c>
    </row>
    <row r="397" spans="1:92" ht="15" thickBot="1" x14ac:dyDescent="0.35">
      <c r="A397" s="376" t="s">
        <v>161</v>
      </c>
      <c r="B397" s="376" t="s">
        <v>162</v>
      </c>
      <c r="C397" s="376" t="s">
        <v>982</v>
      </c>
      <c r="D397" s="376" t="s">
        <v>339</v>
      </c>
      <c r="E397" s="376" t="s">
        <v>535</v>
      </c>
      <c r="F397" s="382" t="s">
        <v>973</v>
      </c>
      <c r="G397" s="376" t="s">
        <v>762</v>
      </c>
      <c r="H397" s="378"/>
      <c r="I397" s="378"/>
      <c r="J397" s="376" t="s">
        <v>185</v>
      </c>
      <c r="K397" s="376" t="s">
        <v>340</v>
      </c>
      <c r="L397" s="376" t="s">
        <v>247</v>
      </c>
      <c r="M397" s="376" t="s">
        <v>170</v>
      </c>
      <c r="N397" s="376" t="s">
        <v>202</v>
      </c>
      <c r="O397" s="379">
        <v>1</v>
      </c>
      <c r="P397" s="460">
        <v>1</v>
      </c>
      <c r="Q397" s="460">
        <v>1</v>
      </c>
      <c r="R397" s="380">
        <v>80</v>
      </c>
      <c r="S397" s="460">
        <v>1</v>
      </c>
      <c r="T397" s="380">
        <v>87532.800000000003</v>
      </c>
      <c r="U397" s="380">
        <v>0</v>
      </c>
      <c r="V397" s="380">
        <v>29803.94</v>
      </c>
      <c r="W397" s="380">
        <v>90771.199999999997</v>
      </c>
      <c r="X397" s="380">
        <v>32197.84</v>
      </c>
      <c r="Y397" s="380">
        <v>90771.199999999997</v>
      </c>
      <c r="Z397" s="380">
        <v>31961.84</v>
      </c>
      <c r="AA397" s="376" t="s">
        <v>983</v>
      </c>
      <c r="AB397" s="376" t="s">
        <v>984</v>
      </c>
      <c r="AC397" s="376" t="s">
        <v>631</v>
      </c>
      <c r="AD397" s="376" t="s">
        <v>225</v>
      </c>
      <c r="AE397" s="376" t="s">
        <v>340</v>
      </c>
      <c r="AF397" s="376" t="s">
        <v>299</v>
      </c>
      <c r="AG397" s="376" t="s">
        <v>177</v>
      </c>
      <c r="AH397" s="381">
        <v>43.64</v>
      </c>
      <c r="AI397" s="381">
        <v>35150.300000000003</v>
      </c>
      <c r="AJ397" s="376" t="s">
        <v>178</v>
      </c>
      <c r="AK397" s="376" t="s">
        <v>179</v>
      </c>
      <c r="AL397" s="376" t="s">
        <v>180</v>
      </c>
      <c r="AM397" s="376" t="s">
        <v>181</v>
      </c>
      <c r="AN397" s="376" t="s">
        <v>68</v>
      </c>
      <c r="AO397" s="379">
        <v>80</v>
      </c>
      <c r="AP397" s="460">
        <v>1</v>
      </c>
      <c r="AQ397" s="460">
        <v>1</v>
      </c>
      <c r="AR397" s="458" t="s">
        <v>182</v>
      </c>
      <c r="AS397" s="462">
        <f t="shared" si="102"/>
        <v>1</v>
      </c>
      <c r="AT397">
        <f t="shared" si="103"/>
        <v>1</v>
      </c>
      <c r="AU397" s="462">
        <f>IF(AT397=0,"",IF(AND(AT397=1,M397="F",SUMIF(C2:C698,C397,AS2:AS698)&lt;=1),SUMIF(C2:C698,C397,AS2:AS698),IF(AND(AT397=1,M397="F",SUMIF(C2:C698,C397,AS2:AS698)&gt;1),1,"")))</f>
        <v>1</v>
      </c>
      <c r="AV397" s="462" t="str">
        <f>IF(AT397=0,"",IF(AND(AT397=3,M397="F",SUMIF(C2:C698,C397,AS2:AS698)&lt;=1),SUMIF(C2:C698,C397,AS2:AS698),IF(AND(AT397=3,M397="F",SUMIF(C2:C698,C397,AS2:AS698)&gt;1),1,"")))</f>
        <v/>
      </c>
      <c r="AW397" s="462">
        <f>SUMIF(C2:C698,C397,O2:O698)</f>
        <v>1</v>
      </c>
      <c r="AX397" s="462">
        <f>IF(AND(M397="F",AS397&lt;&gt;0),SUMIF(C2:C698,C397,W2:W698),0)</f>
        <v>90771.199999999997</v>
      </c>
      <c r="AY397" s="462">
        <f t="shared" si="104"/>
        <v>90771.199999999997</v>
      </c>
      <c r="AZ397" s="462" t="str">
        <f t="shared" si="105"/>
        <v/>
      </c>
      <c r="BA397" s="462">
        <f t="shared" si="106"/>
        <v>0</v>
      </c>
      <c r="BB397" s="462">
        <f>IF(AND(AT397=1,AK397="E",AU397&gt;=0.75,AW397=1),Health,IF(AND(AT397=1,AK397="E",AU397&gt;=0.75),Health*P397,IF(AND(AT397=1,AK397="E",AU397&gt;=0.5,AW397=1),PTHealth,IF(AND(AT397=1,AK397="E",AU397&gt;=0.5),PTHealth*P397,0))))</f>
        <v>11650</v>
      </c>
      <c r="BC397" s="462">
        <f>IF(AND(AT397=3,AK397="E",AV397&gt;=0.75,AW397=1),Health,IF(AND(AT397=3,AK397="E",AV397&gt;=0.75),Health*P397,IF(AND(AT397=3,AK397="E",AV397&gt;=0.5,AW397=1),PTHealth,IF(AND(AT397=3,AK397="E",AV397&gt;=0.5),PTHealth*P397,0))))</f>
        <v>0</v>
      </c>
      <c r="BD397" s="462">
        <f>IF(AND(AT397&lt;&gt;0,AX397&gt;=MAXSSDI),SSDI*MAXSSDI*P397,IF(AT397&lt;&gt;0,SSDI*W397,0))</f>
        <v>5627.8144000000002</v>
      </c>
      <c r="BE397" s="462">
        <f>IF(AT397&lt;&gt;0,SSHI*W397,0)</f>
        <v>1316.1823999999999</v>
      </c>
      <c r="BF397" s="462">
        <f>IF(AND(AT397&lt;&gt;0,AN397&lt;&gt;"NE"),VLOOKUP(AN397,Retirement_Rates,3,FALSE)*W397,0)</f>
        <v>10838.08128</v>
      </c>
      <c r="BG397" s="462">
        <f>IF(AND(AT397&lt;&gt;0,AJ397&lt;&gt;"PF"),Life*W397,0)</f>
        <v>654.46035200000006</v>
      </c>
      <c r="BH397" s="462">
        <f>IF(AND(AT397&lt;&gt;0,AM397="Y"),UI*W397,0)</f>
        <v>444.77887999999996</v>
      </c>
      <c r="BI397" s="462">
        <f>IF(AND(AT397&lt;&gt;0,N397&lt;&gt;"NR"),DHR*W397,0)</f>
        <v>277.75987199999997</v>
      </c>
      <c r="BJ397" s="462">
        <f>IF(AT397&lt;&gt;0,WC*W397,0)</f>
        <v>1388.79936</v>
      </c>
      <c r="BK397" s="462">
        <f>IF(OR(AND(AT397&lt;&gt;0,AJ397&lt;&gt;"PF",AN397&lt;&gt;"NE",AG397&lt;&gt;"A"),AND(AL397="E",OR(AT397=1,AT397=3))),Sick*W397,0)</f>
        <v>0</v>
      </c>
      <c r="BL397" s="462">
        <f t="shared" si="107"/>
        <v>20547.876544000002</v>
      </c>
      <c r="BM397" s="462">
        <f t="shared" si="108"/>
        <v>0</v>
      </c>
      <c r="BN397" s="462">
        <f>IF(AND(AT397=1,AK397="E",AU397&gt;=0.75,AW397=1),HealthBY,IF(AND(AT397=1,AK397="E",AU397&gt;=0.75),HealthBY*P397,IF(AND(AT397=1,AK397="E",AU397&gt;=0.5,AW397=1),PTHealthBY,IF(AND(AT397=1,AK397="E",AU397&gt;=0.5),PTHealthBY*P397,0))))</f>
        <v>11650</v>
      </c>
      <c r="BO397" s="462">
        <f>IF(AND(AT397=3,AK397="E",AV397&gt;=0.75,AW397=1),HealthBY,IF(AND(AT397=3,AK397="E",AV397&gt;=0.75),HealthBY*P397,IF(AND(AT397=3,AK397="E",AV397&gt;=0.5,AW397=1),PTHealthBY,IF(AND(AT397=3,AK397="E",AV397&gt;=0.5),PTHealthBY*P397,0))))</f>
        <v>0</v>
      </c>
      <c r="BP397" s="462">
        <f>IF(AND(AT397&lt;&gt;0,(AX397+BA397)&gt;=MAXSSDIBY),SSDIBY*MAXSSDIBY*P397,IF(AT397&lt;&gt;0,SSDIBY*W397,0))</f>
        <v>5627.8144000000002</v>
      </c>
      <c r="BQ397" s="462">
        <f>IF(AT397&lt;&gt;0,SSHIBY*W397,0)</f>
        <v>1316.1823999999999</v>
      </c>
      <c r="BR397" s="462">
        <f>IF(AND(AT397&lt;&gt;0,AN397&lt;&gt;"NE"),VLOOKUP(AN397,Retirement_Rates,4,FALSE)*W397,0)</f>
        <v>10838.08128</v>
      </c>
      <c r="BS397" s="462">
        <f>IF(AND(AT397&lt;&gt;0,AJ397&lt;&gt;"PF"),LifeBY*W397,0)</f>
        <v>654.46035200000006</v>
      </c>
      <c r="BT397" s="462">
        <f>IF(AND(AT397&lt;&gt;0,AM397="Y"),UIBY*W397,0)</f>
        <v>0</v>
      </c>
      <c r="BU397" s="462">
        <f>IF(AND(AT397&lt;&gt;0,N397&lt;&gt;"NR"),DHRBY*W397,0)</f>
        <v>277.75987199999997</v>
      </c>
      <c r="BV397" s="462">
        <f>IF(AT397&lt;&gt;0,WCBY*W397,0)</f>
        <v>1597.57312</v>
      </c>
      <c r="BW397" s="462">
        <f>IF(OR(AND(AT397&lt;&gt;0,AJ397&lt;&gt;"PF",AN397&lt;&gt;"NE",AG397&lt;&gt;"A"),AND(AL397="E",OR(AT397=1,AT397=3))),SickBY*W397,0)</f>
        <v>0</v>
      </c>
      <c r="BX397" s="462">
        <f t="shared" si="109"/>
        <v>20311.871424000001</v>
      </c>
      <c r="BY397" s="462">
        <f t="shared" si="110"/>
        <v>0</v>
      </c>
      <c r="BZ397" s="462">
        <f t="shared" si="111"/>
        <v>0</v>
      </c>
      <c r="CA397" s="462">
        <f t="shared" si="112"/>
        <v>0</v>
      </c>
      <c r="CB397" s="462">
        <f t="shared" si="113"/>
        <v>0</v>
      </c>
      <c r="CC397" s="462">
        <f>IF(AT397&lt;&gt;0,SSHICHG*Y397,0)</f>
        <v>0</v>
      </c>
      <c r="CD397" s="462">
        <f>IF(AND(AT397&lt;&gt;0,AN397&lt;&gt;"NE"),VLOOKUP(AN397,Retirement_Rates,5,FALSE)*Y397,0)</f>
        <v>0</v>
      </c>
      <c r="CE397" s="462">
        <f>IF(AND(AT397&lt;&gt;0,AJ397&lt;&gt;"PF"),LifeCHG*Y397,0)</f>
        <v>0</v>
      </c>
      <c r="CF397" s="462">
        <f>IF(AND(AT397&lt;&gt;0,AM397="Y"),UICHG*Y397,0)</f>
        <v>-444.77887999999996</v>
      </c>
      <c r="CG397" s="462">
        <f>IF(AND(AT397&lt;&gt;0,N397&lt;&gt;"NR"),DHRCHG*Y397,0)</f>
        <v>0</v>
      </c>
      <c r="CH397" s="462">
        <f>IF(AT397&lt;&gt;0,WCCHG*Y397,0)</f>
        <v>208.77376000000015</v>
      </c>
      <c r="CI397" s="462">
        <f>IF(OR(AND(AT397&lt;&gt;0,AJ397&lt;&gt;"PF",AN397&lt;&gt;"NE",AG397&lt;&gt;"A"),AND(AL397="E",OR(AT397=1,AT397=3))),SickCHG*Y397,0)</f>
        <v>0</v>
      </c>
      <c r="CJ397" s="462">
        <f t="shared" si="114"/>
        <v>-236.00511999999981</v>
      </c>
      <c r="CK397" s="462" t="str">
        <f t="shared" si="115"/>
        <v/>
      </c>
      <c r="CL397" s="462" t="str">
        <f t="shared" si="116"/>
        <v/>
      </c>
      <c r="CM397" s="462" t="str">
        <f t="shared" si="117"/>
        <v/>
      </c>
      <c r="CN397" s="462" t="str">
        <f t="shared" si="118"/>
        <v>0332-04</v>
      </c>
    </row>
    <row r="398" spans="1:92" ht="15" thickBot="1" x14ac:dyDescent="0.35">
      <c r="A398" s="376" t="s">
        <v>161</v>
      </c>
      <c r="B398" s="376" t="s">
        <v>162</v>
      </c>
      <c r="C398" s="376" t="s">
        <v>985</v>
      </c>
      <c r="D398" s="376" t="s">
        <v>418</v>
      </c>
      <c r="E398" s="376" t="s">
        <v>535</v>
      </c>
      <c r="F398" s="382" t="s">
        <v>973</v>
      </c>
      <c r="G398" s="376" t="s">
        <v>762</v>
      </c>
      <c r="H398" s="378"/>
      <c r="I398" s="378"/>
      <c r="J398" s="376" t="s">
        <v>185</v>
      </c>
      <c r="K398" s="376" t="s">
        <v>419</v>
      </c>
      <c r="L398" s="376" t="s">
        <v>177</v>
      </c>
      <c r="M398" s="376" t="s">
        <v>170</v>
      </c>
      <c r="N398" s="376" t="s">
        <v>202</v>
      </c>
      <c r="O398" s="379">
        <v>1</v>
      </c>
      <c r="P398" s="460">
        <v>1</v>
      </c>
      <c r="Q398" s="460">
        <v>1</v>
      </c>
      <c r="R398" s="380">
        <v>80</v>
      </c>
      <c r="S398" s="460">
        <v>1</v>
      </c>
      <c r="T398" s="380">
        <v>31336.799999999999</v>
      </c>
      <c r="U398" s="380">
        <v>0</v>
      </c>
      <c r="V398" s="380">
        <v>18700.16</v>
      </c>
      <c r="W398" s="380">
        <v>32385.599999999999</v>
      </c>
      <c r="X398" s="380">
        <v>18981.080000000002</v>
      </c>
      <c r="Y398" s="380">
        <v>32385.599999999999</v>
      </c>
      <c r="Z398" s="380">
        <v>18896.900000000001</v>
      </c>
      <c r="AA398" s="376" t="s">
        <v>986</v>
      </c>
      <c r="AB398" s="376" t="s">
        <v>987</v>
      </c>
      <c r="AC398" s="376" t="s">
        <v>988</v>
      </c>
      <c r="AD398" s="376" t="s">
        <v>989</v>
      </c>
      <c r="AE398" s="376" t="s">
        <v>419</v>
      </c>
      <c r="AF398" s="376" t="s">
        <v>436</v>
      </c>
      <c r="AG398" s="376" t="s">
        <v>177</v>
      </c>
      <c r="AH398" s="381">
        <v>15.57</v>
      </c>
      <c r="AI398" s="379">
        <v>2880</v>
      </c>
      <c r="AJ398" s="376" t="s">
        <v>178</v>
      </c>
      <c r="AK398" s="376" t="s">
        <v>179</v>
      </c>
      <c r="AL398" s="376" t="s">
        <v>180</v>
      </c>
      <c r="AM398" s="376" t="s">
        <v>181</v>
      </c>
      <c r="AN398" s="376" t="s">
        <v>68</v>
      </c>
      <c r="AO398" s="379">
        <v>80</v>
      </c>
      <c r="AP398" s="460">
        <v>1</v>
      </c>
      <c r="AQ398" s="460">
        <v>1</v>
      </c>
      <c r="AR398" s="458" t="s">
        <v>182</v>
      </c>
      <c r="AS398" s="462">
        <f t="shared" si="102"/>
        <v>1</v>
      </c>
      <c r="AT398">
        <f t="shared" si="103"/>
        <v>1</v>
      </c>
      <c r="AU398" s="462">
        <f>IF(AT398=0,"",IF(AND(AT398=1,M398="F",SUMIF(C2:C698,C398,AS2:AS698)&lt;=1),SUMIF(C2:C698,C398,AS2:AS698),IF(AND(AT398=1,M398="F",SUMIF(C2:C698,C398,AS2:AS698)&gt;1),1,"")))</f>
        <v>1</v>
      </c>
      <c r="AV398" s="462" t="str">
        <f>IF(AT398=0,"",IF(AND(AT398=3,M398="F",SUMIF(C2:C698,C398,AS2:AS698)&lt;=1),SUMIF(C2:C698,C398,AS2:AS698),IF(AND(AT398=3,M398="F",SUMIF(C2:C698,C398,AS2:AS698)&gt;1),1,"")))</f>
        <v/>
      </c>
      <c r="AW398" s="462">
        <f>SUMIF(C2:C698,C398,O2:O698)</f>
        <v>1</v>
      </c>
      <c r="AX398" s="462">
        <f>IF(AND(M398="F",AS398&lt;&gt;0),SUMIF(C2:C698,C398,W2:W698),0)</f>
        <v>32385.599999999999</v>
      </c>
      <c r="AY398" s="462">
        <f t="shared" si="104"/>
        <v>32385.599999999999</v>
      </c>
      <c r="AZ398" s="462" t="str">
        <f t="shared" si="105"/>
        <v/>
      </c>
      <c r="BA398" s="462">
        <f t="shared" si="106"/>
        <v>0</v>
      </c>
      <c r="BB398" s="462">
        <f>IF(AND(AT398=1,AK398="E",AU398&gt;=0.75,AW398=1),Health,IF(AND(AT398=1,AK398="E",AU398&gt;=0.75),Health*P398,IF(AND(AT398=1,AK398="E",AU398&gt;=0.5,AW398=1),PTHealth,IF(AND(AT398=1,AK398="E",AU398&gt;=0.5),PTHealth*P398,0))))</f>
        <v>11650</v>
      </c>
      <c r="BC398" s="462">
        <f>IF(AND(AT398=3,AK398="E",AV398&gt;=0.75,AW398=1),Health,IF(AND(AT398=3,AK398="E",AV398&gt;=0.75),Health*P398,IF(AND(AT398=3,AK398="E",AV398&gt;=0.5,AW398=1),PTHealth,IF(AND(AT398=3,AK398="E",AV398&gt;=0.5),PTHealth*P398,0))))</f>
        <v>0</v>
      </c>
      <c r="BD398" s="462">
        <f>IF(AND(AT398&lt;&gt;0,AX398&gt;=MAXSSDI),SSDI*MAXSSDI*P398,IF(AT398&lt;&gt;0,SSDI*W398,0))</f>
        <v>2007.9071999999999</v>
      </c>
      <c r="BE398" s="462">
        <f>IF(AT398&lt;&gt;0,SSHI*W398,0)</f>
        <v>469.59120000000001</v>
      </c>
      <c r="BF398" s="462">
        <f>IF(AND(AT398&lt;&gt;0,AN398&lt;&gt;"NE"),VLOOKUP(AN398,Retirement_Rates,3,FALSE)*W398,0)</f>
        <v>3866.8406399999999</v>
      </c>
      <c r="BG398" s="462">
        <f>IF(AND(AT398&lt;&gt;0,AJ398&lt;&gt;"PF"),Life*W398,0)</f>
        <v>233.50017600000001</v>
      </c>
      <c r="BH398" s="462">
        <f>IF(AND(AT398&lt;&gt;0,AM398="Y"),UI*W398,0)</f>
        <v>158.68943999999999</v>
      </c>
      <c r="BI398" s="462">
        <f>IF(AND(AT398&lt;&gt;0,N398&lt;&gt;"NR"),DHR*W398,0)</f>
        <v>99.099935999999985</v>
      </c>
      <c r="BJ398" s="462">
        <f>IF(AT398&lt;&gt;0,WC*W398,0)</f>
        <v>495.49967999999996</v>
      </c>
      <c r="BK398" s="462">
        <f>IF(OR(AND(AT398&lt;&gt;0,AJ398&lt;&gt;"PF",AN398&lt;&gt;"NE",AG398&lt;&gt;"A"),AND(AL398="E",OR(AT398=1,AT398=3))),Sick*W398,0)</f>
        <v>0</v>
      </c>
      <c r="BL398" s="462">
        <f t="shared" si="107"/>
        <v>7331.1282719999999</v>
      </c>
      <c r="BM398" s="462">
        <f t="shared" si="108"/>
        <v>0</v>
      </c>
      <c r="BN398" s="462">
        <f>IF(AND(AT398=1,AK398="E",AU398&gt;=0.75,AW398=1),HealthBY,IF(AND(AT398=1,AK398="E",AU398&gt;=0.75),HealthBY*P398,IF(AND(AT398=1,AK398="E",AU398&gt;=0.5,AW398=1),PTHealthBY,IF(AND(AT398=1,AK398="E",AU398&gt;=0.5),PTHealthBY*P398,0))))</f>
        <v>11650</v>
      </c>
      <c r="BO398" s="462">
        <f>IF(AND(AT398=3,AK398="E",AV398&gt;=0.75,AW398=1),HealthBY,IF(AND(AT398=3,AK398="E",AV398&gt;=0.75),HealthBY*P398,IF(AND(AT398=3,AK398="E",AV398&gt;=0.5,AW398=1),PTHealthBY,IF(AND(AT398=3,AK398="E",AV398&gt;=0.5),PTHealthBY*P398,0))))</f>
        <v>0</v>
      </c>
      <c r="BP398" s="462">
        <f>IF(AND(AT398&lt;&gt;0,(AX398+BA398)&gt;=MAXSSDIBY),SSDIBY*MAXSSDIBY*P398,IF(AT398&lt;&gt;0,SSDIBY*W398,0))</f>
        <v>2007.9071999999999</v>
      </c>
      <c r="BQ398" s="462">
        <f>IF(AT398&lt;&gt;0,SSHIBY*W398,0)</f>
        <v>469.59120000000001</v>
      </c>
      <c r="BR398" s="462">
        <f>IF(AND(AT398&lt;&gt;0,AN398&lt;&gt;"NE"),VLOOKUP(AN398,Retirement_Rates,4,FALSE)*W398,0)</f>
        <v>3866.8406399999999</v>
      </c>
      <c r="BS398" s="462">
        <f>IF(AND(AT398&lt;&gt;0,AJ398&lt;&gt;"PF"),LifeBY*W398,0)</f>
        <v>233.50017600000001</v>
      </c>
      <c r="BT398" s="462">
        <f>IF(AND(AT398&lt;&gt;0,AM398="Y"),UIBY*W398,0)</f>
        <v>0</v>
      </c>
      <c r="BU398" s="462">
        <f>IF(AND(AT398&lt;&gt;0,N398&lt;&gt;"NR"),DHRBY*W398,0)</f>
        <v>99.099935999999985</v>
      </c>
      <c r="BV398" s="462">
        <f>IF(AT398&lt;&gt;0,WCBY*W398,0)</f>
        <v>569.98656000000005</v>
      </c>
      <c r="BW398" s="462">
        <f>IF(OR(AND(AT398&lt;&gt;0,AJ398&lt;&gt;"PF",AN398&lt;&gt;"NE",AG398&lt;&gt;"A"),AND(AL398="E",OR(AT398=1,AT398=3))),SickBY*W398,0)</f>
        <v>0</v>
      </c>
      <c r="BX398" s="462">
        <f t="shared" si="109"/>
        <v>7246.9257120000002</v>
      </c>
      <c r="BY398" s="462">
        <f t="shared" si="110"/>
        <v>0</v>
      </c>
      <c r="BZ398" s="462">
        <f t="shared" si="111"/>
        <v>0</v>
      </c>
      <c r="CA398" s="462">
        <f t="shared" si="112"/>
        <v>0</v>
      </c>
      <c r="CB398" s="462">
        <f t="shared" si="113"/>
        <v>0</v>
      </c>
      <c r="CC398" s="462">
        <f>IF(AT398&lt;&gt;0,SSHICHG*Y398,0)</f>
        <v>0</v>
      </c>
      <c r="CD398" s="462">
        <f>IF(AND(AT398&lt;&gt;0,AN398&lt;&gt;"NE"),VLOOKUP(AN398,Retirement_Rates,5,FALSE)*Y398,0)</f>
        <v>0</v>
      </c>
      <c r="CE398" s="462">
        <f>IF(AND(AT398&lt;&gt;0,AJ398&lt;&gt;"PF"),LifeCHG*Y398,0)</f>
        <v>0</v>
      </c>
      <c r="CF398" s="462">
        <f>IF(AND(AT398&lt;&gt;0,AM398="Y"),UICHG*Y398,0)</f>
        <v>-158.68943999999999</v>
      </c>
      <c r="CG398" s="462">
        <f>IF(AND(AT398&lt;&gt;0,N398&lt;&gt;"NR"),DHRCHG*Y398,0)</f>
        <v>0</v>
      </c>
      <c r="CH398" s="462">
        <f>IF(AT398&lt;&gt;0,WCCHG*Y398,0)</f>
        <v>74.486880000000056</v>
      </c>
      <c r="CI398" s="462">
        <f>IF(OR(AND(AT398&lt;&gt;0,AJ398&lt;&gt;"PF",AN398&lt;&gt;"NE",AG398&lt;&gt;"A"),AND(AL398="E",OR(AT398=1,AT398=3))),SickCHG*Y398,0)</f>
        <v>0</v>
      </c>
      <c r="CJ398" s="462">
        <f t="shared" si="114"/>
        <v>-84.202559999999934</v>
      </c>
      <c r="CK398" s="462" t="str">
        <f t="shared" si="115"/>
        <v/>
      </c>
      <c r="CL398" s="462" t="str">
        <f t="shared" si="116"/>
        <v/>
      </c>
      <c r="CM398" s="462" t="str">
        <f t="shared" si="117"/>
        <v/>
      </c>
      <c r="CN398" s="462" t="str">
        <f t="shared" si="118"/>
        <v>0332-04</v>
      </c>
    </row>
    <row r="399" spans="1:92" ht="15" thickBot="1" x14ac:dyDescent="0.35">
      <c r="A399" s="376" t="s">
        <v>161</v>
      </c>
      <c r="B399" s="376" t="s">
        <v>162</v>
      </c>
      <c r="C399" s="376" t="s">
        <v>945</v>
      </c>
      <c r="D399" s="376" t="s">
        <v>457</v>
      </c>
      <c r="E399" s="376" t="s">
        <v>535</v>
      </c>
      <c r="F399" s="382" t="s">
        <v>973</v>
      </c>
      <c r="G399" s="376" t="s">
        <v>762</v>
      </c>
      <c r="H399" s="378"/>
      <c r="I399" s="378"/>
      <c r="J399" s="376" t="s">
        <v>547</v>
      </c>
      <c r="K399" s="376" t="s">
        <v>458</v>
      </c>
      <c r="L399" s="376" t="s">
        <v>177</v>
      </c>
      <c r="M399" s="376" t="s">
        <v>170</v>
      </c>
      <c r="N399" s="376" t="s">
        <v>202</v>
      </c>
      <c r="O399" s="379">
        <v>1</v>
      </c>
      <c r="P399" s="460">
        <v>0.3</v>
      </c>
      <c r="Q399" s="460">
        <v>0.3</v>
      </c>
      <c r="R399" s="380">
        <v>80</v>
      </c>
      <c r="S399" s="460">
        <v>0.3</v>
      </c>
      <c r="T399" s="380">
        <v>9354.69</v>
      </c>
      <c r="U399" s="380">
        <v>0</v>
      </c>
      <c r="V399" s="380">
        <v>5432.02</v>
      </c>
      <c r="W399" s="380">
        <v>9715.68</v>
      </c>
      <c r="X399" s="380">
        <v>5694.32</v>
      </c>
      <c r="Y399" s="380">
        <v>9715.68</v>
      </c>
      <c r="Z399" s="380">
        <v>5669.07</v>
      </c>
      <c r="AA399" s="376" t="s">
        <v>946</v>
      </c>
      <c r="AB399" s="376" t="s">
        <v>218</v>
      </c>
      <c r="AC399" s="376" t="s">
        <v>947</v>
      </c>
      <c r="AD399" s="376" t="s">
        <v>190</v>
      </c>
      <c r="AE399" s="376" t="s">
        <v>458</v>
      </c>
      <c r="AF399" s="376" t="s">
        <v>436</v>
      </c>
      <c r="AG399" s="376" t="s">
        <v>177</v>
      </c>
      <c r="AH399" s="381">
        <v>15.57</v>
      </c>
      <c r="AI399" s="381">
        <v>3834.6</v>
      </c>
      <c r="AJ399" s="376" t="s">
        <v>178</v>
      </c>
      <c r="AK399" s="376" t="s">
        <v>179</v>
      </c>
      <c r="AL399" s="376" t="s">
        <v>180</v>
      </c>
      <c r="AM399" s="376" t="s">
        <v>181</v>
      </c>
      <c r="AN399" s="376" t="s">
        <v>68</v>
      </c>
      <c r="AO399" s="379">
        <v>80</v>
      </c>
      <c r="AP399" s="460">
        <v>1</v>
      </c>
      <c r="AQ399" s="460">
        <v>0.3</v>
      </c>
      <c r="AR399" s="458" t="s">
        <v>182</v>
      </c>
      <c r="AS399" s="462">
        <f t="shared" si="102"/>
        <v>0.3</v>
      </c>
      <c r="AT399">
        <f t="shared" si="103"/>
        <v>1</v>
      </c>
      <c r="AU399" s="462">
        <f>IF(AT399=0,"",IF(AND(AT399=1,M399="F",SUMIF(C2:C698,C399,AS2:AS698)&lt;=1),SUMIF(C2:C698,C399,AS2:AS698),IF(AND(AT399=1,M399="F",SUMIF(C2:C698,C399,AS2:AS698)&gt;1),1,"")))</f>
        <v>1</v>
      </c>
      <c r="AV399" s="462" t="str">
        <f>IF(AT399=0,"",IF(AND(AT399=3,M399="F",SUMIF(C2:C698,C399,AS2:AS698)&lt;=1),SUMIF(C2:C698,C399,AS2:AS698),IF(AND(AT399=3,M399="F",SUMIF(C2:C698,C399,AS2:AS698)&gt;1),1,"")))</f>
        <v/>
      </c>
      <c r="AW399" s="462">
        <f>SUMIF(C2:C698,C399,O2:O698)</f>
        <v>2</v>
      </c>
      <c r="AX399" s="462">
        <f>IF(AND(M399="F",AS399&lt;&gt;0),SUMIF(C2:C698,C399,W2:W698),0)</f>
        <v>32385.599999999999</v>
      </c>
      <c r="AY399" s="462">
        <f t="shared" si="104"/>
        <v>9715.68</v>
      </c>
      <c r="AZ399" s="462" t="str">
        <f t="shared" si="105"/>
        <v/>
      </c>
      <c r="BA399" s="462">
        <f t="shared" si="106"/>
        <v>0</v>
      </c>
      <c r="BB399" s="462">
        <f>IF(AND(AT399=1,AK399="E",AU399&gt;=0.75,AW399=1),Health,IF(AND(AT399=1,AK399="E",AU399&gt;=0.75),Health*P399,IF(AND(AT399=1,AK399="E",AU399&gt;=0.5,AW399=1),PTHealth,IF(AND(AT399=1,AK399="E",AU399&gt;=0.5),PTHealth*P399,0))))</f>
        <v>3495</v>
      </c>
      <c r="BC399" s="462">
        <f>IF(AND(AT399=3,AK399="E",AV399&gt;=0.75,AW399=1),Health,IF(AND(AT399=3,AK399="E",AV399&gt;=0.75),Health*P399,IF(AND(AT399=3,AK399="E",AV399&gt;=0.5,AW399=1),PTHealth,IF(AND(AT399=3,AK399="E",AV399&gt;=0.5),PTHealth*P399,0))))</f>
        <v>0</v>
      </c>
      <c r="BD399" s="462">
        <f>IF(AND(AT399&lt;&gt;0,AX399&gt;=MAXSSDI),SSDI*MAXSSDI*P399,IF(AT399&lt;&gt;0,SSDI*W399,0))</f>
        <v>602.37216000000001</v>
      </c>
      <c r="BE399" s="462">
        <f>IF(AT399&lt;&gt;0,SSHI*W399,0)</f>
        <v>140.87736000000001</v>
      </c>
      <c r="BF399" s="462">
        <f>IF(AND(AT399&lt;&gt;0,AN399&lt;&gt;"NE"),VLOOKUP(AN399,Retirement_Rates,3,FALSE)*W399,0)</f>
        <v>1160.0521920000001</v>
      </c>
      <c r="BG399" s="462">
        <f>IF(AND(AT399&lt;&gt;0,AJ399&lt;&gt;"PF"),Life*W399,0)</f>
        <v>70.050052800000003</v>
      </c>
      <c r="BH399" s="462">
        <f>IF(AND(AT399&lt;&gt;0,AM399="Y"),UI*W399,0)</f>
        <v>47.606831999999997</v>
      </c>
      <c r="BI399" s="462">
        <f>IF(AND(AT399&lt;&gt;0,N399&lt;&gt;"NR"),DHR*W399,0)</f>
        <v>29.7299808</v>
      </c>
      <c r="BJ399" s="462">
        <f>IF(AT399&lt;&gt;0,WC*W399,0)</f>
        <v>148.64990399999999</v>
      </c>
      <c r="BK399" s="462">
        <f>IF(OR(AND(AT399&lt;&gt;0,AJ399&lt;&gt;"PF",AN399&lt;&gt;"NE",AG399&lt;&gt;"A"),AND(AL399="E",OR(AT399=1,AT399=3))),Sick*W399,0)</f>
        <v>0</v>
      </c>
      <c r="BL399" s="462">
        <f t="shared" si="107"/>
        <v>2199.3384815999998</v>
      </c>
      <c r="BM399" s="462">
        <f t="shared" si="108"/>
        <v>0</v>
      </c>
      <c r="BN399" s="462">
        <f>IF(AND(AT399=1,AK399="E",AU399&gt;=0.75,AW399=1),HealthBY,IF(AND(AT399=1,AK399="E",AU399&gt;=0.75),HealthBY*P399,IF(AND(AT399=1,AK399="E",AU399&gt;=0.5,AW399=1),PTHealthBY,IF(AND(AT399=1,AK399="E",AU399&gt;=0.5),PTHealthBY*P399,0))))</f>
        <v>3495</v>
      </c>
      <c r="BO399" s="462">
        <f>IF(AND(AT399=3,AK399="E",AV399&gt;=0.75,AW399=1),HealthBY,IF(AND(AT399=3,AK399="E",AV399&gt;=0.75),HealthBY*P399,IF(AND(AT399=3,AK399="E",AV399&gt;=0.5,AW399=1),PTHealthBY,IF(AND(AT399=3,AK399="E",AV399&gt;=0.5),PTHealthBY*P399,0))))</f>
        <v>0</v>
      </c>
      <c r="BP399" s="462">
        <f>IF(AND(AT399&lt;&gt;0,(AX399+BA399)&gt;=MAXSSDIBY),SSDIBY*MAXSSDIBY*P399,IF(AT399&lt;&gt;0,SSDIBY*W399,0))</f>
        <v>602.37216000000001</v>
      </c>
      <c r="BQ399" s="462">
        <f>IF(AT399&lt;&gt;0,SSHIBY*W399,0)</f>
        <v>140.87736000000001</v>
      </c>
      <c r="BR399" s="462">
        <f>IF(AND(AT399&lt;&gt;0,AN399&lt;&gt;"NE"),VLOOKUP(AN399,Retirement_Rates,4,FALSE)*W399,0)</f>
        <v>1160.0521920000001</v>
      </c>
      <c r="BS399" s="462">
        <f>IF(AND(AT399&lt;&gt;0,AJ399&lt;&gt;"PF"),LifeBY*W399,0)</f>
        <v>70.050052800000003</v>
      </c>
      <c r="BT399" s="462">
        <f>IF(AND(AT399&lt;&gt;0,AM399="Y"),UIBY*W399,0)</f>
        <v>0</v>
      </c>
      <c r="BU399" s="462">
        <f>IF(AND(AT399&lt;&gt;0,N399&lt;&gt;"NR"),DHRBY*W399,0)</f>
        <v>29.7299808</v>
      </c>
      <c r="BV399" s="462">
        <f>IF(AT399&lt;&gt;0,WCBY*W399,0)</f>
        <v>170.995968</v>
      </c>
      <c r="BW399" s="462">
        <f>IF(OR(AND(AT399&lt;&gt;0,AJ399&lt;&gt;"PF",AN399&lt;&gt;"NE",AG399&lt;&gt;"A"),AND(AL399="E",OR(AT399=1,AT399=3))),SickBY*W399,0)</f>
        <v>0</v>
      </c>
      <c r="BX399" s="462">
        <f t="shared" si="109"/>
        <v>2174.0777136000002</v>
      </c>
      <c r="BY399" s="462">
        <f t="shared" si="110"/>
        <v>0</v>
      </c>
      <c r="BZ399" s="462">
        <f t="shared" si="111"/>
        <v>0</v>
      </c>
      <c r="CA399" s="462">
        <f t="shared" si="112"/>
        <v>0</v>
      </c>
      <c r="CB399" s="462">
        <f t="shared" si="113"/>
        <v>0</v>
      </c>
      <c r="CC399" s="462">
        <f>IF(AT399&lt;&gt;0,SSHICHG*Y399,0)</f>
        <v>0</v>
      </c>
      <c r="CD399" s="462">
        <f>IF(AND(AT399&lt;&gt;0,AN399&lt;&gt;"NE"),VLOOKUP(AN399,Retirement_Rates,5,FALSE)*Y399,0)</f>
        <v>0</v>
      </c>
      <c r="CE399" s="462">
        <f>IF(AND(AT399&lt;&gt;0,AJ399&lt;&gt;"PF"),LifeCHG*Y399,0)</f>
        <v>0</v>
      </c>
      <c r="CF399" s="462">
        <f>IF(AND(AT399&lt;&gt;0,AM399="Y"),UICHG*Y399,0)</f>
        <v>-47.606831999999997</v>
      </c>
      <c r="CG399" s="462">
        <f>IF(AND(AT399&lt;&gt;0,N399&lt;&gt;"NR"),DHRCHG*Y399,0)</f>
        <v>0</v>
      </c>
      <c r="CH399" s="462">
        <f>IF(AT399&lt;&gt;0,WCCHG*Y399,0)</f>
        <v>22.346064000000016</v>
      </c>
      <c r="CI399" s="462">
        <f>IF(OR(AND(AT399&lt;&gt;0,AJ399&lt;&gt;"PF",AN399&lt;&gt;"NE",AG399&lt;&gt;"A"),AND(AL399="E",OR(AT399=1,AT399=3))),SickCHG*Y399,0)</f>
        <v>0</v>
      </c>
      <c r="CJ399" s="462">
        <f t="shared" si="114"/>
        <v>-25.260767999999981</v>
      </c>
      <c r="CK399" s="462" t="str">
        <f t="shared" si="115"/>
        <v/>
      </c>
      <c r="CL399" s="462" t="str">
        <f t="shared" si="116"/>
        <v/>
      </c>
      <c r="CM399" s="462" t="str">
        <f t="shared" si="117"/>
        <v/>
      </c>
      <c r="CN399" s="462" t="str">
        <f t="shared" si="118"/>
        <v>0332-04</v>
      </c>
    </row>
    <row r="400" spans="1:92" ht="15" thickBot="1" x14ac:dyDescent="0.35">
      <c r="A400" s="376" t="s">
        <v>161</v>
      </c>
      <c r="B400" s="376" t="s">
        <v>162</v>
      </c>
      <c r="C400" s="376" t="s">
        <v>990</v>
      </c>
      <c r="D400" s="376" t="s">
        <v>991</v>
      </c>
      <c r="E400" s="376" t="s">
        <v>535</v>
      </c>
      <c r="F400" s="382" t="s">
        <v>973</v>
      </c>
      <c r="G400" s="376" t="s">
        <v>762</v>
      </c>
      <c r="H400" s="378"/>
      <c r="I400" s="378"/>
      <c r="J400" s="376" t="s">
        <v>185</v>
      </c>
      <c r="K400" s="376" t="s">
        <v>992</v>
      </c>
      <c r="L400" s="376" t="s">
        <v>220</v>
      </c>
      <c r="M400" s="376" t="s">
        <v>170</v>
      </c>
      <c r="N400" s="376" t="s">
        <v>202</v>
      </c>
      <c r="O400" s="379">
        <v>1</v>
      </c>
      <c r="P400" s="460">
        <v>1</v>
      </c>
      <c r="Q400" s="460">
        <v>1</v>
      </c>
      <c r="R400" s="380">
        <v>80</v>
      </c>
      <c r="S400" s="460">
        <v>1</v>
      </c>
      <c r="T400" s="380">
        <v>40343.199999999997</v>
      </c>
      <c r="U400" s="380">
        <v>0</v>
      </c>
      <c r="V400" s="380">
        <v>20380.34</v>
      </c>
      <c r="W400" s="380">
        <v>41870.400000000001</v>
      </c>
      <c r="X400" s="380">
        <v>21128.16</v>
      </c>
      <c r="Y400" s="380">
        <v>41870.400000000001</v>
      </c>
      <c r="Z400" s="380">
        <v>21019.3</v>
      </c>
      <c r="AA400" s="376" t="s">
        <v>993</v>
      </c>
      <c r="AB400" s="376" t="s">
        <v>994</v>
      </c>
      <c r="AC400" s="376" t="s">
        <v>995</v>
      </c>
      <c r="AD400" s="376" t="s">
        <v>215</v>
      </c>
      <c r="AE400" s="376" t="s">
        <v>992</v>
      </c>
      <c r="AF400" s="376" t="s">
        <v>264</v>
      </c>
      <c r="AG400" s="376" t="s">
        <v>177</v>
      </c>
      <c r="AH400" s="381">
        <v>20.13</v>
      </c>
      <c r="AI400" s="381">
        <v>10582.4</v>
      </c>
      <c r="AJ400" s="376" t="s">
        <v>178</v>
      </c>
      <c r="AK400" s="376" t="s">
        <v>179</v>
      </c>
      <c r="AL400" s="376" t="s">
        <v>180</v>
      </c>
      <c r="AM400" s="376" t="s">
        <v>181</v>
      </c>
      <c r="AN400" s="376" t="s">
        <v>68</v>
      </c>
      <c r="AO400" s="379">
        <v>80</v>
      </c>
      <c r="AP400" s="460">
        <v>1</v>
      </c>
      <c r="AQ400" s="460">
        <v>1</v>
      </c>
      <c r="AR400" s="458" t="s">
        <v>182</v>
      </c>
      <c r="AS400" s="462">
        <f t="shared" si="102"/>
        <v>1</v>
      </c>
      <c r="AT400">
        <f t="shared" si="103"/>
        <v>1</v>
      </c>
      <c r="AU400" s="462">
        <f>IF(AT400=0,"",IF(AND(AT400=1,M400="F",SUMIF(C2:C698,C400,AS2:AS698)&lt;=1),SUMIF(C2:C698,C400,AS2:AS698),IF(AND(AT400=1,M400="F",SUMIF(C2:C698,C400,AS2:AS698)&gt;1),1,"")))</f>
        <v>1</v>
      </c>
      <c r="AV400" s="462" t="str">
        <f>IF(AT400=0,"",IF(AND(AT400=3,M400="F",SUMIF(C2:C698,C400,AS2:AS698)&lt;=1),SUMIF(C2:C698,C400,AS2:AS698),IF(AND(AT400=3,M400="F",SUMIF(C2:C698,C400,AS2:AS698)&gt;1),1,"")))</f>
        <v/>
      </c>
      <c r="AW400" s="462">
        <f>SUMIF(C2:C698,C400,O2:O698)</f>
        <v>1</v>
      </c>
      <c r="AX400" s="462">
        <f>IF(AND(M400="F",AS400&lt;&gt;0),SUMIF(C2:C698,C400,W2:W698),0)</f>
        <v>41870.400000000001</v>
      </c>
      <c r="AY400" s="462">
        <f t="shared" si="104"/>
        <v>41870.400000000001</v>
      </c>
      <c r="AZ400" s="462" t="str">
        <f t="shared" si="105"/>
        <v/>
      </c>
      <c r="BA400" s="462">
        <f t="shared" si="106"/>
        <v>0</v>
      </c>
      <c r="BB400" s="462">
        <f>IF(AND(AT400=1,AK400="E",AU400&gt;=0.75,AW400=1),Health,IF(AND(AT400=1,AK400="E",AU400&gt;=0.75),Health*P400,IF(AND(AT400=1,AK400="E",AU400&gt;=0.5,AW400=1),PTHealth,IF(AND(AT400=1,AK400="E",AU400&gt;=0.5),PTHealth*P400,0))))</f>
        <v>11650</v>
      </c>
      <c r="BC400" s="462">
        <f>IF(AND(AT400=3,AK400="E",AV400&gt;=0.75,AW400=1),Health,IF(AND(AT400=3,AK400="E",AV400&gt;=0.75),Health*P400,IF(AND(AT400=3,AK400="E",AV400&gt;=0.5,AW400=1),PTHealth,IF(AND(AT400=3,AK400="E",AV400&gt;=0.5),PTHealth*P400,0))))</f>
        <v>0</v>
      </c>
      <c r="BD400" s="462">
        <f>IF(AND(AT400&lt;&gt;0,AX400&gt;=MAXSSDI),SSDI*MAXSSDI*P400,IF(AT400&lt;&gt;0,SSDI*W400,0))</f>
        <v>2595.9648000000002</v>
      </c>
      <c r="BE400" s="462">
        <f>IF(AT400&lt;&gt;0,SSHI*W400,0)</f>
        <v>607.12080000000003</v>
      </c>
      <c r="BF400" s="462">
        <f>IF(AND(AT400&lt;&gt;0,AN400&lt;&gt;"NE"),VLOOKUP(AN400,Retirement_Rates,3,FALSE)*W400,0)</f>
        <v>4999.3257600000006</v>
      </c>
      <c r="BG400" s="462">
        <f>IF(AND(AT400&lt;&gt;0,AJ400&lt;&gt;"PF"),Life*W400,0)</f>
        <v>301.88558399999999</v>
      </c>
      <c r="BH400" s="462">
        <f>IF(AND(AT400&lt;&gt;0,AM400="Y"),UI*W400,0)</f>
        <v>205.16496000000001</v>
      </c>
      <c r="BI400" s="462">
        <f>IF(AND(AT400&lt;&gt;0,N400&lt;&gt;"NR"),DHR*W400,0)</f>
        <v>128.123424</v>
      </c>
      <c r="BJ400" s="462">
        <f>IF(AT400&lt;&gt;0,WC*W400,0)</f>
        <v>640.61712</v>
      </c>
      <c r="BK400" s="462">
        <f>IF(OR(AND(AT400&lt;&gt;0,AJ400&lt;&gt;"PF",AN400&lt;&gt;"NE",AG400&lt;&gt;"A"),AND(AL400="E",OR(AT400=1,AT400=3))),Sick*W400,0)</f>
        <v>0</v>
      </c>
      <c r="BL400" s="462">
        <f t="shared" si="107"/>
        <v>9478.2024480000018</v>
      </c>
      <c r="BM400" s="462">
        <f t="shared" si="108"/>
        <v>0</v>
      </c>
      <c r="BN400" s="462">
        <f>IF(AND(AT400=1,AK400="E",AU400&gt;=0.75,AW400=1),HealthBY,IF(AND(AT400=1,AK400="E",AU400&gt;=0.75),HealthBY*P400,IF(AND(AT400=1,AK400="E",AU400&gt;=0.5,AW400=1),PTHealthBY,IF(AND(AT400=1,AK400="E",AU400&gt;=0.5),PTHealthBY*P400,0))))</f>
        <v>11650</v>
      </c>
      <c r="BO400" s="462">
        <f>IF(AND(AT400=3,AK400="E",AV400&gt;=0.75,AW400=1),HealthBY,IF(AND(AT400=3,AK400="E",AV400&gt;=0.75),HealthBY*P400,IF(AND(AT400=3,AK400="E",AV400&gt;=0.5,AW400=1),PTHealthBY,IF(AND(AT400=3,AK400="E",AV400&gt;=0.5),PTHealthBY*P400,0))))</f>
        <v>0</v>
      </c>
      <c r="BP400" s="462">
        <f>IF(AND(AT400&lt;&gt;0,(AX400+BA400)&gt;=MAXSSDIBY),SSDIBY*MAXSSDIBY*P400,IF(AT400&lt;&gt;0,SSDIBY*W400,0))</f>
        <v>2595.9648000000002</v>
      </c>
      <c r="BQ400" s="462">
        <f>IF(AT400&lt;&gt;0,SSHIBY*W400,0)</f>
        <v>607.12080000000003</v>
      </c>
      <c r="BR400" s="462">
        <f>IF(AND(AT400&lt;&gt;0,AN400&lt;&gt;"NE"),VLOOKUP(AN400,Retirement_Rates,4,FALSE)*W400,0)</f>
        <v>4999.3257600000006</v>
      </c>
      <c r="BS400" s="462">
        <f>IF(AND(AT400&lt;&gt;0,AJ400&lt;&gt;"PF"),LifeBY*W400,0)</f>
        <v>301.88558399999999</v>
      </c>
      <c r="BT400" s="462">
        <f>IF(AND(AT400&lt;&gt;0,AM400="Y"),UIBY*W400,0)</f>
        <v>0</v>
      </c>
      <c r="BU400" s="462">
        <f>IF(AND(AT400&lt;&gt;0,N400&lt;&gt;"NR"),DHRBY*W400,0)</f>
        <v>128.123424</v>
      </c>
      <c r="BV400" s="462">
        <f>IF(AT400&lt;&gt;0,WCBY*W400,0)</f>
        <v>736.91904000000011</v>
      </c>
      <c r="BW400" s="462">
        <f>IF(OR(AND(AT400&lt;&gt;0,AJ400&lt;&gt;"PF",AN400&lt;&gt;"NE",AG400&lt;&gt;"A"),AND(AL400="E",OR(AT400=1,AT400=3))),SickBY*W400,0)</f>
        <v>0</v>
      </c>
      <c r="BX400" s="462">
        <f t="shared" si="109"/>
        <v>9369.3394080000016</v>
      </c>
      <c r="BY400" s="462">
        <f t="shared" si="110"/>
        <v>0</v>
      </c>
      <c r="BZ400" s="462">
        <f t="shared" si="111"/>
        <v>0</v>
      </c>
      <c r="CA400" s="462">
        <f t="shared" si="112"/>
        <v>0</v>
      </c>
      <c r="CB400" s="462">
        <f t="shared" si="113"/>
        <v>0</v>
      </c>
      <c r="CC400" s="462">
        <f>IF(AT400&lt;&gt;0,SSHICHG*Y400,0)</f>
        <v>0</v>
      </c>
      <c r="CD400" s="462">
        <f>IF(AND(AT400&lt;&gt;0,AN400&lt;&gt;"NE"),VLOOKUP(AN400,Retirement_Rates,5,FALSE)*Y400,0)</f>
        <v>0</v>
      </c>
      <c r="CE400" s="462">
        <f>IF(AND(AT400&lt;&gt;0,AJ400&lt;&gt;"PF"),LifeCHG*Y400,0)</f>
        <v>0</v>
      </c>
      <c r="CF400" s="462">
        <f>IF(AND(AT400&lt;&gt;0,AM400="Y"),UICHG*Y400,0)</f>
        <v>-205.16496000000001</v>
      </c>
      <c r="CG400" s="462">
        <f>IF(AND(AT400&lt;&gt;0,N400&lt;&gt;"NR"),DHRCHG*Y400,0)</f>
        <v>0</v>
      </c>
      <c r="CH400" s="462">
        <f>IF(AT400&lt;&gt;0,WCCHG*Y400,0)</f>
        <v>96.301920000000081</v>
      </c>
      <c r="CI400" s="462">
        <f>IF(OR(AND(AT400&lt;&gt;0,AJ400&lt;&gt;"PF",AN400&lt;&gt;"NE",AG400&lt;&gt;"A"),AND(AL400="E",OR(AT400=1,AT400=3))),SickCHG*Y400,0)</f>
        <v>0</v>
      </c>
      <c r="CJ400" s="462">
        <f t="shared" si="114"/>
        <v>-108.86303999999993</v>
      </c>
      <c r="CK400" s="462" t="str">
        <f t="shared" si="115"/>
        <v/>
      </c>
      <c r="CL400" s="462" t="str">
        <f t="shared" si="116"/>
        <v/>
      </c>
      <c r="CM400" s="462" t="str">
        <f t="shared" si="117"/>
        <v/>
      </c>
      <c r="CN400" s="462" t="str">
        <f t="shared" si="118"/>
        <v>0332-04</v>
      </c>
    </row>
    <row r="401" spans="1:92" ht="15" thickBot="1" x14ac:dyDescent="0.35">
      <c r="A401" s="376" t="s">
        <v>161</v>
      </c>
      <c r="B401" s="376" t="s">
        <v>162</v>
      </c>
      <c r="C401" s="376" t="s">
        <v>849</v>
      </c>
      <c r="D401" s="376" t="s">
        <v>362</v>
      </c>
      <c r="E401" s="376" t="s">
        <v>535</v>
      </c>
      <c r="F401" s="382" t="s">
        <v>973</v>
      </c>
      <c r="G401" s="376" t="s">
        <v>762</v>
      </c>
      <c r="H401" s="378"/>
      <c r="I401" s="378"/>
      <c r="J401" s="376" t="s">
        <v>782</v>
      </c>
      <c r="K401" s="376" t="s">
        <v>363</v>
      </c>
      <c r="L401" s="376" t="s">
        <v>200</v>
      </c>
      <c r="M401" s="376" t="s">
        <v>170</v>
      </c>
      <c r="N401" s="376" t="s">
        <v>202</v>
      </c>
      <c r="O401" s="379">
        <v>1</v>
      </c>
      <c r="P401" s="460">
        <v>0.4</v>
      </c>
      <c r="Q401" s="460">
        <v>0.4</v>
      </c>
      <c r="R401" s="380">
        <v>80</v>
      </c>
      <c r="S401" s="460">
        <v>0.4</v>
      </c>
      <c r="T401" s="380">
        <v>22609.06</v>
      </c>
      <c r="U401" s="380">
        <v>0</v>
      </c>
      <c r="V401" s="380">
        <v>10665.74</v>
      </c>
      <c r="W401" s="380">
        <v>18720</v>
      </c>
      <c r="X401" s="380">
        <v>8897.6299999999992</v>
      </c>
      <c r="Y401" s="380">
        <v>18720</v>
      </c>
      <c r="Z401" s="380">
        <v>8848.9599999999991</v>
      </c>
      <c r="AA401" s="376" t="s">
        <v>850</v>
      </c>
      <c r="AB401" s="376" t="s">
        <v>851</v>
      </c>
      <c r="AC401" s="376" t="s">
        <v>529</v>
      </c>
      <c r="AD401" s="376" t="s">
        <v>278</v>
      </c>
      <c r="AE401" s="376" t="s">
        <v>363</v>
      </c>
      <c r="AF401" s="376" t="s">
        <v>210</v>
      </c>
      <c r="AG401" s="376" t="s">
        <v>177</v>
      </c>
      <c r="AH401" s="381">
        <v>22.5</v>
      </c>
      <c r="AI401" s="381">
        <v>13789.6</v>
      </c>
      <c r="AJ401" s="376" t="s">
        <v>178</v>
      </c>
      <c r="AK401" s="376" t="s">
        <v>179</v>
      </c>
      <c r="AL401" s="376" t="s">
        <v>180</v>
      </c>
      <c r="AM401" s="376" t="s">
        <v>181</v>
      </c>
      <c r="AN401" s="376" t="s">
        <v>68</v>
      </c>
      <c r="AO401" s="379">
        <v>80</v>
      </c>
      <c r="AP401" s="460">
        <v>1</v>
      </c>
      <c r="AQ401" s="460">
        <v>0.4</v>
      </c>
      <c r="AR401" s="458" t="s">
        <v>182</v>
      </c>
      <c r="AS401" s="462">
        <f t="shared" si="102"/>
        <v>0.4</v>
      </c>
      <c r="AT401">
        <f t="shared" si="103"/>
        <v>1</v>
      </c>
      <c r="AU401" s="462">
        <f>IF(AT401=0,"",IF(AND(AT401=1,M401="F",SUMIF(C2:C698,C401,AS2:AS698)&lt;=1),SUMIF(C2:C698,C401,AS2:AS698),IF(AND(AT401=1,M401="F",SUMIF(C2:C698,C401,AS2:AS698)&gt;1),1,"")))</f>
        <v>1</v>
      </c>
      <c r="AV401" s="462" t="str">
        <f>IF(AT401=0,"",IF(AND(AT401=3,M401="F",SUMIF(C2:C698,C401,AS2:AS698)&lt;=1),SUMIF(C2:C698,C401,AS2:AS698),IF(AND(AT401=3,M401="F",SUMIF(C2:C698,C401,AS2:AS698)&gt;1),1,"")))</f>
        <v/>
      </c>
      <c r="AW401" s="462">
        <f>SUMIF(C2:C698,C401,O2:O698)</f>
        <v>7</v>
      </c>
      <c r="AX401" s="462">
        <f>IF(AND(M401="F",AS401&lt;&gt;0),SUMIF(C2:C698,C401,W2:W698),0)</f>
        <v>46800</v>
      </c>
      <c r="AY401" s="462">
        <f t="shared" si="104"/>
        <v>18720</v>
      </c>
      <c r="AZ401" s="462" t="str">
        <f t="shared" si="105"/>
        <v/>
      </c>
      <c r="BA401" s="462">
        <f t="shared" si="106"/>
        <v>0</v>
      </c>
      <c r="BB401" s="462">
        <f>IF(AND(AT401=1,AK401="E",AU401&gt;=0.75,AW401=1),Health,IF(AND(AT401=1,AK401="E",AU401&gt;=0.75),Health*P401,IF(AND(AT401=1,AK401="E",AU401&gt;=0.5,AW401=1),PTHealth,IF(AND(AT401=1,AK401="E",AU401&gt;=0.5),PTHealth*P401,0))))</f>
        <v>4660</v>
      </c>
      <c r="BC401" s="462">
        <f>IF(AND(AT401=3,AK401="E",AV401&gt;=0.75,AW401=1),Health,IF(AND(AT401=3,AK401="E",AV401&gt;=0.75),Health*P401,IF(AND(AT401=3,AK401="E",AV401&gt;=0.5,AW401=1),PTHealth,IF(AND(AT401=3,AK401="E",AV401&gt;=0.5),PTHealth*P401,0))))</f>
        <v>0</v>
      </c>
      <c r="BD401" s="462">
        <f>IF(AND(AT401&lt;&gt;0,AX401&gt;=MAXSSDI),SSDI*MAXSSDI*P401,IF(AT401&lt;&gt;0,SSDI*W401,0))</f>
        <v>1160.6400000000001</v>
      </c>
      <c r="BE401" s="462">
        <f>IF(AT401&lt;&gt;0,SSHI*W401,0)</f>
        <v>271.44</v>
      </c>
      <c r="BF401" s="462">
        <f>IF(AND(AT401&lt;&gt;0,AN401&lt;&gt;"NE"),VLOOKUP(AN401,Retirement_Rates,3,FALSE)*W401,0)</f>
        <v>2235.1680000000001</v>
      </c>
      <c r="BG401" s="462">
        <f>IF(AND(AT401&lt;&gt;0,AJ401&lt;&gt;"PF"),Life*W401,0)</f>
        <v>134.97120000000001</v>
      </c>
      <c r="BH401" s="462">
        <f>IF(AND(AT401&lt;&gt;0,AM401="Y"),UI*W401,0)</f>
        <v>91.727999999999994</v>
      </c>
      <c r="BI401" s="462">
        <f>IF(AND(AT401&lt;&gt;0,N401&lt;&gt;"NR"),DHR*W401,0)</f>
        <v>57.283199999999994</v>
      </c>
      <c r="BJ401" s="462">
        <f>IF(AT401&lt;&gt;0,WC*W401,0)</f>
        <v>286.416</v>
      </c>
      <c r="BK401" s="462">
        <f>IF(OR(AND(AT401&lt;&gt;0,AJ401&lt;&gt;"PF",AN401&lt;&gt;"NE",AG401&lt;&gt;"A"),AND(AL401="E",OR(AT401=1,AT401=3))),Sick*W401,0)</f>
        <v>0</v>
      </c>
      <c r="BL401" s="462">
        <f t="shared" si="107"/>
        <v>4237.6464000000005</v>
      </c>
      <c r="BM401" s="462">
        <f t="shared" si="108"/>
        <v>0</v>
      </c>
      <c r="BN401" s="462">
        <f>IF(AND(AT401=1,AK401="E",AU401&gt;=0.75,AW401=1),HealthBY,IF(AND(AT401=1,AK401="E",AU401&gt;=0.75),HealthBY*P401,IF(AND(AT401=1,AK401="E",AU401&gt;=0.5,AW401=1),PTHealthBY,IF(AND(AT401=1,AK401="E",AU401&gt;=0.5),PTHealthBY*P401,0))))</f>
        <v>4660</v>
      </c>
      <c r="BO401" s="462">
        <f>IF(AND(AT401=3,AK401="E",AV401&gt;=0.75,AW401=1),HealthBY,IF(AND(AT401=3,AK401="E",AV401&gt;=0.75),HealthBY*P401,IF(AND(AT401=3,AK401="E",AV401&gt;=0.5,AW401=1),PTHealthBY,IF(AND(AT401=3,AK401="E",AV401&gt;=0.5),PTHealthBY*P401,0))))</f>
        <v>0</v>
      </c>
      <c r="BP401" s="462">
        <f>IF(AND(AT401&lt;&gt;0,(AX401+BA401)&gt;=MAXSSDIBY),SSDIBY*MAXSSDIBY*P401,IF(AT401&lt;&gt;0,SSDIBY*W401,0))</f>
        <v>1160.6400000000001</v>
      </c>
      <c r="BQ401" s="462">
        <f>IF(AT401&lt;&gt;0,SSHIBY*W401,0)</f>
        <v>271.44</v>
      </c>
      <c r="BR401" s="462">
        <f>IF(AND(AT401&lt;&gt;0,AN401&lt;&gt;"NE"),VLOOKUP(AN401,Retirement_Rates,4,FALSE)*W401,0)</f>
        <v>2235.1680000000001</v>
      </c>
      <c r="BS401" s="462">
        <f>IF(AND(AT401&lt;&gt;0,AJ401&lt;&gt;"PF"),LifeBY*W401,0)</f>
        <v>134.97120000000001</v>
      </c>
      <c r="BT401" s="462">
        <f>IF(AND(AT401&lt;&gt;0,AM401="Y"),UIBY*W401,0)</f>
        <v>0</v>
      </c>
      <c r="BU401" s="462">
        <f>IF(AND(AT401&lt;&gt;0,N401&lt;&gt;"NR"),DHRBY*W401,0)</f>
        <v>57.283199999999994</v>
      </c>
      <c r="BV401" s="462">
        <f>IF(AT401&lt;&gt;0,WCBY*W401,0)</f>
        <v>329.47200000000004</v>
      </c>
      <c r="BW401" s="462">
        <f>IF(OR(AND(AT401&lt;&gt;0,AJ401&lt;&gt;"PF",AN401&lt;&gt;"NE",AG401&lt;&gt;"A"),AND(AL401="E",OR(AT401=1,AT401=3))),SickBY*W401,0)</f>
        <v>0</v>
      </c>
      <c r="BX401" s="462">
        <f t="shared" si="109"/>
        <v>4188.9744000000001</v>
      </c>
      <c r="BY401" s="462">
        <f t="shared" si="110"/>
        <v>0</v>
      </c>
      <c r="BZ401" s="462">
        <f t="shared" si="111"/>
        <v>0</v>
      </c>
      <c r="CA401" s="462">
        <f t="shared" si="112"/>
        <v>0</v>
      </c>
      <c r="CB401" s="462">
        <f t="shared" si="113"/>
        <v>0</v>
      </c>
      <c r="CC401" s="462">
        <f>IF(AT401&lt;&gt;0,SSHICHG*Y401,0)</f>
        <v>0</v>
      </c>
      <c r="CD401" s="462">
        <f>IF(AND(AT401&lt;&gt;0,AN401&lt;&gt;"NE"),VLOOKUP(AN401,Retirement_Rates,5,FALSE)*Y401,0)</f>
        <v>0</v>
      </c>
      <c r="CE401" s="462">
        <f>IF(AND(AT401&lt;&gt;0,AJ401&lt;&gt;"PF"),LifeCHG*Y401,0)</f>
        <v>0</v>
      </c>
      <c r="CF401" s="462">
        <f>IF(AND(AT401&lt;&gt;0,AM401="Y"),UICHG*Y401,0)</f>
        <v>-91.727999999999994</v>
      </c>
      <c r="CG401" s="462">
        <f>IF(AND(AT401&lt;&gt;0,N401&lt;&gt;"NR"),DHRCHG*Y401,0)</f>
        <v>0</v>
      </c>
      <c r="CH401" s="462">
        <f>IF(AT401&lt;&gt;0,WCCHG*Y401,0)</f>
        <v>43.056000000000033</v>
      </c>
      <c r="CI401" s="462">
        <f>IF(OR(AND(AT401&lt;&gt;0,AJ401&lt;&gt;"PF",AN401&lt;&gt;"NE",AG401&lt;&gt;"A"),AND(AL401="E",OR(AT401=1,AT401=3))),SickCHG*Y401,0)</f>
        <v>0</v>
      </c>
      <c r="CJ401" s="462">
        <f t="shared" si="114"/>
        <v>-48.671999999999962</v>
      </c>
      <c r="CK401" s="462" t="str">
        <f t="shared" si="115"/>
        <v/>
      </c>
      <c r="CL401" s="462" t="str">
        <f t="shared" si="116"/>
        <v/>
      </c>
      <c r="CM401" s="462" t="str">
        <f t="shared" si="117"/>
        <v/>
      </c>
      <c r="CN401" s="462" t="str">
        <f t="shared" si="118"/>
        <v>0332-04</v>
      </c>
    </row>
    <row r="402" spans="1:92" ht="15" thickBot="1" x14ac:dyDescent="0.35">
      <c r="A402" s="376" t="s">
        <v>161</v>
      </c>
      <c r="B402" s="376" t="s">
        <v>162</v>
      </c>
      <c r="C402" s="376" t="s">
        <v>996</v>
      </c>
      <c r="D402" s="376" t="s">
        <v>991</v>
      </c>
      <c r="E402" s="376" t="s">
        <v>535</v>
      </c>
      <c r="F402" s="382" t="s">
        <v>973</v>
      </c>
      <c r="G402" s="376" t="s">
        <v>762</v>
      </c>
      <c r="H402" s="378"/>
      <c r="I402" s="378"/>
      <c r="J402" s="376" t="s">
        <v>547</v>
      </c>
      <c r="K402" s="376" t="s">
        <v>992</v>
      </c>
      <c r="L402" s="376" t="s">
        <v>220</v>
      </c>
      <c r="M402" s="376" t="s">
        <v>170</v>
      </c>
      <c r="N402" s="376" t="s">
        <v>202</v>
      </c>
      <c r="O402" s="379">
        <v>1</v>
      </c>
      <c r="P402" s="460">
        <v>1</v>
      </c>
      <c r="Q402" s="460">
        <v>1</v>
      </c>
      <c r="R402" s="380">
        <v>80</v>
      </c>
      <c r="S402" s="460">
        <v>1</v>
      </c>
      <c r="T402" s="380">
        <v>49700.15</v>
      </c>
      <c r="U402" s="380">
        <v>0</v>
      </c>
      <c r="V402" s="380">
        <v>22209.38</v>
      </c>
      <c r="W402" s="380">
        <v>52000</v>
      </c>
      <c r="X402" s="380">
        <v>23421.23</v>
      </c>
      <c r="Y402" s="380">
        <v>52000</v>
      </c>
      <c r="Z402" s="380">
        <v>23286.03</v>
      </c>
      <c r="AA402" s="376" t="s">
        <v>997</v>
      </c>
      <c r="AB402" s="376" t="s">
        <v>998</v>
      </c>
      <c r="AC402" s="376" t="s">
        <v>999</v>
      </c>
      <c r="AD402" s="376" t="s">
        <v>215</v>
      </c>
      <c r="AE402" s="376" t="s">
        <v>1000</v>
      </c>
      <c r="AF402" s="376" t="s">
        <v>232</v>
      </c>
      <c r="AG402" s="376" t="s">
        <v>177</v>
      </c>
      <c r="AH402" s="379">
        <v>25</v>
      </c>
      <c r="AI402" s="381">
        <v>19242.2</v>
      </c>
      <c r="AJ402" s="376" t="s">
        <v>178</v>
      </c>
      <c r="AK402" s="376" t="s">
        <v>179</v>
      </c>
      <c r="AL402" s="376" t="s">
        <v>180</v>
      </c>
      <c r="AM402" s="376" t="s">
        <v>181</v>
      </c>
      <c r="AN402" s="376" t="s">
        <v>68</v>
      </c>
      <c r="AO402" s="379">
        <v>80</v>
      </c>
      <c r="AP402" s="460">
        <v>1</v>
      </c>
      <c r="AQ402" s="460">
        <v>1</v>
      </c>
      <c r="AR402" s="458" t="s">
        <v>182</v>
      </c>
      <c r="AS402" s="462">
        <f t="shared" si="102"/>
        <v>1</v>
      </c>
      <c r="AT402">
        <f t="shared" si="103"/>
        <v>1</v>
      </c>
      <c r="AU402" s="462">
        <f>IF(AT402=0,"",IF(AND(AT402=1,M402="F",SUMIF(C2:C698,C402,AS2:AS698)&lt;=1),SUMIF(C2:C698,C402,AS2:AS698),IF(AND(AT402=1,M402="F",SUMIF(C2:C698,C402,AS2:AS698)&gt;1),1,"")))</f>
        <v>1</v>
      </c>
      <c r="AV402" s="462" t="str">
        <f>IF(AT402=0,"",IF(AND(AT402=3,M402="F",SUMIF(C2:C698,C402,AS2:AS698)&lt;=1),SUMIF(C2:C698,C402,AS2:AS698),IF(AND(AT402=3,M402="F",SUMIF(C2:C698,C402,AS2:AS698)&gt;1),1,"")))</f>
        <v/>
      </c>
      <c r="AW402" s="462">
        <f>SUMIF(C2:C698,C402,O2:O698)</f>
        <v>1</v>
      </c>
      <c r="AX402" s="462">
        <f>IF(AND(M402="F",AS402&lt;&gt;0),SUMIF(C2:C698,C402,W2:W698),0)</f>
        <v>52000</v>
      </c>
      <c r="AY402" s="462">
        <f t="shared" si="104"/>
        <v>52000</v>
      </c>
      <c r="AZ402" s="462" t="str">
        <f t="shared" si="105"/>
        <v/>
      </c>
      <c r="BA402" s="462">
        <f t="shared" si="106"/>
        <v>0</v>
      </c>
      <c r="BB402" s="462">
        <f>IF(AND(AT402=1,AK402="E",AU402&gt;=0.75,AW402=1),Health,IF(AND(AT402=1,AK402="E",AU402&gt;=0.75),Health*P402,IF(AND(AT402=1,AK402="E",AU402&gt;=0.5,AW402=1),PTHealth,IF(AND(AT402=1,AK402="E",AU402&gt;=0.5),PTHealth*P402,0))))</f>
        <v>11650</v>
      </c>
      <c r="BC402" s="462">
        <f>IF(AND(AT402=3,AK402="E",AV402&gt;=0.75,AW402=1),Health,IF(AND(AT402=3,AK402="E",AV402&gt;=0.75),Health*P402,IF(AND(AT402=3,AK402="E",AV402&gt;=0.5,AW402=1),PTHealth,IF(AND(AT402=3,AK402="E",AV402&gt;=0.5),PTHealth*P402,0))))</f>
        <v>0</v>
      </c>
      <c r="BD402" s="462">
        <f>IF(AND(AT402&lt;&gt;0,AX402&gt;=MAXSSDI),SSDI*MAXSSDI*P402,IF(AT402&lt;&gt;0,SSDI*W402,0))</f>
        <v>3224</v>
      </c>
      <c r="BE402" s="462">
        <f>IF(AT402&lt;&gt;0,SSHI*W402,0)</f>
        <v>754</v>
      </c>
      <c r="BF402" s="462">
        <f>IF(AND(AT402&lt;&gt;0,AN402&lt;&gt;"NE"),VLOOKUP(AN402,Retirement_Rates,3,FALSE)*W402,0)</f>
        <v>6208.8</v>
      </c>
      <c r="BG402" s="462">
        <f>IF(AND(AT402&lt;&gt;0,AJ402&lt;&gt;"PF"),Life*W402,0)</f>
        <v>374.92</v>
      </c>
      <c r="BH402" s="462">
        <f>IF(AND(AT402&lt;&gt;0,AM402="Y"),UI*W402,0)</f>
        <v>254.79999999999998</v>
      </c>
      <c r="BI402" s="462">
        <f>IF(AND(AT402&lt;&gt;0,N402&lt;&gt;"NR"),DHR*W402,0)</f>
        <v>159.11999999999998</v>
      </c>
      <c r="BJ402" s="462">
        <f>IF(AT402&lt;&gt;0,WC*W402,0)</f>
        <v>795.6</v>
      </c>
      <c r="BK402" s="462">
        <f>IF(OR(AND(AT402&lt;&gt;0,AJ402&lt;&gt;"PF",AN402&lt;&gt;"NE",AG402&lt;&gt;"A"),AND(AL402="E",OR(AT402=1,AT402=3))),Sick*W402,0)</f>
        <v>0</v>
      </c>
      <c r="BL402" s="462">
        <f t="shared" si="107"/>
        <v>11771.24</v>
      </c>
      <c r="BM402" s="462">
        <f t="shared" si="108"/>
        <v>0</v>
      </c>
      <c r="BN402" s="462">
        <f>IF(AND(AT402=1,AK402="E",AU402&gt;=0.75,AW402=1),HealthBY,IF(AND(AT402=1,AK402="E",AU402&gt;=0.75),HealthBY*P402,IF(AND(AT402=1,AK402="E",AU402&gt;=0.5,AW402=1),PTHealthBY,IF(AND(AT402=1,AK402="E",AU402&gt;=0.5),PTHealthBY*P402,0))))</f>
        <v>11650</v>
      </c>
      <c r="BO402" s="462">
        <f>IF(AND(AT402=3,AK402="E",AV402&gt;=0.75,AW402=1),HealthBY,IF(AND(AT402=3,AK402="E",AV402&gt;=0.75),HealthBY*P402,IF(AND(AT402=3,AK402="E",AV402&gt;=0.5,AW402=1),PTHealthBY,IF(AND(AT402=3,AK402="E",AV402&gt;=0.5),PTHealthBY*P402,0))))</f>
        <v>0</v>
      </c>
      <c r="BP402" s="462">
        <f>IF(AND(AT402&lt;&gt;0,(AX402+BA402)&gt;=MAXSSDIBY),SSDIBY*MAXSSDIBY*P402,IF(AT402&lt;&gt;0,SSDIBY*W402,0))</f>
        <v>3224</v>
      </c>
      <c r="BQ402" s="462">
        <f>IF(AT402&lt;&gt;0,SSHIBY*W402,0)</f>
        <v>754</v>
      </c>
      <c r="BR402" s="462">
        <f>IF(AND(AT402&lt;&gt;0,AN402&lt;&gt;"NE"),VLOOKUP(AN402,Retirement_Rates,4,FALSE)*W402,0)</f>
        <v>6208.8</v>
      </c>
      <c r="BS402" s="462">
        <f>IF(AND(AT402&lt;&gt;0,AJ402&lt;&gt;"PF"),LifeBY*W402,0)</f>
        <v>374.92</v>
      </c>
      <c r="BT402" s="462">
        <f>IF(AND(AT402&lt;&gt;0,AM402="Y"),UIBY*W402,0)</f>
        <v>0</v>
      </c>
      <c r="BU402" s="462">
        <f>IF(AND(AT402&lt;&gt;0,N402&lt;&gt;"NR"),DHRBY*W402,0)</f>
        <v>159.11999999999998</v>
      </c>
      <c r="BV402" s="462">
        <f>IF(AT402&lt;&gt;0,WCBY*W402,0)</f>
        <v>915.2</v>
      </c>
      <c r="BW402" s="462">
        <f>IF(OR(AND(AT402&lt;&gt;0,AJ402&lt;&gt;"PF",AN402&lt;&gt;"NE",AG402&lt;&gt;"A"),AND(AL402="E",OR(AT402=1,AT402=3))),SickBY*W402,0)</f>
        <v>0</v>
      </c>
      <c r="BX402" s="462">
        <f t="shared" si="109"/>
        <v>11636.04</v>
      </c>
      <c r="BY402" s="462">
        <f t="shared" si="110"/>
        <v>0</v>
      </c>
      <c r="BZ402" s="462">
        <f t="shared" si="111"/>
        <v>0</v>
      </c>
      <c r="CA402" s="462">
        <f t="shared" si="112"/>
        <v>0</v>
      </c>
      <c r="CB402" s="462">
        <f t="shared" si="113"/>
        <v>0</v>
      </c>
      <c r="CC402" s="462">
        <f>IF(AT402&lt;&gt;0,SSHICHG*Y402,0)</f>
        <v>0</v>
      </c>
      <c r="CD402" s="462">
        <f>IF(AND(AT402&lt;&gt;0,AN402&lt;&gt;"NE"),VLOOKUP(AN402,Retirement_Rates,5,FALSE)*Y402,0)</f>
        <v>0</v>
      </c>
      <c r="CE402" s="462">
        <f>IF(AND(AT402&lt;&gt;0,AJ402&lt;&gt;"PF"),LifeCHG*Y402,0)</f>
        <v>0</v>
      </c>
      <c r="CF402" s="462">
        <f>IF(AND(AT402&lt;&gt;0,AM402="Y"),UICHG*Y402,0)</f>
        <v>-254.79999999999998</v>
      </c>
      <c r="CG402" s="462">
        <f>IF(AND(AT402&lt;&gt;0,N402&lt;&gt;"NR"),DHRCHG*Y402,0)</f>
        <v>0</v>
      </c>
      <c r="CH402" s="462">
        <f>IF(AT402&lt;&gt;0,WCCHG*Y402,0)</f>
        <v>119.60000000000009</v>
      </c>
      <c r="CI402" s="462">
        <f>IF(OR(AND(AT402&lt;&gt;0,AJ402&lt;&gt;"PF",AN402&lt;&gt;"NE",AG402&lt;&gt;"A"),AND(AL402="E",OR(AT402=1,AT402=3))),SickCHG*Y402,0)</f>
        <v>0</v>
      </c>
      <c r="CJ402" s="462">
        <f t="shared" si="114"/>
        <v>-135.19999999999987</v>
      </c>
      <c r="CK402" s="462" t="str">
        <f t="shared" si="115"/>
        <v/>
      </c>
      <c r="CL402" s="462" t="str">
        <f t="shared" si="116"/>
        <v/>
      </c>
      <c r="CM402" s="462" t="str">
        <f t="shared" si="117"/>
        <v/>
      </c>
      <c r="CN402" s="462" t="str">
        <f t="shared" si="118"/>
        <v>0332-04</v>
      </c>
    </row>
    <row r="403" spans="1:92" ht="15" thickBot="1" x14ac:dyDescent="0.35">
      <c r="A403" s="376" t="s">
        <v>161</v>
      </c>
      <c r="B403" s="376" t="s">
        <v>162</v>
      </c>
      <c r="C403" s="376" t="s">
        <v>1001</v>
      </c>
      <c r="D403" s="376" t="s">
        <v>365</v>
      </c>
      <c r="E403" s="376" t="s">
        <v>535</v>
      </c>
      <c r="F403" s="382" t="s">
        <v>973</v>
      </c>
      <c r="G403" s="376" t="s">
        <v>762</v>
      </c>
      <c r="H403" s="378"/>
      <c r="I403" s="378"/>
      <c r="J403" s="376" t="s">
        <v>547</v>
      </c>
      <c r="K403" s="376" t="s">
        <v>366</v>
      </c>
      <c r="L403" s="376" t="s">
        <v>274</v>
      </c>
      <c r="M403" s="376" t="s">
        <v>170</v>
      </c>
      <c r="N403" s="376" t="s">
        <v>202</v>
      </c>
      <c r="O403" s="379">
        <v>1</v>
      </c>
      <c r="P403" s="460">
        <v>1</v>
      </c>
      <c r="Q403" s="460">
        <v>1</v>
      </c>
      <c r="R403" s="380">
        <v>80</v>
      </c>
      <c r="S403" s="460">
        <v>1</v>
      </c>
      <c r="T403" s="380">
        <v>48426.46</v>
      </c>
      <c r="U403" s="380">
        <v>0</v>
      </c>
      <c r="V403" s="380">
        <v>21312.89</v>
      </c>
      <c r="W403" s="380">
        <v>50211.18</v>
      </c>
      <c r="X403" s="380">
        <v>23016.27</v>
      </c>
      <c r="Y403" s="380">
        <v>50211.18</v>
      </c>
      <c r="Z403" s="380">
        <v>22885.72</v>
      </c>
      <c r="AA403" s="376" t="s">
        <v>1002</v>
      </c>
      <c r="AB403" s="376" t="s">
        <v>1003</v>
      </c>
      <c r="AC403" s="376" t="s">
        <v>1004</v>
      </c>
      <c r="AD403" s="376" t="s">
        <v>225</v>
      </c>
      <c r="AE403" s="376" t="s">
        <v>366</v>
      </c>
      <c r="AF403" s="376" t="s">
        <v>279</v>
      </c>
      <c r="AG403" s="376" t="s">
        <v>177</v>
      </c>
      <c r="AH403" s="381">
        <v>24.14</v>
      </c>
      <c r="AI403" s="379">
        <v>59812</v>
      </c>
      <c r="AJ403" s="376" t="s">
        <v>178</v>
      </c>
      <c r="AK403" s="376" t="s">
        <v>179</v>
      </c>
      <c r="AL403" s="376" t="s">
        <v>180</v>
      </c>
      <c r="AM403" s="376" t="s">
        <v>181</v>
      </c>
      <c r="AN403" s="376" t="s">
        <v>68</v>
      </c>
      <c r="AO403" s="379">
        <v>80</v>
      </c>
      <c r="AP403" s="460">
        <v>1</v>
      </c>
      <c r="AQ403" s="460">
        <v>1</v>
      </c>
      <c r="AR403" s="458" t="s">
        <v>182</v>
      </c>
      <c r="AS403" s="462">
        <f t="shared" si="102"/>
        <v>1</v>
      </c>
      <c r="AT403">
        <f t="shared" si="103"/>
        <v>1</v>
      </c>
      <c r="AU403" s="462">
        <f>IF(AT403=0,"",IF(AND(AT403=1,M403="F",SUMIF(C2:C698,C403,AS2:AS698)&lt;=1),SUMIF(C2:C698,C403,AS2:AS698),IF(AND(AT403=1,M403="F",SUMIF(C2:C698,C403,AS2:AS698)&gt;1),1,"")))</f>
        <v>1</v>
      </c>
      <c r="AV403" s="462" t="str">
        <f>IF(AT403=0,"",IF(AND(AT403=3,M403="F",SUMIF(C2:C698,C403,AS2:AS698)&lt;=1),SUMIF(C2:C698,C403,AS2:AS698),IF(AND(AT403=3,M403="F",SUMIF(C2:C698,C403,AS2:AS698)&gt;1),1,"")))</f>
        <v/>
      </c>
      <c r="AW403" s="462">
        <f>SUMIF(C2:C698,C403,O2:O698)</f>
        <v>1</v>
      </c>
      <c r="AX403" s="462">
        <f>IF(AND(M403="F",AS403&lt;&gt;0),SUMIF(C2:C698,C403,W2:W698),0)</f>
        <v>50211.18</v>
      </c>
      <c r="AY403" s="462">
        <f t="shared" si="104"/>
        <v>50211.18</v>
      </c>
      <c r="AZ403" s="462" t="str">
        <f t="shared" si="105"/>
        <v/>
      </c>
      <c r="BA403" s="462">
        <f t="shared" si="106"/>
        <v>0</v>
      </c>
      <c r="BB403" s="462">
        <f>IF(AND(AT403=1,AK403="E",AU403&gt;=0.75,AW403=1),Health,IF(AND(AT403=1,AK403="E",AU403&gt;=0.75),Health*P403,IF(AND(AT403=1,AK403="E",AU403&gt;=0.5,AW403=1),PTHealth,IF(AND(AT403=1,AK403="E",AU403&gt;=0.5),PTHealth*P403,0))))</f>
        <v>11650</v>
      </c>
      <c r="BC403" s="462">
        <f>IF(AND(AT403=3,AK403="E",AV403&gt;=0.75,AW403=1),Health,IF(AND(AT403=3,AK403="E",AV403&gt;=0.75),Health*P403,IF(AND(AT403=3,AK403="E",AV403&gt;=0.5,AW403=1),PTHealth,IF(AND(AT403=3,AK403="E",AV403&gt;=0.5),PTHealth*P403,0))))</f>
        <v>0</v>
      </c>
      <c r="BD403" s="462">
        <f>IF(AND(AT403&lt;&gt;0,AX403&gt;=MAXSSDI),SSDI*MAXSSDI*P403,IF(AT403&lt;&gt;0,SSDI*W403,0))</f>
        <v>3113.0931599999999</v>
      </c>
      <c r="BE403" s="462">
        <f>IF(AT403&lt;&gt;0,SSHI*W403,0)</f>
        <v>728.06211000000008</v>
      </c>
      <c r="BF403" s="462">
        <f>IF(AND(AT403&lt;&gt;0,AN403&lt;&gt;"NE"),VLOOKUP(AN403,Retirement_Rates,3,FALSE)*W403,0)</f>
        <v>5995.214892</v>
      </c>
      <c r="BG403" s="462">
        <f>IF(AND(AT403&lt;&gt;0,AJ403&lt;&gt;"PF"),Life*W403,0)</f>
        <v>362.0226078</v>
      </c>
      <c r="BH403" s="462">
        <f>IF(AND(AT403&lt;&gt;0,AM403="Y"),UI*W403,0)</f>
        <v>246.03478200000001</v>
      </c>
      <c r="BI403" s="462">
        <f>IF(AND(AT403&lt;&gt;0,N403&lt;&gt;"NR"),DHR*W403,0)</f>
        <v>153.64621079999998</v>
      </c>
      <c r="BJ403" s="462">
        <f>IF(AT403&lt;&gt;0,WC*W403,0)</f>
        <v>768.23105399999997</v>
      </c>
      <c r="BK403" s="462">
        <f>IF(OR(AND(AT403&lt;&gt;0,AJ403&lt;&gt;"PF",AN403&lt;&gt;"NE",AG403&lt;&gt;"A"),AND(AL403="E",OR(AT403=1,AT403=3))),Sick*W403,0)</f>
        <v>0</v>
      </c>
      <c r="BL403" s="462">
        <f t="shared" si="107"/>
        <v>11366.304816599999</v>
      </c>
      <c r="BM403" s="462">
        <f t="shared" si="108"/>
        <v>0</v>
      </c>
      <c r="BN403" s="462">
        <f>IF(AND(AT403=1,AK403="E",AU403&gt;=0.75,AW403=1),HealthBY,IF(AND(AT403=1,AK403="E",AU403&gt;=0.75),HealthBY*P403,IF(AND(AT403=1,AK403="E",AU403&gt;=0.5,AW403=1),PTHealthBY,IF(AND(AT403=1,AK403="E",AU403&gt;=0.5),PTHealthBY*P403,0))))</f>
        <v>11650</v>
      </c>
      <c r="BO403" s="462">
        <f>IF(AND(AT403=3,AK403="E",AV403&gt;=0.75,AW403=1),HealthBY,IF(AND(AT403=3,AK403="E",AV403&gt;=0.75),HealthBY*P403,IF(AND(AT403=3,AK403="E",AV403&gt;=0.5,AW403=1),PTHealthBY,IF(AND(AT403=3,AK403="E",AV403&gt;=0.5),PTHealthBY*P403,0))))</f>
        <v>0</v>
      </c>
      <c r="BP403" s="462">
        <f>IF(AND(AT403&lt;&gt;0,(AX403+BA403)&gt;=MAXSSDIBY),SSDIBY*MAXSSDIBY*P403,IF(AT403&lt;&gt;0,SSDIBY*W403,0))</f>
        <v>3113.0931599999999</v>
      </c>
      <c r="BQ403" s="462">
        <f>IF(AT403&lt;&gt;0,SSHIBY*W403,0)</f>
        <v>728.06211000000008</v>
      </c>
      <c r="BR403" s="462">
        <f>IF(AND(AT403&lt;&gt;0,AN403&lt;&gt;"NE"),VLOOKUP(AN403,Retirement_Rates,4,FALSE)*W403,0)</f>
        <v>5995.214892</v>
      </c>
      <c r="BS403" s="462">
        <f>IF(AND(AT403&lt;&gt;0,AJ403&lt;&gt;"PF"),LifeBY*W403,0)</f>
        <v>362.0226078</v>
      </c>
      <c r="BT403" s="462">
        <f>IF(AND(AT403&lt;&gt;0,AM403="Y"),UIBY*W403,0)</f>
        <v>0</v>
      </c>
      <c r="BU403" s="462">
        <f>IF(AND(AT403&lt;&gt;0,N403&lt;&gt;"NR"),DHRBY*W403,0)</f>
        <v>153.64621079999998</v>
      </c>
      <c r="BV403" s="462">
        <f>IF(AT403&lt;&gt;0,WCBY*W403,0)</f>
        <v>883.716768</v>
      </c>
      <c r="BW403" s="462">
        <f>IF(OR(AND(AT403&lt;&gt;0,AJ403&lt;&gt;"PF",AN403&lt;&gt;"NE",AG403&lt;&gt;"A"),AND(AL403="E",OR(AT403=1,AT403=3))),SickBY*W403,0)</f>
        <v>0</v>
      </c>
      <c r="BX403" s="462">
        <f t="shared" si="109"/>
        <v>11235.755748599999</v>
      </c>
      <c r="BY403" s="462">
        <f t="shared" si="110"/>
        <v>0</v>
      </c>
      <c r="BZ403" s="462">
        <f t="shared" si="111"/>
        <v>0</v>
      </c>
      <c r="CA403" s="462">
        <f t="shared" si="112"/>
        <v>0</v>
      </c>
      <c r="CB403" s="462">
        <f t="shared" si="113"/>
        <v>0</v>
      </c>
      <c r="CC403" s="462">
        <f>IF(AT403&lt;&gt;0,SSHICHG*Y403,0)</f>
        <v>0</v>
      </c>
      <c r="CD403" s="462">
        <f>IF(AND(AT403&lt;&gt;0,AN403&lt;&gt;"NE"),VLOOKUP(AN403,Retirement_Rates,5,FALSE)*Y403,0)</f>
        <v>0</v>
      </c>
      <c r="CE403" s="462">
        <f>IF(AND(AT403&lt;&gt;0,AJ403&lt;&gt;"PF"),LifeCHG*Y403,0)</f>
        <v>0</v>
      </c>
      <c r="CF403" s="462">
        <f>IF(AND(AT403&lt;&gt;0,AM403="Y"),UICHG*Y403,0)</f>
        <v>-246.03478200000001</v>
      </c>
      <c r="CG403" s="462">
        <f>IF(AND(AT403&lt;&gt;0,N403&lt;&gt;"NR"),DHRCHG*Y403,0)</f>
        <v>0</v>
      </c>
      <c r="CH403" s="462">
        <f>IF(AT403&lt;&gt;0,WCCHG*Y403,0)</f>
        <v>115.48571400000009</v>
      </c>
      <c r="CI403" s="462">
        <f>IF(OR(AND(AT403&lt;&gt;0,AJ403&lt;&gt;"PF",AN403&lt;&gt;"NE",AG403&lt;&gt;"A"),AND(AL403="E",OR(AT403=1,AT403=3))),SickCHG*Y403,0)</f>
        <v>0</v>
      </c>
      <c r="CJ403" s="462">
        <f t="shared" si="114"/>
        <v>-130.54906799999992</v>
      </c>
      <c r="CK403" s="462" t="str">
        <f t="shared" si="115"/>
        <v/>
      </c>
      <c r="CL403" s="462" t="str">
        <f t="shared" si="116"/>
        <v/>
      </c>
      <c r="CM403" s="462" t="str">
        <f t="shared" si="117"/>
        <v/>
      </c>
      <c r="CN403" s="462" t="str">
        <f t="shared" si="118"/>
        <v>0332-04</v>
      </c>
    </row>
    <row r="404" spans="1:92" ht="15" thickBot="1" x14ac:dyDescent="0.35">
      <c r="A404" s="376" t="s">
        <v>161</v>
      </c>
      <c r="B404" s="376" t="s">
        <v>162</v>
      </c>
      <c r="C404" s="376" t="s">
        <v>1005</v>
      </c>
      <c r="D404" s="376" t="s">
        <v>250</v>
      </c>
      <c r="E404" s="376" t="s">
        <v>535</v>
      </c>
      <c r="F404" s="382" t="s">
        <v>973</v>
      </c>
      <c r="G404" s="376" t="s">
        <v>762</v>
      </c>
      <c r="H404" s="378"/>
      <c r="I404" s="378"/>
      <c r="J404" s="376" t="s">
        <v>768</v>
      </c>
      <c r="K404" s="376" t="s">
        <v>407</v>
      </c>
      <c r="L404" s="376" t="s">
        <v>247</v>
      </c>
      <c r="M404" s="376" t="s">
        <v>170</v>
      </c>
      <c r="N404" s="376" t="s">
        <v>202</v>
      </c>
      <c r="O404" s="379">
        <v>1</v>
      </c>
      <c r="P404" s="460">
        <v>1</v>
      </c>
      <c r="Q404" s="460">
        <v>1</v>
      </c>
      <c r="R404" s="380">
        <v>80</v>
      </c>
      <c r="S404" s="460">
        <v>1</v>
      </c>
      <c r="T404" s="380">
        <v>72652.009999999995</v>
      </c>
      <c r="U404" s="380">
        <v>0</v>
      </c>
      <c r="V404" s="380">
        <v>26575.02</v>
      </c>
      <c r="W404" s="380">
        <v>75025.600000000006</v>
      </c>
      <c r="X404" s="380">
        <v>28633.49</v>
      </c>
      <c r="Y404" s="380">
        <v>75025.600000000006</v>
      </c>
      <c r="Z404" s="380">
        <v>28438.43</v>
      </c>
      <c r="AA404" s="376" t="s">
        <v>1006</v>
      </c>
      <c r="AB404" s="376" t="s">
        <v>1007</v>
      </c>
      <c r="AC404" s="376" t="s">
        <v>352</v>
      </c>
      <c r="AD404" s="376" t="s">
        <v>1008</v>
      </c>
      <c r="AE404" s="376" t="s">
        <v>407</v>
      </c>
      <c r="AF404" s="376" t="s">
        <v>299</v>
      </c>
      <c r="AG404" s="376" t="s">
        <v>177</v>
      </c>
      <c r="AH404" s="381">
        <v>36.07</v>
      </c>
      <c r="AI404" s="381">
        <v>34953.4</v>
      </c>
      <c r="AJ404" s="376" t="s">
        <v>178</v>
      </c>
      <c r="AK404" s="376" t="s">
        <v>179</v>
      </c>
      <c r="AL404" s="376" t="s">
        <v>180</v>
      </c>
      <c r="AM404" s="376" t="s">
        <v>181</v>
      </c>
      <c r="AN404" s="376" t="s">
        <v>68</v>
      </c>
      <c r="AO404" s="379">
        <v>80</v>
      </c>
      <c r="AP404" s="460">
        <v>1</v>
      </c>
      <c r="AQ404" s="460">
        <v>1</v>
      </c>
      <c r="AR404" s="458" t="s">
        <v>182</v>
      </c>
      <c r="AS404" s="462">
        <f t="shared" si="102"/>
        <v>1</v>
      </c>
      <c r="AT404">
        <f t="shared" si="103"/>
        <v>1</v>
      </c>
      <c r="AU404" s="462">
        <f>IF(AT404=0,"",IF(AND(AT404=1,M404="F",SUMIF(C2:C698,C404,AS2:AS698)&lt;=1),SUMIF(C2:C698,C404,AS2:AS698),IF(AND(AT404=1,M404="F",SUMIF(C2:C698,C404,AS2:AS698)&gt;1),1,"")))</f>
        <v>1</v>
      </c>
      <c r="AV404" s="462" t="str">
        <f>IF(AT404=0,"",IF(AND(AT404=3,M404="F",SUMIF(C2:C698,C404,AS2:AS698)&lt;=1),SUMIF(C2:C698,C404,AS2:AS698),IF(AND(AT404=3,M404="F",SUMIF(C2:C698,C404,AS2:AS698)&gt;1),1,"")))</f>
        <v/>
      </c>
      <c r="AW404" s="462">
        <f>SUMIF(C2:C698,C404,O2:O698)</f>
        <v>1</v>
      </c>
      <c r="AX404" s="462">
        <f>IF(AND(M404="F",AS404&lt;&gt;0),SUMIF(C2:C698,C404,W2:W698),0)</f>
        <v>75025.600000000006</v>
      </c>
      <c r="AY404" s="462">
        <f t="shared" si="104"/>
        <v>75025.600000000006</v>
      </c>
      <c r="AZ404" s="462" t="str">
        <f t="shared" si="105"/>
        <v/>
      </c>
      <c r="BA404" s="462">
        <f t="shared" si="106"/>
        <v>0</v>
      </c>
      <c r="BB404" s="462">
        <f>IF(AND(AT404=1,AK404="E",AU404&gt;=0.75,AW404=1),Health,IF(AND(AT404=1,AK404="E",AU404&gt;=0.75),Health*P404,IF(AND(AT404=1,AK404="E",AU404&gt;=0.5,AW404=1),PTHealth,IF(AND(AT404=1,AK404="E",AU404&gt;=0.5),PTHealth*P404,0))))</f>
        <v>11650</v>
      </c>
      <c r="BC404" s="462">
        <f>IF(AND(AT404=3,AK404="E",AV404&gt;=0.75,AW404=1),Health,IF(AND(AT404=3,AK404="E",AV404&gt;=0.75),Health*P404,IF(AND(AT404=3,AK404="E",AV404&gt;=0.5,AW404=1),PTHealth,IF(AND(AT404=3,AK404="E",AV404&gt;=0.5),PTHealth*P404,0))))</f>
        <v>0</v>
      </c>
      <c r="BD404" s="462">
        <f>IF(AND(AT404&lt;&gt;0,AX404&gt;=MAXSSDI),SSDI*MAXSSDI*P404,IF(AT404&lt;&gt;0,SSDI*W404,0))</f>
        <v>4651.5871999999999</v>
      </c>
      <c r="BE404" s="462">
        <f>IF(AT404&lt;&gt;0,SSHI*W404,0)</f>
        <v>1087.8712</v>
      </c>
      <c r="BF404" s="462">
        <f>IF(AND(AT404&lt;&gt;0,AN404&lt;&gt;"NE"),VLOOKUP(AN404,Retirement_Rates,3,FALSE)*W404,0)</f>
        <v>8958.0566400000007</v>
      </c>
      <c r="BG404" s="462">
        <f>IF(AND(AT404&lt;&gt;0,AJ404&lt;&gt;"PF"),Life*W404,0)</f>
        <v>540.93457600000011</v>
      </c>
      <c r="BH404" s="462">
        <f>IF(AND(AT404&lt;&gt;0,AM404="Y"),UI*W404,0)</f>
        <v>367.62544000000003</v>
      </c>
      <c r="BI404" s="462">
        <f>IF(AND(AT404&lt;&gt;0,N404&lt;&gt;"NR"),DHR*W404,0)</f>
        <v>229.57833600000001</v>
      </c>
      <c r="BJ404" s="462">
        <f>IF(AT404&lt;&gt;0,WC*W404,0)</f>
        <v>1147.89168</v>
      </c>
      <c r="BK404" s="462">
        <f>IF(OR(AND(AT404&lt;&gt;0,AJ404&lt;&gt;"PF",AN404&lt;&gt;"NE",AG404&lt;&gt;"A"),AND(AL404="E",OR(AT404=1,AT404=3))),Sick*W404,0)</f>
        <v>0</v>
      </c>
      <c r="BL404" s="462">
        <f t="shared" si="107"/>
        <v>16983.545072000001</v>
      </c>
      <c r="BM404" s="462">
        <f t="shared" si="108"/>
        <v>0</v>
      </c>
      <c r="BN404" s="462">
        <f>IF(AND(AT404=1,AK404="E",AU404&gt;=0.75,AW404=1),HealthBY,IF(AND(AT404=1,AK404="E",AU404&gt;=0.75),HealthBY*P404,IF(AND(AT404=1,AK404="E",AU404&gt;=0.5,AW404=1),PTHealthBY,IF(AND(AT404=1,AK404="E",AU404&gt;=0.5),PTHealthBY*P404,0))))</f>
        <v>11650</v>
      </c>
      <c r="BO404" s="462">
        <f>IF(AND(AT404=3,AK404="E",AV404&gt;=0.75,AW404=1),HealthBY,IF(AND(AT404=3,AK404="E",AV404&gt;=0.75),HealthBY*P404,IF(AND(AT404=3,AK404="E",AV404&gt;=0.5,AW404=1),PTHealthBY,IF(AND(AT404=3,AK404="E",AV404&gt;=0.5),PTHealthBY*P404,0))))</f>
        <v>0</v>
      </c>
      <c r="BP404" s="462">
        <f>IF(AND(AT404&lt;&gt;0,(AX404+BA404)&gt;=MAXSSDIBY),SSDIBY*MAXSSDIBY*P404,IF(AT404&lt;&gt;0,SSDIBY*W404,0))</f>
        <v>4651.5871999999999</v>
      </c>
      <c r="BQ404" s="462">
        <f>IF(AT404&lt;&gt;0,SSHIBY*W404,0)</f>
        <v>1087.8712</v>
      </c>
      <c r="BR404" s="462">
        <f>IF(AND(AT404&lt;&gt;0,AN404&lt;&gt;"NE"),VLOOKUP(AN404,Retirement_Rates,4,FALSE)*W404,0)</f>
        <v>8958.0566400000007</v>
      </c>
      <c r="BS404" s="462">
        <f>IF(AND(AT404&lt;&gt;0,AJ404&lt;&gt;"PF"),LifeBY*W404,0)</f>
        <v>540.93457600000011</v>
      </c>
      <c r="BT404" s="462">
        <f>IF(AND(AT404&lt;&gt;0,AM404="Y"),UIBY*W404,0)</f>
        <v>0</v>
      </c>
      <c r="BU404" s="462">
        <f>IF(AND(AT404&lt;&gt;0,N404&lt;&gt;"NR"),DHRBY*W404,0)</f>
        <v>229.57833600000001</v>
      </c>
      <c r="BV404" s="462">
        <f>IF(AT404&lt;&gt;0,WCBY*W404,0)</f>
        <v>1320.4505600000002</v>
      </c>
      <c r="BW404" s="462">
        <f>IF(OR(AND(AT404&lt;&gt;0,AJ404&lt;&gt;"PF",AN404&lt;&gt;"NE",AG404&lt;&gt;"A"),AND(AL404="E",OR(AT404=1,AT404=3))),SickBY*W404,0)</f>
        <v>0</v>
      </c>
      <c r="BX404" s="462">
        <f t="shared" si="109"/>
        <v>16788.478512000002</v>
      </c>
      <c r="BY404" s="462">
        <f t="shared" si="110"/>
        <v>0</v>
      </c>
      <c r="BZ404" s="462">
        <f t="shared" si="111"/>
        <v>0</v>
      </c>
      <c r="CA404" s="462">
        <f t="shared" si="112"/>
        <v>0</v>
      </c>
      <c r="CB404" s="462">
        <f t="shared" si="113"/>
        <v>0</v>
      </c>
      <c r="CC404" s="462">
        <f>IF(AT404&lt;&gt;0,SSHICHG*Y404,0)</f>
        <v>0</v>
      </c>
      <c r="CD404" s="462">
        <f>IF(AND(AT404&lt;&gt;0,AN404&lt;&gt;"NE"),VLOOKUP(AN404,Retirement_Rates,5,FALSE)*Y404,0)</f>
        <v>0</v>
      </c>
      <c r="CE404" s="462">
        <f>IF(AND(AT404&lt;&gt;0,AJ404&lt;&gt;"PF"),LifeCHG*Y404,0)</f>
        <v>0</v>
      </c>
      <c r="CF404" s="462">
        <f>IF(AND(AT404&lt;&gt;0,AM404="Y"),UICHG*Y404,0)</f>
        <v>-367.62544000000003</v>
      </c>
      <c r="CG404" s="462">
        <f>IF(AND(AT404&lt;&gt;0,N404&lt;&gt;"NR"),DHRCHG*Y404,0)</f>
        <v>0</v>
      </c>
      <c r="CH404" s="462">
        <f>IF(AT404&lt;&gt;0,WCCHG*Y404,0)</f>
        <v>172.55888000000013</v>
      </c>
      <c r="CI404" s="462">
        <f>IF(OR(AND(AT404&lt;&gt;0,AJ404&lt;&gt;"PF",AN404&lt;&gt;"NE",AG404&lt;&gt;"A"),AND(AL404="E",OR(AT404=1,AT404=3))),SickCHG*Y404,0)</f>
        <v>0</v>
      </c>
      <c r="CJ404" s="462">
        <f t="shared" si="114"/>
        <v>-195.0665599999999</v>
      </c>
      <c r="CK404" s="462" t="str">
        <f t="shared" si="115"/>
        <v/>
      </c>
      <c r="CL404" s="462" t="str">
        <f t="shared" si="116"/>
        <v/>
      </c>
      <c r="CM404" s="462" t="str">
        <f t="shared" si="117"/>
        <v/>
      </c>
      <c r="CN404" s="462" t="str">
        <f t="shared" si="118"/>
        <v>0332-04</v>
      </c>
    </row>
    <row r="405" spans="1:92" ht="15" thickBot="1" x14ac:dyDescent="0.35">
      <c r="A405" s="376" t="s">
        <v>161</v>
      </c>
      <c r="B405" s="376" t="s">
        <v>162</v>
      </c>
      <c r="C405" s="376" t="s">
        <v>876</v>
      </c>
      <c r="D405" s="376" t="s">
        <v>362</v>
      </c>
      <c r="E405" s="376" t="s">
        <v>535</v>
      </c>
      <c r="F405" s="382" t="s">
        <v>973</v>
      </c>
      <c r="G405" s="376" t="s">
        <v>762</v>
      </c>
      <c r="H405" s="378"/>
      <c r="I405" s="378"/>
      <c r="J405" s="376" t="s">
        <v>877</v>
      </c>
      <c r="K405" s="376" t="s">
        <v>363</v>
      </c>
      <c r="L405" s="376" t="s">
        <v>200</v>
      </c>
      <c r="M405" s="376" t="s">
        <v>170</v>
      </c>
      <c r="N405" s="376" t="s">
        <v>202</v>
      </c>
      <c r="O405" s="379">
        <v>1</v>
      </c>
      <c r="P405" s="460">
        <v>0.4</v>
      </c>
      <c r="Q405" s="460">
        <v>0.4</v>
      </c>
      <c r="R405" s="380">
        <v>80</v>
      </c>
      <c r="S405" s="460">
        <v>0.4</v>
      </c>
      <c r="T405" s="380">
        <v>10006.200000000001</v>
      </c>
      <c r="U405" s="380">
        <v>0</v>
      </c>
      <c r="V405" s="380">
        <v>4621.0200000000004</v>
      </c>
      <c r="W405" s="380">
        <v>20309.12</v>
      </c>
      <c r="X405" s="380">
        <v>9257.36</v>
      </c>
      <c r="Y405" s="380">
        <v>20309.12</v>
      </c>
      <c r="Z405" s="380">
        <v>9204.56</v>
      </c>
      <c r="AA405" s="376" t="s">
        <v>878</v>
      </c>
      <c r="AB405" s="376" t="s">
        <v>879</v>
      </c>
      <c r="AC405" s="376" t="s">
        <v>880</v>
      </c>
      <c r="AD405" s="376" t="s">
        <v>881</v>
      </c>
      <c r="AE405" s="376" t="s">
        <v>363</v>
      </c>
      <c r="AF405" s="376" t="s">
        <v>210</v>
      </c>
      <c r="AG405" s="376" t="s">
        <v>177</v>
      </c>
      <c r="AH405" s="381">
        <v>24.41</v>
      </c>
      <c r="AI405" s="379">
        <v>38438</v>
      </c>
      <c r="AJ405" s="376" t="s">
        <v>178</v>
      </c>
      <c r="AK405" s="376" t="s">
        <v>179</v>
      </c>
      <c r="AL405" s="376" t="s">
        <v>180</v>
      </c>
      <c r="AM405" s="376" t="s">
        <v>181</v>
      </c>
      <c r="AN405" s="376" t="s">
        <v>68</v>
      </c>
      <c r="AO405" s="379">
        <v>80</v>
      </c>
      <c r="AP405" s="460">
        <v>1</v>
      </c>
      <c r="AQ405" s="460">
        <v>0.4</v>
      </c>
      <c r="AR405" s="458" t="s">
        <v>182</v>
      </c>
      <c r="AS405" s="462">
        <f t="shared" si="102"/>
        <v>0.4</v>
      </c>
      <c r="AT405">
        <f t="shared" si="103"/>
        <v>1</v>
      </c>
      <c r="AU405" s="462">
        <f>IF(AT405=0,"",IF(AND(AT405=1,M405="F",SUMIF(C2:C698,C405,AS2:AS698)&lt;=1),SUMIF(C2:C698,C405,AS2:AS698),IF(AND(AT405=1,M405="F",SUMIF(C2:C698,C405,AS2:AS698)&gt;1),1,"")))</f>
        <v>1</v>
      </c>
      <c r="AV405" s="462" t="str">
        <f>IF(AT405=0,"",IF(AND(AT405=3,M405="F",SUMIF(C2:C698,C405,AS2:AS698)&lt;=1),SUMIF(C2:C698,C405,AS2:AS698),IF(AND(AT405=3,M405="F",SUMIF(C2:C698,C405,AS2:AS698)&gt;1),1,"")))</f>
        <v/>
      </c>
      <c r="AW405" s="462">
        <f>SUMIF(C2:C698,C405,O2:O698)</f>
        <v>8</v>
      </c>
      <c r="AX405" s="462">
        <f>IF(AND(M405="F",AS405&lt;&gt;0),SUMIF(C2:C698,C405,W2:W698),0)</f>
        <v>50772.800000000003</v>
      </c>
      <c r="AY405" s="462">
        <f t="shared" si="104"/>
        <v>20309.12</v>
      </c>
      <c r="AZ405" s="462" t="str">
        <f t="shared" si="105"/>
        <v/>
      </c>
      <c r="BA405" s="462">
        <f t="shared" si="106"/>
        <v>0</v>
      </c>
      <c r="BB405" s="462">
        <f>IF(AND(AT405=1,AK405="E",AU405&gt;=0.75,AW405=1),Health,IF(AND(AT405=1,AK405="E",AU405&gt;=0.75),Health*P405,IF(AND(AT405=1,AK405="E",AU405&gt;=0.5,AW405=1),PTHealth,IF(AND(AT405=1,AK405="E",AU405&gt;=0.5),PTHealth*P405,0))))</f>
        <v>4660</v>
      </c>
      <c r="BC405" s="462">
        <f>IF(AND(AT405=3,AK405="E",AV405&gt;=0.75,AW405=1),Health,IF(AND(AT405=3,AK405="E",AV405&gt;=0.75),Health*P405,IF(AND(AT405=3,AK405="E",AV405&gt;=0.5,AW405=1),PTHealth,IF(AND(AT405=3,AK405="E",AV405&gt;=0.5),PTHealth*P405,0))))</f>
        <v>0</v>
      </c>
      <c r="BD405" s="462">
        <f>IF(AND(AT405&lt;&gt;0,AX405&gt;=MAXSSDI),SSDI*MAXSSDI*P405,IF(AT405&lt;&gt;0,SSDI*W405,0))</f>
        <v>1259.16544</v>
      </c>
      <c r="BE405" s="462">
        <f>IF(AT405&lt;&gt;0,SSHI*W405,0)</f>
        <v>294.48223999999999</v>
      </c>
      <c r="BF405" s="462">
        <f>IF(AND(AT405&lt;&gt;0,AN405&lt;&gt;"NE"),VLOOKUP(AN405,Retirement_Rates,3,FALSE)*W405,0)</f>
        <v>2424.9089279999998</v>
      </c>
      <c r="BG405" s="462">
        <f>IF(AND(AT405&lt;&gt;0,AJ405&lt;&gt;"PF"),Life*W405,0)</f>
        <v>146.42875520000001</v>
      </c>
      <c r="BH405" s="462">
        <f>IF(AND(AT405&lt;&gt;0,AM405="Y"),UI*W405,0)</f>
        <v>99.514687999999992</v>
      </c>
      <c r="BI405" s="462">
        <f>IF(AND(AT405&lt;&gt;0,N405&lt;&gt;"NR"),DHR*W405,0)</f>
        <v>62.145907199999989</v>
      </c>
      <c r="BJ405" s="462">
        <f>IF(AT405&lt;&gt;0,WC*W405,0)</f>
        <v>310.729536</v>
      </c>
      <c r="BK405" s="462">
        <f>IF(OR(AND(AT405&lt;&gt;0,AJ405&lt;&gt;"PF",AN405&lt;&gt;"NE",AG405&lt;&gt;"A"),AND(AL405="E",OR(AT405=1,AT405=3))),Sick*W405,0)</f>
        <v>0</v>
      </c>
      <c r="BL405" s="462">
        <f t="shared" si="107"/>
        <v>4597.3754943999993</v>
      </c>
      <c r="BM405" s="462">
        <f t="shared" si="108"/>
        <v>0</v>
      </c>
      <c r="BN405" s="462">
        <f>IF(AND(AT405=1,AK405="E",AU405&gt;=0.75,AW405=1),HealthBY,IF(AND(AT405=1,AK405="E",AU405&gt;=0.75),HealthBY*P405,IF(AND(AT405=1,AK405="E",AU405&gt;=0.5,AW405=1),PTHealthBY,IF(AND(AT405=1,AK405="E",AU405&gt;=0.5),PTHealthBY*P405,0))))</f>
        <v>4660</v>
      </c>
      <c r="BO405" s="462">
        <f>IF(AND(AT405=3,AK405="E",AV405&gt;=0.75,AW405=1),HealthBY,IF(AND(AT405=3,AK405="E",AV405&gt;=0.75),HealthBY*P405,IF(AND(AT405=3,AK405="E",AV405&gt;=0.5,AW405=1),PTHealthBY,IF(AND(AT405=3,AK405="E",AV405&gt;=0.5),PTHealthBY*P405,0))))</f>
        <v>0</v>
      </c>
      <c r="BP405" s="462">
        <f>IF(AND(AT405&lt;&gt;0,(AX405+BA405)&gt;=MAXSSDIBY),SSDIBY*MAXSSDIBY*P405,IF(AT405&lt;&gt;0,SSDIBY*W405,0))</f>
        <v>1259.16544</v>
      </c>
      <c r="BQ405" s="462">
        <f>IF(AT405&lt;&gt;0,SSHIBY*W405,0)</f>
        <v>294.48223999999999</v>
      </c>
      <c r="BR405" s="462">
        <f>IF(AND(AT405&lt;&gt;0,AN405&lt;&gt;"NE"),VLOOKUP(AN405,Retirement_Rates,4,FALSE)*W405,0)</f>
        <v>2424.9089279999998</v>
      </c>
      <c r="BS405" s="462">
        <f>IF(AND(AT405&lt;&gt;0,AJ405&lt;&gt;"PF"),LifeBY*W405,0)</f>
        <v>146.42875520000001</v>
      </c>
      <c r="BT405" s="462">
        <f>IF(AND(AT405&lt;&gt;0,AM405="Y"),UIBY*W405,0)</f>
        <v>0</v>
      </c>
      <c r="BU405" s="462">
        <f>IF(AND(AT405&lt;&gt;0,N405&lt;&gt;"NR"),DHRBY*W405,0)</f>
        <v>62.145907199999989</v>
      </c>
      <c r="BV405" s="462">
        <f>IF(AT405&lt;&gt;0,WCBY*W405,0)</f>
        <v>357.44051200000001</v>
      </c>
      <c r="BW405" s="462">
        <f>IF(OR(AND(AT405&lt;&gt;0,AJ405&lt;&gt;"PF",AN405&lt;&gt;"NE",AG405&lt;&gt;"A"),AND(AL405="E",OR(AT405=1,AT405=3))),SickBY*W405,0)</f>
        <v>0</v>
      </c>
      <c r="BX405" s="462">
        <f t="shared" si="109"/>
        <v>4544.5717823999994</v>
      </c>
      <c r="BY405" s="462">
        <f t="shared" si="110"/>
        <v>0</v>
      </c>
      <c r="BZ405" s="462">
        <f t="shared" si="111"/>
        <v>0</v>
      </c>
      <c r="CA405" s="462">
        <f t="shared" si="112"/>
        <v>0</v>
      </c>
      <c r="CB405" s="462">
        <f t="shared" si="113"/>
        <v>0</v>
      </c>
      <c r="CC405" s="462">
        <f>IF(AT405&lt;&gt;0,SSHICHG*Y405,0)</f>
        <v>0</v>
      </c>
      <c r="CD405" s="462">
        <f>IF(AND(AT405&lt;&gt;0,AN405&lt;&gt;"NE"),VLOOKUP(AN405,Retirement_Rates,5,FALSE)*Y405,0)</f>
        <v>0</v>
      </c>
      <c r="CE405" s="462">
        <f>IF(AND(AT405&lt;&gt;0,AJ405&lt;&gt;"PF"),LifeCHG*Y405,0)</f>
        <v>0</v>
      </c>
      <c r="CF405" s="462">
        <f>IF(AND(AT405&lt;&gt;0,AM405="Y"),UICHG*Y405,0)</f>
        <v>-99.514687999999992</v>
      </c>
      <c r="CG405" s="462">
        <f>IF(AND(AT405&lt;&gt;0,N405&lt;&gt;"NR"),DHRCHG*Y405,0)</f>
        <v>0</v>
      </c>
      <c r="CH405" s="462">
        <f>IF(AT405&lt;&gt;0,WCCHG*Y405,0)</f>
        <v>46.710976000000031</v>
      </c>
      <c r="CI405" s="462">
        <f>IF(OR(AND(AT405&lt;&gt;0,AJ405&lt;&gt;"PF",AN405&lt;&gt;"NE",AG405&lt;&gt;"A"),AND(AL405="E",OR(AT405=1,AT405=3))),SickCHG*Y405,0)</f>
        <v>0</v>
      </c>
      <c r="CJ405" s="462">
        <f t="shared" si="114"/>
        <v>-52.803711999999962</v>
      </c>
      <c r="CK405" s="462" t="str">
        <f t="shared" si="115"/>
        <v/>
      </c>
      <c r="CL405" s="462" t="str">
        <f t="shared" si="116"/>
        <v/>
      </c>
      <c r="CM405" s="462" t="str">
        <f t="shared" si="117"/>
        <v/>
      </c>
      <c r="CN405" s="462" t="str">
        <f t="shared" si="118"/>
        <v>0332-04</v>
      </c>
    </row>
    <row r="406" spans="1:92" ht="15" thickBot="1" x14ac:dyDescent="0.35">
      <c r="A406" s="376" t="s">
        <v>161</v>
      </c>
      <c r="B406" s="376" t="s">
        <v>162</v>
      </c>
      <c r="C406" s="376" t="s">
        <v>883</v>
      </c>
      <c r="D406" s="376" t="s">
        <v>365</v>
      </c>
      <c r="E406" s="376" t="s">
        <v>535</v>
      </c>
      <c r="F406" s="382" t="s">
        <v>973</v>
      </c>
      <c r="G406" s="376" t="s">
        <v>762</v>
      </c>
      <c r="H406" s="378"/>
      <c r="I406" s="378"/>
      <c r="J406" s="376" t="s">
        <v>768</v>
      </c>
      <c r="K406" s="376" t="s">
        <v>366</v>
      </c>
      <c r="L406" s="376" t="s">
        <v>274</v>
      </c>
      <c r="M406" s="376" t="s">
        <v>170</v>
      </c>
      <c r="N406" s="376" t="s">
        <v>202</v>
      </c>
      <c r="O406" s="379">
        <v>1</v>
      </c>
      <c r="P406" s="460">
        <v>0</v>
      </c>
      <c r="Q406" s="460">
        <v>0</v>
      </c>
      <c r="R406" s="380">
        <v>80</v>
      </c>
      <c r="S406" s="460">
        <v>0</v>
      </c>
      <c r="T406" s="380">
        <v>79.650000000000006</v>
      </c>
      <c r="U406" s="380">
        <v>0</v>
      </c>
      <c r="V406" s="380">
        <v>42.75</v>
      </c>
      <c r="W406" s="380">
        <v>0</v>
      </c>
      <c r="X406" s="380">
        <v>0</v>
      </c>
      <c r="Y406" s="380">
        <v>0</v>
      </c>
      <c r="Z406" s="380">
        <v>0</v>
      </c>
      <c r="AA406" s="376" t="s">
        <v>884</v>
      </c>
      <c r="AB406" s="376" t="s">
        <v>885</v>
      </c>
      <c r="AC406" s="376" t="s">
        <v>886</v>
      </c>
      <c r="AD406" s="376" t="s">
        <v>225</v>
      </c>
      <c r="AE406" s="376" t="s">
        <v>366</v>
      </c>
      <c r="AF406" s="376" t="s">
        <v>279</v>
      </c>
      <c r="AG406" s="376" t="s">
        <v>177</v>
      </c>
      <c r="AH406" s="381">
        <v>18.46</v>
      </c>
      <c r="AI406" s="381">
        <v>27087.200000000001</v>
      </c>
      <c r="AJ406" s="376" t="s">
        <v>178</v>
      </c>
      <c r="AK406" s="376" t="s">
        <v>179</v>
      </c>
      <c r="AL406" s="376" t="s">
        <v>180</v>
      </c>
      <c r="AM406" s="376" t="s">
        <v>181</v>
      </c>
      <c r="AN406" s="376" t="s">
        <v>68</v>
      </c>
      <c r="AO406" s="379">
        <v>80</v>
      </c>
      <c r="AP406" s="460">
        <v>1</v>
      </c>
      <c r="AQ406" s="460">
        <v>0</v>
      </c>
      <c r="AR406" s="458" t="s">
        <v>182</v>
      </c>
      <c r="AS406" s="462">
        <f t="shared" si="102"/>
        <v>0</v>
      </c>
      <c r="AT406">
        <f t="shared" si="103"/>
        <v>0</v>
      </c>
      <c r="AU406" s="462" t="str">
        <f>IF(AT406=0,"",IF(AND(AT406=1,M406="F",SUMIF(C2:C698,C406,AS2:AS698)&lt;=1),SUMIF(C2:C698,C406,AS2:AS698),IF(AND(AT406=1,M406="F",SUMIF(C2:C698,C406,AS2:AS698)&gt;1),1,"")))</f>
        <v/>
      </c>
      <c r="AV406" s="462" t="str">
        <f>IF(AT406=0,"",IF(AND(AT406=3,M406="F",SUMIF(C2:C698,C406,AS2:AS698)&lt;=1),SUMIF(C2:C698,C406,AS2:AS698),IF(AND(AT406=3,M406="F",SUMIF(C2:C698,C406,AS2:AS698)&gt;1),1,"")))</f>
        <v/>
      </c>
      <c r="AW406" s="462">
        <f>SUMIF(C2:C698,C406,O2:O698)</f>
        <v>4</v>
      </c>
      <c r="AX406" s="462">
        <f>IF(AND(M406="F",AS406&lt;&gt;0),SUMIF(C2:C698,C406,W2:W698),0)</f>
        <v>0</v>
      </c>
      <c r="AY406" s="462" t="str">
        <f t="shared" si="104"/>
        <v/>
      </c>
      <c r="AZ406" s="462" t="str">
        <f t="shared" si="105"/>
        <v/>
      </c>
      <c r="BA406" s="462">
        <f t="shared" si="106"/>
        <v>0</v>
      </c>
      <c r="BB406" s="462">
        <f>IF(AND(AT406=1,AK406="E",AU406&gt;=0.75,AW406=1),Health,IF(AND(AT406=1,AK406="E",AU406&gt;=0.75),Health*P406,IF(AND(AT406=1,AK406="E",AU406&gt;=0.5,AW406=1),PTHealth,IF(AND(AT406=1,AK406="E",AU406&gt;=0.5),PTHealth*P406,0))))</f>
        <v>0</v>
      </c>
      <c r="BC406" s="462">
        <f>IF(AND(AT406=3,AK406="E",AV406&gt;=0.75,AW406=1),Health,IF(AND(AT406=3,AK406="E",AV406&gt;=0.75),Health*P406,IF(AND(AT406=3,AK406="E",AV406&gt;=0.5,AW406=1),PTHealth,IF(AND(AT406=3,AK406="E",AV406&gt;=0.5),PTHealth*P406,0))))</f>
        <v>0</v>
      </c>
      <c r="BD406" s="462">
        <f>IF(AND(AT406&lt;&gt;0,AX406&gt;=MAXSSDI),SSDI*MAXSSDI*P406,IF(AT406&lt;&gt;0,SSDI*W406,0))</f>
        <v>0</v>
      </c>
      <c r="BE406" s="462">
        <f>IF(AT406&lt;&gt;0,SSHI*W406,0)</f>
        <v>0</v>
      </c>
      <c r="BF406" s="462">
        <f>IF(AND(AT406&lt;&gt;0,AN406&lt;&gt;"NE"),VLOOKUP(AN406,Retirement_Rates,3,FALSE)*W406,0)</f>
        <v>0</v>
      </c>
      <c r="BG406" s="462">
        <f>IF(AND(AT406&lt;&gt;0,AJ406&lt;&gt;"PF"),Life*W406,0)</f>
        <v>0</v>
      </c>
      <c r="BH406" s="462">
        <f>IF(AND(AT406&lt;&gt;0,AM406="Y"),UI*W406,0)</f>
        <v>0</v>
      </c>
      <c r="BI406" s="462">
        <f>IF(AND(AT406&lt;&gt;0,N406&lt;&gt;"NR"),DHR*W406,0)</f>
        <v>0</v>
      </c>
      <c r="BJ406" s="462">
        <f>IF(AT406&lt;&gt;0,WC*W406,0)</f>
        <v>0</v>
      </c>
      <c r="BK406" s="462">
        <f>IF(OR(AND(AT406&lt;&gt;0,AJ406&lt;&gt;"PF",AN406&lt;&gt;"NE",AG406&lt;&gt;"A"),AND(AL406="E",OR(AT406=1,AT406=3))),Sick*W406,0)</f>
        <v>0</v>
      </c>
      <c r="BL406" s="462">
        <f t="shared" si="107"/>
        <v>0</v>
      </c>
      <c r="BM406" s="462">
        <f t="shared" si="108"/>
        <v>0</v>
      </c>
      <c r="BN406" s="462">
        <f>IF(AND(AT406=1,AK406="E",AU406&gt;=0.75,AW406=1),HealthBY,IF(AND(AT406=1,AK406="E",AU406&gt;=0.75),HealthBY*P406,IF(AND(AT406=1,AK406="E",AU406&gt;=0.5,AW406=1),PTHealthBY,IF(AND(AT406=1,AK406="E",AU406&gt;=0.5),PTHealthBY*P406,0))))</f>
        <v>0</v>
      </c>
      <c r="BO406" s="462">
        <f>IF(AND(AT406=3,AK406="E",AV406&gt;=0.75,AW406=1),HealthBY,IF(AND(AT406=3,AK406="E",AV406&gt;=0.75),HealthBY*P406,IF(AND(AT406=3,AK406="E",AV406&gt;=0.5,AW406=1),PTHealthBY,IF(AND(AT406=3,AK406="E",AV406&gt;=0.5),PTHealthBY*P406,0))))</f>
        <v>0</v>
      </c>
      <c r="BP406" s="462">
        <f>IF(AND(AT406&lt;&gt;0,(AX406+BA406)&gt;=MAXSSDIBY),SSDIBY*MAXSSDIBY*P406,IF(AT406&lt;&gt;0,SSDIBY*W406,0))</f>
        <v>0</v>
      </c>
      <c r="BQ406" s="462">
        <f>IF(AT406&lt;&gt;0,SSHIBY*W406,0)</f>
        <v>0</v>
      </c>
      <c r="BR406" s="462">
        <f>IF(AND(AT406&lt;&gt;0,AN406&lt;&gt;"NE"),VLOOKUP(AN406,Retirement_Rates,4,FALSE)*W406,0)</f>
        <v>0</v>
      </c>
      <c r="BS406" s="462">
        <f>IF(AND(AT406&lt;&gt;0,AJ406&lt;&gt;"PF"),LifeBY*W406,0)</f>
        <v>0</v>
      </c>
      <c r="BT406" s="462">
        <f>IF(AND(AT406&lt;&gt;0,AM406="Y"),UIBY*W406,0)</f>
        <v>0</v>
      </c>
      <c r="BU406" s="462">
        <f>IF(AND(AT406&lt;&gt;0,N406&lt;&gt;"NR"),DHRBY*W406,0)</f>
        <v>0</v>
      </c>
      <c r="BV406" s="462">
        <f>IF(AT406&lt;&gt;0,WCBY*W406,0)</f>
        <v>0</v>
      </c>
      <c r="BW406" s="462">
        <f>IF(OR(AND(AT406&lt;&gt;0,AJ406&lt;&gt;"PF",AN406&lt;&gt;"NE",AG406&lt;&gt;"A"),AND(AL406="E",OR(AT406=1,AT406=3))),SickBY*W406,0)</f>
        <v>0</v>
      </c>
      <c r="BX406" s="462">
        <f t="shared" si="109"/>
        <v>0</v>
      </c>
      <c r="BY406" s="462">
        <f t="shared" si="110"/>
        <v>0</v>
      </c>
      <c r="BZ406" s="462">
        <f t="shared" si="111"/>
        <v>0</v>
      </c>
      <c r="CA406" s="462">
        <f t="shared" si="112"/>
        <v>0</v>
      </c>
      <c r="CB406" s="462">
        <f t="shared" si="113"/>
        <v>0</v>
      </c>
      <c r="CC406" s="462">
        <f>IF(AT406&lt;&gt;0,SSHICHG*Y406,0)</f>
        <v>0</v>
      </c>
      <c r="CD406" s="462">
        <f>IF(AND(AT406&lt;&gt;0,AN406&lt;&gt;"NE"),VLOOKUP(AN406,Retirement_Rates,5,FALSE)*Y406,0)</f>
        <v>0</v>
      </c>
      <c r="CE406" s="462">
        <f>IF(AND(AT406&lt;&gt;0,AJ406&lt;&gt;"PF"),LifeCHG*Y406,0)</f>
        <v>0</v>
      </c>
      <c r="CF406" s="462">
        <f>IF(AND(AT406&lt;&gt;0,AM406="Y"),UICHG*Y406,0)</f>
        <v>0</v>
      </c>
      <c r="CG406" s="462">
        <f>IF(AND(AT406&lt;&gt;0,N406&lt;&gt;"NR"),DHRCHG*Y406,0)</f>
        <v>0</v>
      </c>
      <c r="CH406" s="462">
        <f>IF(AT406&lt;&gt;0,WCCHG*Y406,0)</f>
        <v>0</v>
      </c>
      <c r="CI406" s="462">
        <f>IF(OR(AND(AT406&lt;&gt;0,AJ406&lt;&gt;"PF",AN406&lt;&gt;"NE",AG406&lt;&gt;"A"),AND(AL406="E",OR(AT406=1,AT406=3))),SickCHG*Y406,0)</f>
        <v>0</v>
      </c>
      <c r="CJ406" s="462">
        <f t="shared" si="114"/>
        <v>0</v>
      </c>
      <c r="CK406" s="462" t="str">
        <f t="shared" si="115"/>
        <v/>
      </c>
      <c r="CL406" s="462" t="str">
        <f t="shared" si="116"/>
        <v/>
      </c>
      <c r="CM406" s="462" t="str">
        <f t="shared" si="117"/>
        <v/>
      </c>
      <c r="CN406" s="462" t="str">
        <f t="shared" si="118"/>
        <v>0332-04</v>
      </c>
    </row>
    <row r="407" spans="1:92" ht="15" thickBot="1" x14ac:dyDescent="0.35">
      <c r="A407" s="376" t="s">
        <v>161</v>
      </c>
      <c r="B407" s="376" t="s">
        <v>162</v>
      </c>
      <c r="C407" s="376" t="s">
        <v>889</v>
      </c>
      <c r="D407" s="376" t="s">
        <v>362</v>
      </c>
      <c r="E407" s="376" t="s">
        <v>535</v>
      </c>
      <c r="F407" s="382" t="s">
        <v>973</v>
      </c>
      <c r="G407" s="376" t="s">
        <v>762</v>
      </c>
      <c r="H407" s="378"/>
      <c r="I407" s="378"/>
      <c r="J407" s="376" t="s">
        <v>768</v>
      </c>
      <c r="K407" s="376" t="s">
        <v>363</v>
      </c>
      <c r="L407" s="376" t="s">
        <v>200</v>
      </c>
      <c r="M407" s="376" t="s">
        <v>170</v>
      </c>
      <c r="N407" s="376" t="s">
        <v>202</v>
      </c>
      <c r="O407" s="379">
        <v>1</v>
      </c>
      <c r="P407" s="460">
        <v>0.9</v>
      </c>
      <c r="Q407" s="460">
        <v>0.9</v>
      </c>
      <c r="R407" s="380">
        <v>80</v>
      </c>
      <c r="S407" s="460">
        <v>0.9</v>
      </c>
      <c r="T407" s="380">
        <v>10368.51</v>
      </c>
      <c r="U407" s="380">
        <v>0</v>
      </c>
      <c r="V407" s="380">
        <v>4997.09</v>
      </c>
      <c r="W407" s="380">
        <v>42120</v>
      </c>
      <c r="X407" s="380">
        <v>20019.68</v>
      </c>
      <c r="Y407" s="380">
        <v>42120</v>
      </c>
      <c r="Z407" s="380">
        <v>19910.169999999998</v>
      </c>
      <c r="AA407" s="376" t="s">
        <v>890</v>
      </c>
      <c r="AB407" s="376" t="s">
        <v>891</v>
      </c>
      <c r="AC407" s="376" t="s">
        <v>892</v>
      </c>
      <c r="AD407" s="376" t="s">
        <v>179</v>
      </c>
      <c r="AE407" s="376" t="s">
        <v>363</v>
      </c>
      <c r="AF407" s="376" t="s">
        <v>210</v>
      </c>
      <c r="AG407" s="376" t="s">
        <v>177</v>
      </c>
      <c r="AH407" s="381">
        <v>22.5</v>
      </c>
      <c r="AI407" s="379">
        <v>13048</v>
      </c>
      <c r="AJ407" s="376" t="s">
        <v>178</v>
      </c>
      <c r="AK407" s="376" t="s">
        <v>179</v>
      </c>
      <c r="AL407" s="376" t="s">
        <v>180</v>
      </c>
      <c r="AM407" s="376" t="s">
        <v>181</v>
      </c>
      <c r="AN407" s="376" t="s">
        <v>68</v>
      </c>
      <c r="AO407" s="379">
        <v>80</v>
      </c>
      <c r="AP407" s="460">
        <v>1</v>
      </c>
      <c r="AQ407" s="460">
        <v>0.9</v>
      </c>
      <c r="AR407" s="458" t="s">
        <v>182</v>
      </c>
      <c r="AS407" s="462">
        <f t="shared" si="102"/>
        <v>0.9</v>
      </c>
      <c r="AT407">
        <f t="shared" si="103"/>
        <v>1</v>
      </c>
      <c r="AU407" s="462">
        <f>IF(AT407=0,"",IF(AND(AT407=1,M407="F",SUMIF(C2:C698,C407,AS2:AS698)&lt;=1),SUMIF(C2:C698,C407,AS2:AS698),IF(AND(AT407=1,M407="F",SUMIF(C2:C698,C407,AS2:AS698)&gt;1),1,"")))</f>
        <v>1</v>
      </c>
      <c r="AV407" s="462" t="str">
        <f>IF(AT407=0,"",IF(AND(AT407=3,M407="F",SUMIF(C2:C698,C407,AS2:AS698)&lt;=1),SUMIF(C2:C698,C407,AS2:AS698),IF(AND(AT407=3,M407="F",SUMIF(C2:C698,C407,AS2:AS698)&gt;1),1,"")))</f>
        <v/>
      </c>
      <c r="AW407" s="462">
        <f>SUMIF(C2:C698,C407,O2:O698)</f>
        <v>7</v>
      </c>
      <c r="AX407" s="462">
        <f>IF(AND(M407="F",AS407&lt;&gt;0),SUMIF(C2:C698,C407,W2:W698),0)</f>
        <v>46800</v>
      </c>
      <c r="AY407" s="462">
        <f t="shared" si="104"/>
        <v>42120</v>
      </c>
      <c r="AZ407" s="462" t="str">
        <f t="shared" si="105"/>
        <v/>
      </c>
      <c r="BA407" s="462">
        <f t="shared" si="106"/>
        <v>0</v>
      </c>
      <c r="BB407" s="462">
        <f>IF(AND(AT407=1,AK407="E",AU407&gt;=0.75,AW407=1),Health,IF(AND(AT407=1,AK407="E",AU407&gt;=0.75),Health*P407,IF(AND(AT407=1,AK407="E",AU407&gt;=0.5,AW407=1),PTHealth,IF(AND(AT407=1,AK407="E",AU407&gt;=0.5),PTHealth*P407,0))))</f>
        <v>10485</v>
      </c>
      <c r="BC407" s="462">
        <f>IF(AND(AT407=3,AK407="E",AV407&gt;=0.75,AW407=1),Health,IF(AND(AT407=3,AK407="E",AV407&gt;=0.75),Health*P407,IF(AND(AT407=3,AK407="E",AV407&gt;=0.5,AW407=1),PTHealth,IF(AND(AT407=3,AK407="E",AV407&gt;=0.5),PTHealth*P407,0))))</f>
        <v>0</v>
      </c>
      <c r="BD407" s="462">
        <f>IF(AND(AT407&lt;&gt;0,AX407&gt;=MAXSSDI),SSDI*MAXSSDI*P407,IF(AT407&lt;&gt;0,SSDI*W407,0))</f>
        <v>2611.44</v>
      </c>
      <c r="BE407" s="462">
        <f>IF(AT407&lt;&gt;0,SSHI*W407,0)</f>
        <v>610.74</v>
      </c>
      <c r="BF407" s="462">
        <f>IF(AND(AT407&lt;&gt;0,AN407&lt;&gt;"NE"),VLOOKUP(AN407,Retirement_Rates,3,FALSE)*W407,0)</f>
        <v>5029.1280000000006</v>
      </c>
      <c r="BG407" s="462">
        <f>IF(AND(AT407&lt;&gt;0,AJ407&lt;&gt;"PF"),Life*W407,0)</f>
        <v>303.68520000000001</v>
      </c>
      <c r="BH407" s="462">
        <f>IF(AND(AT407&lt;&gt;0,AM407="Y"),UI*W407,0)</f>
        <v>206.38800000000001</v>
      </c>
      <c r="BI407" s="462">
        <f>IF(AND(AT407&lt;&gt;0,N407&lt;&gt;"NR"),DHR*W407,0)</f>
        <v>128.88719999999998</v>
      </c>
      <c r="BJ407" s="462">
        <f>IF(AT407&lt;&gt;0,WC*W407,0)</f>
        <v>644.43599999999992</v>
      </c>
      <c r="BK407" s="462">
        <f>IF(OR(AND(AT407&lt;&gt;0,AJ407&lt;&gt;"PF",AN407&lt;&gt;"NE",AG407&lt;&gt;"A"),AND(AL407="E",OR(AT407=1,AT407=3))),Sick*W407,0)</f>
        <v>0</v>
      </c>
      <c r="BL407" s="462">
        <f t="shared" si="107"/>
        <v>9534.7044000000005</v>
      </c>
      <c r="BM407" s="462">
        <f t="shared" si="108"/>
        <v>0</v>
      </c>
      <c r="BN407" s="462">
        <f>IF(AND(AT407=1,AK407="E",AU407&gt;=0.75,AW407=1),HealthBY,IF(AND(AT407=1,AK407="E",AU407&gt;=0.75),HealthBY*P407,IF(AND(AT407=1,AK407="E",AU407&gt;=0.5,AW407=1),PTHealthBY,IF(AND(AT407=1,AK407="E",AU407&gt;=0.5),PTHealthBY*P407,0))))</f>
        <v>10485</v>
      </c>
      <c r="BO407" s="462">
        <f>IF(AND(AT407=3,AK407="E",AV407&gt;=0.75,AW407=1),HealthBY,IF(AND(AT407=3,AK407="E",AV407&gt;=0.75),HealthBY*P407,IF(AND(AT407=3,AK407="E",AV407&gt;=0.5,AW407=1),PTHealthBY,IF(AND(AT407=3,AK407="E",AV407&gt;=0.5),PTHealthBY*P407,0))))</f>
        <v>0</v>
      </c>
      <c r="BP407" s="462">
        <f>IF(AND(AT407&lt;&gt;0,(AX407+BA407)&gt;=MAXSSDIBY),SSDIBY*MAXSSDIBY*P407,IF(AT407&lt;&gt;0,SSDIBY*W407,0))</f>
        <v>2611.44</v>
      </c>
      <c r="BQ407" s="462">
        <f>IF(AT407&lt;&gt;0,SSHIBY*W407,0)</f>
        <v>610.74</v>
      </c>
      <c r="BR407" s="462">
        <f>IF(AND(AT407&lt;&gt;0,AN407&lt;&gt;"NE"),VLOOKUP(AN407,Retirement_Rates,4,FALSE)*W407,0)</f>
        <v>5029.1280000000006</v>
      </c>
      <c r="BS407" s="462">
        <f>IF(AND(AT407&lt;&gt;0,AJ407&lt;&gt;"PF"),LifeBY*W407,0)</f>
        <v>303.68520000000001</v>
      </c>
      <c r="BT407" s="462">
        <f>IF(AND(AT407&lt;&gt;0,AM407="Y"),UIBY*W407,0)</f>
        <v>0</v>
      </c>
      <c r="BU407" s="462">
        <f>IF(AND(AT407&lt;&gt;0,N407&lt;&gt;"NR"),DHRBY*W407,0)</f>
        <v>128.88719999999998</v>
      </c>
      <c r="BV407" s="462">
        <f>IF(AT407&lt;&gt;0,WCBY*W407,0)</f>
        <v>741.31200000000001</v>
      </c>
      <c r="BW407" s="462">
        <f>IF(OR(AND(AT407&lt;&gt;0,AJ407&lt;&gt;"PF",AN407&lt;&gt;"NE",AG407&lt;&gt;"A"),AND(AL407="E",OR(AT407=1,AT407=3))),SickBY*W407,0)</f>
        <v>0</v>
      </c>
      <c r="BX407" s="462">
        <f t="shared" si="109"/>
        <v>9425.1923999999999</v>
      </c>
      <c r="BY407" s="462">
        <f t="shared" si="110"/>
        <v>0</v>
      </c>
      <c r="BZ407" s="462">
        <f t="shared" si="111"/>
        <v>0</v>
      </c>
      <c r="CA407" s="462">
        <f t="shared" si="112"/>
        <v>0</v>
      </c>
      <c r="CB407" s="462">
        <f t="shared" si="113"/>
        <v>0</v>
      </c>
      <c r="CC407" s="462">
        <f>IF(AT407&lt;&gt;0,SSHICHG*Y407,0)</f>
        <v>0</v>
      </c>
      <c r="CD407" s="462">
        <f>IF(AND(AT407&lt;&gt;0,AN407&lt;&gt;"NE"),VLOOKUP(AN407,Retirement_Rates,5,FALSE)*Y407,0)</f>
        <v>0</v>
      </c>
      <c r="CE407" s="462">
        <f>IF(AND(AT407&lt;&gt;0,AJ407&lt;&gt;"PF"),LifeCHG*Y407,0)</f>
        <v>0</v>
      </c>
      <c r="CF407" s="462">
        <f>IF(AND(AT407&lt;&gt;0,AM407="Y"),UICHG*Y407,0)</f>
        <v>-206.38800000000001</v>
      </c>
      <c r="CG407" s="462">
        <f>IF(AND(AT407&lt;&gt;0,N407&lt;&gt;"NR"),DHRCHG*Y407,0)</f>
        <v>0</v>
      </c>
      <c r="CH407" s="462">
        <f>IF(AT407&lt;&gt;0,WCCHG*Y407,0)</f>
        <v>96.876000000000076</v>
      </c>
      <c r="CI407" s="462">
        <f>IF(OR(AND(AT407&lt;&gt;0,AJ407&lt;&gt;"PF",AN407&lt;&gt;"NE",AG407&lt;&gt;"A"),AND(AL407="E",OR(AT407=1,AT407=3))),SickCHG*Y407,0)</f>
        <v>0</v>
      </c>
      <c r="CJ407" s="462">
        <f t="shared" si="114"/>
        <v>-109.51199999999993</v>
      </c>
      <c r="CK407" s="462" t="str">
        <f t="shared" si="115"/>
        <v/>
      </c>
      <c r="CL407" s="462" t="str">
        <f t="shared" si="116"/>
        <v/>
      </c>
      <c r="CM407" s="462" t="str">
        <f t="shared" si="117"/>
        <v/>
      </c>
      <c r="CN407" s="462" t="str">
        <f t="shared" si="118"/>
        <v>0332-04</v>
      </c>
    </row>
    <row r="408" spans="1:92" ht="15" thickBot="1" x14ac:dyDescent="0.35">
      <c r="A408" s="376" t="s">
        <v>161</v>
      </c>
      <c r="B408" s="376" t="s">
        <v>162</v>
      </c>
      <c r="C408" s="376" t="s">
        <v>1009</v>
      </c>
      <c r="D408" s="376" t="s">
        <v>327</v>
      </c>
      <c r="E408" s="376" t="s">
        <v>165</v>
      </c>
      <c r="F408" s="377" t="s">
        <v>166</v>
      </c>
      <c r="G408" s="376" t="s">
        <v>1010</v>
      </c>
      <c r="H408" s="378"/>
      <c r="I408" s="378"/>
      <c r="J408" s="376" t="s">
        <v>185</v>
      </c>
      <c r="K408" s="376" t="s">
        <v>328</v>
      </c>
      <c r="L408" s="376" t="s">
        <v>247</v>
      </c>
      <c r="M408" s="376" t="s">
        <v>170</v>
      </c>
      <c r="N408" s="376" t="s">
        <v>202</v>
      </c>
      <c r="O408" s="379">
        <v>1</v>
      </c>
      <c r="P408" s="460">
        <v>0.5</v>
      </c>
      <c r="Q408" s="460">
        <v>0.5</v>
      </c>
      <c r="R408" s="380">
        <v>80</v>
      </c>
      <c r="S408" s="460">
        <v>0.5</v>
      </c>
      <c r="T408" s="380">
        <v>45111.09</v>
      </c>
      <c r="U408" s="380">
        <v>0</v>
      </c>
      <c r="V408" s="380">
        <v>19207.03</v>
      </c>
      <c r="W408" s="380">
        <v>29120</v>
      </c>
      <c r="X408" s="380">
        <v>12416.88</v>
      </c>
      <c r="Y408" s="380">
        <v>29120</v>
      </c>
      <c r="Z408" s="380">
        <v>12341.17</v>
      </c>
      <c r="AA408" s="376" t="s">
        <v>1011</v>
      </c>
      <c r="AB408" s="376" t="s">
        <v>1012</v>
      </c>
      <c r="AC408" s="376" t="s">
        <v>1013</v>
      </c>
      <c r="AD408" s="376" t="s">
        <v>220</v>
      </c>
      <c r="AE408" s="376" t="s">
        <v>328</v>
      </c>
      <c r="AF408" s="376" t="s">
        <v>299</v>
      </c>
      <c r="AG408" s="376" t="s">
        <v>177</v>
      </c>
      <c r="AH408" s="379">
        <v>28</v>
      </c>
      <c r="AI408" s="379">
        <v>920</v>
      </c>
      <c r="AJ408" s="376" t="s">
        <v>178</v>
      </c>
      <c r="AK408" s="376" t="s">
        <v>179</v>
      </c>
      <c r="AL408" s="376" t="s">
        <v>180</v>
      </c>
      <c r="AM408" s="376" t="s">
        <v>181</v>
      </c>
      <c r="AN408" s="376" t="s">
        <v>68</v>
      </c>
      <c r="AO408" s="379">
        <v>80</v>
      </c>
      <c r="AP408" s="460">
        <v>1</v>
      </c>
      <c r="AQ408" s="460">
        <v>0.5</v>
      </c>
      <c r="AR408" s="458" t="s">
        <v>182</v>
      </c>
      <c r="AS408" s="462">
        <f t="shared" si="102"/>
        <v>0.5</v>
      </c>
      <c r="AT408">
        <f t="shared" si="103"/>
        <v>1</v>
      </c>
      <c r="AU408" s="462">
        <f>IF(AT408=0,"",IF(AND(AT408=1,M408="F",SUMIF(C2:C698,C408,AS2:AS698)&lt;=1),SUMIF(C2:C698,C408,AS2:AS698),IF(AND(AT408=1,M408="F",SUMIF(C2:C698,C408,AS2:AS698)&gt;1),1,"")))</f>
        <v>1</v>
      </c>
      <c r="AV408" s="462" t="str">
        <f>IF(AT408=0,"",IF(AND(AT408=3,M408="F",SUMIF(C2:C698,C408,AS2:AS698)&lt;=1),SUMIF(C2:C698,C408,AS2:AS698),IF(AND(AT408=3,M408="F",SUMIF(C2:C698,C408,AS2:AS698)&gt;1),1,"")))</f>
        <v/>
      </c>
      <c r="AW408" s="462">
        <f>SUMIF(C2:C698,C408,O2:O698)</f>
        <v>2</v>
      </c>
      <c r="AX408" s="462">
        <f>IF(AND(M408="F",AS408&lt;&gt;0),SUMIF(C2:C698,C408,W2:W698),0)</f>
        <v>58240</v>
      </c>
      <c r="AY408" s="462">
        <f t="shared" si="104"/>
        <v>29120</v>
      </c>
      <c r="AZ408" s="462" t="str">
        <f t="shared" si="105"/>
        <v/>
      </c>
      <c r="BA408" s="462">
        <f t="shared" si="106"/>
        <v>0</v>
      </c>
      <c r="BB408" s="462">
        <f>IF(AND(AT408=1,AK408="E",AU408&gt;=0.75,AW408=1),Health,IF(AND(AT408=1,AK408="E",AU408&gt;=0.75),Health*P408,IF(AND(AT408=1,AK408="E",AU408&gt;=0.5,AW408=1),PTHealth,IF(AND(AT408=1,AK408="E",AU408&gt;=0.5),PTHealth*P408,0))))</f>
        <v>5825</v>
      </c>
      <c r="BC408" s="462">
        <f>IF(AND(AT408=3,AK408="E",AV408&gt;=0.75,AW408=1),Health,IF(AND(AT408=3,AK408="E",AV408&gt;=0.75),Health*P408,IF(AND(AT408=3,AK408="E",AV408&gt;=0.5,AW408=1),PTHealth,IF(AND(AT408=3,AK408="E",AV408&gt;=0.5),PTHealth*P408,0))))</f>
        <v>0</v>
      </c>
      <c r="BD408" s="462">
        <f>IF(AND(AT408&lt;&gt;0,AX408&gt;=MAXSSDI),SSDI*MAXSSDI*P408,IF(AT408&lt;&gt;0,SSDI*W408,0))</f>
        <v>1805.44</v>
      </c>
      <c r="BE408" s="462">
        <f>IF(AT408&lt;&gt;0,SSHI*W408,0)</f>
        <v>422.24</v>
      </c>
      <c r="BF408" s="462">
        <f>IF(AND(AT408&lt;&gt;0,AN408&lt;&gt;"NE"),VLOOKUP(AN408,Retirement_Rates,3,FALSE)*W408,0)</f>
        <v>3476.9280000000003</v>
      </c>
      <c r="BG408" s="462">
        <f>IF(AND(AT408&lt;&gt;0,AJ408&lt;&gt;"PF"),Life*W408,0)</f>
        <v>209.95520000000002</v>
      </c>
      <c r="BH408" s="462">
        <f>IF(AND(AT408&lt;&gt;0,AM408="Y"),UI*W408,0)</f>
        <v>142.68799999999999</v>
      </c>
      <c r="BI408" s="462">
        <f>IF(AND(AT408&lt;&gt;0,N408&lt;&gt;"NR"),DHR*W408,0)</f>
        <v>89.107199999999992</v>
      </c>
      <c r="BJ408" s="462">
        <f>IF(AT408&lt;&gt;0,WC*W408,0)</f>
        <v>445.536</v>
      </c>
      <c r="BK408" s="462">
        <f>IF(OR(AND(AT408&lt;&gt;0,AJ408&lt;&gt;"PF",AN408&lt;&gt;"NE",AG408&lt;&gt;"A"),AND(AL408="E",OR(AT408=1,AT408=3))),Sick*W408,0)</f>
        <v>0</v>
      </c>
      <c r="BL408" s="462">
        <f t="shared" si="107"/>
        <v>6591.894400000001</v>
      </c>
      <c r="BM408" s="462">
        <f t="shared" si="108"/>
        <v>0</v>
      </c>
      <c r="BN408" s="462">
        <f>IF(AND(AT408=1,AK408="E",AU408&gt;=0.75,AW408=1),HealthBY,IF(AND(AT408=1,AK408="E",AU408&gt;=0.75),HealthBY*P408,IF(AND(AT408=1,AK408="E",AU408&gt;=0.5,AW408=1),PTHealthBY,IF(AND(AT408=1,AK408="E",AU408&gt;=0.5),PTHealthBY*P408,0))))</f>
        <v>5825</v>
      </c>
      <c r="BO408" s="462">
        <f>IF(AND(AT408=3,AK408="E",AV408&gt;=0.75,AW408=1),HealthBY,IF(AND(AT408=3,AK408="E",AV408&gt;=0.75),HealthBY*P408,IF(AND(AT408=3,AK408="E",AV408&gt;=0.5,AW408=1),PTHealthBY,IF(AND(AT408=3,AK408="E",AV408&gt;=0.5),PTHealthBY*P408,0))))</f>
        <v>0</v>
      </c>
      <c r="BP408" s="462">
        <f>IF(AND(AT408&lt;&gt;0,(AX408+BA408)&gt;=MAXSSDIBY),SSDIBY*MAXSSDIBY*P408,IF(AT408&lt;&gt;0,SSDIBY*W408,0))</f>
        <v>1805.44</v>
      </c>
      <c r="BQ408" s="462">
        <f>IF(AT408&lt;&gt;0,SSHIBY*W408,0)</f>
        <v>422.24</v>
      </c>
      <c r="BR408" s="462">
        <f>IF(AND(AT408&lt;&gt;0,AN408&lt;&gt;"NE"),VLOOKUP(AN408,Retirement_Rates,4,FALSE)*W408,0)</f>
        <v>3476.9280000000003</v>
      </c>
      <c r="BS408" s="462">
        <f>IF(AND(AT408&lt;&gt;0,AJ408&lt;&gt;"PF"),LifeBY*W408,0)</f>
        <v>209.95520000000002</v>
      </c>
      <c r="BT408" s="462">
        <f>IF(AND(AT408&lt;&gt;0,AM408="Y"),UIBY*W408,0)</f>
        <v>0</v>
      </c>
      <c r="BU408" s="462">
        <f>IF(AND(AT408&lt;&gt;0,N408&lt;&gt;"NR"),DHRBY*W408,0)</f>
        <v>89.107199999999992</v>
      </c>
      <c r="BV408" s="462">
        <f>IF(AT408&lt;&gt;0,WCBY*W408,0)</f>
        <v>512.51200000000006</v>
      </c>
      <c r="BW408" s="462">
        <f>IF(OR(AND(AT408&lt;&gt;0,AJ408&lt;&gt;"PF",AN408&lt;&gt;"NE",AG408&lt;&gt;"A"),AND(AL408="E",OR(AT408=1,AT408=3))),SickBY*W408,0)</f>
        <v>0</v>
      </c>
      <c r="BX408" s="462">
        <f t="shared" si="109"/>
        <v>6516.1824000000006</v>
      </c>
      <c r="BY408" s="462">
        <f t="shared" si="110"/>
        <v>0</v>
      </c>
      <c r="BZ408" s="462">
        <f t="shared" si="111"/>
        <v>0</v>
      </c>
      <c r="CA408" s="462">
        <f t="shared" si="112"/>
        <v>0</v>
      </c>
      <c r="CB408" s="462">
        <f t="shared" si="113"/>
        <v>0</v>
      </c>
      <c r="CC408" s="462">
        <f>IF(AT408&lt;&gt;0,SSHICHG*Y408,0)</f>
        <v>0</v>
      </c>
      <c r="CD408" s="462">
        <f>IF(AND(AT408&lt;&gt;0,AN408&lt;&gt;"NE"),VLOOKUP(AN408,Retirement_Rates,5,FALSE)*Y408,0)</f>
        <v>0</v>
      </c>
      <c r="CE408" s="462">
        <f>IF(AND(AT408&lt;&gt;0,AJ408&lt;&gt;"PF"),LifeCHG*Y408,0)</f>
        <v>0</v>
      </c>
      <c r="CF408" s="462">
        <f>IF(AND(AT408&lt;&gt;0,AM408="Y"),UICHG*Y408,0)</f>
        <v>-142.68799999999999</v>
      </c>
      <c r="CG408" s="462">
        <f>IF(AND(AT408&lt;&gt;0,N408&lt;&gt;"NR"),DHRCHG*Y408,0)</f>
        <v>0</v>
      </c>
      <c r="CH408" s="462">
        <f>IF(AT408&lt;&gt;0,WCCHG*Y408,0)</f>
        <v>66.976000000000056</v>
      </c>
      <c r="CI408" s="462">
        <f>IF(OR(AND(AT408&lt;&gt;0,AJ408&lt;&gt;"PF",AN408&lt;&gt;"NE",AG408&lt;&gt;"A"),AND(AL408="E",OR(AT408=1,AT408=3))),SickCHG*Y408,0)</f>
        <v>0</v>
      </c>
      <c r="CJ408" s="462">
        <f t="shared" si="114"/>
        <v>-75.711999999999932</v>
      </c>
      <c r="CK408" s="462" t="str">
        <f t="shared" si="115"/>
        <v/>
      </c>
      <c r="CL408" s="462" t="str">
        <f t="shared" si="116"/>
        <v/>
      </c>
      <c r="CM408" s="462" t="str">
        <f t="shared" si="117"/>
        <v/>
      </c>
      <c r="CN408" s="462" t="str">
        <f t="shared" si="118"/>
        <v>0001-00</v>
      </c>
    </row>
    <row r="409" spans="1:92" ht="15" thickBot="1" x14ac:dyDescent="0.35">
      <c r="A409" s="376" t="s">
        <v>161</v>
      </c>
      <c r="B409" s="376" t="s">
        <v>162</v>
      </c>
      <c r="C409" s="376" t="s">
        <v>1014</v>
      </c>
      <c r="D409" s="376" t="s">
        <v>1015</v>
      </c>
      <c r="E409" s="376" t="s">
        <v>165</v>
      </c>
      <c r="F409" s="377" t="s">
        <v>166</v>
      </c>
      <c r="G409" s="376" t="s">
        <v>1010</v>
      </c>
      <c r="H409" s="378"/>
      <c r="I409" s="378"/>
      <c r="J409" s="376" t="s">
        <v>168</v>
      </c>
      <c r="K409" s="376" t="s">
        <v>1016</v>
      </c>
      <c r="L409" s="376" t="s">
        <v>166</v>
      </c>
      <c r="M409" s="376" t="s">
        <v>170</v>
      </c>
      <c r="N409" s="376" t="s">
        <v>171</v>
      </c>
      <c r="O409" s="379">
        <v>1</v>
      </c>
      <c r="P409" s="460">
        <v>1</v>
      </c>
      <c r="Q409" s="460">
        <v>1</v>
      </c>
      <c r="R409" s="380">
        <v>80</v>
      </c>
      <c r="S409" s="460">
        <v>1</v>
      </c>
      <c r="T409" s="380">
        <v>118757.37</v>
      </c>
      <c r="U409" s="380">
        <v>0</v>
      </c>
      <c r="V409" s="380">
        <v>33703.370000000003</v>
      </c>
      <c r="W409" s="380">
        <v>99320</v>
      </c>
      <c r="X409" s="380">
        <v>33829.120000000003</v>
      </c>
      <c r="Y409" s="380">
        <v>99320</v>
      </c>
      <c r="Z409" s="380">
        <v>33570.9</v>
      </c>
      <c r="AA409" s="376" t="s">
        <v>1017</v>
      </c>
      <c r="AB409" s="376" t="s">
        <v>1018</v>
      </c>
      <c r="AC409" s="376" t="s">
        <v>1019</v>
      </c>
      <c r="AD409" s="376" t="s">
        <v>215</v>
      </c>
      <c r="AE409" s="376" t="s">
        <v>1016</v>
      </c>
      <c r="AF409" s="376" t="s">
        <v>176</v>
      </c>
      <c r="AG409" s="376" t="s">
        <v>177</v>
      </c>
      <c r="AH409" s="381">
        <v>47.75</v>
      </c>
      <c r="AI409" s="379">
        <v>22195</v>
      </c>
      <c r="AJ409" s="376" t="s">
        <v>178</v>
      </c>
      <c r="AK409" s="376" t="s">
        <v>179</v>
      </c>
      <c r="AL409" s="376" t="s">
        <v>180</v>
      </c>
      <c r="AM409" s="376" t="s">
        <v>181</v>
      </c>
      <c r="AN409" s="376" t="s">
        <v>68</v>
      </c>
      <c r="AO409" s="379">
        <v>80</v>
      </c>
      <c r="AP409" s="460">
        <v>1</v>
      </c>
      <c r="AQ409" s="460">
        <v>1</v>
      </c>
      <c r="AR409" s="458" t="s">
        <v>182</v>
      </c>
      <c r="AS409" s="462">
        <f t="shared" si="102"/>
        <v>1</v>
      </c>
      <c r="AT409">
        <f t="shared" si="103"/>
        <v>1</v>
      </c>
      <c r="AU409" s="462">
        <f>IF(AT409=0,"",IF(AND(AT409=1,M409="F",SUMIF(C2:C698,C409,AS2:AS698)&lt;=1),SUMIF(C2:C698,C409,AS2:AS698),IF(AND(AT409=1,M409="F",SUMIF(C2:C698,C409,AS2:AS698)&gt;1),1,"")))</f>
        <v>1</v>
      </c>
      <c r="AV409" s="462" t="str">
        <f>IF(AT409=0,"",IF(AND(AT409=3,M409="F",SUMIF(C2:C698,C409,AS2:AS698)&lt;=1),SUMIF(C2:C698,C409,AS2:AS698),IF(AND(AT409=3,M409="F",SUMIF(C2:C698,C409,AS2:AS698)&gt;1),1,"")))</f>
        <v/>
      </c>
      <c r="AW409" s="462">
        <f>SUMIF(C2:C698,C409,O2:O698)</f>
        <v>1</v>
      </c>
      <c r="AX409" s="462">
        <f>IF(AND(M409="F",AS409&lt;&gt;0),SUMIF(C2:C698,C409,W2:W698),0)</f>
        <v>99320</v>
      </c>
      <c r="AY409" s="462">
        <f t="shared" si="104"/>
        <v>99320</v>
      </c>
      <c r="AZ409" s="462" t="str">
        <f t="shared" si="105"/>
        <v/>
      </c>
      <c r="BA409" s="462">
        <f t="shared" si="106"/>
        <v>0</v>
      </c>
      <c r="BB409" s="462">
        <f>IF(AND(AT409=1,AK409="E",AU409&gt;=0.75,AW409=1),Health,IF(AND(AT409=1,AK409="E",AU409&gt;=0.75),Health*P409,IF(AND(AT409=1,AK409="E",AU409&gt;=0.5,AW409=1),PTHealth,IF(AND(AT409=1,AK409="E",AU409&gt;=0.5),PTHealth*P409,0))))</f>
        <v>11650</v>
      </c>
      <c r="BC409" s="462">
        <f>IF(AND(AT409=3,AK409="E",AV409&gt;=0.75,AW409=1),Health,IF(AND(AT409=3,AK409="E",AV409&gt;=0.75),Health*P409,IF(AND(AT409=3,AK409="E",AV409&gt;=0.5,AW409=1),PTHealth,IF(AND(AT409=3,AK409="E",AV409&gt;=0.5),PTHealth*P409,0))))</f>
        <v>0</v>
      </c>
      <c r="BD409" s="462">
        <f>IF(AND(AT409&lt;&gt;0,AX409&gt;=MAXSSDI),SSDI*MAXSSDI*P409,IF(AT409&lt;&gt;0,SSDI*W409,0))</f>
        <v>6157.84</v>
      </c>
      <c r="BE409" s="462">
        <f>IF(AT409&lt;&gt;0,SSHI*W409,0)</f>
        <v>1440.14</v>
      </c>
      <c r="BF409" s="462">
        <f>IF(AND(AT409&lt;&gt;0,AN409&lt;&gt;"NE"),VLOOKUP(AN409,Retirement_Rates,3,FALSE)*W409,0)</f>
        <v>11858.808000000001</v>
      </c>
      <c r="BG409" s="462">
        <f>IF(AND(AT409&lt;&gt;0,AJ409&lt;&gt;"PF"),Life*W409,0)</f>
        <v>716.09720000000004</v>
      </c>
      <c r="BH409" s="462">
        <f>IF(AND(AT409&lt;&gt;0,AM409="Y"),UI*W409,0)</f>
        <v>486.66800000000001</v>
      </c>
      <c r="BI409" s="462">
        <f>IF(AND(AT409&lt;&gt;0,N409&lt;&gt;"NR"),DHR*W409,0)</f>
        <v>0</v>
      </c>
      <c r="BJ409" s="462">
        <f>IF(AT409&lt;&gt;0,WC*W409,0)</f>
        <v>1519.596</v>
      </c>
      <c r="BK409" s="462">
        <f>IF(OR(AND(AT409&lt;&gt;0,AJ409&lt;&gt;"PF",AN409&lt;&gt;"NE",AG409&lt;&gt;"A"),AND(AL409="E",OR(AT409=1,AT409=3))),Sick*W409,0)</f>
        <v>0</v>
      </c>
      <c r="BL409" s="462">
        <f t="shared" si="107"/>
        <v>22179.149200000003</v>
      </c>
      <c r="BM409" s="462">
        <f t="shared" si="108"/>
        <v>0</v>
      </c>
      <c r="BN409" s="462">
        <f>IF(AND(AT409=1,AK409="E",AU409&gt;=0.75,AW409=1),HealthBY,IF(AND(AT409=1,AK409="E",AU409&gt;=0.75),HealthBY*P409,IF(AND(AT409=1,AK409="E",AU409&gt;=0.5,AW409=1),PTHealthBY,IF(AND(AT409=1,AK409="E",AU409&gt;=0.5),PTHealthBY*P409,0))))</f>
        <v>11650</v>
      </c>
      <c r="BO409" s="462">
        <f>IF(AND(AT409=3,AK409="E",AV409&gt;=0.75,AW409=1),HealthBY,IF(AND(AT409=3,AK409="E",AV409&gt;=0.75),HealthBY*P409,IF(AND(AT409=3,AK409="E",AV409&gt;=0.5,AW409=1),PTHealthBY,IF(AND(AT409=3,AK409="E",AV409&gt;=0.5),PTHealthBY*P409,0))))</f>
        <v>0</v>
      </c>
      <c r="BP409" s="462">
        <f>IF(AND(AT409&lt;&gt;0,(AX409+BA409)&gt;=MAXSSDIBY),SSDIBY*MAXSSDIBY*P409,IF(AT409&lt;&gt;0,SSDIBY*W409,0))</f>
        <v>6157.84</v>
      </c>
      <c r="BQ409" s="462">
        <f>IF(AT409&lt;&gt;0,SSHIBY*W409,0)</f>
        <v>1440.14</v>
      </c>
      <c r="BR409" s="462">
        <f>IF(AND(AT409&lt;&gt;0,AN409&lt;&gt;"NE"),VLOOKUP(AN409,Retirement_Rates,4,FALSE)*W409,0)</f>
        <v>11858.808000000001</v>
      </c>
      <c r="BS409" s="462">
        <f>IF(AND(AT409&lt;&gt;0,AJ409&lt;&gt;"PF"),LifeBY*W409,0)</f>
        <v>716.09720000000004</v>
      </c>
      <c r="BT409" s="462">
        <f>IF(AND(AT409&lt;&gt;0,AM409="Y"),UIBY*W409,0)</f>
        <v>0</v>
      </c>
      <c r="BU409" s="462">
        <f>IF(AND(AT409&lt;&gt;0,N409&lt;&gt;"NR"),DHRBY*W409,0)</f>
        <v>0</v>
      </c>
      <c r="BV409" s="462">
        <f>IF(AT409&lt;&gt;0,WCBY*W409,0)</f>
        <v>1748.0320000000002</v>
      </c>
      <c r="BW409" s="462">
        <f>IF(OR(AND(AT409&lt;&gt;0,AJ409&lt;&gt;"PF",AN409&lt;&gt;"NE",AG409&lt;&gt;"A"),AND(AL409="E",OR(AT409=1,AT409=3))),SickBY*W409,0)</f>
        <v>0</v>
      </c>
      <c r="BX409" s="462">
        <f t="shared" si="109"/>
        <v>21920.9172</v>
      </c>
      <c r="BY409" s="462">
        <f t="shared" si="110"/>
        <v>0</v>
      </c>
      <c r="BZ409" s="462">
        <f t="shared" si="111"/>
        <v>0</v>
      </c>
      <c r="CA409" s="462">
        <f t="shared" si="112"/>
        <v>0</v>
      </c>
      <c r="CB409" s="462">
        <f t="shared" si="113"/>
        <v>0</v>
      </c>
      <c r="CC409" s="462">
        <f>IF(AT409&lt;&gt;0,SSHICHG*Y409,0)</f>
        <v>0</v>
      </c>
      <c r="CD409" s="462">
        <f>IF(AND(AT409&lt;&gt;0,AN409&lt;&gt;"NE"),VLOOKUP(AN409,Retirement_Rates,5,FALSE)*Y409,0)</f>
        <v>0</v>
      </c>
      <c r="CE409" s="462">
        <f>IF(AND(AT409&lt;&gt;0,AJ409&lt;&gt;"PF"),LifeCHG*Y409,0)</f>
        <v>0</v>
      </c>
      <c r="CF409" s="462">
        <f>IF(AND(AT409&lt;&gt;0,AM409="Y"),UICHG*Y409,0)</f>
        <v>-486.66800000000001</v>
      </c>
      <c r="CG409" s="462">
        <f>IF(AND(AT409&lt;&gt;0,N409&lt;&gt;"NR"),DHRCHG*Y409,0)</f>
        <v>0</v>
      </c>
      <c r="CH409" s="462">
        <f>IF(AT409&lt;&gt;0,WCCHG*Y409,0)</f>
        <v>228.43600000000018</v>
      </c>
      <c r="CI409" s="462">
        <f>IF(OR(AND(AT409&lt;&gt;0,AJ409&lt;&gt;"PF",AN409&lt;&gt;"NE",AG409&lt;&gt;"A"),AND(AL409="E",OR(AT409=1,AT409=3))),SickCHG*Y409,0)</f>
        <v>0</v>
      </c>
      <c r="CJ409" s="462">
        <f t="shared" si="114"/>
        <v>-258.23199999999986</v>
      </c>
      <c r="CK409" s="462" t="str">
        <f t="shared" si="115"/>
        <v/>
      </c>
      <c r="CL409" s="462" t="str">
        <f t="shared" si="116"/>
        <v/>
      </c>
      <c r="CM409" s="462" t="str">
        <f t="shared" si="117"/>
        <v/>
      </c>
      <c r="CN409" s="462" t="str">
        <f t="shared" si="118"/>
        <v>0001-00</v>
      </c>
    </row>
    <row r="410" spans="1:92" ht="15" thickBot="1" x14ac:dyDescent="0.35">
      <c r="A410" s="376" t="s">
        <v>161</v>
      </c>
      <c r="B410" s="376" t="s">
        <v>162</v>
      </c>
      <c r="C410" s="376" t="s">
        <v>1020</v>
      </c>
      <c r="D410" s="376" t="s">
        <v>362</v>
      </c>
      <c r="E410" s="376" t="s">
        <v>165</v>
      </c>
      <c r="F410" s="377" t="s">
        <v>166</v>
      </c>
      <c r="G410" s="376" t="s">
        <v>1010</v>
      </c>
      <c r="H410" s="378"/>
      <c r="I410" s="378"/>
      <c r="J410" s="376" t="s">
        <v>168</v>
      </c>
      <c r="K410" s="376" t="s">
        <v>363</v>
      </c>
      <c r="L410" s="376" t="s">
        <v>200</v>
      </c>
      <c r="M410" s="376" t="s">
        <v>170</v>
      </c>
      <c r="N410" s="376" t="s">
        <v>202</v>
      </c>
      <c r="O410" s="379">
        <v>1</v>
      </c>
      <c r="P410" s="460">
        <v>1</v>
      </c>
      <c r="Q410" s="460">
        <v>1</v>
      </c>
      <c r="R410" s="380">
        <v>80</v>
      </c>
      <c r="S410" s="460">
        <v>1</v>
      </c>
      <c r="T410" s="380">
        <v>44592</v>
      </c>
      <c r="U410" s="380">
        <v>0</v>
      </c>
      <c r="V410" s="380">
        <v>20864.72</v>
      </c>
      <c r="W410" s="380">
        <v>46800</v>
      </c>
      <c r="X410" s="380">
        <v>22244.1</v>
      </c>
      <c r="Y410" s="380">
        <v>46800</v>
      </c>
      <c r="Z410" s="380">
        <v>22122.42</v>
      </c>
      <c r="AA410" s="376" t="s">
        <v>1021</v>
      </c>
      <c r="AB410" s="376" t="s">
        <v>1022</v>
      </c>
      <c r="AC410" s="376" t="s">
        <v>1023</v>
      </c>
      <c r="AD410" s="376" t="s">
        <v>224</v>
      </c>
      <c r="AE410" s="376" t="s">
        <v>363</v>
      </c>
      <c r="AF410" s="376" t="s">
        <v>210</v>
      </c>
      <c r="AG410" s="376" t="s">
        <v>177</v>
      </c>
      <c r="AH410" s="381">
        <v>22.5</v>
      </c>
      <c r="AI410" s="379">
        <v>5528</v>
      </c>
      <c r="AJ410" s="376" t="s">
        <v>178</v>
      </c>
      <c r="AK410" s="376" t="s">
        <v>179</v>
      </c>
      <c r="AL410" s="376" t="s">
        <v>180</v>
      </c>
      <c r="AM410" s="376" t="s">
        <v>181</v>
      </c>
      <c r="AN410" s="376" t="s">
        <v>68</v>
      </c>
      <c r="AO410" s="379">
        <v>80</v>
      </c>
      <c r="AP410" s="460">
        <v>1</v>
      </c>
      <c r="AQ410" s="460">
        <v>1</v>
      </c>
      <c r="AR410" s="458" t="s">
        <v>182</v>
      </c>
      <c r="AS410" s="462">
        <f t="shared" si="102"/>
        <v>1</v>
      </c>
      <c r="AT410">
        <f t="shared" si="103"/>
        <v>1</v>
      </c>
      <c r="AU410" s="462">
        <f>IF(AT410=0,"",IF(AND(AT410=1,M410="F",SUMIF(C2:C698,C410,AS2:AS698)&lt;=1),SUMIF(C2:C698,C410,AS2:AS698),IF(AND(AT410=1,M410="F",SUMIF(C2:C698,C410,AS2:AS698)&gt;1),1,"")))</f>
        <v>1</v>
      </c>
      <c r="AV410" s="462" t="str">
        <f>IF(AT410=0,"",IF(AND(AT410=3,M410="F",SUMIF(C2:C698,C410,AS2:AS698)&lt;=1),SUMIF(C2:C698,C410,AS2:AS698),IF(AND(AT410=3,M410="F",SUMIF(C2:C698,C410,AS2:AS698)&gt;1),1,"")))</f>
        <v/>
      </c>
      <c r="AW410" s="462">
        <f>SUMIF(C2:C698,C410,O2:O698)</f>
        <v>1</v>
      </c>
      <c r="AX410" s="462">
        <f>IF(AND(M410="F",AS410&lt;&gt;0),SUMIF(C2:C698,C410,W2:W698),0)</f>
        <v>46800</v>
      </c>
      <c r="AY410" s="462">
        <f t="shared" si="104"/>
        <v>46800</v>
      </c>
      <c r="AZ410" s="462" t="str">
        <f t="shared" si="105"/>
        <v/>
      </c>
      <c r="BA410" s="462">
        <f t="shared" si="106"/>
        <v>0</v>
      </c>
      <c r="BB410" s="462">
        <f>IF(AND(AT410=1,AK410="E",AU410&gt;=0.75,AW410=1),Health,IF(AND(AT410=1,AK410="E",AU410&gt;=0.75),Health*P410,IF(AND(AT410=1,AK410="E",AU410&gt;=0.5,AW410=1),PTHealth,IF(AND(AT410=1,AK410="E",AU410&gt;=0.5),PTHealth*P410,0))))</f>
        <v>11650</v>
      </c>
      <c r="BC410" s="462">
        <f>IF(AND(AT410=3,AK410="E",AV410&gt;=0.75,AW410=1),Health,IF(AND(AT410=3,AK410="E",AV410&gt;=0.75),Health*P410,IF(AND(AT410=3,AK410="E",AV410&gt;=0.5,AW410=1),PTHealth,IF(AND(AT410=3,AK410="E",AV410&gt;=0.5),PTHealth*P410,0))))</f>
        <v>0</v>
      </c>
      <c r="BD410" s="462">
        <f>IF(AND(AT410&lt;&gt;0,AX410&gt;=MAXSSDI),SSDI*MAXSSDI*P410,IF(AT410&lt;&gt;0,SSDI*W410,0))</f>
        <v>2901.6</v>
      </c>
      <c r="BE410" s="462">
        <f>IF(AT410&lt;&gt;0,SSHI*W410,0)</f>
        <v>678.6</v>
      </c>
      <c r="BF410" s="462">
        <f>IF(AND(AT410&lt;&gt;0,AN410&lt;&gt;"NE"),VLOOKUP(AN410,Retirement_Rates,3,FALSE)*W410,0)</f>
        <v>5587.92</v>
      </c>
      <c r="BG410" s="462">
        <f>IF(AND(AT410&lt;&gt;0,AJ410&lt;&gt;"PF"),Life*W410,0)</f>
        <v>337.428</v>
      </c>
      <c r="BH410" s="462">
        <f>IF(AND(AT410&lt;&gt;0,AM410="Y"),UI*W410,0)</f>
        <v>229.32</v>
      </c>
      <c r="BI410" s="462">
        <f>IF(AND(AT410&lt;&gt;0,N410&lt;&gt;"NR"),DHR*W410,0)</f>
        <v>143.208</v>
      </c>
      <c r="BJ410" s="462">
        <f>IF(AT410&lt;&gt;0,WC*W410,0)</f>
        <v>716.04</v>
      </c>
      <c r="BK410" s="462">
        <f>IF(OR(AND(AT410&lt;&gt;0,AJ410&lt;&gt;"PF",AN410&lt;&gt;"NE",AG410&lt;&gt;"A"),AND(AL410="E",OR(AT410=1,AT410=3))),Sick*W410,0)</f>
        <v>0</v>
      </c>
      <c r="BL410" s="462">
        <f t="shared" si="107"/>
        <v>10594.115999999998</v>
      </c>
      <c r="BM410" s="462">
        <f t="shared" si="108"/>
        <v>0</v>
      </c>
      <c r="BN410" s="462">
        <f>IF(AND(AT410=1,AK410="E",AU410&gt;=0.75,AW410=1),HealthBY,IF(AND(AT410=1,AK410="E",AU410&gt;=0.75),HealthBY*P410,IF(AND(AT410=1,AK410="E",AU410&gt;=0.5,AW410=1),PTHealthBY,IF(AND(AT410=1,AK410="E",AU410&gt;=0.5),PTHealthBY*P410,0))))</f>
        <v>11650</v>
      </c>
      <c r="BO410" s="462">
        <f>IF(AND(AT410=3,AK410="E",AV410&gt;=0.75,AW410=1),HealthBY,IF(AND(AT410=3,AK410="E",AV410&gt;=0.75),HealthBY*P410,IF(AND(AT410=3,AK410="E",AV410&gt;=0.5,AW410=1),PTHealthBY,IF(AND(AT410=3,AK410="E",AV410&gt;=0.5),PTHealthBY*P410,0))))</f>
        <v>0</v>
      </c>
      <c r="BP410" s="462">
        <f>IF(AND(AT410&lt;&gt;0,(AX410+BA410)&gt;=MAXSSDIBY),SSDIBY*MAXSSDIBY*P410,IF(AT410&lt;&gt;0,SSDIBY*W410,0))</f>
        <v>2901.6</v>
      </c>
      <c r="BQ410" s="462">
        <f>IF(AT410&lt;&gt;0,SSHIBY*W410,0)</f>
        <v>678.6</v>
      </c>
      <c r="BR410" s="462">
        <f>IF(AND(AT410&lt;&gt;0,AN410&lt;&gt;"NE"),VLOOKUP(AN410,Retirement_Rates,4,FALSE)*W410,0)</f>
        <v>5587.92</v>
      </c>
      <c r="BS410" s="462">
        <f>IF(AND(AT410&lt;&gt;0,AJ410&lt;&gt;"PF"),LifeBY*W410,0)</f>
        <v>337.428</v>
      </c>
      <c r="BT410" s="462">
        <f>IF(AND(AT410&lt;&gt;0,AM410="Y"),UIBY*W410,0)</f>
        <v>0</v>
      </c>
      <c r="BU410" s="462">
        <f>IF(AND(AT410&lt;&gt;0,N410&lt;&gt;"NR"),DHRBY*W410,0)</f>
        <v>143.208</v>
      </c>
      <c r="BV410" s="462">
        <f>IF(AT410&lt;&gt;0,WCBY*W410,0)</f>
        <v>823.68000000000006</v>
      </c>
      <c r="BW410" s="462">
        <f>IF(OR(AND(AT410&lt;&gt;0,AJ410&lt;&gt;"PF",AN410&lt;&gt;"NE",AG410&lt;&gt;"A"),AND(AL410="E",OR(AT410=1,AT410=3))),SickBY*W410,0)</f>
        <v>0</v>
      </c>
      <c r="BX410" s="462">
        <f t="shared" si="109"/>
        <v>10472.436</v>
      </c>
      <c r="BY410" s="462">
        <f t="shared" si="110"/>
        <v>0</v>
      </c>
      <c r="BZ410" s="462">
        <f t="shared" si="111"/>
        <v>0</v>
      </c>
      <c r="CA410" s="462">
        <f t="shared" si="112"/>
        <v>0</v>
      </c>
      <c r="CB410" s="462">
        <f t="shared" si="113"/>
        <v>0</v>
      </c>
      <c r="CC410" s="462">
        <f>IF(AT410&lt;&gt;0,SSHICHG*Y410,0)</f>
        <v>0</v>
      </c>
      <c r="CD410" s="462">
        <f>IF(AND(AT410&lt;&gt;0,AN410&lt;&gt;"NE"),VLOOKUP(AN410,Retirement_Rates,5,FALSE)*Y410,0)</f>
        <v>0</v>
      </c>
      <c r="CE410" s="462">
        <f>IF(AND(AT410&lt;&gt;0,AJ410&lt;&gt;"PF"),LifeCHG*Y410,0)</f>
        <v>0</v>
      </c>
      <c r="CF410" s="462">
        <f>IF(AND(AT410&lt;&gt;0,AM410="Y"),UICHG*Y410,0)</f>
        <v>-229.32</v>
      </c>
      <c r="CG410" s="462">
        <f>IF(AND(AT410&lt;&gt;0,N410&lt;&gt;"NR"),DHRCHG*Y410,0)</f>
        <v>0</v>
      </c>
      <c r="CH410" s="462">
        <f>IF(AT410&lt;&gt;0,WCCHG*Y410,0)</f>
        <v>107.64000000000009</v>
      </c>
      <c r="CI410" s="462">
        <f>IF(OR(AND(AT410&lt;&gt;0,AJ410&lt;&gt;"PF",AN410&lt;&gt;"NE",AG410&lt;&gt;"A"),AND(AL410="E",OR(AT410=1,AT410=3))),SickCHG*Y410,0)</f>
        <v>0</v>
      </c>
      <c r="CJ410" s="462">
        <f t="shared" si="114"/>
        <v>-121.67999999999991</v>
      </c>
      <c r="CK410" s="462" t="str">
        <f t="shared" si="115"/>
        <v/>
      </c>
      <c r="CL410" s="462" t="str">
        <f t="shared" si="116"/>
        <v/>
      </c>
      <c r="CM410" s="462" t="str">
        <f t="shared" si="117"/>
        <v/>
      </c>
      <c r="CN410" s="462" t="str">
        <f t="shared" si="118"/>
        <v>0001-00</v>
      </c>
    </row>
    <row r="411" spans="1:92" ht="15" thickBot="1" x14ac:dyDescent="0.35">
      <c r="A411" s="376" t="s">
        <v>161</v>
      </c>
      <c r="B411" s="376" t="s">
        <v>162</v>
      </c>
      <c r="C411" s="376" t="s">
        <v>1024</v>
      </c>
      <c r="D411" s="376" t="s">
        <v>362</v>
      </c>
      <c r="E411" s="376" t="s">
        <v>165</v>
      </c>
      <c r="F411" s="377" t="s">
        <v>166</v>
      </c>
      <c r="G411" s="376" t="s">
        <v>1010</v>
      </c>
      <c r="H411" s="378"/>
      <c r="I411" s="378"/>
      <c r="J411" s="376" t="s">
        <v>168</v>
      </c>
      <c r="K411" s="376" t="s">
        <v>363</v>
      </c>
      <c r="L411" s="376" t="s">
        <v>200</v>
      </c>
      <c r="M411" s="376" t="s">
        <v>170</v>
      </c>
      <c r="N411" s="376" t="s">
        <v>202</v>
      </c>
      <c r="O411" s="379">
        <v>1</v>
      </c>
      <c r="P411" s="460">
        <v>1</v>
      </c>
      <c r="Q411" s="460">
        <v>1</v>
      </c>
      <c r="R411" s="380">
        <v>80</v>
      </c>
      <c r="S411" s="460">
        <v>1</v>
      </c>
      <c r="T411" s="380">
        <v>44812.800000000003</v>
      </c>
      <c r="U411" s="380">
        <v>0</v>
      </c>
      <c r="V411" s="380">
        <v>20947.05</v>
      </c>
      <c r="W411" s="380">
        <v>46800</v>
      </c>
      <c r="X411" s="380">
        <v>22244.1</v>
      </c>
      <c r="Y411" s="380">
        <v>46800</v>
      </c>
      <c r="Z411" s="380">
        <v>22122.42</v>
      </c>
      <c r="AA411" s="376" t="s">
        <v>1025</v>
      </c>
      <c r="AB411" s="376" t="s">
        <v>1026</v>
      </c>
      <c r="AC411" s="376" t="s">
        <v>1027</v>
      </c>
      <c r="AD411" s="376" t="s">
        <v>224</v>
      </c>
      <c r="AE411" s="376" t="s">
        <v>363</v>
      </c>
      <c r="AF411" s="376" t="s">
        <v>210</v>
      </c>
      <c r="AG411" s="376" t="s">
        <v>177</v>
      </c>
      <c r="AH411" s="381">
        <v>22.5</v>
      </c>
      <c r="AI411" s="379">
        <v>10528</v>
      </c>
      <c r="AJ411" s="376" t="s">
        <v>178</v>
      </c>
      <c r="AK411" s="376" t="s">
        <v>179</v>
      </c>
      <c r="AL411" s="376" t="s">
        <v>180</v>
      </c>
      <c r="AM411" s="376" t="s">
        <v>181</v>
      </c>
      <c r="AN411" s="376" t="s">
        <v>68</v>
      </c>
      <c r="AO411" s="379">
        <v>80</v>
      </c>
      <c r="AP411" s="460">
        <v>1</v>
      </c>
      <c r="AQ411" s="460">
        <v>1</v>
      </c>
      <c r="AR411" s="458" t="s">
        <v>182</v>
      </c>
      <c r="AS411" s="462">
        <f t="shared" si="102"/>
        <v>1</v>
      </c>
      <c r="AT411">
        <f t="shared" si="103"/>
        <v>1</v>
      </c>
      <c r="AU411" s="462">
        <f>IF(AT411=0,"",IF(AND(AT411=1,M411="F",SUMIF(C2:C698,C411,AS2:AS698)&lt;=1),SUMIF(C2:C698,C411,AS2:AS698),IF(AND(AT411=1,M411="F",SUMIF(C2:C698,C411,AS2:AS698)&gt;1),1,"")))</f>
        <v>1</v>
      </c>
      <c r="AV411" s="462" t="str">
        <f>IF(AT411=0,"",IF(AND(AT411=3,M411="F",SUMIF(C2:C698,C411,AS2:AS698)&lt;=1),SUMIF(C2:C698,C411,AS2:AS698),IF(AND(AT411=3,M411="F",SUMIF(C2:C698,C411,AS2:AS698)&gt;1),1,"")))</f>
        <v/>
      </c>
      <c r="AW411" s="462">
        <f>SUMIF(C2:C698,C411,O2:O698)</f>
        <v>1</v>
      </c>
      <c r="AX411" s="462">
        <f>IF(AND(M411="F",AS411&lt;&gt;0),SUMIF(C2:C698,C411,W2:W698),0)</f>
        <v>46800</v>
      </c>
      <c r="AY411" s="462">
        <f t="shared" si="104"/>
        <v>46800</v>
      </c>
      <c r="AZ411" s="462" t="str">
        <f t="shared" si="105"/>
        <v/>
      </c>
      <c r="BA411" s="462">
        <f t="shared" si="106"/>
        <v>0</v>
      </c>
      <c r="BB411" s="462">
        <f>IF(AND(AT411=1,AK411="E",AU411&gt;=0.75,AW411=1),Health,IF(AND(AT411=1,AK411="E",AU411&gt;=0.75),Health*P411,IF(AND(AT411=1,AK411="E",AU411&gt;=0.5,AW411=1),PTHealth,IF(AND(AT411=1,AK411="E",AU411&gt;=0.5),PTHealth*P411,0))))</f>
        <v>11650</v>
      </c>
      <c r="BC411" s="462">
        <f>IF(AND(AT411=3,AK411="E",AV411&gt;=0.75,AW411=1),Health,IF(AND(AT411=3,AK411="E",AV411&gt;=0.75),Health*P411,IF(AND(AT411=3,AK411="E",AV411&gt;=0.5,AW411=1),PTHealth,IF(AND(AT411=3,AK411="E",AV411&gt;=0.5),PTHealth*P411,0))))</f>
        <v>0</v>
      </c>
      <c r="BD411" s="462">
        <f>IF(AND(AT411&lt;&gt;0,AX411&gt;=MAXSSDI),SSDI*MAXSSDI*P411,IF(AT411&lt;&gt;0,SSDI*W411,0))</f>
        <v>2901.6</v>
      </c>
      <c r="BE411" s="462">
        <f>IF(AT411&lt;&gt;0,SSHI*W411,0)</f>
        <v>678.6</v>
      </c>
      <c r="BF411" s="462">
        <f>IF(AND(AT411&lt;&gt;0,AN411&lt;&gt;"NE"),VLOOKUP(AN411,Retirement_Rates,3,FALSE)*W411,0)</f>
        <v>5587.92</v>
      </c>
      <c r="BG411" s="462">
        <f>IF(AND(AT411&lt;&gt;0,AJ411&lt;&gt;"PF"),Life*W411,0)</f>
        <v>337.428</v>
      </c>
      <c r="BH411" s="462">
        <f>IF(AND(AT411&lt;&gt;0,AM411="Y"),UI*W411,0)</f>
        <v>229.32</v>
      </c>
      <c r="BI411" s="462">
        <f>IF(AND(AT411&lt;&gt;0,N411&lt;&gt;"NR"),DHR*W411,0)</f>
        <v>143.208</v>
      </c>
      <c r="BJ411" s="462">
        <f>IF(AT411&lt;&gt;0,WC*W411,0)</f>
        <v>716.04</v>
      </c>
      <c r="BK411" s="462">
        <f>IF(OR(AND(AT411&lt;&gt;0,AJ411&lt;&gt;"PF",AN411&lt;&gt;"NE",AG411&lt;&gt;"A"),AND(AL411="E",OR(AT411=1,AT411=3))),Sick*W411,0)</f>
        <v>0</v>
      </c>
      <c r="BL411" s="462">
        <f t="shared" si="107"/>
        <v>10594.115999999998</v>
      </c>
      <c r="BM411" s="462">
        <f t="shared" si="108"/>
        <v>0</v>
      </c>
      <c r="BN411" s="462">
        <f>IF(AND(AT411=1,AK411="E",AU411&gt;=0.75,AW411=1),HealthBY,IF(AND(AT411=1,AK411="E",AU411&gt;=0.75),HealthBY*P411,IF(AND(AT411=1,AK411="E",AU411&gt;=0.5,AW411=1),PTHealthBY,IF(AND(AT411=1,AK411="E",AU411&gt;=0.5),PTHealthBY*P411,0))))</f>
        <v>11650</v>
      </c>
      <c r="BO411" s="462">
        <f>IF(AND(AT411=3,AK411="E",AV411&gt;=0.75,AW411=1),HealthBY,IF(AND(AT411=3,AK411="E",AV411&gt;=0.75),HealthBY*P411,IF(AND(AT411=3,AK411="E",AV411&gt;=0.5,AW411=1),PTHealthBY,IF(AND(AT411=3,AK411="E",AV411&gt;=0.5),PTHealthBY*P411,0))))</f>
        <v>0</v>
      </c>
      <c r="BP411" s="462">
        <f>IF(AND(AT411&lt;&gt;0,(AX411+BA411)&gt;=MAXSSDIBY),SSDIBY*MAXSSDIBY*P411,IF(AT411&lt;&gt;0,SSDIBY*W411,0))</f>
        <v>2901.6</v>
      </c>
      <c r="BQ411" s="462">
        <f>IF(AT411&lt;&gt;0,SSHIBY*W411,0)</f>
        <v>678.6</v>
      </c>
      <c r="BR411" s="462">
        <f>IF(AND(AT411&lt;&gt;0,AN411&lt;&gt;"NE"),VLOOKUP(AN411,Retirement_Rates,4,FALSE)*W411,0)</f>
        <v>5587.92</v>
      </c>
      <c r="BS411" s="462">
        <f>IF(AND(AT411&lt;&gt;0,AJ411&lt;&gt;"PF"),LifeBY*W411,0)</f>
        <v>337.428</v>
      </c>
      <c r="BT411" s="462">
        <f>IF(AND(AT411&lt;&gt;0,AM411="Y"),UIBY*W411,0)</f>
        <v>0</v>
      </c>
      <c r="BU411" s="462">
        <f>IF(AND(AT411&lt;&gt;0,N411&lt;&gt;"NR"),DHRBY*W411,0)</f>
        <v>143.208</v>
      </c>
      <c r="BV411" s="462">
        <f>IF(AT411&lt;&gt;0,WCBY*W411,0)</f>
        <v>823.68000000000006</v>
      </c>
      <c r="BW411" s="462">
        <f>IF(OR(AND(AT411&lt;&gt;0,AJ411&lt;&gt;"PF",AN411&lt;&gt;"NE",AG411&lt;&gt;"A"),AND(AL411="E",OR(AT411=1,AT411=3))),SickBY*W411,0)</f>
        <v>0</v>
      </c>
      <c r="BX411" s="462">
        <f t="shared" si="109"/>
        <v>10472.436</v>
      </c>
      <c r="BY411" s="462">
        <f t="shared" si="110"/>
        <v>0</v>
      </c>
      <c r="BZ411" s="462">
        <f t="shared" si="111"/>
        <v>0</v>
      </c>
      <c r="CA411" s="462">
        <f t="shared" si="112"/>
        <v>0</v>
      </c>
      <c r="CB411" s="462">
        <f t="shared" si="113"/>
        <v>0</v>
      </c>
      <c r="CC411" s="462">
        <f>IF(AT411&lt;&gt;0,SSHICHG*Y411,0)</f>
        <v>0</v>
      </c>
      <c r="CD411" s="462">
        <f>IF(AND(AT411&lt;&gt;0,AN411&lt;&gt;"NE"),VLOOKUP(AN411,Retirement_Rates,5,FALSE)*Y411,0)</f>
        <v>0</v>
      </c>
      <c r="CE411" s="462">
        <f>IF(AND(AT411&lt;&gt;0,AJ411&lt;&gt;"PF"),LifeCHG*Y411,0)</f>
        <v>0</v>
      </c>
      <c r="CF411" s="462">
        <f>IF(AND(AT411&lt;&gt;0,AM411="Y"),UICHG*Y411,0)</f>
        <v>-229.32</v>
      </c>
      <c r="CG411" s="462">
        <f>IF(AND(AT411&lt;&gt;0,N411&lt;&gt;"NR"),DHRCHG*Y411,0)</f>
        <v>0</v>
      </c>
      <c r="CH411" s="462">
        <f>IF(AT411&lt;&gt;0,WCCHG*Y411,0)</f>
        <v>107.64000000000009</v>
      </c>
      <c r="CI411" s="462">
        <f>IF(OR(AND(AT411&lt;&gt;0,AJ411&lt;&gt;"PF",AN411&lt;&gt;"NE",AG411&lt;&gt;"A"),AND(AL411="E",OR(AT411=1,AT411=3))),SickCHG*Y411,0)</f>
        <v>0</v>
      </c>
      <c r="CJ411" s="462">
        <f t="shared" si="114"/>
        <v>-121.67999999999991</v>
      </c>
      <c r="CK411" s="462" t="str">
        <f t="shared" si="115"/>
        <v/>
      </c>
      <c r="CL411" s="462" t="str">
        <f t="shared" si="116"/>
        <v/>
      </c>
      <c r="CM411" s="462" t="str">
        <f t="shared" si="117"/>
        <v/>
      </c>
      <c r="CN411" s="462" t="str">
        <f t="shared" si="118"/>
        <v>0001-00</v>
      </c>
    </row>
    <row r="412" spans="1:92" ht="15" thickBot="1" x14ac:dyDescent="0.35">
      <c r="A412" s="376" t="s">
        <v>161</v>
      </c>
      <c r="B412" s="376" t="s">
        <v>162</v>
      </c>
      <c r="C412" s="376" t="s">
        <v>1028</v>
      </c>
      <c r="D412" s="376" t="s">
        <v>365</v>
      </c>
      <c r="E412" s="376" t="s">
        <v>165</v>
      </c>
      <c r="F412" s="377" t="s">
        <v>166</v>
      </c>
      <c r="G412" s="376" t="s">
        <v>1010</v>
      </c>
      <c r="H412" s="378"/>
      <c r="I412" s="378"/>
      <c r="J412" s="376" t="s">
        <v>185</v>
      </c>
      <c r="K412" s="376" t="s">
        <v>366</v>
      </c>
      <c r="L412" s="376" t="s">
        <v>274</v>
      </c>
      <c r="M412" s="376" t="s">
        <v>170</v>
      </c>
      <c r="N412" s="376" t="s">
        <v>202</v>
      </c>
      <c r="O412" s="379">
        <v>1</v>
      </c>
      <c r="P412" s="460">
        <v>0.5</v>
      </c>
      <c r="Q412" s="460">
        <v>0.5</v>
      </c>
      <c r="R412" s="380">
        <v>80</v>
      </c>
      <c r="S412" s="460">
        <v>0.5</v>
      </c>
      <c r="T412" s="380">
        <v>18510.05</v>
      </c>
      <c r="U412" s="380">
        <v>0</v>
      </c>
      <c r="V412" s="380">
        <v>9643.1299999999992</v>
      </c>
      <c r="W412" s="380">
        <v>19292</v>
      </c>
      <c r="X412" s="380">
        <v>10192.11</v>
      </c>
      <c r="Y412" s="380">
        <v>19292</v>
      </c>
      <c r="Z412" s="380">
        <v>10141.950000000001</v>
      </c>
      <c r="AA412" s="376" t="s">
        <v>1029</v>
      </c>
      <c r="AB412" s="376" t="s">
        <v>1030</v>
      </c>
      <c r="AC412" s="376" t="s">
        <v>1031</v>
      </c>
      <c r="AD412" s="376" t="s">
        <v>247</v>
      </c>
      <c r="AE412" s="376" t="s">
        <v>366</v>
      </c>
      <c r="AF412" s="376" t="s">
        <v>279</v>
      </c>
      <c r="AG412" s="376" t="s">
        <v>177</v>
      </c>
      <c r="AH412" s="381">
        <v>18.55</v>
      </c>
      <c r="AI412" s="381">
        <v>37470.699999999997</v>
      </c>
      <c r="AJ412" s="376" t="s">
        <v>178</v>
      </c>
      <c r="AK412" s="376" t="s">
        <v>179</v>
      </c>
      <c r="AL412" s="376" t="s">
        <v>180</v>
      </c>
      <c r="AM412" s="376" t="s">
        <v>181</v>
      </c>
      <c r="AN412" s="376" t="s">
        <v>68</v>
      </c>
      <c r="AO412" s="379">
        <v>80</v>
      </c>
      <c r="AP412" s="460">
        <v>1</v>
      </c>
      <c r="AQ412" s="460">
        <v>0.5</v>
      </c>
      <c r="AR412" s="458" t="s">
        <v>182</v>
      </c>
      <c r="AS412" s="462">
        <f t="shared" si="102"/>
        <v>0.5</v>
      </c>
      <c r="AT412">
        <f t="shared" si="103"/>
        <v>1</v>
      </c>
      <c r="AU412" s="462">
        <f>IF(AT412=0,"",IF(AND(AT412=1,M412="F",SUMIF(C2:C698,C412,AS2:AS698)&lt;=1),SUMIF(C2:C698,C412,AS2:AS698),IF(AND(AT412=1,M412="F",SUMIF(C2:C698,C412,AS2:AS698)&gt;1),1,"")))</f>
        <v>1</v>
      </c>
      <c r="AV412" s="462" t="str">
        <f>IF(AT412=0,"",IF(AND(AT412=3,M412="F",SUMIF(C2:C698,C412,AS2:AS698)&lt;=1),SUMIF(C2:C698,C412,AS2:AS698),IF(AND(AT412=3,M412="F",SUMIF(C2:C698,C412,AS2:AS698)&gt;1),1,"")))</f>
        <v/>
      </c>
      <c r="AW412" s="462">
        <f>SUMIF(C2:C698,C412,O2:O698)</f>
        <v>2</v>
      </c>
      <c r="AX412" s="462">
        <f>IF(AND(M412="F",AS412&lt;&gt;0),SUMIF(C2:C698,C412,W2:W698),0)</f>
        <v>38584</v>
      </c>
      <c r="AY412" s="462">
        <f t="shared" si="104"/>
        <v>19292</v>
      </c>
      <c r="AZ412" s="462" t="str">
        <f t="shared" si="105"/>
        <v/>
      </c>
      <c r="BA412" s="462">
        <f t="shared" si="106"/>
        <v>0</v>
      </c>
      <c r="BB412" s="462">
        <f>IF(AND(AT412=1,AK412="E",AU412&gt;=0.75,AW412=1),Health,IF(AND(AT412=1,AK412="E",AU412&gt;=0.75),Health*P412,IF(AND(AT412=1,AK412="E",AU412&gt;=0.5,AW412=1),PTHealth,IF(AND(AT412=1,AK412="E",AU412&gt;=0.5),PTHealth*P412,0))))</f>
        <v>5825</v>
      </c>
      <c r="BC412" s="462">
        <f>IF(AND(AT412=3,AK412="E",AV412&gt;=0.75,AW412=1),Health,IF(AND(AT412=3,AK412="E",AV412&gt;=0.75),Health*P412,IF(AND(AT412=3,AK412="E",AV412&gt;=0.5,AW412=1),PTHealth,IF(AND(AT412=3,AK412="E",AV412&gt;=0.5),PTHealth*P412,0))))</f>
        <v>0</v>
      </c>
      <c r="BD412" s="462">
        <f>IF(AND(AT412&lt;&gt;0,AX412&gt;=MAXSSDI),SSDI*MAXSSDI*P412,IF(AT412&lt;&gt;0,SSDI*W412,0))</f>
        <v>1196.104</v>
      </c>
      <c r="BE412" s="462">
        <f>IF(AT412&lt;&gt;0,SSHI*W412,0)</f>
        <v>279.73400000000004</v>
      </c>
      <c r="BF412" s="462">
        <f>IF(AND(AT412&lt;&gt;0,AN412&lt;&gt;"NE"),VLOOKUP(AN412,Retirement_Rates,3,FALSE)*W412,0)</f>
        <v>2303.4648000000002</v>
      </c>
      <c r="BG412" s="462">
        <f>IF(AND(AT412&lt;&gt;0,AJ412&lt;&gt;"PF"),Life*W412,0)</f>
        <v>139.09532000000002</v>
      </c>
      <c r="BH412" s="462">
        <f>IF(AND(AT412&lt;&gt;0,AM412="Y"),UI*W412,0)</f>
        <v>94.530799999999999</v>
      </c>
      <c r="BI412" s="462">
        <f>IF(AND(AT412&lt;&gt;0,N412&lt;&gt;"NR"),DHR*W412,0)</f>
        <v>59.033519999999996</v>
      </c>
      <c r="BJ412" s="462">
        <f>IF(AT412&lt;&gt;0,WC*W412,0)</f>
        <v>295.16759999999999</v>
      </c>
      <c r="BK412" s="462">
        <f>IF(OR(AND(AT412&lt;&gt;0,AJ412&lt;&gt;"PF",AN412&lt;&gt;"NE",AG412&lt;&gt;"A"),AND(AL412="E",OR(AT412=1,AT412=3))),Sick*W412,0)</f>
        <v>0</v>
      </c>
      <c r="BL412" s="462">
        <f t="shared" si="107"/>
        <v>4367.13004</v>
      </c>
      <c r="BM412" s="462">
        <f t="shared" si="108"/>
        <v>0</v>
      </c>
      <c r="BN412" s="462">
        <f>IF(AND(AT412=1,AK412="E",AU412&gt;=0.75,AW412=1),HealthBY,IF(AND(AT412=1,AK412="E",AU412&gt;=0.75),HealthBY*P412,IF(AND(AT412=1,AK412="E",AU412&gt;=0.5,AW412=1),PTHealthBY,IF(AND(AT412=1,AK412="E",AU412&gt;=0.5),PTHealthBY*P412,0))))</f>
        <v>5825</v>
      </c>
      <c r="BO412" s="462">
        <f>IF(AND(AT412=3,AK412="E",AV412&gt;=0.75,AW412=1),HealthBY,IF(AND(AT412=3,AK412="E",AV412&gt;=0.75),HealthBY*P412,IF(AND(AT412=3,AK412="E",AV412&gt;=0.5,AW412=1),PTHealthBY,IF(AND(AT412=3,AK412="E",AV412&gt;=0.5),PTHealthBY*P412,0))))</f>
        <v>0</v>
      </c>
      <c r="BP412" s="462">
        <f>IF(AND(AT412&lt;&gt;0,(AX412+BA412)&gt;=MAXSSDIBY),SSDIBY*MAXSSDIBY*P412,IF(AT412&lt;&gt;0,SSDIBY*W412,0))</f>
        <v>1196.104</v>
      </c>
      <c r="BQ412" s="462">
        <f>IF(AT412&lt;&gt;0,SSHIBY*W412,0)</f>
        <v>279.73400000000004</v>
      </c>
      <c r="BR412" s="462">
        <f>IF(AND(AT412&lt;&gt;0,AN412&lt;&gt;"NE"),VLOOKUP(AN412,Retirement_Rates,4,FALSE)*W412,0)</f>
        <v>2303.4648000000002</v>
      </c>
      <c r="BS412" s="462">
        <f>IF(AND(AT412&lt;&gt;0,AJ412&lt;&gt;"PF"),LifeBY*W412,0)</f>
        <v>139.09532000000002</v>
      </c>
      <c r="BT412" s="462">
        <f>IF(AND(AT412&lt;&gt;0,AM412="Y"),UIBY*W412,0)</f>
        <v>0</v>
      </c>
      <c r="BU412" s="462">
        <f>IF(AND(AT412&lt;&gt;0,N412&lt;&gt;"NR"),DHRBY*W412,0)</f>
        <v>59.033519999999996</v>
      </c>
      <c r="BV412" s="462">
        <f>IF(AT412&lt;&gt;0,WCBY*W412,0)</f>
        <v>339.53919999999999</v>
      </c>
      <c r="BW412" s="462">
        <f>IF(OR(AND(AT412&lt;&gt;0,AJ412&lt;&gt;"PF",AN412&lt;&gt;"NE",AG412&lt;&gt;"A"),AND(AL412="E",OR(AT412=1,AT412=3))),SickBY*W412,0)</f>
        <v>0</v>
      </c>
      <c r="BX412" s="462">
        <f t="shared" si="109"/>
        <v>4316.97084</v>
      </c>
      <c r="BY412" s="462">
        <f t="shared" si="110"/>
        <v>0</v>
      </c>
      <c r="BZ412" s="462">
        <f t="shared" si="111"/>
        <v>0</v>
      </c>
      <c r="CA412" s="462">
        <f t="shared" si="112"/>
        <v>0</v>
      </c>
      <c r="CB412" s="462">
        <f t="shared" si="113"/>
        <v>0</v>
      </c>
      <c r="CC412" s="462">
        <f>IF(AT412&lt;&gt;0,SSHICHG*Y412,0)</f>
        <v>0</v>
      </c>
      <c r="CD412" s="462">
        <f>IF(AND(AT412&lt;&gt;0,AN412&lt;&gt;"NE"),VLOOKUP(AN412,Retirement_Rates,5,FALSE)*Y412,0)</f>
        <v>0</v>
      </c>
      <c r="CE412" s="462">
        <f>IF(AND(AT412&lt;&gt;0,AJ412&lt;&gt;"PF"),LifeCHG*Y412,0)</f>
        <v>0</v>
      </c>
      <c r="CF412" s="462">
        <f>IF(AND(AT412&lt;&gt;0,AM412="Y"),UICHG*Y412,0)</f>
        <v>-94.530799999999999</v>
      </c>
      <c r="CG412" s="462">
        <f>IF(AND(AT412&lt;&gt;0,N412&lt;&gt;"NR"),DHRCHG*Y412,0)</f>
        <v>0</v>
      </c>
      <c r="CH412" s="462">
        <f>IF(AT412&lt;&gt;0,WCCHG*Y412,0)</f>
        <v>44.371600000000029</v>
      </c>
      <c r="CI412" s="462">
        <f>IF(OR(AND(AT412&lt;&gt;0,AJ412&lt;&gt;"PF",AN412&lt;&gt;"NE",AG412&lt;&gt;"A"),AND(AL412="E",OR(AT412=1,AT412=3))),SickCHG*Y412,0)</f>
        <v>0</v>
      </c>
      <c r="CJ412" s="462">
        <f t="shared" si="114"/>
        <v>-50.15919999999997</v>
      </c>
      <c r="CK412" s="462" t="str">
        <f t="shared" si="115"/>
        <v/>
      </c>
      <c r="CL412" s="462" t="str">
        <f t="shared" si="116"/>
        <v/>
      </c>
      <c r="CM412" s="462" t="str">
        <f t="shared" si="117"/>
        <v/>
      </c>
      <c r="CN412" s="462" t="str">
        <f t="shared" si="118"/>
        <v>0001-00</v>
      </c>
    </row>
    <row r="413" spans="1:92" ht="15" thickBot="1" x14ac:dyDescent="0.35">
      <c r="A413" s="376" t="s">
        <v>161</v>
      </c>
      <c r="B413" s="376" t="s">
        <v>162</v>
      </c>
      <c r="C413" s="376" t="s">
        <v>1032</v>
      </c>
      <c r="D413" s="376" t="s">
        <v>362</v>
      </c>
      <c r="E413" s="376" t="s">
        <v>165</v>
      </c>
      <c r="F413" s="377" t="s">
        <v>166</v>
      </c>
      <c r="G413" s="376" t="s">
        <v>1010</v>
      </c>
      <c r="H413" s="378"/>
      <c r="I413" s="378"/>
      <c r="J413" s="376" t="s">
        <v>168</v>
      </c>
      <c r="K413" s="376" t="s">
        <v>363</v>
      </c>
      <c r="L413" s="376" t="s">
        <v>200</v>
      </c>
      <c r="M413" s="376" t="s">
        <v>170</v>
      </c>
      <c r="N413" s="376" t="s">
        <v>202</v>
      </c>
      <c r="O413" s="379">
        <v>1</v>
      </c>
      <c r="P413" s="460">
        <v>1</v>
      </c>
      <c r="Q413" s="460">
        <v>1</v>
      </c>
      <c r="R413" s="380">
        <v>80</v>
      </c>
      <c r="S413" s="460">
        <v>1</v>
      </c>
      <c r="T413" s="380">
        <v>15486.3</v>
      </c>
      <c r="U413" s="380">
        <v>0</v>
      </c>
      <c r="V413" s="380">
        <v>7689.01</v>
      </c>
      <c r="W413" s="380">
        <v>46800</v>
      </c>
      <c r="X413" s="380">
        <v>22244.1</v>
      </c>
      <c r="Y413" s="380">
        <v>46800</v>
      </c>
      <c r="Z413" s="380">
        <v>22122.42</v>
      </c>
      <c r="AA413" s="376" t="s">
        <v>1033</v>
      </c>
      <c r="AB413" s="376" t="s">
        <v>334</v>
      </c>
      <c r="AC413" s="376" t="s">
        <v>1034</v>
      </c>
      <c r="AD413" s="376" t="s">
        <v>224</v>
      </c>
      <c r="AE413" s="376" t="s">
        <v>363</v>
      </c>
      <c r="AF413" s="376" t="s">
        <v>210</v>
      </c>
      <c r="AG413" s="376" t="s">
        <v>177</v>
      </c>
      <c r="AH413" s="381">
        <v>22.5</v>
      </c>
      <c r="AI413" s="381">
        <v>7446.9</v>
      </c>
      <c r="AJ413" s="376" t="s">
        <v>178</v>
      </c>
      <c r="AK413" s="376" t="s">
        <v>179</v>
      </c>
      <c r="AL413" s="376" t="s">
        <v>180</v>
      </c>
      <c r="AM413" s="376" t="s">
        <v>181</v>
      </c>
      <c r="AN413" s="376" t="s">
        <v>68</v>
      </c>
      <c r="AO413" s="379">
        <v>80</v>
      </c>
      <c r="AP413" s="460">
        <v>1</v>
      </c>
      <c r="AQ413" s="460">
        <v>1</v>
      </c>
      <c r="AR413" s="458" t="s">
        <v>182</v>
      </c>
      <c r="AS413" s="462">
        <f t="shared" si="102"/>
        <v>1</v>
      </c>
      <c r="AT413">
        <f t="shared" si="103"/>
        <v>1</v>
      </c>
      <c r="AU413" s="462">
        <f>IF(AT413=0,"",IF(AND(AT413=1,M413="F",SUMIF(C2:C698,C413,AS2:AS698)&lt;=1),SUMIF(C2:C698,C413,AS2:AS698),IF(AND(AT413=1,M413="F",SUMIF(C2:C698,C413,AS2:AS698)&gt;1),1,"")))</f>
        <v>1</v>
      </c>
      <c r="AV413" s="462" t="str">
        <f>IF(AT413=0,"",IF(AND(AT413=3,M413="F",SUMIF(C2:C698,C413,AS2:AS698)&lt;=1),SUMIF(C2:C698,C413,AS2:AS698),IF(AND(AT413=3,M413="F",SUMIF(C2:C698,C413,AS2:AS698)&gt;1),1,"")))</f>
        <v/>
      </c>
      <c r="AW413" s="462">
        <f>SUMIF(C2:C698,C413,O2:O698)</f>
        <v>1</v>
      </c>
      <c r="AX413" s="462">
        <f>IF(AND(M413="F",AS413&lt;&gt;0),SUMIF(C2:C698,C413,W2:W698),0)</f>
        <v>46800</v>
      </c>
      <c r="AY413" s="462">
        <f t="shared" si="104"/>
        <v>46800</v>
      </c>
      <c r="AZ413" s="462" t="str">
        <f t="shared" si="105"/>
        <v/>
      </c>
      <c r="BA413" s="462">
        <f t="shared" si="106"/>
        <v>0</v>
      </c>
      <c r="BB413" s="462">
        <f>IF(AND(AT413=1,AK413="E",AU413&gt;=0.75,AW413=1),Health,IF(AND(AT413=1,AK413="E",AU413&gt;=0.75),Health*P413,IF(AND(AT413=1,AK413="E",AU413&gt;=0.5,AW413=1),PTHealth,IF(AND(AT413=1,AK413="E",AU413&gt;=0.5),PTHealth*P413,0))))</f>
        <v>11650</v>
      </c>
      <c r="BC413" s="462">
        <f>IF(AND(AT413=3,AK413="E",AV413&gt;=0.75,AW413=1),Health,IF(AND(AT413=3,AK413="E",AV413&gt;=0.75),Health*P413,IF(AND(AT413=3,AK413="E",AV413&gt;=0.5,AW413=1),PTHealth,IF(AND(AT413=3,AK413="E",AV413&gt;=0.5),PTHealth*P413,0))))</f>
        <v>0</v>
      </c>
      <c r="BD413" s="462">
        <f>IF(AND(AT413&lt;&gt;0,AX413&gt;=MAXSSDI),SSDI*MAXSSDI*P413,IF(AT413&lt;&gt;0,SSDI*W413,0))</f>
        <v>2901.6</v>
      </c>
      <c r="BE413" s="462">
        <f>IF(AT413&lt;&gt;0,SSHI*W413,0)</f>
        <v>678.6</v>
      </c>
      <c r="BF413" s="462">
        <f>IF(AND(AT413&lt;&gt;0,AN413&lt;&gt;"NE"),VLOOKUP(AN413,Retirement_Rates,3,FALSE)*W413,0)</f>
        <v>5587.92</v>
      </c>
      <c r="BG413" s="462">
        <f>IF(AND(AT413&lt;&gt;0,AJ413&lt;&gt;"PF"),Life*W413,0)</f>
        <v>337.428</v>
      </c>
      <c r="BH413" s="462">
        <f>IF(AND(AT413&lt;&gt;0,AM413="Y"),UI*W413,0)</f>
        <v>229.32</v>
      </c>
      <c r="BI413" s="462">
        <f>IF(AND(AT413&lt;&gt;0,N413&lt;&gt;"NR"),DHR*W413,0)</f>
        <v>143.208</v>
      </c>
      <c r="BJ413" s="462">
        <f>IF(AT413&lt;&gt;0,WC*W413,0)</f>
        <v>716.04</v>
      </c>
      <c r="BK413" s="462">
        <f>IF(OR(AND(AT413&lt;&gt;0,AJ413&lt;&gt;"PF",AN413&lt;&gt;"NE",AG413&lt;&gt;"A"),AND(AL413="E",OR(AT413=1,AT413=3))),Sick*W413,0)</f>
        <v>0</v>
      </c>
      <c r="BL413" s="462">
        <f t="shared" si="107"/>
        <v>10594.115999999998</v>
      </c>
      <c r="BM413" s="462">
        <f t="shared" si="108"/>
        <v>0</v>
      </c>
      <c r="BN413" s="462">
        <f>IF(AND(AT413=1,AK413="E",AU413&gt;=0.75,AW413=1),HealthBY,IF(AND(AT413=1,AK413="E",AU413&gt;=0.75),HealthBY*P413,IF(AND(AT413=1,AK413="E",AU413&gt;=0.5,AW413=1),PTHealthBY,IF(AND(AT413=1,AK413="E",AU413&gt;=0.5),PTHealthBY*P413,0))))</f>
        <v>11650</v>
      </c>
      <c r="BO413" s="462">
        <f>IF(AND(AT413=3,AK413="E",AV413&gt;=0.75,AW413=1),HealthBY,IF(AND(AT413=3,AK413="E",AV413&gt;=0.75),HealthBY*P413,IF(AND(AT413=3,AK413="E",AV413&gt;=0.5,AW413=1),PTHealthBY,IF(AND(AT413=3,AK413="E",AV413&gt;=0.5),PTHealthBY*P413,0))))</f>
        <v>0</v>
      </c>
      <c r="BP413" s="462">
        <f>IF(AND(AT413&lt;&gt;0,(AX413+BA413)&gt;=MAXSSDIBY),SSDIBY*MAXSSDIBY*P413,IF(AT413&lt;&gt;0,SSDIBY*W413,0))</f>
        <v>2901.6</v>
      </c>
      <c r="BQ413" s="462">
        <f>IF(AT413&lt;&gt;0,SSHIBY*W413,0)</f>
        <v>678.6</v>
      </c>
      <c r="BR413" s="462">
        <f>IF(AND(AT413&lt;&gt;0,AN413&lt;&gt;"NE"),VLOOKUP(AN413,Retirement_Rates,4,FALSE)*W413,0)</f>
        <v>5587.92</v>
      </c>
      <c r="BS413" s="462">
        <f>IF(AND(AT413&lt;&gt;0,AJ413&lt;&gt;"PF"),LifeBY*W413,0)</f>
        <v>337.428</v>
      </c>
      <c r="BT413" s="462">
        <f>IF(AND(AT413&lt;&gt;0,AM413="Y"),UIBY*W413,0)</f>
        <v>0</v>
      </c>
      <c r="BU413" s="462">
        <f>IF(AND(AT413&lt;&gt;0,N413&lt;&gt;"NR"),DHRBY*W413,0)</f>
        <v>143.208</v>
      </c>
      <c r="BV413" s="462">
        <f>IF(AT413&lt;&gt;0,WCBY*W413,0)</f>
        <v>823.68000000000006</v>
      </c>
      <c r="BW413" s="462">
        <f>IF(OR(AND(AT413&lt;&gt;0,AJ413&lt;&gt;"PF",AN413&lt;&gt;"NE",AG413&lt;&gt;"A"),AND(AL413="E",OR(AT413=1,AT413=3))),SickBY*W413,0)</f>
        <v>0</v>
      </c>
      <c r="BX413" s="462">
        <f t="shared" si="109"/>
        <v>10472.436</v>
      </c>
      <c r="BY413" s="462">
        <f t="shared" si="110"/>
        <v>0</v>
      </c>
      <c r="BZ413" s="462">
        <f t="shared" si="111"/>
        <v>0</v>
      </c>
      <c r="CA413" s="462">
        <f t="shared" si="112"/>
        <v>0</v>
      </c>
      <c r="CB413" s="462">
        <f t="shared" si="113"/>
        <v>0</v>
      </c>
      <c r="CC413" s="462">
        <f>IF(AT413&lt;&gt;0,SSHICHG*Y413,0)</f>
        <v>0</v>
      </c>
      <c r="CD413" s="462">
        <f>IF(AND(AT413&lt;&gt;0,AN413&lt;&gt;"NE"),VLOOKUP(AN413,Retirement_Rates,5,FALSE)*Y413,0)</f>
        <v>0</v>
      </c>
      <c r="CE413" s="462">
        <f>IF(AND(AT413&lt;&gt;0,AJ413&lt;&gt;"PF"),LifeCHG*Y413,0)</f>
        <v>0</v>
      </c>
      <c r="CF413" s="462">
        <f>IF(AND(AT413&lt;&gt;0,AM413="Y"),UICHG*Y413,0)</f>
        <v>-229.32</v>
      </c>
      <c r="CG413" s="462">
        <f>IF(AND(AT413&lt;&gt;0,N413&lt;&gt;"NR"),DHRCHG*Y413,0)</f>
        <v>0</v>
      </c>
      <c r="CH413" s="462">
        <f>IF(AT413&lt;&gt;0,WCCHG*Y413,0)</f>
        <v>107.64000000000009</v>
      </c>
      <c r="CI413" s="462">
        <f>IF(OR(AND(AT413&lt;&gt;0,AJ413&lt;&gt;"PF",AN413&lt;&gt;"NE",AG413&lt;&gt;"A"),AND(AL413="E",OR(AT413=1,AT413=3))),SickCHG*Y413,0)</f>
        <v>0</v>
      </c>
      <c r="CJ413" s="462">
        <f t="shared" si="114"/>
        <v>-121.67999999999991</v>
      </c>
      <c r="CK413" s="462" t="str">
        <f t="shared" si="115"/>
        <v/>
      </c>
      <c r="CL413" s="462" t="str">
        <f t="shared" si="116"/>
        <v/>
      </c>
      <c r="CM413" s="462" t="str">
        <f t="shared" si="117"/>
        <v/>
      </c>
      <c r="CN413" s="462" t="str">
        <f t="shared" si="118"/>
        <v>0001-00</v>
      </c>
    </row>
    <row r="414" spans="1:92" ht="15" thickBot="1" x14ac:dyDescent="0.35">
      <c r="A414" s="376" t="s">
        <v>161</v>
      </c>
      <c r="B414" s="376" t="s">
        <v>162</v>
      </c>
      <c r="C414" s="376" t="s">
        <v>1035</v>
      </c>
      <c r="D414" s="376" t="s">
        <v>362</v>
      </c>
      <c r="E414" s="376" t="s">
        <v>165</v>
      </c>
      <c r="F414" s="377" t="s">
        <v>166</v>
      </c>
      <c r="G414" s="376" t="s">
        <v>1010</v>
      </c>
      <c r="H414" s="378"/>
      <c r="I414" s="378"/>
      <c r="J414" s="376" t="s">
        <v>168</v>
      </c>
      <c r="K414" s="376" t="s">
        <v>363</v>
      </c>
      <c r="L414" s="376" t="s">
        <v>200</v>
      </c>
      <c r="M414" s="376" t="s">
        <v>170</v>
      </c>
      <c r="N414" s="376" t="s">
        <v>202</v>
      </c>
      <c r="O414" s="379">
        <v>1</v>
      </c>
      <c r="P414" s="460">
        <v>1</v>
      </c>
      <c r="Q414" s="460">
        <v>1</v>
      </c>
      <c r="R414" s="380">
        <v>80</v>
      </c>
      <c r="S414" s="460">
        <v>1</v>
      </c>
      <c r="T414" s="380">
        <v>51916.800000000003</v>
      </c>
      <c r="U414" s="380">
        <v>0</v>
      </c>
      <c r="V414" s="380">
        <v>22453.07</v>
      </c>
      <c r="W414" s="380">
        <v>53830.400000000001</v>
      </c>
      <c r="X414" s="380">
        <v>23835.55</v>
      </c>
      <c r="Y414" s="380">
        <v>53830.400000000001</v>
      </c>
      <c r="Z414" s="380">
        <v>23695.599999999999</v>
      </c>
      <c r="AA414" s="376" t="s">
        <v>1036</v>
      </c>
      <c r="AB414" s="376" t="s">
        <v>1037</v>
      </c>
      <c r="AC414" s="376" t="s">
        <v>352</v>
      </c>
      <c r="AD414" s="376" t="s">
        <v>1038</v>
      </c>
      <c r="AE414" s="376" t="s">
        <v>363</v>
      </c>
      <c r="AF414" s="376" t="s">
        <v>210</v>
      </c>
      <c r="AG414" s="376" t="s">
        <v>177</v>
      </c>
      <c r="AH414" s="381">
        <v>25.88</v>
      </c>
      <c r="AI414" s="381">
        <v>61819.8</v>
      </c>
      <c r="AJ414" s="376" t="s">
        <v>178</v>
      </c>
      <c r="AK414" s="376" t="s">
        <v>179</v>
      </c>
      <c r="AL414" s="376" t="s">
        <v>180</v>
      </c>
      <c r="AM414" s="376" t="s">
        <v>181</v>
      </c>
      <c r="AN414" s="376" t="s">
        <v>68</v>
      </c>
      <c r="AO414" s="379">
        <v>80</v>
      </c>
      <c r="AP414" s="460">
        <v>1</v>
      </c>
      <c r="AQ414" s="460">
        <v>1</v>
      </c>
      <c r="AR414" s="458" t="s">
        <v>182</v>
      </c>
      <c r="AS414" s="462">
        <f t="shared" si="102"/>
        <v>1</v>
      </c>
      <c r="AT414">
        <f t="shared" si="103"/>
        <v>1</v>
      </c>
      <c r="AU414" s="462">
        <f>IF(AT414=0,"",IF(AND(AT414=1,M414="F",SUMIF(C2:C698,C414,AS2:AS698)&lt;=1),SUMIF(C2:C698,C414,AS2:AS698),IF(AND(AT414=1,M414="F",SUMIF(C2:C698,C414,AS2:AS698)&gt;1),1,"")))</f>
        <v>1</v>
      </c>
      <c r="AV414" s="462" t="str">
        <f>IF(AT414=0,"",IF(AND(AT414=3,M414="F",SUMIF(C2:C698,C414,AS2:AS698)&lt;=1),SUMIF(C2:C698,C414,AS2:AS698),IF(AND(AT414=3,M414="F",SUMIF(C2:C698,C414,AS2:AS698)&gt;1),1,"")))</f>
        <v/>
      </c>
      <c r="AW414" s="462">
        <f>SUMIF(C2:C698,C414,O2:O698)</f>
        <v>1</v>
      </c>
      <c r="AX414" s="462">
        <f>IF(AND(M414="F",AS414&lt;&gt;0),SUMIF(C2:C698,C414,W2:W698),0)</f>
        <v>53830.400000000001</v>
      </c>
      <c r="AY414" s="462">
        <f t="shared" si="104"/>
        <v>53830.400000000001</v>
      </c>
      <c r="AZ414" s="462" t="str">
        <f t="shared" si="105"/>
        <v/>
      </c>
      <c r="BA414" s="462">
        <f t="shared" si="106"/>
        <v>0</v>
      </c>
      <c r="BB414" s="462">
        <f>IF(AND(AT414=1,AK414="E",AU414&gt;=0.75,AW414=1),Health,IF(AND(AT414=1,AK414="E",AU414&gt;=0.75),Health*P414,IF(AND(AT414=1,AK414="E",AU414&gt;=0.5,AW414=1),PTHealth,IF(AND(AT414=1,AK414="E",AU414&gt;=0.5),PTHealth*P414,0))))</f>
        <v>11650</v>
      </c>
      <c r="BC414" s="462">
        <f>IF(AND(AT414=3,AK414="E",AV414&gt;=0.75,AW414=1),Health,IF(AND(AT414=3,AK414="E",AV414&gt;=0.75),Health*P414,IF(AND(AT414=3,AK414="E",AV414&gt;=0.5,AW414=1),PTHealth,IF(AND(AT414=3,AK414="E",AV414&gt;=0.5),PTHealth*P414,0))))</f>
        <v>0</v>
      </c>
      <c r="BD414" s="462">
        <f>IF(AND(AT414&lt;&gt;0,AX414&gt;=MAXSSDI),SSDI*MAXSSDI*P414,IF(AT414&lt;&gt;0,SSDI*W414,0))</f>
        <v>3337.4848000000002</v>
      </c>
      <c r="BE414" s="462">
        <f>IF(AT414&lt;&gt;0,SSHI*W414,0)</f>
        <v>780.5408000000001</v>
      </c>
      <c r="BF414" s="462">
        <f>IF(AND(AT414&lt;&gt;0,AN414&lt;&gt;"NE"),VLOOKUP(AN414,Retirement_Rates,3,FALSE)*W414,0)</f>
        <v>6427.3497600000001</v>
      </c>
      <c r="BG414" s="462">
        <f>IF(AND(AT414&lt;&gt;0,AJ414&lt;&gt;"PF"),Life*W414,0)</f>
        <v>388.11718400000001</v>
      </c>
      <c r="BH414" s="462">
        <f>IF(AND(AT414&lt;&gt;0,AM414="Y"),UI*W414,0)</f>
        <v>263.76895999999999</v>
      </c>
      <c r="BI414" s="462">
        <f>IF(AND(AT414&lt;&gt;0,N414&lt;&gt;"NR"),DHR*W414,0)</f>
        <v>164.721024</v>
      </c>
      <c r="BJ414" s="462">
        <f>IF(AT414&lt;&gt;0,WC*W414,0)</f>
        <v>823.60511999999994</v>
      </c>
      <c r="BK414" s="462">
        <f>IF(OR(AND(AT414&lt;&gt;0,AJ414&lt;&gt;"PF",AN414&lt;&gt;"NE",AG414&lt;&gt;"A"),AND(AL414="E",OR(AT414=1,AT414=3))),Sick*W414,0)</f>
        <v>0</v>
      </c>
      <c r="BL414" s="462">
        <f t="shared" si="107"/>
        <v>12185.587648000001</v>
      </c>
      <c r="BM414" s="462">
        <f t="shared" si="108"/>
        <v>0</v>
      </c>
      <c r="BN414" s="462">
        <f>IF(AND(AT414=1,AK414="E",AU414&gt;=0.75,AW414=1),HealthBY,IF(AND(AT414=1,AK414="E",AU414&gt;=0.75),HealthBY*P414,IF(AND(AT414=1,AK414="E",AU414&gt;=0.5,AW414=1),PTHealthBY,IF(AND(AT414=1,AK414="E",AU414&gt;=0.5),PTHealthBY*P414,0))))</f>
        <v>11650</v>
      </c>
      <c r="BO414" s="462">
        <f>IF(AND(AT414=3,AK414="E",AV414&gt;=0.75,AW414=1),HealthBY,IF(AND(AT414=3,AK414="E",AV414&gt;=0.75),HealthBY*P414,IF(AND(AT414=3,AK414="E",AV414&gt;=0.5,AW414=1),PTHealthBY,IF(AND(AT414=3,AK414="E",AV414&gt;=0.5),PTHealthBY*P414,0))))</f>
        <v>0</v>
      </c>
      <c r="BP414" s="462">
        <f>IF(AND(AT414&lt;&gt;0,(AX414+BA414)&gt;=MAXSSDIBY),SSDIBY*MAXSSDIBY*P414,IF(AT414&lt;&gt;0,SSDIBY*W414,0))</f>
        <v>3337.4848000000002</v>
      </c>
      <c r="BQ414" s="462">
        <f>IF(AT414&lt;&gt;0,SSHIBY*W414,0)</f>
        <v>780.5408000000001</v>
      </c>
      <c r="BR414" s="462">
        <f>IF(AND(AT414&lt;&gt;0,AN414&lt;&gt;"NE"),VLOOKUP(AN414,Retirement_Rates,4,FALSE)*W414,0)</f>
        <v>6427.3497600000001</v>
      </c>
      <c r="BS414" s="462">
        <f>IF(AND(AT414&lt;&gt;0,AJ414&lt;&gt;"PF"),LifeBY*W414,0)</f>
        <v>388.11718400000001</v>
      </c>
      <c r="BT414" s="462">
        <f>IF(AND(AT414&lt;&gt;0,AM414="Y"),UIBY*W414,0)</f>
        <v>0</v>
      </c>
      <c r="BU414" s="462">
        <f>IF(AND(AT414&lt;&gt;0,N414&lt;&gt;"NR"),DHRBY*W414,0)</f>
        <v>164.721024</v>
      </c>
      <c r="BV414" s="462">
        <f>IF(AT414&lt;&gt;0,WCBY*W414,0)</f>
        <v>947.41504000000009</v>
      </c>
      <c r="BW414" s="462">
        <f>IF(OR(AND(AT414&lt;&gt;0,AJ414&lt;&gt;"PF",AN414&lt;&gt;"NE",AG414&lt;&gt;"A"),AND(AL414="E",OR(AT414=1,AT414=3))),SickBY*W414,0)</f>
        <v>0</v>
      </c>
      <c r="BX414" s="462">
        <f t="shared" si="109"/>
        <v>12045.628608000001</v>
      </c>
      <c r="BY414" s="462">
        <f t="shared" si="110"/>
        <v>0</v>
      </c>
      <c r="BZ414" s="462">
        <f t="shared" si="111"/>
        <v>0</v>
      </c>
      <c r="CA414" s="462">
        <f t="shared" si="112"/>
        <v>0</v>
      </c>
      <c r="CB414" s="462">
        <f t="shared" si="113"/>
        <v>0</v>
      </c>
      <c r="CC414" s="462">
        <f>IF(AT414&lt;&gt;0,SSHICHG*Y414,0)</f>
        <v>0</v>
      </c>
      <c r="CD414" s="462">
        <f>IF(AND(AT414&lt;&gt;0,AN414&lt;&gt;"NE"),VLOOKUP(AN414,Retirement_Rates,5,FALSE)*Y414,0)</f>
        <v>0</v>
      </c>
      <c r="CE414" s="462">
        <f>IF(AND(AT414&lt;&gt;0,AJ414&lt;&gt;"PF"),LifeCHG*Y414,0)</f>
        <v>0</v>
      </c>
      <c r="CF414" s="462">
        <f>IF(AND(AT414&lt;&gt;0,AM414="Y"),UICHG*Y414,0)</f>
        <v>-263.76895999999999</v>
      </c>
      <c r="CG414" s="462">
        <f>IF(AND(AT414&lt;&gt;0,N414&lt;&gt;"NR"),DHRCHG*Y414,0)</f>
        <v>0</v>
      </c>
      <c r="CH414" s="462">
        <f>IF(AT414&lt;&gt;0,WCCHG*Y414,0)</f>
        <v>123.80992000000009</v>
      </c>
      <c r="CI414" s="462">
        <f>IF(OR(AND(AT414&lt;&gt;0,AJ414&lt;&gt;"PF",AN414&lt;&gt;"NE",AG414&lt;&gt;"A"),AND(AL414="E",OR(AT414=1,AT414=3))),SickCHG*Y414,0)</f>
        <v>0</v>
      </c>
      <c r="CJ414" s="462">
        <f t="shared" si="114"/>
        <v>-139.9590399999999</v>
      </c>
      <c r="CK414" s="462" t="str">
        <f t="shared" si="115"/>
        <v/>
      </c>
      <c r="CL414" s="462" t="str">
        <f t="shared" si="116"/>
        <v/>
      </c>
      <c r="CM414" s="462" t="str">
        <f t="shared" si="117"/>
        <v/>
      </c>
      <c r="CN414" s="462" t="str">
        <f t="shared" si="118"/>
        <v>0001-00</v>
      </c>
    </row>
    <row r="415" spans="1:92" ht="15" thickBot="1" x14ac:dyDescent="0.35">
      <c r="A415" s="376" t="s">
        <v>161</v>
      </c>
      <c r="B415" s="376" t="s">
        <v>162</v>
      </c>
      <c r="C415" s="376" t="s">
        <v>1039</v>
      </c>
      <c r="D415" s="376" t="s">
        <v>362</v>
      </c>
      <c r="E415" s="376" t="s">
        <v>165</v>
      </c>
      <c r="F415" s="377" t="s">
        <v>166</v>
      </c>
      <c r="G415" s="376" t="s">
        <v>1010</v>
      </c>
      <c r="H415" s="378"/>
      <c r="I415" s="378"/>
      <c r="J415" s="376" t="s">
        <v>168</v>
      </c>
      <c r="K415" s="376" t="s">
        <v>363</v>
      </c>
      <c r="L415" s="376" t="s">
        <v>200</v>
      </c>
      <c r="M415" s="376" t="s">
        <v>170</v>
      </c>
      <c r="N415" s="376" t="s">
        <v>202</v>
      </c>
      <c r="O415" s="379">
        <v>1</v>
      </c>
      <c r="P415" s="460">
        <v>1</v>
      </c>
      <c r="Q415" s="460">
        <v>1</v>
      </c>
      <c r="R415" s="380">
        <v>80</v>
      </c>
      <c r="S415" s="460">
        <v>1</v>
      </c>
      <c r="T415" s="380">
        <v>44794.400000000001</v>
      </c>
      <c r="U415" s="380">
        <v>0</v>
      </c>
      <c r="V415" s="380">
        <v>21123.87</v>
      </c>
      <c r="W415" s="380">
        <v>46800</v>
      </c>
      <c r="X415" s="380">
        <v>22244.1</v>
      </c>
      <c r="Y415" s="380">
        <v>46800</v>
      </c>
      <c r="Z415" s="380">
        <v>22122.42</v>
      </c>
      <c r="AA415" s="376" t="s">
        <v>1040</v>
      </c>
      <c r="AB415" s="376" t="s">
        <v>1041</v>
      </c>
      <c r="AC415" s="376" t="s">
        <v>1042</v>
      </c>
      <c r="AD415" s="376" t="s">
        <v>224</v>
      </c>
      <c r="AE415" s="376" t="s">
        <v>363</v>
      </c>
      <c r="AF415" s="376" t="s">
        <v>210</v>
      </c>
      <c r="AG415" s="376" t="s">
        <v>177</v>
      </c>
      <c r="AH415" s="381">
        <v>22.5</v>
      </c>
      <c r="AI415" s="379">
        <v>8288</v>
      </c>
      <c r="AJ415" s="376" t="s">
        <v>178</v>
      </c>
      <c r="AK415" s="376" t="s">
        <v>179</v>
      </c>
      <c r="AL415" s="376" t="s">
        <v>180</v>
      </c>
      <c r="AM415" s="376" t="s">
        <v>181</v>
      </c>
      <c r="AN415" s="376" t="s">
        <v>68</v>
      </c>
      <c r="AO415" s="379">
        <v>80</v>
      </c>
      <c r="AP415" s="460">
        <v>1</v>
      </c>
      <c r="AQ415" s="460">
        <v>1</v>
      </c>
      <c r="AR415" s="458" t="s">
        <v>182</v>
      </c>
      <c r="AS415" s="462">
        <f t="shared" si="102"/>
        <v>1</v>
      </c>
      <c r="AT415">
        <f t="shared" si="103"/>
        <v>1</v>
      </c>
      <c r="AU415" s="462">
        <f>IF(AT415=0,"",IF(AND(AT415=1,M415="F",SUMIF(C2:C698,C415,AS2:AS698)&lt;=1),SUMIF(C2:C698,C415,AS2:AS698),IF(AND(AT415=1,M415="F",SUMIF(C2:C698,C415,AS2:AS698)&gt;1),1,"")))</f>
        <v>1</v>
      </c>
      <c r="AV415" s="462" t="str">
        <f>IF(AT415=0,"",IF(AND(AT415=3,M415="F",SUMIF(C2:C698,C415,AS2:AS698)&lt;=1),SUMIF(C2:C698,C415,AS2:AS698),IF(AND(AT415=3,M415="F",SUMIF(C2:C698,C415,AS2:AS698)&gt;1),1,"")))</f>
        <v/>
      </c>
      <c r="AW415" s="462">
        <f>SUMIF(C2:C698,C415,O2:O698)</f>
        <v>1</v>
      </c>
      <c r="AX415" s="462">
        <f>IF(AND(M415="F",AS415&lt;&gt;0),SUMIF(C2:C698,C415,W2:W698),0)</f>
        <v>46800</v>
      </c>
      <c r="AY415" s="462">
        <f t="shared" si="104"/>
        <v>46800</v>
      </c>
      <c r="AZ415" s="462" t="str">
        <f t="shared" si="105"/>
        <v/>
      </c>
      <c r="BA415" s="462">
        <f t="shared" si="106"/>
        <v>0</v>
      </c>
      <c r="BB415" s="462">
        <f>IF(AND(AT415=1,AK415="E",AU415&gt;=0.75,AW415=1),Health,IF(AND(AT415=1,AK415="E",AU415&gt;=0.75),Health*P415,IF(AND(AT415=1,AK415="E",AU415&gt;=0.5,AW415=1),PTHealth,IF(AND(AT415=1,AK415="E",AU415&gt;=0.5),PTHealth*P415,0))))</f>
        <v>11650</v>
      </c>
      <c r="BC415" s="462">
        <f>IF(AND(AT415=3,AK415="E",AV415&gt;=0.75,AW415=1),Health,IF(AND(AT415=3,AK415="E",AV415&gt;=0.75),Health*P415,IF(AND(AT415=3,AK415="E",AV415&gt;=0.5,AW415=1),PTHealth,IF(AND(AT415=3,AK415="E",AV415&gt;=0.5),PTHealth*P415,0))))</f>
        <v>0</v>
      </c>
      <c r="BD415" s="462">
        <f>IF(AND(AT415&lt;&gt;0,AX415&gt;=MAXSSDI),SSDI*MAXSSDI*P415,IF(AT415&lt;&gt;0,SSDI*W415,0))</f>
        <v>2901.6</v>
      </c>
      <c r="BE415" s="462">
        <f>IF(AT415&lt;&gt;0,SSHI*W415,0)</f>
        <v>678.6</v>
      </c>
      <c r="BF415" s="462">
        <f>IF(AND(AT415&lt;&gt;0,AN415&lt;&gt;"NE"),VLOOKUP(AN415,Retirement_Rates,3,FALSE)*W415,0)</f>
        <v>5587.92</v>
      </c>
      <c r="BG415" s="462">
        <f>IF(AND(AT415&lt;&gt;0,AJ415&lt;&gt;"PF"),Life*W415,0)</f>
        <v>337.428</v>
      </c>
      <c r="BH415" s="462">
        <f>IF(AND(AT415&lt;&gt;0,AM415="Y"),UI*W415,0)</f>
        <v>229.32</v>
      </c>
      <c r="BI415" s="462">
        <f>IF(AND(AT415&lt;&gt;0,N415&lt;&gt;"NR"),DHR*W415,0)</f>
        <v>143.208</v>
      </c>
      <c r="BJ415" s="462">
        <f>IF(AT415&lt;&gt;0,WC*W415,0)</f>
        <v>716.04</v>
      </c>
      <c r="BK415" s="462">
        <f>IF(OR(AND(AT415&lt;&gt;0,AJ415&lt;&gt;"PF",AN415&lt;&gt;"NE",AG415&lt;&gt;"A"),AND(AL415="E",OR(AT415=1,AT415=3))),Sick*W415,0)</f>
        <v>0</v>
      </c>
      <c r="BL415" s="462">
        <f t="shared" si="107"/>
        <v>10594.115999999998</v>
      </c>
      <c r="BM415" s="462">
        <f t="shared" si="108"/>
        <v>0</v>
      </c>
      <c r="BN415" s="462">
        <f>IF(AND(AT415=1,AK415="E",AU415&gt;=0.75,AW415=1),HealthBY,IF(AND(AT415=1,AK415="E",AU415&gt;=0.75),HealthBY*P415,IF(AND(AT415=1,AK415="E",AU415&gt;=0.5,AW415=1),PTHealthBY,IF(AND(AT415=1,AK415="E",AU415&gt;=0.5),PTHealthBY*P415,0))))</f>
        <v>11650</v>
      </c>
      <c r="BO415" s="462">
        <f>IF(AND(AT415=3,AK415="E",AV415&gt;=0.75,AW415=1),HealthBY,IF(AND(AT415=3,AK415="E",AV415&gt;=0.75),HealthBY*P415,IF(AND(AT415=3,AK415="E",AV415&gt;=0.5,AW415=1),PTHealthBY,IF(AND(AT415=3,AK415="E",AV415&gt;=0.5),PTHealthBY*P415,0))))</f>
        <v>0</v>
      </c>
      <c r="BP415" s="462">
        <f>IF(AND(AT415&lt;&gt;0,(AX415+BA415)&gt;=MAXSSDIBY),SSDIBY*MAXSSDIBY*P415,IF(AT415&lt;&gt;0,SSDIBY*W415,0))</f>
        <v>2901.6</v>
      </c>
      <c r="BQ415" s="462">
        <f>IF(AT415&lt;&gt;0,SSHIBY*W415,0)</f>
        <v>678.6</v>
      </c>
      <c r="BR415" s="462">
        <f>IF(AND(AT415&lt;&gt;0,AN415&lt;&gt;"NE"),VLOOKUP(AN415,Retirement_Rates,4,FALSE)*W415,0)</f>
        <v>5587.92</v>
      </c>
      <c r="BS415" s="462">
        <f>IF(AND(AT415&lt;&gt;0,AJ415&lt;&gt;"PF"),LifeBY*W415,0)</f>
        <v>337.428</v>
      </c>
      <c r="BT415" s="462">
        <f>IF(AND(AT415&lt;&gt;0,AM415="Y"),UIBY*W415,0)</f>
        <v>0</v>
      </c>
      <c r="BU415" s="462">
        <f>IF(AND(AT415&lt;&gt;0,N415&lt;&gt;"NR"),DHRBY*W415,0)</f>
        <v>143.208</v>
      </c>
      <c r="BV415" s="462">
        <f>IF(AT415&lt;&gt;0,WCBY*W415,0)</f>
        <v>823.68000000000006</v>
      </c>
      <c r="BW415" s="462">
        <f>IF(OR(AND(AT415&lt;&gt;0,AJ415&lt;&gt;"PF",AN415&lt;&gt;"NE",AG415&lt;&gt;"A"),AND(AL415="E",OR(AT415=1,AT415=3))),SickBY*W415,0)</f>
        <v>0</v>
      </c>
      <c r="BX415" s="462">
        <f t="shared" si="109"/>
        <v>10472.436</v>
      </c>
      <c r="BY415" s="462">
        <f t="shared" si="110"/>
        <v>0</v>
      </c>
      <c r="BZ415" s="462">
        <f t="shared" si="111"/>
        <v>0</v>
      </c>
      <c r="CA415" s="462">
        <f t="shared" si="112"/>
        <v>0</v>
      </c>
      <c r="CB415" s="462">
        <f t="shared" si="113"/>
        <v>0</v>
      </c>
      <c r="CC415" s="462">
        <f>IF(AT415&lt;&gt;0,SSHICHG*Y415,0)</f>
        <v>0</v>
      </c>
      <c r="CD415" s="462">
        <f>IF(AND(AT415&lt;&gt;0,AN415&lt;&gt;"NE"),VLOOKUP(AN415,Retirement_Rates,5,FALSE)*Y415,0)</f>
        <v>0</v>
      </c>
      <c r="CE415" s="462">
        <f>IF(AND(AT415&lt;&gt;0,AJ415&lt;&gt;"PF"),LifeCHG*Y415,0)</f>
        <v>0</v>
      </c>
      <c r="CF415" s="462">
        <f>IF(AND(AT415&lt;&gt;0,AM415="Y"),UICHG*Y415,0)</f>
        <v>-229.32</v>
      </c>
      <c r="CG415" s="462">
        <f>IF(AND(AT415&lt;&gt;0,N415&lt;&gt;"NR"),DHRCHG*Y415,0)</f>
        <v>0</v>
      </c>
      <c r="CH415" s="462">
        <f>IF(AT415&lt;&gt;0,WCCHG*Y415,0)</f>
        <v>107.64000000000009</v>
      </c>
      <c r="CI415" s="462">
        <f>IF(OR(AND(AT415&lt;&gt;0,AJ415&lt;&gt;"PF",AN415&lt;&gt;"NE",AG415&lt;&gt;"A"),AND(AL415="E",OR(AT415=1,AT415=3))),SickCHG*Y415,0)</f>
        <v>0</v>
      </c>
      <c r="CJ415" s="462">
        <f t="shared" si="114"/>
        <v>-121.67999999999991</v>
      </c>
      <c r="CK415" s="462" t="str">
        <f t="shared" si="115"/>
        <v/>
      </c>
      <c r="CL415" s="462" t="str">
        <f t="shared" si="116"/>
        <v/>
      </c>
      <c r="CM415" s="462" t="str">
        <f t="shared" si="117"/>
        <v/>
      </c>
      <c r="CN415" s="462" t="str">
        <f t="shared" si="118"/>
        <v>0001-00</v>
      </c>
    </row>
    <row r="416" spans="1:92" ht="15" thickBot="1" x14ac:dyDescent="0.35">
      <c r="A416" s="376" t="s">
        <v>161</v>
      </c>
      <c r="B416" s="376" t="s">
        <v>162</v>
      </c>
      <c r="C416" s="376" t="s">
        <v>1043</v>
      </c>
      <c r="D416" s="376" t="s">
        <v>362</v>
      </c>
      <c r="E416" s="376" t="s">
        <v>165</v>
      </c>
      <c r="F416" s="377" t="s">
        <v>166</v>
      </c>
      <c r="G416" s="376" t="s">
        <v>1010</v>
      </c>
      <c r="H416" s="378"/>
      <c r="I416" s="378"/>
      <c r="J416" s="376" t="s">
        <v>168</v>
      </c>
      <c r="K416" s="376" t="s">
        <v>363</v>
      </c>
      <c r="L416" s="376" t="s">
        <v>200</v>
      </c>
      <c r="M416" s="376" t="s">
        <v>170</v>
      </c>
      <c r="N416" s="376" t="s">
        <v>202</v>
      </c>
      <c r="O416" s="379">
        <v>1</v>
      </c>
      <c r="P416" s="460">
        <v>1</v>
      </c>
      <c r="Q416" s="460">
        <v>1</v>
      </c>
      <c r="R416" s="380">
        <v>80</v>
      </c>
      <c r="S416" s="460">
        <v>1</v>
      </c>
      <c r="T416" s="380">
        <v>47053.61</v>
      </c>
      <c r="U416" s="380">
        <v>0</v>
      </c>
      <c r="V416" s="380">
        <v>21435.07</v>
      </c>
      <c r="W416" s="380">
        <v>48838.400000000001</v>
      </c>
      <c r="X416" s="380">
        <v>22705.51</v>
      </c>
      <c r="Y416" s="380">
        <v>48838.400000000001</v>
      </c>
      <c r="Z416" s="380">
        <v>22578.54</v>
      </c>
      <c r="AA416" s="376" t="s">
        <v>1044</v>
      </c>
      <c r="AB416" s="376" t="s">
        <v>1045</v>
      </c>
      <c r="AC416" s="376" t="s">
        <v>970</v>
      </c>
      <c r="AD416" s="376" t="s">
        <v>1046</v>
      </c>
      <c r="AE416" s="376" t="s">
        <v>363</v>
      </c>
      <c r="AF416" s="376" t="s">
        <v>210</v>
      </c>
      <c r="AG416" s="376" t="s">
        <v>177</v>
      </c>
      <c r="AH416" s="381">
        <v>23.48</v>
      </c>
      <c r="AI416" s="381">
        <v>25491.5</v>
      </c>
      <c r="AJ416" s="376" t="s">
        <v>178</v>
      </c>
      <c r="AK416" s="376" t="s">
        <v>179</v>
      </c>
      <c r="AL416" s="376" t="s">
        <v>180</v>
      </c>
      <c r="AM416" s="376" t="s">
        <v>181</v>
      </c>
      <c r="AN416" s="376" t="s">
        <v>68</v>
      </c>
      <c r="AO416" s="379">
        <v>80</v>
      </c>
      <c r="AP416" s="460">
        <v>1</v>
      </c>
      <c r="AQ416" s="460">
        <v>1</v>
      </c>
      <c r="AR416" s="458" t="s">
        <v>182</v>
      </c>
      <c r="AS416" s="462">
        <f t="shared" si="102"/>
        <v>1</v>
      </c>
      <c r="AT416">
        <f t="shared" si="103"/>
        <v>1</v>
      </c>
      <c r="AU416" s="462">
        <f>IF(AT416=0,"",IF(AND(AT416=1,M416="F",SUMIF(C2:C698,C416,AS2:AS698)&lt;=1),SUMIF(C2:C698,C416,AS2:AS698),IF(AND(AT416=1,M416="F",SUMIF(C2:C698,C416,AS2:AS698)&gt;1),1,"")))</f>
        <v>1</v>
      </c>
      <c r="AV416" s="462" t="str">
        <f>IF(AT416=0,"",IF(AND(AT416=3,M416="F",SUMIF(C2:C698,C416,AS2:AS698)&lt;=1),SUMIF(C2:C698,C416,AS2:AS698),IF(AND(AT416=3,M416="F",SUMIF(C2:C698,C416,AS2:AS698)&gt;1),1,"")))</f>
        <v/>
      </c>
      <c r="AW416" s="462">
        <f>SUMIF(C2:C698,C416,O2:O698)</f>
        <v>1</v>
      </c>
      <c r="AX416" s="462">
        <f>IF(AND(M416="F",AS416&lt;&gt;0),SUMIF(C2:C698,C416,W2:W698),0)</f>
        <v>48838.400000000001</v>
      </c>
      <c r="AY416" s="462">
        <f t="shared" si="104"/>
        <v>48838.400000000001</v>
      </c>
      <c r="AZ416" s="462" t="str">
        <f t="shared" si="105"/>
        <v/>
      </c>
      <c r="BA416" s="462">
        <f t="shared" si="106"/>
        <v>0</v>
      </c>
      <c r="BB416" s="462">
        <f>IF(AND(AT416=1,AK416="E",AU416&gt;=0.75,AW416=1),Health,IF(AND(AT416=1,AK416="E",AU416&gt;=0.75),Health*P416,IF(AND(AT416=1,AK416="E",AU416&gt;=0.5,AW416=1),PTHealth,IF(AND(AT416=1,AK416="E",AU416&gt;=0.5),PTHealth*P416,0))))</f>
        <v>11650</v>
      </c>
      <c r="BC416" s="462">
        <f>IF(AND(AT416=3,AK416="E",AV416&gt;=0.75,AW416=1),Health,IF(AND(AT416=3,AK416="E",AV416&gt;=0.75),Health*P416,IF(AND(AT416=3,AK416="E",AV416&gt;=0.5,AW416=1),PTHealth,IF(AND(AT416=3,AK416="E",AV416&gt;=0.5),PTHealth*P416,0))))</f>
        <v>0</v>
      </c>
      <c r="BD416" s="462">
        <f>IF(AND(AT416&lt;&gt;0,AX416&gt;=MAXSSDI),SSDI*MAXSSDI*P416,IF(AT416&lt;&gt;0,SSDI*W416,0))</f>
        <v>3027.9808000000003</v>
      </c>
      <c r="BE416" s="462">
        <f>IF(AT416&lt;&gt;0,SSHI*W416,0)</f>
        <v>708.15680000000009</v>
      </c>
      <c r="BF416" s="462">
        <f>IF(AND(AT416&lt;&gt;0,AN416&lt;&gt;"NE"),VLOOKUP(AN416,Retirement_Rates,3,FALSE)*W416,0)</f>
        <v>5831.3049600000004</v>
      </c>
      <c r="BG416" s="462">
        <f>IF(AND(AT416&lt;&gt;0,AJ416&lt;&gt;"PF"),Life*W416,0)</f>
        <v>352.124864</v>
      </c>
      <c r="BH416" s="462">
        <f>IF(AND(AT416&lt;&gt;0,AM416="Y"),UI*W416,0)</f>
        <v>239.30815999999999</v>
      </c>
      <c r="BI416" s="462">
        <f>IF(AND(AT416&lt;&gt;0,N416&lt;&gt;"NR"),DHR*W416,0)</f>
        <v>149.445504</v>
      </c>
      <c r="BJ416" s="462">
        <f>IF(AT416&lt;&gt;0,WC*W416,0)</f>
        <v>747.22752000000003</v>
      </c>
      <c r="BK416" s="462">
        <f>IF(OR(AND(AT416&lt;&gt;0,AJ416&lt;&gt;"PF",AN416&lt;&gt;"NE",AG416&lt;&gt;"A"),AND(AL416="E",OR(AT416=1,AT416=3))),Sick*W416,0)</f>
        <v>0</v>
      </c>
      <c r="BL416" s="462">
        <f t="shared" si="107"/>
        <v>11055.548608000001</v>
      </c>
      <c r="BM416" s="462">
        <f t="shared" si="108"/>
        <v>0</v>
      </c>
      <c r="BN416" s="462">
        <f>IF(AND(AT416=1,AK416="E",AU416&gt;=0.75,AW416=1),HealthBY,IF(AND(AT416=1,AK416="E",AU416&gt;=0.75),HealthBY*P416,IF(AND(AT416=1,AK416="E",AU416&gt;=0.5,AW416=1),PTHealthBY,IF(AND(AT416=1,AK416="E",AU416&gt;=0.5),PTHealthBY*P416,0))))</f>
        <v>11650</v>
      </c>
      <c r="BO416" s="462">
        <f>IF(AND(AT416=3,AK416="E",AV416&gt;=0.75,AW416=1),HealthBY,IF(AND(AT416=3,AK416="E",AV416&gt;=0.75),HealthBY*P416,IF(AND(AT416=3,AK416="E",AV416&gt;=0.5,AW416=1),PTHealthBY,IF(AND(AT416=3,AK416="E",AV416&gt;=0.5),PTHealthBY*P416,0))))</f>
        <v>0</v>
      </c>
      <c r="BP416" s="462">
        <f>IF(AND(AT416&lt;&gt;0,(AX416+BA416)&gt;=MAXSSDIBY),SSDIBY*MAXSSDIBY*P416,IF(AT416&lt;&gt;0,SSDIBY*W416,0))</f>
        <v>3027.9808000000003</v>
      </c>
      <c r="BQ416" s="462">
        <f>IF(AT416&lt;&gt;0,SSHIBY*W416,0)</f>
        <v>708.15680000000009</v>
      </c>
      <c r="BR416" s="462">
        <f>IF(AND(AT416&lt;&gt;0,AN416&lt;&gt;"NE"),VLOOKUP(AN416,Retirement_Rates,4,FALSE)*W416,0)</f>
        <v>5831.3049600000004</v>
      </c>
      <c r="BS416" s="462">
        <f>IF(AND(AT416&lt;&gt;0,AJ416&lt;&gt;"PF"),LifeBY*W416,0)</f>
        <v>352.124864</v>
      </c>
      <c r="BT416" s="462">
        <f>IF(AND(AT416&lt;&gt;0,AM416="Y"),UIBY*W416,0)</f>
        <v>0</v>
      </c>
      <c r="BU416" s="462">
        <f>IF(AND(AT416&lt;&gt;0,N416&lt;&gt;"NR"),DHRBY*W416,0)</f>
        <v>149.445504</v>
      </c>
      <c r="BV416" s="462">
        <f>IF(AT416&lt;&gt;0,WCBY*W416,0)</f>
        <v>859.5558400000001</v>
      </c>
      <c r="BW416" s="462">
        <f>IF(OR(AND(AT416&lt;&gt;0,AJ416&lt;&gt;"PF",AN416&lt;&gt;"NE",AG416&lt;&gt;"A"),AND(AL416="E",OR(AT416=1,AT416=3))),SickBY*W416,0)</f>
        <v>0</v>
      </c>
      <c r="BX416" s="462">
        <f t="shared" si="109"/>
        <v>10928.568768000001</v>
      </c>
      <c r="BY416" s="462">
        <f t="shared" si="110"/>
        <v>0</v>
      </c>
      <c r="BZ416" s="462">
        <f t="shared" si="111"/>
        <v>0</v>
      </c>
      <c r="CA416" s="462">
        <f t="shared" si="112"/>
        <v>0</v>
      </c>
      <c r="CB416" s="462">
        <f t="shared" si="113"/>
        <v>0</v>
      </c>
      <c r="CC416" s="462">
        <f>IF(AT416&lt;&gt;0,SSHICHG*Y416,0)</f>
        <v>0</v>
      </c>
      <c r="CD416" s="462">
        <f>IF(AND(AT416&lt;&gt;0,AN416&lt;&gt;"NE"),VLOOKUP(AN416,Retirement_Rates,5,FALSE)*Y416,0)</f>
        <v>0</v>
      </c>
      <c r="CE416" s="462">
        <f>IF(AND(AT416&lt;&gt;0,AJ416&lt;&gt;"PF"),LifeCHG*Y416,0)</f>
        <v>0</v>
      </c>
      <c r="CF416" s="462">
        <f>IF(AND(AT416&lt;&gt;0,AM416="Y"),UICHG*Y416,0)</f>
        <v>-239.30815999999999</v>
      </c>
      <c r="CG416" s="462">
        <f>IF(AND(AT416&lt;&gt;0,N416&lt;&gt;"NR"),DHRCHG*Y416,0)</f>
        <v>0</v>
      </c>
      <c r="CH416" s="462">
        <f>IF(AT416&lt;&gt;0,WCCHG*Y416,0)</f>
        <v>112.32832000000009</v>
      </c>
      <c r="CI416" s="462">
        <f>IF(OR(AND(AT416&lt;&gt;0,AJ416&lt;&gt;"PF",AN416&lt;&gt;"NE",AG416&lt;&gt;"A"),AND(AL416="E",OR(AT416=1,AT416=3))),SickCHG*Y416,0)</f>
        <v>0</v>
      </c>
      <c r="CJ416" s="462">
        <f t="shared" si="114"/>
        <v>-126.9798399999999</v>
      </c>
      <c r="CK416" s="462" t="str">
        <f t="shared" si="115"/>
        <v/>
      </c>
      <c r="CL416" s="462" t="str">
        <f t="shared" si="116"/>
        <v/>
      </c>
      <c r="CM416" s="462" t="str">
        <f t="shared" si="117"/>
        <v/>
      </c>
      <c r="CN416" s="462" t="str">
        <f t="shared" si="118"/>
        <v>0001-00</v>
      </c>
    </row>
    <row r="417" spans="1:92" ht="15" thickBot="1" x14ac:dyDescent="0.35">
      <c r="A417" s="376" t="s">
        <v>161</v>
      </c>
      <c r="B417" s="376" t="s">
        <v>162</v>
      </c>
      <c r="C417" s="376" t="s">
        <v>1047</v>
      </c>
      <c r="D417" s="376" t="s">
        <v>250</v>
      </c>
      <c r="E417" s="376" t="s">
        <v>165</v>
      </c>
      <c r="F417" s="377" t="s">
        <v>166</v>
      </c>
      <c r="G417" s="376" t="s">
        <v>1010</v>
      </c>
      <c r="H417" s="378"/>
      <c r="I417" s="378"/>
      <c r="J417" s="376" t="s">
        <v>185</v>
      </c>
      <c r="K417" s="376" t="s">
        <v>407</v>
      </c>
      <c r="L417" s="376" t="s">
        <v>247</v>
      </c>
      <c r="M417" s="376" t="s">
        <v>170</v>
      </c>
      <c r="N417" s="376" t="s">
        <v>202</v>
      </c>
      <c r="O417" s="379">
        <v>1</v>
      </c>
      <c r="P417" s="460">
        <v>0.8</v>
      </c>
      <c r="Q417" s="460">
        <v>0.8</v>
      </c>
      <c r="R417" s="380">
        <v>80</v>
      </c>
      <c r="S417" s="460">
        <v>0.8</v>
      </c>
      <c r="T417" s="380">
        <v>43394.28</v>
      </c>
      <c r="U417" s="380">
        <v>0</v>
      </c>
      <c r="V417" s="380">
        <v>18395.509999999998</v>
      </c>
      <c r="W417" s="380">
        <v>50219.519999999997</v>
      </c>
      <c r="X417" s="380">
        <v>20688.16</v>
      </c>
      <c r="Y417" s="380">
        <v>50219.519999999997</v>
      </c>
      <c r="Z417" s="380">
        <v>20557.59</v>
      </c>
      <c r="AA417" s="376" t="s">
        <v>1048</v>
      </c>
      <c r="AB417" s="376" t="s">
        <v>1049</v>
      </c>
      <c r="AC417" s="376" t="s">
        <v>1050</v>
      </c>
      <c r="AD417" s="376" t="s">
        <v>215</v>
      </c>
      <c r="AE417" s="376" t="s">
        <v>407</v>
      </c>
      <c r="AF417" s="376" t="s">
        <v>299</v>
      </c>
      <c r="AG417" s="376" t="s">
        <v>177</v>
      </c>
      <c r="AH417" s="381">
        <v>30.18</v>
      </c>
      <c r="AI417" s="379">
        <v>24904</v>
      </c>
      <c r="AJ417" s="376" t="s">
        <v>178</v>
      </c>
      <c r="AK417" s="376" t="s">
        <v>179</v>
      </c>
      <c r="AL417" s="376" t="s">
        <v>180</v>
      </c>
      <c r="AM417" s="376" t="s">
        <v>181</v>
      </c>
      <c r="AN417" s="376" t="s">
        <v>68</v>
      </c>
      <c r="AO417" s="379">
        <v>80</v>
      </c>
      <c r="AP417" s="460">
        <v>1</v>
      </c>
      <c r="AQ417" s="460">
        <v>0.8</v>
      </c>
      <c r="AR417" s="458" t="s">
        <v>182</v>
      </c>
      <c r="AS417" s="462">
        <f t="shared" si="102"/>
        <v>0.8</v>
      </c>
      <c r="AT417">
        <f t="shared" si="103"/>
        <v>1</v>
      </c>
      <c r="AU417" s="462">
        <f>IF(AT417=0,"",IF(AND(AT417=1,M417="F",SUMIF(C2:C698,C417,AS2:AS698)&lt;=1),SUMIF(C2:C698,C417,AS2:AS698),IF(AND(AT417=1,M417="F",SUMIF(C2:C698,C417,AS2:AS698)&gt;1),1,"")))</f>
        <v>1</v>
      </c>
      <c r="AV417" s="462" t="str">
        <f>IF(AT417=0,"",IF(AND(AT417=3,M417="F",SUMIF(C2:C698,C417,AS2:AS698)&lt;=1),SUMIF(C2:C698,C417,AS2:AS698),IF(AND(AT417=3,M417="F",SUMIF(C2:C698,C417,AS2:AS698)&gt;1),1,"")))</f>
        <v/>
      </c>
      <c r="AW417" s="462">
        <f>SUMIF(C2:C698,C417,O2:O698)</f>
        <v>2</v>
      </c>
      <c r="AX417" s="462">
        <f>IF(AND(M417="F",AS417&lt;&gt;0),SUMIF(C2:C698,C417,W2:W698),0)</f>
        <v>62774.399999999994</v>
      </c>
      <c r="AY417" s="462">
        <f t="shared" si="104"/>
        <v>50219.519999999997</v>
      </c>
      <c r="AZ417" s="462" t="str">
        <f t="shared" si="105"/>
        <v/>
      </c>
      <c r="BA417" s="462">
        <f t="shared" si="106"/>
        <v>0</v>
      </c>
      <c r="BB417" s="462">
        <f>IF(AND(AT417=1,AK417="E",AU417&gt;=0.75,AW417=1),Health,IF(AND(AT417=1,AK417="E",AU417&gt;=0.75),Health*P417,IF(AND(AT417=1,AK417="E",AU417&gt;=0.5,AW417=1),PTHealth,IF(AND(AT417=1,AK417="E",AU417&gt;=0.5),PTHealth*P417,0))))</f>
        <v>9320</v>
      </c>
      <c r="BC417" s="462">
        <f>IF(AND(AT417=3,AK417="E",AV417&gt;=0.75,AW417=1),Health,IF(AND(AT417=3,AK417="E",AV417&gt;=0.75),Health*P417,IF(AND(AT417=3,AK417="E",AV417&gt;=0.5,AW417=1),PTHealth,IF(AND(AT417=3,AK417="E",AV417&gt;=0.5),PTHealth*P417,0))))</f>
        <v>0</v>
      </c>
      <c r="BD417" s="462">
        <f>IF(AND(AT417&lt;&gt;0,AX417&gt;=MAXSSDI),SSDI*MAXSSDI*P417,IF(AT417&lt;&gt;0,SSDI*W417,0))</f>
        <v>3113.61024</v>
      </c>
      <c r="BE417" s="462">
        <f>IF(AT417&lt;&gt;0,SSHI*W417,0)</f>
        <v>728.18304000000001</v>
      </c>
      <c r="BF417" s="462">
        <f>IF(AND(AT417&lt;&gt;0,AN417&lt;&gt;"NE"),VLOOKUP(AN417,Retirement_Rates,3,FALSE)*W417,0)</f>
        <v>5996.2106880000001</v>
      </c>
      <c r="BG417" s="462">
        <f>IF(AND(AT417&lt;&gt;0,AJ417&lt;&gt;"PF"),Life*W417,0)</f>
        <v>362.08273919999999</v>
      </c>
      <c r="BH417" s="462">
        <f>IF(AND(AT417&lt;&gt;0,AM417="Y"),UI*W417,0)</f>
        <v>246.07564799999997</v>
      </c>
      <c r="BI417" s="462">
        <f>IF(AND(AT417&lt;&gt;0,N417&lt;&gt;"NR"),DHR*W417,0)</f>
        <v>153.67173119999998</v>
      </c>
      <c r="BJ417" s="462">
        <f>IF(AT417&lt;&gt;0,WC*W417,0)</f>
        <v>768.35865599999988</v>
      </c>
      <c r="BK417" s="462">
        <f>IF(OR(AND(AT417&lt;&gt;0,AJ417&lt;&gt;"PF",AN417&lt;&gt;"NE",AG417&lt;&gt;"A"),AND(AL417="E",OR(AT417=1,AT417=3))),Sick*W417,0)</f>
        <v>0</v>
      </c>
      <c r="BL417" s="462">
        <f t="shared" si="107"/>
        <v>11368.1927424</v>
      </c>
      <c r="BM417" s="462">
        <f t="shared" si="108"/>
        <v>0</v>
      </c>
      <c r="BN417" s="462">
        <f>IF(AND(AT417=1,AK417="E",AU417&gt;=0.75,AW417=1),HealthBY,IF(AND(AT417=1,AK417="E",AU417&gt;=0.75),HealthBY*P417,IF(AND(AT417=1,AK417="E",AU417&gt;=0.5,AW417=1),PTHealthBY,IF(AND(AT417=1,AK417="E",AU417&gt;=0.5),PTHealthBY*P417,0))))</f>
        <v>9320</v>
      </c>
      <c r="BO417" s="462">
        <f>IF(AND(AT417=3,AK417="E",AV417&gt;=0.75,AW417=1),HealthBY,IF(AND(AT417=3,AK417="E",AV417&gt;=0.75),HealthBY*P417,IF(AND(AT417=3,AK417="E",AV417&gt;=0.5,AW417=1),PTHealthBY,IF(AND(AT417=3,AK417="E",AV417&gt;=0.5),PTHealthBY*P417,0))))</f>
        <v>0</v>
      </c>
      <c r="BP417" s="462">
        <f>IF(AND(AT417&lt;&gt;0,(AX417+BA417)&gt;=MAXSSDIBY),SSDIBY*MAXSSDIBY*P417,IF(AT417&lt;&gt;0,SSDIBY*W417,0))</f>
        <v>3113.61024</v>
      </c>
      <c r="BQ417" s="462">
        <f>IF(AT417&lt;&gt;0,SSHIBY*W417,0)</f>
        <v>728.18304000000001</v>
      </c>
      <c r="BR417" s="462">
        <f>IF(AND(AT417&lt;&gt;0,AN417&lt;&gt;"NE"),VLOOKUP(AN417,Retirement_Rates,4,FALSE)*W417,0)</f>
        <v>5996.2106880000001</v>
      </c>
      <c r="BS417" s="462">
        <f>IF(AND(AT417&lt;&gt;0,AJ417&lt;&gt;"PF"),LifeBY*W417,0)</f>
        <v>362.08273919999999</v>
      </c>
      <c r="BT417" s="462">
        <f>IF(AND(AT417&lt;&gt;0,AM417="Y"),UIBY*W417,0)</f>
        <v>0</v>
      </c>
      <c r="BU417" s="462">
        <f>IF(AND(AT417&lt;&gt;0,N417&lt;&gt;"NR"),DHRBY*W417,0)</f>
        <v>153.67173119999998</v>
      </c>
      <c r="BV417" s="462">
        <f>IF(AT417&lt;&gt;0,WCBY*W417,0)</f>
        <v>883.86355200000003</v>
      </c>
      <c r="BW417" s="462">
        <f>IF(OR(AND(AT417&lt;&gt;0,AJ417&lt;&gt;"PF",AN417&lt;&gt;"NE",AG417&lt;&gt;"A"),AND(AL417="E",OR(AT417=1,AT417=3))),SickBY*W417,0)</f>
        <v>0</v>
      </c>
      <c r="BX417" s="462">
        <f t="shared" si="109"/>
        <v>11237.621990400001</v>
      </c>
      <c r="BY417" s="462">
        <f t="shared" si="110"/>
        <v>0</v>
      </c>
      <c r="BZ417" s="462">
        <f t="shared" si="111"/>
        <v>0</v>
      </c>
      <c r="CA417" s="462">
        <f t="shared" si="112"/>
        <v>0</v>
      </c>
      <c r="CB417" s="462">
        <f t="shared" si="113"/>
        <v>0</v>
      </c>
      <c r="CC417" s="462">
        <f>IF(AT417&lt;&gt;0,SSHICHG*Y417,0)</f>
        <v>0</v>
      </c>
      <c r="CD417" s="462">
        <f>IF(AND(AT417&lt;&gt;0,AN417&lt;&gt;"NE"),VLOOKUP(AN417,Retirement_Rates,5,FALSE)*Y417,0)</f>
        <v>0</v>
      </c>
      <c r="CE417" s="462">
        <f>IF(AND(AT417&lt;&gt;0,AJ417&lt;&gt;"PF"),LifeCHG*Y417,0)</f>
        <v>0</v>
      </c>
      <c r="CF417" s="462">
        <f>IF(AND(AT417&lt;&gt;0,AM417="Y"),UICHG*Y417,0)</f>
        <v>-246.07564799999997</v>
      </c>
      <c r="CG417" s="462">
        <f>IF(AND(AT417&lt;&gt;0,N417&lt;&gt;"NR"),DHRCHG*Y417,0)</f>
        <v>0</v>
      </c>
      <c r="CH417" s="462">
        <f>IF(AT417&lt;&gt;0,WCCHG*Y417,0)</f>
        <v>115.50489600000007</v>
      </c>
      <c r="CI417" s="462">
        <f>IF(OR(AND(AT417&lt;&gt;0,AJ417&lt;&gt;"PF",AN417&lt;&gt;"NE",AG417&lt;&gt;"A"),AND(AL417="E",OR(AT417=1,AT417=3))),SickCHG*Y417,0)</f>
        <v>0</v>
      </c>
      <c r="CJ417" s="462">
        <f t="shared" si="114"/>
        <v>-130.57075199999991</v>
      </c>
      <c r="CK417" s="462" t="str">
        <f t="shared" si="115"/>
        <v/>
      </c>
      <c r="CL417" s="462" t="str">
        <f t="shared" si="116"/>
        <v/>
      </c>
      <c r="CM417" s="462" t="str">
        <f t="shared" si="117"/>
        <v/>
      </c>
      <c r="CN417" s="462" t="str">
        <f t="shared" si="118"/>
        <v>0001-00</v>
      </c>
    </row>
    <row r="418" spans="1:92" ht="15" thickBot="1" x14ac:dyDescent="0.35">
      <c r="A418" s="376" t="s">
        <v>161</v>
      </c>
      <c r="B418" s="376" t="s">
        <v>162</v>
      </c>
      <c r="C418" s="376" t="s">
        <v>1051</v>
      </c>
      <c r="D418" s="376" t="s">
        <v>272</v>
      </c>
      <c r="E418" s="376" t="s">
        <v>165</v>
      </c>
      <c r="F418" s="377" t="s">
        <v>166</v>
      </c>
      <c r="G418" s="376" t="s">
        <v>1010</v>
      </c>
      <c r="H418" s="378"/>
      <c r="I418" s="378"/>
      <c r="J418" s="376" t="s">
        <v>168</v>
      </c>
      <c r="K418" s="376" t="s">
        <v>273</v>
      </c>
      <c r="L418" s="376" t="s">
        <v>274</v>
      </c>
      <c r="M418" s="376" t="s">
        <v>170</v>
      </c>
      <c r="N418" s="376" t="s">
        <v>202</v>
      </c>
      <c r="O418" s="379">
        <v>1</v>
      </c>
      <c r="P418" s="460">
        <v>0</v>
      </c>
      <c r="Q418" s="460">
        <v>0</v>
      </c>
      <c r="R418" s="380">
        <v>80</v>
      </c>
      <c r="S418" s="460">
        <v>0</v>
      </c>
      <c r="T418" s="380">
        <v>648.26</v>
      </c>
      <c r="U418" s="380">
        <v>0</v>
      </c>
      <c r="V418" s="380">
        <v>352.88</v>
      </c>
      <c r="W418" s="380">
        <v>0</v>
      </c>
      <c r="X418" s="380">
        <v>0</v>
      </c>
      <c r="Y418" s="380">
        <v>0</v>
      </c>
      <c r="Z418" s="380">
        <v>0</v>
      </c>
      <c r="AA418" s="376" t="s">
        <v>1052</v>
      </c>
      <c r="AB418" s="376" t="s">
        <v>1053</v>
      </c>
      <c r="AC418" s="376" t="s">
        <v>1054</v>
      </c>
      <c r="AD418" s="376" t="s">
        <v>349</v>
      </c>
      <c r="AE418" s="376" t="s">
        <v>273</v>
      </c>
      <c r="AF418" s="376" t="s">
        <v>279</v>
      </c>
      <c r="AG418" s="376" t="s">
        <v>177</v>
      </c>
      <c r="AH418" s="381">
        <v>17.5</v>
      </c>
      <c r="AI418" s="379">
        <v>784</v>
      </c>
      <c r="AJ418" s="376" t="s">
        <v>178</v>
      </c>
      <c r="AK418" s="376" t="s">
        <v>179</v>
      </c>
      <c r="AL418" s="376" t="s">
        <v>180</v>
      </c>
      <c r="AM418" s="376" t="s">
        <v>181</v>
      </c>
      <c r="AN418" s="376" t="s">
        <v>68</v>
      </c>
      <c r="AO418" s="379">
        <v>80</v>
      </c>
      <c r="AP418" s="460">
        <v>1</v>
      </c>
      <c r="AQ418" s="460">
        <v>0</v>
      </c>
      <c r="AR418" s="458" t="s">
        <v>182</v>
      </c>
      <c r="AS418" s="462">
        <f t="shared" si="102"/>
        <v>0</v>
      </c>
      <c r="AT418">
        <f t="shared" si="103"/>
        <v>0</v>
      </c>
      <c r="AU418" s="462" t="str">
        <f>IF(AT418=0,"",IF(AND(AT418=1,M418="F",SUMIF(C2:C698,C418,AS2:AS698)&lt;=1),SUMIF(C2:C698,C418,AS2:AS698),IF(AND(AT418=1,M418="F",SUMIF(C2:C698,C418,AS2:AS698)&gt;1),1,"")))</f>
        <v/>
      </c>
      <c r="AV418" s="462" t="str">
        <f>IF(AT418=0,"",IF(AND(AT418=3,M418="F",SUMIF(C2:C698,C418,AS2:AS698)&lt;=1),SUMIF(C2:C698,C418,AS2:AS698),IF(AND(AT418=3,M418="F",SUMIF(C2:C698,C418,AS2:AS698)&gt;1),1,"")))</f>
        <v/>
      </c>
      <c r="AW418" s="462">
        <f>SUMIF(C2:C698,C418,O2:O698)</f>
        <v>3</v>
      </c>
      <c r="AX418" s="462">
        <f>IF(AND(M418="F",AS418&lt;&gt;0),SUMIF(C2:C698,C418,W2:W698),0)</f>
        <v>0</v>
      </c>
      <c r="AY418" s="462" t="str">
        <f t="shared" si="104"/>
        <v/>
      </c>
      <c r="AZ418" s="462" t="str">
        <f t="shared" si="105"/>
        <v/>
      </c>
      <c r="BA418" s="462">
        <f t="shared" si="106"/>
        <v>0</v>
      </c>
      <c r="BB418" s="462">
        <f>IF(AND(AT418=1,AK418="E",AU418&gt;=0.75,AW418=1),Health,IF(AND(AT418=1,AK418="E",AU418&gt;=0.75),Health*P418,IF(AND(AT418=1,AK418="E",AU418&gt;=0.5,AW418=1),PTHealth,IF(AND(AT418=1,AK418="E",AU418&gt;=0.5),PTHealth*P418,0))))</f>
        <v>0</v>
      </c>
      <c r="BC418" s="462">
        <f>IF(AND(AT418=3,AK418="E",AV418&gt;=0.75,AW418=1),Health,IF(AND(AT418=3,AK418="E",AV418&gt;=0.75),Health*P418,IF(AND(AT418=3,AK418="E",AV418&gt;=0.5,AW418=1),PTHealth,IF(AND(AT418=3,AK418="E",AV418&gt;=0.5),PTHealth*P418,0))))</f>
        <v>0</v>
      </c>
      <c r="BD418" s="462">
        <f>IF(AND(AT418&lt;&gt;0,AX418&gt;=MAXSSDI),SSDI*MAXSSDI*P418,IF(AT418&lt;&gt;0,SSDI*W418,0))</f>
        <v>0</v>
      </c>
      <c r="BE418" s="462">
        <f>IF(AT418&lt;&gt;0,SSHI*W418,0)</f>
        <v>0</v>
      </c>
      <c r="BF418" s="462">
        <f>IF(AND(AT418&lt;&gt;0,AN418&lt;&gt;"NE"),VLOOKUP(AN418,Retirement_Rates,3,FALSE)*W418,0)</f>
        <v>0</v>
      </c>
      <c r="BG418" s="462">
        <f>IF(AND(AT418&lt;&gt;0,AJ418&lt;&gt;"PF"),Life*W418,0)</f>
        <v>0</v>
      </c>
      <c r="BH418" s="462">
        <f>IF(AND(AT418&lt;&gt;0,AM418="Y"),UI*W418,0)</f>
        <v>0</v>
      </c>
      <c r="BI418" s="462">
        <f>IF(AND(AT418&lt;&gt;0,N418&lt;&gt;"NR"),DHR*W418,0)</f>
        <v>0</v>
      </c>
      <c r="BJ418" s="462">
        <f>IF(AT418&lt;&gt;0,WC*W418,0)</f>
        <v>0</v>
      </c>
      <c r="BK418" s="462">
        <f>IF(OR(AND(AT418&lt;&gt;0,AJ418&lt;&gt;"PF",AN418&lt;&gt;"NE",AG418&lt;&gt;"A"),AND(AL418="E",OR(AT418=1,AT418=3))),Sick*W418,0)</f>
        <v>0</v>
      </c>
      <c r="BL418" s="462">
        <f t="shared" si="107"/>
        <v>0</v>
      </c>
      <c r="BM418" s="462">
        <f t="shared" si="108"/>
        <v>0</v>
      </c>
      <c r="BN418" s="462">
        <f>IF(AND(AT418=1,AK418="E",AU418&gt;=0.75,AW418=1),HealthBY,IF(AND(AT418=1,AK418="E",AU418&gt;=0.75),HealthBY*P418,IF(AND(AT418=1,AK418="E",AU418&gt;=0.5,AW418=1),PTHealthBY,IF(AND(AT418=1,AK418="E",AU418&gt;=0.5),PTHealthBY*P418,0))))</f>
        <v>0</v>
      </c>
      <c r="BO418" s="462">
        <f>IF(AND(AT418=3,AK418="E",AV418&gt;=0.75,AW418=1),HealthBY,IF(AND(AT418=3,AK418="E",AV418&gt;=0.75),HealthBY*P418,IF(AND(AT418=3,AK418="E",AV418&gt;=0.5,AW418=1),PTHealthBY,IF(AND(AT418=3,AK418="E",AV418&gt;=0.5),PTHealthBY*P418,0))))</f>
        <v>0</v>
      </c>
      <c r="BP418" s="462">
        <f>IF(AND(AT418&lt;&gt;0,(AX418+BA418)&gt;=MAXSSDIBY),SSDIBY*MAXSSDIBY*P418,IF(AT418&lt;&gt;0,SSDIBY*W418,0))</f>
        <v>0</v>
      </c>
      <c r="BQ418" s="462">
        <f>IF(AT418&lt;&gt;0,SSHIBY*W418,0)</f>
        <v>0</v>
      </c>
      <c r="BR418" s="462">
        <f>IF(AND(AT418&lt;&gt;0,AN418&lt;&gt;"NE"),VLOOKUP(AN418,Retirement_Rates,4,FALSE)*W418,0)</f>
        <v>0</v>
      </c>
      <c r="BS418" s="462">
        <f>IF(AND(AT418&lt;&gt;0,AJ418&lt;&gt;"PF"),LifeBY*W418,0)</f>
        <v>0</v>
      </c>
      <c r="BT418" s="462">
        <f>IF(AND(AT418&lt;&gt;0,AM418="Y"),UIBY*W418,0)</f>
        <v>0</v>
      </c>
      <c r="BU418" s="462">
        <f>IF(AND(AT418&lt;&gt;0,N418&lt;&gt;"NR"),DHRBY*W418,0)</f>
        <v>0</v>
      </c>
      <c r="BV418" s="462">
        <f>IF(AT418&lt;&gt;0,WCBY*W418,0)</f>
        <v>0</v>
      </c>
      <c r="BW418" s="462">
        <f>IF(OR(AND(AT418&lt;&gt;0,AJ418&lt;&gt;"PF",AN418&lt;&gt;"NE",AG418&lt;&gt;"A"),AND(AL418="E",OR(AT418=1,AT418=3))),SickBY*W418,0)</f>
        <v>0</v>
      </c>
      <c r="BX418" s="462">
        <f t="shared" si="109"/>
        <v>0</v>
      </c>
      <c r="BY418" s="462">
        <f t="shared" si="110"/>
        <v>0</v>
      </c>
      <c r="BZ418" s="462">
        <f t="shared" si="111"/>
        <v>0</v>
      </c>
      <c r="CA418" s="462">
        <f t="shared" si="112"/>
        <v>0</v>
      </c>
      <c r="CB418" s="462">
        <f t="shared" si="113"/>
        <v>0</v>
      </c>
      <c r="CC418" s="462">
        <f>IF(AT418&lt;&gt;0,SSHICHG*Y418,0)</f>
        <v>0</v>
      </c>
      <c r="CD418" s="462">
        <f>IF(AND(AT418&lt;&gt;0,AN418&lt;&gt;"NE"),VLOOKUP(AN418,Retirement_Rates,5,FALSE)*Y418,0)</f>
        <v>0</v>
      </c>
      <c r="CE418" s="462">
        <f>IF(AND(AT418&lt;&gt;0,AJ418&lt;&gt;"PF"),LifeCHG*Y418,0)</f>
        <v>0</v>
      </c>
      <c r="CF418" s="462">
        <f>IF(AND(AT418&lt;&gt;0,AM418="Y"),UICHG*Y418,0)</f>
        <v>0</v>
      </c>
      <c r="CG418" s="462">
        <f>IF(AND(AT418&lt;&gt;0,N418&lt;&gt;"NR"),DHRCHG*Y418,0)</f>
        <v>0</v>
      </c>
      <c r="CH418" s="462">
        <f>IF(AT418&lt;&gt;0,WCCHG*Y418,0)</f>
        <v>0</v>
      </c>
      <c r="CI418" s="462">
        <f>IF(OR(AND(AT418&lt;&gt;0,AJ418&lt;&gt;"PF",AN418&lt;&gt;"NE",AG418&lt;&gt;"A"),AND(AL418="E",OR(AT418=1,AT418=3))),SickCHG*Y418,0)</f>
        <v>0</v>
      </c>
      <c r="CJ418" s="462">
        <f t="shared" si="114"/>
        <v>0</v>
      </c>
      <c r="CK418" s="462" t="str">
        <f t="shared" si="115"/>
        <v/>
      </c>
      <c r="CL418" s="462" t="str">
        <f t="shared" si="116"/>
        <v/>
      </c>
      <c r="CM418" s="462" t="str">
        <f t="shared" si="117"/>
        <v/>
      </c>
      <c r="CN418" s="462" t="str">
        <f t="shared" si="118"/>
        <v>0001-00</v>
      </c>
    </row>
    <row r="419" spans="1:92" ht="15" thickBot="1" x14ac:dyDescent="0.35">
      <c r="A419" s="376" t="s">
        <v>161</v>
      </c>
      <c r="B419" s="376" t="s">
        <v>162</v>
      </c>
      <c r="C419" s="376" t="s">
        <v>390</v>
      </c>
      <c r="D419" s="376" t="s">
        <v>339</v>
      </c>
      <c r="E419" s="376" t="s">
        <v>165</v>
      </c>
      <c r="F419" s="377" t="s">
        <v>166</v>
      </c>
      <c r="G419" s="376" t="s">
        <v>1010</v>
      </c>
      <c r="H419" s="378"/>
      <c r="I419" s="378"/>
      <c r="J419" s="376" t="s">
        <v>185</v>
      </c>
      <c r="K419" s="376" t="s">
        <v>340</v>
      </c>
      <c r="L419" s="376" t="s">
        <v>247</v>
      </c>
      <c r="M419" s="376" t="s">
        <v>170</v>
      </c>
      <c r="N419" s="376" t="s">
        <v>202</v>
      </c>
      <c r="O419" s="379">
        <v>1</v>
      </c>
      <c r="P419" s="460">
        <v>0</v>
      </c>
      <c r="Q419" s="460">
        <v>0</v>
      </c>
      <c r="R419" s="380">
        <v>80</v>
      </c>
      <c r="S419" s="460">
        <v>0</v>
      </c>
      <c r="T419" s="380">
        <v>4313.17</v>
      </c>
      <c r="U419" s="380">
        <v>0</v>
      </c>
      <c r="V419" s="380">
        <v>1324.83</v>
      </c>
      <c r="W419" s="380">
        <v>0</v>
      </c>
      <c r="X419" s="380">
        <v>0</v>
      </c>
      <c r="Y419" s="380">
        <v>0</v>
      </c>
      <c r="Z419" s="380">
        <v>0</v>
      </c>
      <c r="AA419" s="376" t="s">
        <v>391</v>
      </c>
      <c r="AB419" s="376" t="s">
        <v>392</v>
      </c>
      <c r="AC419" s="376" t="s">
        <v>393</v>
      </c>
      <c r="AD419" s="376" t="s">
        <v>394</v>
      </c>
      <c r="AE419" s="376" t="s">
        <v>340</v>
      </c>
      <c r="AF419" s="376" t="s">
        <v>299</v>
      </c>
      <c r="AG419" s="376" t="s">
        <v>177</v>
      </c>
      <c r="AH419" s="381">
        <v>41.15</v>
      </c>
      <c r="AI419" s="379">
        <v>33121</v>
      </c>
      <c r="AJ419" s="376" t="s">
        <v>178</v>
      </c>
      <c r="AK419" s="376" t="s">
        <v>179</v>
      </c>
      <c r="AL419" s="376" t="s">
        <v>180</v>
      </c>
      <c r="AM419" s="376" t="s">
        <v>181</v>
      </c>
      <c r="AN419" s="376" t="s">
        <v>68</v>
      </c>
      <c r="AO419" s="379">
        <v>80</v>
      </c>
      <c r="AP419" s="460">
        <v>1</v>
      </c>
      <c r="AQ419" s="460">
        <v>0</v>
      </c>
      <c r="AR419" s="458" t="s">
        <v>182</v>
      </c>
      <c r="AS419" s="462">
        <f t="shared" si="102"/>
        <v>0</v>
      </c>
      <c r="AT419">
        <f t="shared" si="103"/>
        <v>0</v>
      </c>
      <c r="AU419" s="462" t="str">
        <f>IF(AT419=0,"",IF(AND(AT419=1,M419="F",SUMIF(C2:C698,C419,AS2:AS698)&lt;=1),SUMIF(C2:C698,C419,AS2:AS698),IF(AND(AT419=1,M419="F",SUMIF(C2:C698,C419,AS2:AS698)&gt;1),1,"")))</f>
        <v/>
      </c>
      <c r="AV419" s="462" t="str">
        <f>IF(AT419=0,"",IF(AND(AT419=3,M419="F",SUMIF(C2:C698,C419,AS2:AS698)&lt;=1),SUMIF(C2:C698,C419,AS2:AS698),IF(AND(AT419=3,M419="F",SUMIF(C2:C698,C419,AS2:AS698)&gt;1),1,"")))</f>
        <v/>
      </c>
      <c r="AW419" s="462">
        <f>SUMIF(C2:C698,C419,O2:O698)</f>
        <v>6</v>
      </c>
      <c r="AX419" s="462">
        <f>IF(AND(M419="F",AS419&lt;&gt;0),SUMIF(C2:C698,C419,W2:W698),0)</f>
        <v>0</v>
      </c>
      <c r="AY419" s="462" t="str">
        <f t="shared" si="104"/>
        <v/>
      </c>
      <c r="AZ419" s="462" t="str">
        <f t="shared" si="105"/>
        <v/>
      </c>
      <c r="BA419" s="462">
        <f t="shared" si="106"/>
        <v>0</v>
      </c>
      <c r="BB419" s="462">
        <f>IF(AND(AT419=1,AK419="E",AU419&gt;=0.75,AW419=1),Health,IF(AND(AT419=1,AK419="E",AU419&gt;=0.75),Health*P419,IF(AND(AT419=1,AK419="E",AU419&gt;=0.5,AW419=1),PTHealth,IF(AND(AT419=1,AK419="E",AU419&gt;=0.5),PTHealth*P419,0))))</f>
        <v>0</v>
      </c>
      <c r="BC419" s="462">
        <f>IF(AND(AT419=3,AK419="E",AV419&gt;=0.75,AW419=1),Health,IF(AND(AT419=3,AK419="E",AV419&gt;=0.75),Health*P419,IF(AND(AT419=3,AK419="E",AV419&gt;=0.5,AW419=1),PTHealth,IF(AND(AT419=3,AK419="E",AV419&gt;=0.5),PTHealth*P419,0))))</f>
        <v>0</v>
      </c>
      <c r="BD419" s="462">
        <f>IF(AND(AT419&lt;&gt;0,AX419&gt;=MAXSSDI),SSDI*MAXSSDI*P419,IF(AT419&lt;&gt;0,SSDI*W419,0))</f>
        <v>0</v>
      </c>
      <c r="BE419" s="462">
        <f>IF(AT419&lt;&gt;0,SSHI*W419,0)</f>
        <v>0</v>
      </c>
      <c r="BF419" s="462">
        <f>IF(AND(AT419&lt;&gt;0,AN419&lt;&gt;"NE"),VLOOKUP(AN419,Retirement_Rates,3,FALSE)*W419,0)</f>
        <v>0</v>
      </c>
      <c r="BG419" s="462">
        <f>IF(AND(AT419&lt;&gt;0,AJ419&lt;&gt;"PF"),Life*W419,0)</f>
        <v>0</v>
      </c>
      <c r="BH419" s="462">
        <f>IF(AND(AT419&lt;&gt;0,AM419="Y"),UI*W419,0)</f>
        <v>0</v>
      </c>
      <c r="BI419" s="462">
        <f>IF(AND(AT419&lt;&gt;0,N419&lt;&gt;"NR"),DHR*W419,0)</f>
        <v>0</v>
      </c>
      <c r="BJ419" s="462">
        <f>IF(AT419&lt;&gt;0,WC*W419,0)</f>
        <v>0</v>
      </c>
      <c r="BK419" s="462">
        <f>IF(OR(AND(AT419&lt;&gt;0,AJ419&lt;&gt;"PF",AN419&lt;&gt;"NE",AG419&lt;&gt;"A"),AND(AL419="E",OR(AT419=1,AT419=3))),Sick*W419,0)</f>
        <v>0</v>
      </c>
      <c r="BL419" s="462">
        <f t="shared" si="107"/>
        <v>0</v>
      </c>
      <c r="BM419" s="462">
        <f t="shared" si="108"/>
        <v>0</v>
      </c>
      <c r="BN419" s="462">
        <f>IF(AND(AT419=1,AK419="E",AU419&gt;=0.75,AW419=1),HealthBY,IF(AND(AT419=1,AK419="E",AU419&gt;=0.75),HealthBY*P419,IF(AND(AT419=1,AK419="E",AU419&gt;=0.5,AW419=1),PTHealthBY,IF(AND(AT419=1,AK419="E",AU419&gt;=0.5),PTHealthBY*P419,0))))</f>
        <v>0</v>
      </c>
      <c r="BO419" s="462">
        <f>IF(AND(AT419=3,AK419="E",AV419&gt;=0.75,AW419=1),HealthBY,IF(AND(AT419=3,AK419="E",AV419&gt;=0.75),HealthBY*P419,IF(AND(AT419=3,AK419="E",AV419&gt;=0.5,AW419=1),PTHealthBY,IF(AND(AT419=3,AK419="E",AV419&gt;=0.5),PTHealthBY*P419,0))))</f>
        <v>0</v>
      </c>
      <c r="BP419" s="462">
        <f>IF(AND(AT419&lt;&gt;0,(AX419+BA419)&gt;=MAXSSDIBY),SSDIBY*MAXSSDIBY*P419,IF(AT419&lt;&gt;0,SSDIBY*W419,0))</f>
        <v>0</v>
      </c>
      <c r="BQ419" s="462">
        <f>IF(AT419&lt;&gt;0,SSHIBY*W419,0)</f>
        <v>0</v>
      </c>
      <c r="BR419" s="462">
        <f>IF(AND(AT419&lt;&gt;0,AN419&lt;&gt;"NE"),VLOOKUP(AN419,Retirement_Rates,4,FALSE)*W419,0)</f>
        <v>0</v>
      </c>
      <c r="BS419" s="462">
        <f>IF(AND(AT419&lt;&gt;0,AJ419&lt;&gt;"PF"),LifeBY*W419,0)</f>
        <v>0</v>
      </c>
      <c r="BT419" s="462">
        <f>IF(AND(AT419&lt;&gt;0,AM419="Y"),UIBY*W419,0)</f>
        <v>0</v>
      </c>
      <c r="BU419" s="462">
        <f>IF(AND(AT419&lt;&gt;0,N419&lt;&gt;"NR"),DHRBY*W419,0)</f>
        <v>0</v>
      </c>
      <c r="BV419" s="462">
        <f>IF(AT419&lt;&gt;0,WCBY*W419,0)</f>
        <v>0</v>
      </c>
      <c r="BW419" s="462">
        <f>IF(OR(AND(AT419&lt;&gt;0,AJ419&lt;&gt;"PF",AN419&lt;&gt;"NE",AG419&lt;&gt;"A"),AND(AL419="E",OR(AT419=1,AT419=3))),SickBY*W419,0)</f>
        <v>0</v>
      </c>
      <c r="BX419" s="462">
        <f t="shared" si="109"/>
        <v>0</v>
      </c>
      <c r="BY419" s="462">
        <f t="shared" si="110"/>
        <v>0</v>
      </c>
      <c r="BZ419" s="462">
        <f t="shared" si="111"/>
        <v>0</v>
      </c>
      <c r="CA419" s="462">
        <f t="shared" si="112"/>
        <v>0</v>
      </c>
      <c r="CB419" s="462">
        <f t="shared" si="113"/>
        <v>0</v>
      </c>
      <c r="CC419" s="462">
        <f>IF(AT419&lt;&gt;0,SSHICHG*Y419,0)</f>
        <v>0</v>
      </c>
      <c r="CD419" s="462">
        <f>IF(AND(AT419&lt;&gt;0,AN419&lt;&gt;"NE"),VLOOKUP(AN419,Retirement_Rates,5,FALSE)*Y419,0)</f>
        <v>0</v>
      </c>
      <c r="CE419" s="462">
        <f>IF(AND(AT419&lt;&gt;0,AJ419&lt;&gt;"PF"),LifeCHG*Y419,0)</f>
        <v>0</v>
      </c>
      <c r="CF419" s="462">
        <f>IF(AND(AT419&lt;&gt;0,AM419="Y"),UICHG*Y419,0)</f>
        <v>0</v>
      </c>
      <c r="CG419" s="462">
        <f>IF(AND(AT419&lt;&gt;0,N419&lt;&gt;"NR"),DHRCHG*Y419,0)</f>
        <v>0</v>
      </c>
      <c r="CH419" s="462">
        <f>IF(AT419&lt;&gt;0,WCCHG*Y419,0)</f>
        <v>0</v>
      </c>
      <c r="CI419" s="462">
        <f>IF(OR(AND(AT419&lt;&gt;0,AJ419&lt;&gt;"PF",AN419&lt;&gt;"NE",AG419&lt;&gt;"A"),AND(AL419="E",OR(AT419=1,AT419=3))),SickCHG*Y419,0)</f>
        <v>0</v>
      </c>
      <c r="CJ419" s="462">
        <f t="shared" si="114"/>
        <v>0</v>
      </c>
      <c r="CK419" s="462" t="str">
        <f t="shared" si="115"/>
        <v/>
      </c>
      <c r="CL419" s="462" t="str">
        <f t="shared" si="116"/>
        <v/>
      </c>
      <c r="CM419" s="462" t="str">
        <f t="shared" si="117"/>
        <v/>
      </c>
      <c r="CN419" s="462" t="str">
        <f t="shared" si="118"/>
        <v>0001-00</v>
      </c>
    </row>
    <row r="420" spans="1:92" ht="15" thickBot="1" x14ac:dyDescent="0.35">
      <c r="A420" s="376" t="s">
        <v>161</v>
      </c>
      <c r="B420" s="376" t="s">
        <v>162</v>
      </c>
      <c r="C420" s="376" t="s">
        <v>1055</v>
      </c>
      <c r="D420" s="376" t="s">
        <v>362</v>
      </c>
      <c r="E420" s="376" t="s">
        <v>165</v>
      </c>
      <c r="F420" s="377" t="s">
        <v>166</v>
      </c>
      <c r="G420" s="376" t="s">
        <v>1010</v>
      </c>
      <c r="H420" s="378"/>
      <c r="I420" s="378"/>
      <c r="J420" s="376" t="s">
        <v>168</v>
      </c>
      <c r="K420" s="376" t="s">
        <v>363</v>
      </c>
      <c r="L420" s="376" t="s">
        <v>200</v>
      </c>
      <c r="M420" s="376" t="s">
        <v>201</v>
      </c>
      <c r="N420" s="376" t="s">
        <v>202</v>
      </c>
      <c r="O420" s="379">
        <v>0</v>
      </c>
      <c r="P420" s="460">
        <v>0</v>
      </c>
      <c r="Q420" s="460">
        <v>0</v>
      </c>
      <c r="R420" s="380">
        <v>80</v>
      </c>
      <c r="S420" s="460">
        <v>0</v>
      </c>
      <c r="T420" s="380">
        <v>43847.199999999997</v>
      </c>
      <c r="U420" s="380">
        <v>0</v>
      </c>
      <c r="V420" s="380">
        <v>19323.13</v>
      </c>
      <c r="W420" s="380">
        <v>0</v>
      </c>
      <c r="X420" s="380">
        <v>0</v>
      </c>
      <c r="Y420" s="380">
        <v>0</v>
      </c>
      <c r="Z420" s="380">
        <v>0</v>
      </c>
      <c r="AA420" s="378"/>
      <c r="AB420" s="376" t="s">
        <v>45</v>
      </c>
      <c r="AC420" s="376" t="s">
        <v>45</v>
      </c>
      <c r="AD420" s="378"/>
      <c r="AE420" s="378"/>
      <c r="AF420" s="378"/>
      <c r="AG420" s="378"/>
      <c r="AH420" s="379">
        <v>0</v>
      </c>
      <c r="AI420" s="379">
        <v>0</v>
      </c>
      <c r="AJ420" s="378"/>
      <c r="AK420" s="378"/>
      <c r="AL420" s="376" t="s">
        <v>180</v>
      </c>
      <c r="AM420" s="378"/>
      <c r="AN420" s="378"/>
      <c r="AO420" s="379">
        <v>0</v>
      </c>
      <c r="AP420" s="460">
        <v>0</v>
      </c>
      <c r="AQ420" s="460">
        <v>0</v>
      </c>
      <c r="AR420" s="459"/>
      <c r="AS420" s="462">
        <f t="shared" si="102"/>
        <v>0</v>
      </c>
      <c r="AT420">
        <f t="shared" si="103"/>
        <v>0</v>
      </c>
      <c r="AU420" s="462" t="str">
        <f>IF(AT420=0,"",IF(AND(AT420=1,M420="F",SUMIF(C2:C698,C420,AS2:AS698)&lt;=1),SUMIF(C2:C698,C420,AS2:AS698),IF(AND(AT420=1,M420="F",SUMIF(C2:C698,C420,AS2:AS698)&gt;1),1,"")))</f>
        <v/>
      </c>
      <c r="AV420" s="462" t="str">
        <f>IF(AT420=0,"",IF(AND(AT420=3,M420="F",SUMIF(C2:C698,C420,AS2:AS698)&lt;=1),SUMIF(C2:C698,C420,AS2:AS698),IF(AND(AT420=3,M420="F",SUMIF(C2:C698,C420,AS2:AS698)&gt;1),1,"")))</f>
        <v/>
      </c>
      <c r="AW420" s="462">
        <f>SUMIF(C2:C698,C420,O2:O698)</f>
        <v>0</v>
      </c>
      <c r="AX420" s="462">
        <f>IF(AND(M420="F",AS420&lt;&gt;0),SUMIF(C2:C698,C420,W2:W698),0)</f>
        <v>0</v>
      </c>
      <c r="AY420" s="462" t="str">
        <f t="shared" si="104"/>
        <v/>
      </c>
      <c r="AZ420" s="462" t="str">
        <f t="shared" si="105"/>
        <v/>
      </c>
      <c r="BA420" s="462">
        <f t="shared" si="106"/>
        <v>0</v>
      </c>
      <c r="BB420" s="462">
        <f>IF(AND(AT420=1,AK420="E",AU420&gt;=0.75,AW420=1),Health,IF(AND(AT420=1,AK420="E",AU420&gt;=0.75),Health*P420,IF(AND(AT420=1,AK420="E",AU420&gt;=0.5,AW420=1),PTHealth,IF(AND(AT420=1,AK420="E",AU420&gt;=0.5),PTHealth*P420,0))))</f>
        <v>0</v>
      </c>
      <c r="BC420" s="462">
        <f>IF(AND(AT420=3,AK420="E",AV420&gt;=0.75,AW420=1),Health,IF(AND(AT420=3,AK420="E",AV420&gt;=0.75),Health*P420,IF(AND(AT420=3,AK420="E",AV420&gt;=0.5,AW420=1),PTHealth,IF(AND(AT420=3,AK420="E",AV420&gt;=0.5),PTHealth*P420,0))))</f>
        <v>0</v>
      </c>
      <c r="BD420" s="462">
        <f>IF(AND(AT420&lt;&gt;0,AX420&gt;=MAXSSDI),SSDI*MAXSSDI*P420,IF(AT420&lt;&gt;0,SSDI*W420,0))</f>
        <v>0</v>
      </c>
      <c r="BE420" s="462">
        <f>IF(AT420&lt;&gt;0,SSHI*W420,0)</f>
        <v>0</v>
      </c>
      <c r="BF420" s="462">
        <f>IF(AND(AT420&lt;&gt;0,AN420&lt;&gt;"NE"),VLOOKUP(AN420,Retirement_Rates,3,FALSE)*W420,0)</f>
        <v>0</v>
      </c>
      <c r="BG420" s="462">
        <f>IF(AND(AT420&lt;&gt;0,AJ420&lt;&gt;"PF"),Life*W420,0)</f>
        <v>0</v>
      </c>
      <c r="BH420" s="462">
        <f>IF(AND(AT420&lt;&gt;0,AM420="Y"),UI*W420,0)</f>
        <v>0</v>
      </c>
      <c r="BI420" s="462">
        <f>IF(AND(AT420&lt;&gt;0,N420&lt;&gt;"NR"),DHR*W420,0)</f>
        <v>0</v>
      </c>
      <c r="BJ420" s="462">
        <f>IF(AT420&lt;&gt;0,WC*W420,0)</f>
        <v>0</v>
      </c>
      <c r="BK420" s="462">
        <f>IF(OR(AND(AT420&lt;&gt;0,AJ420&lt;&gt;"PF",AN420&lt;&gt;"NE",AG420&lt;&gt;"A"),AND(AL420="E",OR(AT420=1,AT420=3))),Sick*W420,0)</f>
        <v>0</v>
      </c>
      <c r="BL420" s="462">
        <f t="shared" si="107"/>
        <v>0</v>
      </c>
      <c r="BM420" s="462">
        <f t="shared" si="108"/>
        <v>0</v>
      </c>
      <c r="BN420" s="462">
        <f>IF(AND(AT420=1,AK420="E",AU420&gt;=0.75,AW420=1),HealthBY,IF(AND(AT420=1,AK420="E",AU420&gt;=0.75),HealthBY*P420,IF(AND(AT420=1,AK420="E",AU420&gt;=0.5,AW420=1),PTHealthBY,IF(AND(AT420=1,AK420="E",AU420&gt;=0.5),PTHealthBY*P420,0))))</f>
        <v>0</v>
      </c>
      <c r="BO420" s="462">
        <f>IF(AND(AT420=3,AK420="E",AV420&gt;=0.75,AW420=1),HealthBY,IF(AND(AT420=3,AK420="E",AV420&gt;=0.75),HealthBY*P420,IF(AND(AT420=3,AK420="E",AV420&gt;=0.5,AW420=1),PTHealthBY,IF(AND(AT420=3,AK420="E",AV420&gt;=0.5),PTHealthBY*P420,0))))</f>
        <v>0</v>
      </c>
      <c r="BP420" s="462">
        <f>IF(AND(AT420&lt;&gt;0,(AX420+BA420)&gt;=MAXSSDIBY),SSDIBY*MAXSSDIBY*P420,IF(AT420&lt;&gt;0,SSDIBY*W420,0))</f>
        <v>0</v>
      </c>
      <c r="BQ420" s="462">
        <f>IF(AT420&lt;&gt;0,SSHIBY*W420,0)</f>
        <v>0</v>
      </c>
      <c r="BR420" s="462">
        <f>IF(AND(AT420&lt;&gt;0,AN420&lt;&gt;"NE"),VLOOKUP(AN420,Retirement_Rates,4,FALSE)*W420,0)</f>
        <v>0</v>
      </c>
      <c r="BS420" s="462">
        <f>IF(AND(AT420&lt;&gt;0,AJ420&lt;&gt;"PF"),LifeBY*W420,0)</f>
        <v>0</v>
      </c>
      <c r="BT420" s="462">
        <f>IF(AND(AT420&lt;&gt;0,AM420="Y"),UIBY*W420,0)</f>
        <v>0</v>
      </c>
      <c r="BU420" s="462">
        <f>IF(AND(AT420&lt;&gt;0,N420&lt;&gt;"NR"),DHRBY*W420,0)</f>
        <v>0</v>
      </c>
      <c r="BV420" s="462">
        <f>IF(AT420&lt;&gt;0,WCBY*W420,0)</f>
        <v>0</v>
      </c>
      <c r="BW420" s="462">
        <f>IF(OR(AND(AT420&lt;&gt;0,AJ420&lt;&gt;"PF",AN420&lt;&gt;"NE",AG420&lt;&gt;"A"),AND(AL420="E",OR(AT420=1,AT420=3))),SickBY*W420,0)</f>
        <v>0</v>
      </c>
      <c r="BX420" s="462">
        <f t="shared" si="109"/>
        <v>0</v>
      </c>
      <c r="BY420" s="462">
        <f t="shared" si="110"/>
        <v>0</v>
      </c>
      <c r="BZ420" s="462">
        <f t="shared" si="111"/>
        <v>0</v>
      </c>
      <c r="CA420" s="462">
        <f t="shared" si="112"/>
        <v>0</v>
      </c>
      <c r="CB420" s="462">
        <f t="shared" si="113"/>
        <v>0</v>
      </c>
      <c r="CC420" s="462">
        <f>IF(AT420&lt;&gt;0,SSHICHG*Y420,0)</f>
        <v>0</v>
      </c>
      <c r="CD420" s="462">
        <f>IF(AND(AT420&lt;&gt;0,AN420&lt;&gt;"NE"),VLOOKUP(AN420,Retirement_Rates,5,FALSE)*Y420,0)</f>
        <v>0</v>
      </c>
      <c r="CE420" s="462">
        <f>IF(AND(AT420&lt;&gt;0,AJ420&lt;&gt;"PF"),LifeCHG*Y420,0)</f>
        <v>0</v>
      </c>
      <c r="CF420" s="462">
        <f>IF(AND(AT420&lt;&gt;0,AM420="Y"),UICHG*Y420,0)</f>
        <v>0</v>
      </c>
      <c r="CG420" s="462">
        <f>IF(AND(AT420&lt;&gt;0,N420&lt;&gt;"NR"),DHRCHG*Y420,0)</f>
        <v>0</v>
      </c>
      <c r="CH420" s="462">
        <f>IF(AT420&lt;&gt;0,WCCHG*Y420,0)</f>
        <v>0</v>
      </c>
      <c r="CI420" s="462">
        <f>IF(OR(AND(AT420&lt;&gt;0,AJ420&lt;&gt;"PF",AN420&lt;&gt;"NE",AG420&lt;&gt;"A"),AND(AL420="E",OR(AT420=1,AT420=3))),SickCHG*Y420,0)</f>
        <v>0</v>
      </c>
      <c r="CJ420" s="462">
        <f t="shared" si="114"/>
        <v>0</v>
      </c>
      <c r="CK420" s="462" t="str">
        <f t="shared" si="115"/>
        <v/>
      </c>
      <c r="CL420" s="462" t="str">
        <f t="shared" si="116"/>
        <v/>
      </c>
      <c r="CM420" s="462" t="str">
        <f t="shared" si="117"/>
        <v/>
      </c>
      <c r="CN420" s="462" t="str">
        <f t="shared" si="118"/>
        <v>0001-00</v>
      </c>
    </row>
    <row r="421" spans="1:92" ht="15" thickBot="1" x14ac:dyDescent="0.35">
      <c r="A421" s="376" t="s">
        <v>161</v>
      </c>
      <c r="B421" s="376" t="s">
        <v>162</v>
      </c>
      <c r="C421" s="376" t="s">
        <v>1056</v>
      </c>
      <c r="D421" s="376" t="s">
        <v>802</v>
      </c>
      <c r="E421" s="376" t="s">
        <v>931</v>
      </c>
      <c r="F421" s="382" t="s">
        <v>1057</v>
      </c>
      <c r="G421" s="376" t="s">
        <v>1010</v>
      </c>
      <c r="H421" s="378"/>
      <c r="I421" s="378"/>
      <c r="J421" s="376" t="s">
        <v>168</v>
      </c>
      <c r="K421" s="376" t="s">
        <v>803</v>
      </c>
      <c r="L421" s="376" t="s">
        <v>243</v>
      </c>
      <c r="M421" s="376" t="s">
        <v>170</v>
      </c>
      <c r="N421" s="376" t="s">
        <v>202</v>
      </c>
      <c r="O421" s="379">
        <v>1</v>
      </c>
      <c r="P421" s="460">
        <v>1</v>
      </c>
      <c r="Q421" s="460">
        <v>1</v>
      </c>
      <c r="R421" s="380">
        <v>80</v>
      </c>
      <c r="S421" s="460">
        <v>1</v>
      </c>
      <c r="T421" s="380">
        <v>91127.2</v>
      </c>
      <c r="U421" s="380">
        <v>0</v>
      </c>
      <c r="V421" s="380">
        <v>30598.65</v>
      </c>
      <c r="W421" s="380">
        <v>94494.399999999994</v>
      </c>
      <c r="X421" s="380">
        <v>33040.67</v>
      </c>
      <c r="Y421" s="380">
        <v>94494.399999999994</v>
      </c>
      <c r="Z421" s="380">
        <v>32794.99</v>
      </c>
      <c r="AA421" s="376" t="s">
        <v>1058</v>
      </c>
      <c r="AB421" s="376" t="s">
        <v>1059</v>
      </c>
      <c r="AC421" s="376" t="s">
        <v>1060</v>
      </c>
      <c r="AD421" s="376" t="s">
        <v>247</v>
      </c>
      <c r="AE421" s="376" t="s">
        <v>803</v>
      </c>
      <c r="AF421" s="376" t="s">
        <v>248</v>
      </c>
      <c r="AG421" s="376" t="s">
        <v>177</v>
      </c>
      <c r="AH421" s="381">
        <v>45.43</v>
      </c>
      <c r="AI421" s="381">
        <v>86711.2</v>
      </c>
      <c r="AJ421" s="376" t="s">
        <v>178</v>
      </c>
      <c r="AK421" s="376" t="s">
        <v>179</v>
      </c>
      <c r="AL421" s="376" t="s">
        <v>180</v>
      </c>
      <c r="AM421" s="376" t="s">
        <v>181</v>
      </c>
      <c r="AN421" s="376" t="s">
        <v>68</v>
      </c>
      <c r="AO421" s="379">
        <v>80</v>
      </c>
      <c r="AP421" s="460">
        <v>1</v>
      </c>
      <c r="AQ421" s="460">
        <v>1</v>
      </c>
      <c r="AR421" s="458" t="s">
        <v>182</v>
      </c>
      <c r="AS421" s="462">
        <f t="shared" si="102"/>
        <v>1</v>
      </c>
      <c r="AT421">
        <f t="shared" si="103"/>
        <v>1</v>
      </c>
      <c r="AU421" s="462">
        <f>IF(AT421=0,"",IF(AND(AT421=1,M421="F",SUMIF(C2:C698,C421,AS2:AS698)&lt;=1),SUMIF(C2:C698,C421,AS2:AS698),IF(AND(AT421=1,M421="F",SUMIF(C2:C698,C421,AS2:AS698)&gt;1),1,"")))</f>
        <v>1</v>
      </c>
      <c r="AV421" s="462" t="str">
        <f>IF(AT421=0,"",IF(AND(AT421=3,M421="F",SUMIF(C2:C698,C421,AS2:AS698)&lt;=1),SUMIF(C2:C698,C421,AS2:AS698),IF(AND(AT421=3,M421="F",SUMIF(C2:C698,C421,AS2:AS698)&gt;1),1,"")))</f>
        <v/>
      </c>
      <c r="AW421" s="462">
        <f>SUMIF(C2:C698,C421,O2:O698)</f>
        <v>1</v>
      </c>
      <c r="AX421" s="462">
        <f>IF(AND(M421="F",AS421&lt;&gt;0),SUMIF(C2:C698,C421,W2:W698),0)</f>
        <v>94494.399999999994</v>
      </c>
      <c r="AY421" s="462">
        <f t="shared" si="104"/>
        <v>94494.399999999994</v>
      </c>
      <c r="AZ421" s="462" t="str">
        <f t="shared" si="105"/>
        <v/>
      </c>
      <c r="BA421" s="462">
        <f t="shared" si="106"/>
        <v>0</v>
      </c>
      <c r="BB421" s="462">
        <f>IF(AND(AT421=1,AK421="E",AU421&gt;=0.75,AW421=1),Health,IF(AND(AT421=1,AK421="E",AU421&gt;=0.75),Health*P421,IF(AND(AT421=1,AK421="E",AU421&gt;=0.5,AW421=1),PTHealth,IF(AND(AT421=1,AK421="E",AU421&gt;=0.5),PTHealth*P421,0))))</f>
        <v>11650</v>
      </c>
      <c r="BC421" s="462">
        <f>IF(AND(AT421=3,AK421="E",AV421&gt;=0.75,AW421=1),Health,IF(AND(AT421=3,AK421="E",AV421&gt;=0.75),Health*P421,IF(AND(AT421=3,AK421="E",AV421&gt;=0.5,AW421=1),PTHealth,IF(AND(AT421=3,AK421="E",AV421&gt;=0.5),PTHealth*P421,0))))</f>
        <v>0</v>
      </c>
      <c r="BD421" s="462">
        <f>IF(AND(AT421&lt;&gt;0,AX421&gt;=MAXSSDI),SSDI*MAXSSDI*P421,IF(AT421&lt;&gt;0,SSDI*W421,0))</f>
        <v>5858.6527999999998</v>
      </c>
      <c r="BE421" s="462">
        <f>IF(AT421&lt;&gt;0,SSHI*W421,0)</f>
        <v>1370.1687999999999</v>
      </c>
      <c r="BF421" s="462">
        <f>IF(AND(AT421&lt;&gt;0,AN421&lt;&gt;"NE"),VLOOKUP(AN421,Retirement_Rates,3,FALSE)*W421,0)</f>
        <v>11282.631359999999</v>
      </c>
      <c r="BG421" s="462">
        <f>IF(AND(AT421&lt;&gt;0,AJ421&lt;&gt;"PF"),Life*W421,0)</f>
        <v>681.30462399999999</v>
      </c>
      <c r="BH421" s="462">
        <f>IF(AND(AT421&lt;&gt;0,AM421="Y"),UI*W421,0)</f>
        <v>463.02255999999994</v>
      </c>
      <c r="BI421" s="462">
        <f>IF(AND(AT421&lt;&gt;0,N421&lt;&gt;"NR"),DHR*W421,0)</f>
        <v>289.15286399999997</v>
      </c>
      <c r="BJ421" s="462">
        <f>IF(AT421&lt;&gt;0,WC*W421,0)</f>
        <v>1445.7643199999998</v>
      </c>
      <c r="BK421" s="462">
        <f>IF(OR(AND(AT421&lt;&gt;0,AJ421&lt;&gt;"PF",AN421&lt;&gt;"NE",AG421&lt;&gt;"A"),AND(AL421="E",OR(AT421=1,AT421=3))),Sick*W421,0)</f>
        <v>0</v>
      </c>
      <c r="BL421" s="462">
        <f t="shared" si="107"/>
        <v>21390.697327999998</v>
      </c>
      <c r="BM421" s="462">
        <f t="shared" si="108"/>
        <v>0</v>
      </c>
      <c r="BN421" s="462">
        <f>IF(AND(AT421=1,AK421="E",AU421&gt;=0.75,AW421=1),HealthBY,IF(AND(AT421=1,AK421="E",AU421&gt;=0.75),HealthBY*P421,IF(AND(AT421=1,AK421="E",AU421&gt;=0.5,AW421=1),PTHealthBY,IF(AND(AT421=1,AK421="E",AU421&gt;=0.5),PTHealthBY*P421,0))))</f>
        <v>11650</v>
      </c>
      <c r="BO421" s="462">
        <f>IF(AND(AT421=3,AK421="E",AV421&gt;=0.75,AW421=1),HealthBY,IF(AND(AT421=3,AK421="E",AV421&gt;=0.75),HealthBY*P421,IF(AND(AT421=3,AK421="E",AV421&gt;=0.5,AW421=1),PTHealthBY,IF(AND(AT421=3,AK421="E",AV421&gt;=0.5),PTHealthBY*P421,0))))</f>
        <v>0</v>
      </c>
      <c r="BP421" s="462">
        <f>IF(AND(AT421&lt;&gt;0,(AX421+BA421)&gt;=MAXSSDIBY),SSDIBY*MAXSSDIBY*P421,IF(AT421&lt;&gt;0,SSDIBY*W421,0))</f>
        <v>5858.6527999999998</v>
      </c>
      <c r="BQ421" s="462">
        <f>IF(AT421&lt;&gt;0,SSHIBY*W421,0)</f>
        <v>1370.1687999999999</v>
      </c>
      <c r="BR421" s="462">
        <f>IF(AND(AT421&lt;&gt;0,AN421&lt;&gt;"NE"),VLOOKUP(AN421,Retirement_Rates,4,FALSE)*W421,0)</f>
        <v>11282.631359999999</v>
      </c>
      <c r="BS421" s="462">
        <f>IF(AND(AT421&lt;&gt;0,AJ421&lt;&gt;"PF"),LifeBY*W421,0)</f>
        <v>681.30462399999999</v>
      </c>
      <c r="BT421" s="462">
        <f>IF(AND(AT421&lt;&gt;0,AM421="Y"),UIBY*W421,0)</f>
        <v>0</v>
      </c>
      <c r="BU421" s="462">
        <f>IF(AND(AT421&lt;&gt;0,N421&lt;&gt;"NR"),DHRBY*W421,0)</f>
        <v>289.15286399999997</v>
      </c>
      <c r="BV421" s="462">
        <f>IF(AT421&lt;&gt;0,WCBY*W421,0)</f>
        <v>1663.1014399999999</v>
      </c>
      <c r="BW421" s="462">
        <f>IF(OR(AND(AT421&lt;&gt;0,AJ421&lt;&gt;"PF",AN421&lt;&gt;"NE",AG421&lt;&gt;"A"),AND(AL421="E",OR(AT421=1,AT421=3))),SickBY*W421,0)</f>
        <v>0</v>
      </c>
      <c r="BX421" s="462">
        <f t="shared" si="109"/>
        <v>21145.011887999997</v>
      </c>
      <c r="BY421" s="462">
        <f t="shared" si="110"/>
        <v>0</v>
      </c>
      <c r="BZ421" s="462">
        <f t="shared" si="111"/>
        <v>0</v>
      </c>
      <c r="CA421" s="462">
        <f t="shared" si="112"/>
        <v>0</v>
      </c>
      <c r="CB421" s="462">
        <f t="shared" si="113"/>
        <v>0</v>
      </c>
      <c r="CC421" s="462">
        <f>IF(AT421&lt;&gt;0,SSHICHG*Y421,0)</f>
        <v>0</v>
      </c>
      <c r="CD421" s="462">
        <f>IF(AND(AT421&lt;&gt;0,AN421&lt;&gt;"NE"),VLOOKUP(AN421,Retirement_Rates,5,FALSE)*Y421,0)</f>
        <v>0</v>
      </c>
      <c r="CE421" s="462">
        <f>IF(AND(AT421&lt;&gt;0,AJ421&lt;&gt;"PF"),LifeCHG*Y421,0)</f>
        <v>0</v>
      </c>
      <c r="CF421" s="462">
        <f>IF(AND(AT421&lt;&gt;0,AM421="Y"),UICHG*Y421,0)</f>
        <v>-463.02255999999994</v>
      </c>
      <c r="CG421" s="462">
        <f>IF(AND(AT421&lt;&gt;0,N421&lt;&gt;"NR"),DHRCHG*Y421,0)</f>
        <v>0</v>
      </c>
      <c r="CH421" s="462">
        <f>IF(AT421&lt;&gt;0,WCCHG*Y421,0)</f>
        <v>217.33712000000014</v>
      </c>
      <c r="CI421" s="462">
        <f>IF(OR(AND(AT421&lt;&gt;0,AJ421&lt;&gt;"PF",AN421&lt;&gt;"NE",AG421&lt;&gt;"A"),AND(AL421="E",OR(AT421=1,AT421=3))),SickCHG*Y421,0)</f>
        <v>0</v>
      </c>
      <c r="CJ421" s="462">
        <f t="shared" si="114"/>
        <v>-245.6854399999998</v>
      </c>
      <c r="CK421" s="462" t="str">
        <f t="shared" si="115"/>
        <v/>
      </c>
      <c r="CL421" s="462" t="str">
        <f t="shared" si="116"/>
        <v/>
      </c>
      <c r="CM421" s="462" t="str">
        <f t="shared" si="117"/>
        <v/>
      </c>
      <c r="CN421" s="462" t="str">
        <f t="shared" si="118"/>
        <v>0330-12</v>
      </c>
    </row>
    <row r="422" spans="1:92" ht="15" thickBot="1" x14ac:dyDescent="0.35">
      <c r="A422" s="376" t="s">
        <v>161</v>
      </c>
      <c r="B422" s="376" t="s">
        <v>162</v>
      </c>
      <c r="C422" s="376" t="s">
        <v>1061</v>
      </c>
      <c r="D422" s="376" t="s">
        <v>362</v>
      </c>
      <c r="E422" s="376" t="s">
        <v>931</v>
      </c>
      <c r="F422" s="382" t="s">
        <v>1057</v>
      </c>
      <c r="G422" s="376" t="s">
        <v>1010</v>
      </c>
      <c r="H422" s="378"/>
      <c r="I422" s="378"/>
      <c r="J422" s="376" t="s">
        <v>168</v>
      </c>
      <c r="K422" s="376" t="s">
        <v>363</v>
      </c>
      <c r="L422" s="376" t="s">
        <v>200</v>
      </c>
      <c r="M422" s="376" t="s">
        <v>170</v>
      </c>
      <c r="N422" s="376" t="s">
        <v>202</v>
      </c>
      <c r="O422" s="379">
        <v>1</v>
      </c>
      <c r="P422" s="460">
        <v>1</v>
      </c>
      <c r="Q422" s="460">
        <v>1</v>
      </c>
      <c r="R422" s="380">
        <v>80</v>
      </c>
      <c r="S422" s="460">
        <v>1</v>
      </c>
      <c r="T422" s="380">
        <v>42360</v>
      </c>
      <c r="U422" s="380">
        <v>0</v>
      </c>
      <c r="V422" s="380">
        <v>19978.509999999998</v>
      </c>
      <c r="W422" s="380">
        <v>46800</v>
      </c>
      <c r="X422" s="380">
        <v>22244.1</v>
      </c>
      <c r="Y422" s="380">
        <v>46800</v>
      </c>
      <c r="Z422" s="380">
        <v>22122.42</v>
      </c>
      <c r="AA422" s="376" t="s">
        <v>1062</v>
      </c>
      <c r="AB422" s="376" t="s">
        <v>1063</v>
      </c>
      <c r="AC422" s="376" t="s">
        <v>1064</v>
      </c>
      <c r="AD422" s="376" t="s">
        <v>220</v>
      </c>
      <c r="AE422" s="376" t="s">
        <v>363</v>
      </c>
      <c r="AF422" s="376" t="s">
        <v>210</v>
      </c>
      <c r="AG422" s="376" t="s">
        <v>177</v>
      </c>
      <c r="AH422" s="381">
        <v>22.5</v>
      </c>
      <c r="AI422" s="379">
        <v>3728</v>
      </c>
      <c r="AJ422" s="376" t="s">
        <v>178</v>
      </c>
      <c r="AK422" s="376" t="s">
        <v>179</v>
      </c>
      <c r="AL422" s="376" t="s">
        <v>180</v>
      </c>
      <c r="AM422" s="376" t="s">
        <v>181</v>
      </c>
      <c r="AN422" s="376" t="s">
        <v>68</v>
      </c>
      <c r="AO422" s="379">
        <v>80</v>
      </c>
      <c r="AP422" s="460">
        <v>1</v>
      </c>
      <c r="AQ422" s="460">
        <v>1</v>
      </c>
      <c r="AR422" s="458" t="s">
        <v>182</v>
      </c>
      <c r="AS422" s="462">
        <f t="shared" si="102"/>
        <v>1</v>
      </c>
      <c r="AT422">
        <f t="shared" si="103"/>
        <v>1</v>
      </c>
      <c r="AU422" s="462">
        <f>IF(AT422=0,"",IF(AND(AT422=1,M422="F",SUMIF(C2:C698,C422,AS2:AS698)&lt;=1),SUMIF(C2:C698,C422,AS2:AS698),IF(AND(AT422=1,M422="F",SUMIF(C2:C698,C422,AS2:AS698)&gt;1),1,"")))</f>
        <v>1</v>
      </c>
      <c r="AV422" s="462" t="str">
        <f>IF(AT422=0,"",IF(AND(AT422=3,M422="F",SUMIF(C2:C698,C422,AS2:AS698)&lt;=1),SUMIF(C2:C698,C422,AS2:AS698),IF(AND(AT422=3,M422="F",SUMIF(C2:C698,C422,AS2:AS698)&gt;1),1,"")))</f>
        <v/>
      </c>
      <c r="AW422" s="462">
        <f>SUMIF(C2:C698,C422,O2:O698)</f>
        <v>1</v>
      </c>
      <c r="AX422" s="462">
        <f>IF(AND(M422="F",AS422&lt;&gt;0),SUMIF(C2:C698,C422,W2:W698),0)</f>
        <v>46800</v>
      </c>
      <c r="AY422" s="462">
        <f t="shared" si="104"/>
        <v>46800</v>
      </c>
      <c r="AZ422" s="462" t="str">
        <f t="shared" si="105"/>
        <v/>
      </c>
      <c r="BA422" s="462">
        <f t="shared" si="106"/>
        <v>0</v>
      </c>
      <c r="BB422" s="462">
        <f>IF(AND(AT422=1,AK422="E",AU422&gt;=0.75,AW422=1),Health,IF(AND(AT422=1,AK422="E",AU422&gt;=0.75),Health*P422,IF(AND(AT422=1,AK422="E",AU422&gt;=0.5,AW422=1),PTHealth,IF(AND(AT422=1,AK422="E",AU422&gt;=0.5),PTHealth*P422,0))))</f>
        <v>11650</v>
      </c>
      <c r="BC422" s="462">
        <f>IF(AND(AT422=3,AK422="E",AV422&gt;=0.75,AW422=1),Health,IF(AND(AT422=3,AK422="E",AV422&gt;=0.75),Health*P422,IF(AND(AT422=3,AK422="E",AV422&gt;=0.5,AW422=1),PTHealth,IF(AND(AT422=3,AK422="E",AV422&gt;=0.5),PTHealth*P422,0))))</f>
        <v>0</v>
      </c>
      <c r="BD422" s="462">
        <f>IF(AND(AT422&lt;&gt;0,AX422&gt;=MAXSSDI),SSDI*MAXSSDI*P422,IF(AT422&lt;&gt;0,SSDI*W422,0))</f>
        <v>2901.6</v>
      </c>
      <c r="BE422" s="462">
        <f>IF(AT422&lt;&gt;0,SSHI*W422,0)</f>
        <v>678.6</v>
      </c>
      <c r="BF422" s="462">
        <f>IF(AND(AT422&lt;&gt;0,AN422&lt;&gt;"NE"),VLOOKUP(AN422,Retirement_Rates,3,FALSE)*W422,0)</f>
        <v>5587.92</v>
      </c>
      <c r="BG422" s="462">
        <f>IF(AND(AT422&lt;&gt;0,AJ422&lt;&gt;"PF"),Life*W422,0)</f>
        <v>337.428</v>
      </c>
      <c r="BH422" s="462">
        <f>IF(AND(AT422&lt;&gt;0,AM422="Y"),UI*W422,0)</f>
        <v>229.32</v>
      </c>
      <c r="BI422" s="462">
        <f>IF(AND(AT422&lt;&gt;0,N422&lt;&gt;"NR"),DHR*W422,0)</f>
        <v>143.208</v>
      </c>
      <c r="BJ422" s="462">
        <f>IF(AT422&lt;&gt;0,WC*W422,0)</f>
        <v>716.04</v>
      </c>
      <c r="BK422" s="462">
        <f>IF(OR(AND(AT422&lt;&gt;0,AJ422&lt;&gt;"PF",AN422&lt;&gt;"NE",AG422&lt;&gt;"A"),AND(AL422="E",OR(AT422=1,AT422=3))),Sick*W422,0)</f>
        <v>0</v>
      </c>
      <c r="BL422" s="462">
        <f t="shared" si="107"/>
        <v>10594.115999999998</v>
      </c>
      <c r="BM422" s="462">
        <f t="shared" si="108"/>
        <v>0</v>
      </c>
      <c r="BN422" s="462">
        <f>IF(AND(AT422=1,AK422="E",AU422&gt;=0.75,AW422=1),HealthBY,IF(AND(AT422=1,AK422="E",AU422&gt;=0.75),HealthBY*P422,IF(AND(AT422=1,AK422="E",AU422&gt;=0.5,AW422=1),PTHealthBY,IF(AND(AT422=1,AK422="E",AU422&gt;=0.5),PTHealthBY*P422,0))))</f>
        <v>11650</v>
      </c>
      <c r="BO422" s="462">
        <f>IF(AND(AT422=3,AK422="E",AV422&gt;=0.75,AW422=1),HealthBY,IF(AND(AT422=3,AK422="E",AV422&gt;=0.75),HealthBY*P422,IF(AND(AT422=3,AK422="E",AV422&gt;=0.5,AW422=1),PTHealthBY,IF(AND(AT422=3,AK422="E",AV422&gt;=0.5),PTHealthBY*P422,0))))</f>
        <v>0</v>
      </c>
      <c r="BP422" s="462">
        <f>IF(AND(AT422&lt;&gt;0,(AX422+BA422)&gt;=MAXSSDIBY),SSDIBY*MAXSSDIBY*P422,IF(AT422&lt;&gt;0,SSDIBY*W422,0))</f>
        <v>2901.6</v>
      </c>
      <c r="BQ422" s="462">
        <f>IF(AT422&lt;&gt;0,SSHIBY*W422,0)</f>
        <v>678.6</v>
      </c>
      <c r="BR422" s="462">
        <f>IF(AND(AT422&lt;&gt;0,AN422&lt;&gt;"NE"),VLOOKUP(AN422,Retirement_Rates,4,FALSE)*W422,0)</f>
        <v>5587.92</v>
      </c>
      <c r="BS422" s="462">
        <f>IF(AND(AT422&lt;&gt;0,AJ422&lt;&gt;"PF"),LifeBY*W422,0)</f>
        <v>337.428</v>
      </c>
      <c r="BT422" s="462">
        <f>IF(AND(AT422&lt;&gt;0,AM422="Y"),UIBY*W422,0)</f>
        <v>0</v>
      </c>
      <c r="BU422" s="462">
        <f>IF(AND(AT422&lt;&gt;0,N422&lt;&gt;"NR"),DHRBY*W422,0)</f>
        <v>143.208</v>
      </c>
      <c r="BV422" s="462">
        <f>IF(AT422&lt;&gt;0,WCBY*W422,0)</f>
        <v>823.68000000000006</v>
      </c>
      <c r="BW422" s="462">
        <f>IF(OR(AND(AT422&lt;&gt;0,AJ422&lt;&gt;"PF",AN422&lt;&gt;"NE",AG422&lt;&gt;"A"),AND(AL422="E",OR(AT422=1,AT422=3))),SickBY*W422,0)</f>
        <v>0</v>
      </c>
      <c r="BX422" s="462">
        <f t="shared" si="109"/>
        <v>10472.436</v>
      </c>
      <c r="BY422" s="462">
        <f t="shared" si="110"/>
        <v>0</v>
      </c>
      <c r="BZ422" s="462">
        <f t="shared" si="111"/>
        <v>0</v>
      </c>
      <c r="CA422" s="462">
        <f t="shared" si="112"/>
        <v>0</v>
      </c>
      <c r="CB422" s="462">
        <f t="shared" si="113"/>
        <v>0</v>
      </c>
      <c r="CC422" s="462">
        <f>IF(AT422&lt;&gt;0,SSHICHG*Y422,0)</f>
        <v>0</v>
      </c>
      <c r="CD422" s="462">
        <f>IF(AND(AT422&lt;&gt;0,AN422&lt;&gt;"NE"),VLOOKUP(AN422,Retirement_Rates,5,FALSE)*Y422,0)</f>
        <v>0</v>
      </c>
      <c r="CE422" s="462">
        <f>IF(AND(AT422&lt;&gt;0,AJ422&lt;&gt;"PF"),LifeCHG*Y422,0)</f>
        <v>0</v>
      </c>
      <c r="CF422" s="462">
        <f>IF(AND(AT422&lt;&gt;0,AM422="Y"),UICHG*Y422,0)</f>
        <v>-229.32</v>
      </c>
      <c r="CG422" s="462">
        <f>IF(AND(AT422&lt;&gt;0,N422&lt;&gt;"NR"),DHRCHG*Y422,0)</f>
        <v>0</v>
      </c>
      <c r="CH422" s="462">
        <f>IF(AT422&lt;&gt;0,WCCHG*Y422,0)</f>
        <v>107.64000000000009</v>
      </c>
      <c r="CI422" s="462">
        <f>IF(OR(AND(AT422&lt;&gt;0,AJ422&lt;&gt;"PF",AN422&lt;&gt;"NE",AG422&lt;&gt;"A"),AND(AL422="E",OR(AT422=1,AT422=3))),SickCHG*Y422,0)</f>
        <v>0</v>
      </c>
      <c r="CJ422" s="462">
        <f t="shared" si="114"/>
        <v>-121.67999999999991</v>
      </c>
      <c r="CK422" s="462" t="str">
        <f t="shared" si="115"/>
        <v/>
      </c>
      <c r="CL422" s="462" t="str">
        <f t="shared" si="116"/>
        <v/>
      </c>
      <c r="CM422" s="462" t="str">
        <f t="shared" si="117"/>
        <v/>
      </c>
      <c r="CN422" s="462" t="str">
        <f t="shared" si="118"/>
        <v>0330-12</v>
      </c>
    </row>
    <row r="423" spans="1:92" ht="15" thickBot="1" x14ac:dyDescent="0.35">
      <c r="A423" s="376" t="s">
        <v>161</v>
      </c>
      <c r="B423" s="376" t="s">
        <v>162</v>
      </c>
      <c r="C423" s="376" t="s">
        <v>1028</v>
      </c>
      <c r="D423" s="376" t="s">
        <v>365</v>
      </c>
      <c r="E423" s="376" t="s">
        <v>931</v>
      </c>
      <c r="F423" s="382" t="s">
        <v>1057</v>
      </c>
      <c r="G423" s="376" t="s">
        <v>1010</v>
      </c>
      <c r="H423" s="378"/>
      <c r="I423" s="378"/>
      <c r="J423" s="376" t="s">
        <v>185</v>
      </c>
      <c r="K423" s="376" t="s">
        <v>366</v>
      </c>
      <c r="L423" s="376" t="s">
        <v>274</v>
      </c>
      <c r="M423" s="376" t="s">
        <v>170</v>
      </c>
      <c r="N423" s="376" t="s">
        <v>202</v>
      </c>
      <c r="O423" s="379">
        <v>1</v>
      </c>
      <c r="P423" s="460">
        <v>0.5</v>
      </c>
      <c r="Q423" s="460">
        <v>0.5</v>
      </c>
      <c r="R423" s="380">
        <v>80</v>
      </c>
      <c r="S423" s="460">
        <v>0.5</v>
      </c>
      <c r="T423" s="380">
        <v>18509.96</v>
      </c>
      <c r="U423" s="380">
        <v>0</v>
      </c>
      <c r="V423" s="380">
        <v>9641.43</v>
      </c>
      <c r="W423" s="380">
        <v>19292</v>
      </c>
      <c r="X423" s="380">
        <v>10192.11</v>
      </c>
      <c r="Y423" s="380">
        <v>19292</v>
      </c>
      <c r="Z423" s="380">
        <v>10141.950000000001</v>
      </c>
      <c r="AA423" s="376" t="s">
        <v>1029</v>
      </c>
      <c r="AB423" s="376" t="s">
        <v>1030</v>
      </c>
      <c r="AC423" s="376" t="s">
        <v>1031</v>
      </c>
      <c r="AD423" s="376" t="s">
        <v>247</v>
      </c>
      <c r="AE423" s="376" t="s">
        <v>366</v>
      </c>
      <c r="AF423" s="376" t="s">
        <v>279</v>
      </c>
      <c r="AG423" s="376" t="s">
        <v>177</v>
      </c>
      <c r="AH423" s="381">
        <v>18.55</v>
      </c>
      <c r="AI423" s="381">
        <v>37470.699999999997</v>
      </c>
      <c r="AJ423" s="376" t="s">
        <v>178</v>
      </c>
      <c r="AK423" s="376" t="s">
        <v>179</v>
      </c>
      <c r="AL423" s="376" t="s">
        <v>180</v>
      </c>
      <c r="AM423" s="376" t="s">
        <v>181</v>
      </c>
      <c r="AN423" s="376" t="s">
        <v>68</v>
      </c>
      <c r="AO423" s="379">
        <v>80</v>
      </c>
      <c r="AP423" s="460">
        <v>1</v>
      </c>
      <c r="AQ423" s="460">
        <v>0.5</v>
      </c>
      <c r="AR423" s="458" t="s">
        <v>182</v>
      </c>
      <c r="AS423" s="462">
        <f t="shared" si="102"/>
        <v>0.5</v>
      </c>
      <c r="AT423">
        <f t="shared" si="103"/>
        <v>1</v>
      </c>
      <c r="AU423" s="462">
        <f>IF(AT423=0,"",IF(AND(AT423=1,M423="F",SUMIF(C2:C698,C423,AS2:AS698)&lt;=1),SUMIF(C2:C698,C423,AS2:AS698),IF(AND(AT423=1,M423="F",SUMIF(C2:C698,C423,AS2:AS698)&gt;1),1,"")))</f>
        <v>1</v>
      </c>
      <c r="AV423" s="462" t="str">
        <f>IF(AT423=0,"",IF(AND(AT423=3,M423="F",SUMIF(C2:C698,C423,AS2:AS698)&lt;=1),SUMIF(C2:C698,C423,AS2:AS698),IF(AND(AT423=3,M423="F",SUMIF(C2:C698,C423,AS2:AS698)&gt;1),1,"")))</f>
        <v/>
      </c>
      <c r="AW423" s="462">
        <f>SUMIF(C2:C698,C423,O2:O698)</f>
        <v>2</v>
      </c>
      <c r="AX423" s="462">
        <f>IF(AND(M423="F",AS423&lt;&gt;0),SUMIF(C2:C698,C423,W2:W698),0)</f>
        <v>38584</v>
      </c>
      <c r="AY423" s="462">
        <f t="shared" si="104"/>
        <v>19292</v>
      </c>
      <c r="AZ423" s="462" t="str">
        <f t="shared" si="105"/>
        <v/>
      </c>
      <c r="BA423" s="462">
        <f t="shared" si="106"/>
        <v>0</v>
      </c>
      <c r="BB423" s="462">
        <f>IF(AND(AT423=1,AK423="E",AU423&gt;=0.75,AW423=1),Health,IF(AND(AT423=1,AK423="E",AU423&gt;=0.75),Health*P423,IF(AND(AT423=1,AK423="E",AU423&gt;=0.5,AW423=1),PTHealth,IF(AND(AT423=1,AK423="E",AU423&gt;=0.5),PTHealth*P423,0))))</f>
        <v>5825</v>
      </c>
      <c r="BC423" s="462">
        <f>IF(AND(AT423=3,AK423="E",AV423&gt;=0.75,AW423=1),Health,IF(AND(AT423=3,AK423="E",AV423&gt;=0.75),Health*P423,IF(AND(AT423=3,AK423="E",AV423&gt;=0.5,AW423=1),PTHealth,IF(AND(AT423=3,AK423="E",AV423&gt;=0.5),PTHealth*P423,0))))</f>
        <v>0</v>
      </c>
      <c r="BD423" s="462">
        <f>IF(AND(AT423&lt;&gt;0,AX423&gt;=MAXSSDI),SSDI*MAXSSDI*P423,IF(AT423&lt;&gt;0,SSDI*W423,0))</f>
        <v>1196.104</v>
      </c>
      <c r="BE423" s="462">
        <f>IF(AT423&lt;&gt;0,SSHI*W423,0)</f>
        <v>279.73400000000004</v>
      </c>
      <c r="BF423" s="462">
        <f>IF(AND(AT423&lt;&gt;0,AN423&lt;&gt;"NE"),VLOOKUP(AN423,Retirement_Rates,3,FALSE)*W423,0)</f>
        <v>2303.4648000000002</v>
      </c>
      <c r="BG423" s="462">
        <f>IF(AND(AT423&lt;&gt;0,AJ423&lt;&gt;"PF"),Life*W423,0)</f>
        <v>139.09532000000002</v>
      </c>
      <c r="BH423" s="462">
        <f>IF(AND(AT423&lt;&gt;0,AM423="Y"),UI*W423,0)</f>
        <v>94.530799999999999</v>
      </c>
      <c r="BI423" s="462">
        <f>IF(AND(AT423&lt;&gt;0,N423&lt;&gt;"NR"),DHR*W423,0)</f>
        <v>59.033519999999996</v>
      </c>
      <c r="BJ423" s="462">
        <f>IF(AT423&lt;&gt;0,WC*W423,0)</f>
        <v>295.16759999999999</v>
      </c>
      <c r="BK423" s="462">
        <f>IF(OR(AND(AT423&lt;&gt;0,AJ423&lt;&gt;"PF",AN423&lt;&gt;"NE",AG423&lt;&gt;"A"),AND(AL423="E",OR(AT423=1,AT423=3))),Sick*W423,0)</f>
        <v>0</v>
      </c>
      <c r="BL423" s="462">
        <f t="shared" si="107"/>
        <v>4367.13004</v>
      </c>
      <c r="BM423" s="462">
        <f t="shared" si="108"/>
        <v>0</v>
      </c>
      <c r="BN423" s="462">
        <f>IF(AND(AT423=1,AK423="E",AU423&gt;=0.75,AW423=1),HealthBY,IF(AND(AT423=1,AK423="E",AU423&gt;=0.75),HealthBY*P423,IF(AND(AT423=1,AK423="E",AU423&gt;=0.5,AW423=1),PTHealthBY,IF(AND(AT423=1,AK423="E",AU423&gt;=0.5),PTHealthBY*P423,0))))</f>
        <v>5825</v>
      </c>
      <c r="BO423" s="462">
        <f>IF(AND(AT423=3,AK423="E",AV423&gt;=0.75,AW423=1),HealthBY,IF(AND(AT423=3,AK423="E",AV423&gt;=0.75),HealthBY*P423,IF(AND(AT423=3,AK423="E",AV423&gt;=0.5,AW423=1),PTHealthBY,IF(AND(AT423=3,AK423="E",AV423&gt;=0.5),PTHealthBY*P423,0))))</f>
        <v>0</v>
      </c>
      <c r="BP423" s="462">
        <f>IF(AND(AT423&lt;&gt;0,(AX423+BA423)&gt;=MAXSSDIBY),SSDIBY*MAXSSDIBY*P423,IF(AT423&lt;&gt;0,SSDIBY*W423,0))</f>
        <v>1196.104</v>
      </c>
      <c r="BQ423" s="462">
        <f>IF(AT423&lt;&gt;0,SSHIBY*W423,0)</f>
        <v>279.73400000000004</v>
      </c>
      <c r="BR423" s="462">
        <f>IF(AND(AT423&lt;&gt;0,AN423&lt;&gt;"NE"),VLOOKUP(AN423,Retirement_Rates,4,FALSE)*W423,0)</f>
        <v>2303.4648000000002</v>
      </c>
      <c r="BS423" s="462">
        <f>IF(AND(AT423&lt;&gt;0,AJ423&lt;&gt;"PF"),LifeBY*W423,0)</f>
        <v>139.09532000000002</v>
      </c>
      <c r="BT423" s="462">
        <f>IF(AND(AT423&lt;&gt;0,AM423="Y"),UIBY*W423,0)</f>
        <v>0</v>
      </c>
      <c r="BU423" s="462">
        <f>IF(AND(AT423&lt;&gt;0,N423&lt;&gt;"NR"),DHRBY*W423,0)</f>
        <v>59.033519999999996</v>
      </c>
      <c r="BV423" s="462">
        <f>IF(AT423&lt;&gt;0,WCBY*W423,0)</f>
        <v>339.53919999999999</v>
      </c>
      <c r="BW423" s="462">
        <f>IF(OR(AND(AT423&lt;&gt;0,AJ423&lt;&gt;"PF",AN423&lt;&gt;"NE",AG423&lt;&gt;"A"),AND(AL423="E",OR(AT423=1,AT423=3))),SickBY*W423,0)</f>
        <v>0</v>
      </c>
      <c r="BX423" s="462">
        <f t="shared" si="109"/>
        <v>4316.97084</v>
      </c>
      <c r="BY423" s="462">
        <f t="shared" si="110"/>
        <v>0</v>
      </c>
      <c r="BZ423" s="462">
        <f t="shared" si="111"/>
        <v>0</v>
      </c>
      <c r="CA423" s="462">
        <f t="shared" si="112"/>
        <v>0</v>
      </c>
      <c r="CB423" s="462">
        <f t="shared" si="113"/>
        <v>0</v>
      </c>
      <c r="CC423" s="462">
        <f>IF(AT423&lt;&gt;0,SSHICHG*Y423,0)</f>
        <v>0</v>
      </c>
      <c r="CD423" s="462">
        <f>IF(AND(AT423&lt;&gt;0,AN423&lt;&gt;"NE"),VLOOKUP(AN423,Retirement_Rates,5,FALSE)*Y423,0)</f>
        <v>0</v>
      </c>
      <c r="CE423" s="462">
        <f>IF(AND(AT423&lt;&gt;0,AJ423&lt;&gt;"PF"),LifeCHG*Y423,0)</f>
        <v>0</v>
      </c>
      <c r="CF423" s="462">
        <f>IF(AND(AT423&lt;&gt;0,AM423="Y"),UICHG*Y423,0)</f>
        <v>-94.530799999999999</v>
      </c>
      <c r="CG423" s="462">
        <f>IF(AND(AT423&lt;&gt;0,N423&lt;&gt;"NR"),DHRCHG*Y423,0)</f>
        <v>0</v>
      </c>
      <c r="CH423" s="462">
        <f>IF(AT423&lt;&gt;0,WCCHG*Y423,0)</f>
        <v>44.371600000000029</v>
      </c>
      <c r="CI423" s="462">
        <f>IF(OR(AND(AT423&lt;&gt;0,AJ423&lt;&gt;"PF",AN423&lt;&gt;"NE",AG423&lt;&gt;"A"),AND(AL423="E",OR(AT423=1,AT423=3))),SickCHG*Y423,0)</f>
        <v>0</v>
      </c>
      <c r="CJ423" s="462">
        <f t="shared" si="114"/>
        <v>-50.15919999999997</v>
      </c>
      <c r="CK423" s="462" t="str">
        <f t="shared" si="115"/>
        <v/>
      </c>
      <c r="CL423" s="462" t="str">
        <f t="shared" si="116"/>
        <v/>
      </c>
      <c r="CM423" s="462" t="str">
        <f t="shared" si="117"/>
        <v/>
      </c>
      <c r="CN423" s="462" t="str">
        <f t="shared" si="118"/>
        <v>0330-12</v>
      </c>
    </row>
    <row r="424" spans="1:92" ht="15" thickBot="1" x14ac:dyDescent="0.35">
      <c r="A424" s="376" t="s">
        <v>161</v>
      </c>
      <c r="B424" s="376" t="s">
        <v>162</v>
      </c>
      <c r="C424" s="376" t="s">
        <v>1065</v>
      </c>
      <c r="D424" s="376" t="s">
        <v>365</v>
      </c>
      <c r="E424" s="376" t="s">
        <v>931</v>
      </c>
      <c r="F424" s="382" t="s">
        <v>1057</v>
      </c>
      <c r="G424" s="376" t="s">
        <v>1010</v>
      </c>
      <c r="H424" s="378"/>
      <c r="I424" s="378"/>
      <c r="J424" s="376" t="s">
        <v>547</v>
      </c>
      <c r="K424" s="376" t="s">
        <v>366</v>
      </c>
      <c r="L424" s="376" t="s">
        <v>274</v>
      </c>
      <c r="M424" s="376" t="s">
        <v>225</v>
      </c>
      <c r="N424" s="376" t="s">
        <v>202</v>
      </c>
      <c r="O424" s="379">
        <v>0</v>
      </c>
      <c r="P424" s="460">
        <v>0</v>
      </c>
      <c r="Q424" s="460">
        <v>0</v>
      </c>
      <c r="R424" s="380">
        <v>80</v>
      </c>
      <c r="S424" s="460">
        <v>0</v>
      </c>
      <c r="T424" s="380">
        <v>1680</v>
      </c>
      <c r="U424" s="380">
        <v>0</v>
      </c>
      <c r="V424" s="380">
        <v>820.57</v>
      </c>
      <c r="W424" s="380">
        <v>0</v>
      </c>
      <c r="X424" s="380">
        <v>0</v>
      </c>
      <c r="Y424" s="380">
        <v>0</v>
      </c>
      <c r="Z424" s="380">
        <v>0</v>
      </c>
      <c r="AA424" s="378"/>
      <c r="AB424" s="376" t="s">
        <v>45</v>
      </c>
      <c r="AC424" s="376" t="s">
        <v>45</v>
      </c>
      <c r="AD424" s="378"/>
      <c r="AE424" s="378"/>
      <c r="AF424" s="378"/>
      <c r="AG424" s="378"/>
      <c r="AH424" s="379">
        <v>0</v>
      </c>
      <c r="AI424" s="379">
        <v>0</v>
      </c>
      <c r="AJ424" s="378"/>
      <c r="AK424" s="378"/>
      <c r="AL424" s="376" t="s">
        <v>180</v>
      </c>
      <c r="AM424" s="378"/>
      <c r="AN424" s="378"/>
      <c r="AO424" s="379">
        <v>0</v>
      </c>
      <c r="AP424" s="460">
        <v>0</v>
      </c>
      <c r="AQ424" s="460">
        <v>0</v>
      </c>
      <c r="AR424" s="459"/>
      <c r="AS424" s="462">
        <f t="shared" si="102"/>
        <v>0</v>
      </c>
      <c r="AT424">
        <f t="shared" si="103"/>
        <v>0</v>
      </c>
      <c r="AU424" s="462" t="str">
        <f>IF(AT424=0,"",IF(AND(AT424=1,M424="F",SUMIF(C2:C698,C424,AS2:AS698)&lt;=1),SUMIF(C2:C698,C424,AS2:AS698),IF(AND(AT424=1,M424="F",SUMIF(C2:C698,C424,AS2:AS698)&gt;1),1,"")))</f>
        <v/>
      </c>
      <c r="AV424" s="462" t="str">
        <f>IF(AT424=0,"",IF(AND(AT424=3,M424="F",SUMIF(C2:C698,C424,AS2:AS698)&lt;=1),SUMIF(C2:C698,C424,AS2:AS698),IF(AND(AT424=3,M424="F",SUMIF(C2:C698,C424,AS2:AS698)&gt;1),1,"")))</f>
        <v/>
      </c>
      <c r="AW424" s="462">
        <f>SUMIF(C2:C698,C424,O2:O698)</f>
        <v>0</v>
      </c>
      <c r="AX424" s="462">
        <f>IF(AND(M424="F",AS424&lt;&gt;0),SUMIF(C2:C698,C424,W2:W698),0)</f>
        <v>0</v>
      </c>
      <c r="AY424" s="462" t="str">
        <f t="shared" si="104"/>
        <v/>
      </c>
      <c r="AZ424" s="462" t="str">
        <f t="shared" si="105"/>
        <v/>
      </c>
      <c r="BA424" s="462">
        <f t="shared" si="106"/>
        <v>0</v>
      </c>
      <c r="BB424" s="462">
        <f>IF(AND(AT424=1,AK424="E",AU424&gt;=0.75,AW424=1),Health,IF(AND(AT424=1,AK424="E",AU424&gt;=0.75),Health*P424,IF(AND(AT424=1,AK424="E",AU424&gt;=0.5,AW424=1),PTHealth,IF(AND(AT424=1,AK424="E",AU424&gt;=0.5),PTHealth*P424,0))))</f>
        <v>0</v>
      </c>
      <c r="BC424" s="462">
        <f>IF(AND(AT424=3,AK424="E",AV424&gt;=0.75,AW424=1),Health,IF(AND(AT424=3,AK424="E",AV424&gt;=0.75),Health*P424,IF(AND(AT424=3,AK424="E",AV424&gt;=0.5,AW424=1),PTHealth,IF(AND(AT424=3,AK424="E",AV424&gt;=0.5),PTHealth*P424,0))))</f>
        <v>0</v>
      </c>
      <c r="BD424" s="462">
        <f>IF(AND(AT424&lt;&gt;0,AX424&gt;=MAXSSDI),SSDI*MAXSSDI*P424,IF(AT424&lt;&gt;0,SSDI*W424,0))</f>
        <v>0</v>
      </c>
      <c r="BE424" s="462">
        <f>IF(AT424&lt;&gt;0,SSHI*W424,0)</f>
        <v>0</v>
      </c>
      <c r="BF424" s="462">
        <f>IF(AND(AT424&lt;&gt;0,AN424&lt;&gt;"NE"),VLOOKUP(AN424,Retirement_Rates,3,FALSE)*W424,0)</f>
        <v>0</v>
      </c>
      <c r="BG424" s="462">
        <f>IF(AND(AT424&lt;&gt;0,AJ424&lt;&gt;"PF"),Life*W424,0)</f>
        <v>0</v>
      </c>
      <c r="BH424" s="462">
        <f>IF(AND(AT424&lt;&gt;0,AM424="Y"),UI*W424,0)</f>
        <v>0</v>
      </c>
      <c r="BI424" s="462">
        <f>IF(AND(AT424&lt;&gt;0,N424&lt;&gt;"NR"),DHR*W424,0)</f>
        <v>0</v>
      </c>
      <c r="BJ424" s="462">
        <f>IF(AT424&lt;&gt;0,WC*W424,0)</f>
        <v>0</v>
      </c>
      <c r="BK424" s="462">
        <f>IF(OR(AND(AT424&lt;&gt;0,AJ424&lt;&gt;"PF",AN424&lt;&gt;"NE",AG424&lt;&gt;"A"),AND(AL424="E",OR(AT424=1,AT424=3))),Sick*W424,0)</f>
        <v>0</v>
      </c>
      <c r="BL424" s="462">
        <f t="shared" si="107"/>
        <v>0</v>
      </c>
      <c r="BM424" s="462">
        <f t="shared" si="108"/>
        <v>0</v>
      </c>
      <c r="BN424" s="462">
        <f>IF(AND(AT424=1,AK424="E",AU424&gt;=0.75,AW424=1),HealthBY,IF(AND(AT424=1,AK424="E",AU424&gt;=0.75),HealthBY*P424,IF(AND(AT424=1,AK424="E",AU424&gt;=0.5,AW424=1),PTHealthBY,IF(AND(AT424=1,AK424="E",AU424&gt;=0.5),PTHealthBY*P424,0))))</f>
        <v>0</v>
      </c>
      <c r="BO424" s="462">
        <f>IF(AND(AT424=3,AK424="E",AV424&gt;=0.75,AW424=1),HealthBY,IF(AND(AT424=3,AK424="E",AV424&gt;=0.75),HealthBY*P424,IF(AND(AT424=3,AK424="E",AV424&gt;=0.5,AW424=1),PTHealthBY,IF(AND(AT424=3,AK424="E",AV424&gt;=0.5),PTHealthBY*P424,0))))</f>
        <v>0</v>
      </c>
      <c r="BP424" s="462">
        <f>IF(AND(AT424&lt;&gt;0,(AX424+BA424)&gt;=MAXSSDIBY),SSDIBY*MAXSSDIBY*P424,IF(AT424&lt;&gt;0,SSDIBY*W424,0))</f>
        <v>0</v>
      </c>
      <c r="BQ424" s="462">
        <f>IF(AT424&lt;&gt;0,SSHIBY*W424,0)</f>
        <v>0</v>
      </c>
      <c r="BR424" s="462">
        <f>IF(AND(AT424&lt;&gt;0,AN424&lt;&gt;"NE"),VLOOKUP(AN424,Retirement_Rates,4,FALSE)*W424,0)</f>
        <v>0</v>
      </c>
      <c r="BS424" s="462">
        <f>IF(AND(AT424&lt;&gt;0,AJ424&lt;&gt;"PF"),LifeBY*W424,0)</f>
        <v>0</v>
      </c>
      <c r="BT424" s="462">
        <f>IF(AND(AT424&lt;&gt;0,AM424="Y"),UIBY*W424,0)</f>
        <v>0</v>
      </c>
      <c r="BU424" s="462">
        <f>IF(AND(AT424&lt;&gt;0,N424&lt;&gt;"NR"),DHRBY*W424,0)</f>
        <v>0</v>
      </c>
      <c r="BV424" s="462">
        <f>IF(AT424&lt;&gt;0,WCBY*W424,0)</f>
        <v>0</v>
      </c>
      <c r="BW424" s="462">
        <f>IF(OR(AND(AT424&lt;&gt;0,AJ424&lt;&gt;"PF",AN424&lt;&gt;"NE",AG424&lt;&gt;"A"),AND(AL424="E",OR(AT424=1,AT424=3))),SickBY*W424,0)</f>
        <v>0</v>
      </c>
      <c r="BX424" s="462">
        <f t="shared" si="109"/>
        <v>0</v>
      </c>
      <c r="BY424" s="462">
        <f t="shared" si="110"/>
        <v>0</v>
      </c>
      <c r="BZ424" s="462">
        <f t="shared" si="111"/>
        <v>0</v>
      </c>
      <c r="CA424" s="462">
        <f t="shared" si="112"/>
        <v>0</v>
      </c>
      <c r="CB424" s="462">
        <f t="shared" si="113"/>
        <v>0</v>
      </c>
      <c r="CC424" s="462">
        <f>IF(AT424&lt;&gt;0,SSHICHG*Y424,0)</f>
        <v>0</v>
      </c>
      <c r="CD424" s="462">
        <f>IF(AND(AT424&lt;&gt;0,AN424&lt;&gt;"NE"),VLOOKUP(AN424,Retirement_Rates,5,FALSE)*Y424,0)</f>
        <v>0</v>
      </c>
      <c r="CE424" s="462">
        <f>IF(AND(AT424&lt;&gt;0,AJ424&lt;&gt;"PF"),LifeCHG*Y424,0)</f>
        <v>0</v>
      </c>
      <c r="CF424" s="462">
        <f>IF(AND(AT424&lt;&gt;0,AM424="Y"),UICHG*Y424,0)</f>
        <v>0</v>
      </c>
      <c r="CG424" s="462">
        <f>IF(AND(AT424&lt;&gt;0,N424&lt;&gt;"NR"),DHRCHG*Y424,0)</f>
        <v>0</v>
      </c>
      <c r="CH424" s="462">
        <f>IF(AT424&lt;&gt;0,WCCHG*Y424,0)</f>
        <v>0</v>
      </c>
      <c r="CI424" s="462">
        <f>IF(OR(AND(AT424&lt;&gt;0,AJ424&lt;&gt;"PF",AN424&lt;&gt;"NE",AG424&lt;&gt;"A"),AND(AL424="E",OR(AT424=1,AT424=3))),SickCHG*Y424,0)</f>
        <v>0</v>
      </c>
      <c r="CJ424" s="462">
        <f t="shared" si="114"/>
        <v>0</v>
      </c>
      <c r="CK424" s="462" t="str">
        <f t="shared" si="115"/>
        <v/>
      </c>
      <c r="CL424" s="462" t="str">
        <f t="shared" si="116"/>
        <v/>
      </c>
      <c r="CM424" s="462" t="str">
        <f t="shared" si="117"/>
        <v/>
      </c>
      <c r="CN424" s="462" t="str">
        <f t="shared" si="118"/>
        <v>0330-12</v>
      </c>
    </row>
    <row r="425" spans="1:92" ht="15" thickBot="1" x14ac:dyDescent="0.35">
      <c r="A425" s="376" t="s">
        <v>161</v>
      </c>
      <c r="B425" s="376" t="s">
        <v>162</v>
      </c>
      <c r="C425" s="376" t="s">
        <v>1066</v>
      </c>
      <c r="D425" s="376" t="s">
        <v>362</v>
      </c>
      <c r="E425" s="376" t="s">
        <v>931</v>
      </c>
      <c r="F425" s="382" t="s">
        <v>1057</v>
      </c>
      <c r="G425" s="376" t="s">
        <v>1010</v>
      </c>
      <c r="H425" s="378"/>
      <c r="I425" s="378"/>
      <c r="J425" s="376" t="s">
        <v>168</v>
      </c>
      <c r="K425" s="376" t="s">
        <v>363</v>
      </c>
      <c r="L425" s="376" t="s">
        <v>200</v>
      </c>
      <c r="M425" s="376" t="s">
        <v>170</v>
      </c>
      <c r="N425" s="376" t="s">
        <v>202</v>
      </c>
      <c r="O425" s="379">
        <v>1</v>
      </c>
      <c r="P425" s="460">
        <v>1</v>
      </c>
      <c r="Q425" s="460">
        <v>1</v>
      </c>
      <c r="R425" s="380">
        <v>80</v>
      </c>
      <c r="S425" s="460">
        <v>1</v>
      </c>
      <c r="T425" s="380">
        <v>44996.800000000003</v>
      </c>
      <c r="U425" s="380">
        <v>0</v>
      </c>
      <c r="V425" s="380">
        <v>21152.66</v>
      </c>
      <c r="W425" s="380">
        <v>46800</v>
      </c>
      <c r="X425" s="380">
        <v>22244.1</v>
      </c>
      <c r="Y425" s="380">
        <v>46800</v>
      </c>
      <c r="Z425" s="380">
        <v>22122.42</v>
      </c>
      <c r="AA425" s="376" t="s">
        <v>1067</v>
      </c>
      <c r="AB425" s="376" t="s">
        <v>173</v>
      </c>
      <c r="AC425" s="376" t="s">
        <v>1060</v>
      </c>
      <c r="AD425" s="376" t="s">
        <v>225</v>
      </c>
      <c r="AE425" s="376" t="s">
        <v>363</v>
      </c>
      <c r="AF425" s="376" t="s">
        <v>210</v>
      </c>
      <c r="AG425" s="376" t="s">
        <v>177</v>
      </c>
      <c r="AH425" s="381">
        <v>22.5</v>
      </c>
      <c r="AI425" s="379">
        <v>16321</v>
      </c>
      <c r="AJ425" s="376" t="s">
        <v>178</v>
      </c>
      <c r="AK425" s="376" t="s">
        <v>179</v>
      </c>
      <c r="AL425" s="376" t="s">
        <v>180</v>
      </c>
      <c r="AM425" s="376" t="s">
        <v>181</v>
      </c>
      <c r="AN425" s="376" t="s">
        <v>68</v>
      </c>
      <c r="AO425" s="379">
        <v>80</v>
      </c>
      <c r="AP425" s="460">
        <v>1</v>
      </c>
      <c r="AQ425" s="460">
        <v>1</v>
      </c>
      <c r="AR425" s="458" t="s">
        <v>182</v>
      </c>
      <c r="AS425" s="462">
        <f t="shared" si="102"/>
        <v>1</v>
      </c>
      <c r="AT425">
        <f t="shared" si="103"/>
        <v>1</v>
      </c>
      <c r="AU425" s="462">
        <f>IF(AT425=0,"",IF(AND(AT425=1,M425="F",SUMIF(C2:C698,C425,AS2:AS698)&lt;=1),SUMIF(C2:C698,C425,AS2:AS698),IF(AND(AT425=1,M425="F",SUMIF(C2:C698,C425,AS2:AS698)&gt;1),1,"")))</f>
        <v>1</v>
      </c>
      <c r="AV425" s="462" t="str">
        <f>IF(AT425=0,"",IF(AND(AT425=3,M425="F",SUMIF(C2:C698,C425,AS2:AS698)&lt;=1),SUMIF(C2:C698,C425,AS2:AS698),IF(AND(AT425=3,M425="F",SUMIF(C2:C698,C425,AS2:AS698)&gt;1),1,"")))</f>
        <v/>
      </c>
      <c r="AW425" s="462">
        <f>SUMIF(C2:C698,C425,O2:O698)</f>
        <v>1</v>
      </c>
      <c r="AX425" s="462">
        <f>IF(AND(M425="F",AS425&lt;&gt;0),SUMIF(C2:C698,C425,W2:W698),0)</f>
        <v>46800</v>
      </c>
      <c r="AY425" s="462">
        <f t="shared" si="104"/>
        <v>46800</v>
      </c>
      <c r="AZ425" s="462" t="str">
        <f t="shared" si="105"/>
        <v/>
      </c>
      <c r="BA425" s="462">
        <f t="shared" si="106"/>
        <v>0</v>
      </c>
      <c r="BB425" s="462">
        <f>IF(AND(AT425=1,AK425="E",AU425&gt;=0.75,AW425=1),Health,IF(AND(AT425=1,AK425="E",AU425&gt;=0.75),Health*P425,IF(AND(AT425=1,AK425="E",AU425&gt;=0.5,AW425=1),PTHealth,IF(AND(AT425=1,AK425="E",AU425&gt;=0.5),PTHealth*P425,0))))</f>
        <v>11650</v>
      </c>
      <c r="BC425" s="462">
        <f>IF(AND(AT425=3,AK425="E",AV425&gt;=0.75,AW425=1),Health,IF(AND(AT425=3,AK425="E",AV425&gt;=0.75),Health*P425,IF(AND(AT425=3,AK425="E",AV425&gt;=0.5,AW425=1),PTHealth,IF(AND(AT425=3,AK425="E",AV425&gt;=0.5),PTHealth*P425,0))))</f>
        <v>0</v>
      </c>
      <c r="BD425" s="462">
        <f>IF(AND(AT425&lt;&gt;0,AX425&gt;=MAXSSDI),SSDI*MAXSSDI*P425,IF(AT425&lt;&gt;0,SSDI*W425,0))</f>
        <v>2901.6</v>
      </c>
      <c r="BE425" s="462">
        <f>IF(AT425&lt;&gt;0,SSHI*W425,0)</f>
        <v>678.6</v>
      </c>
      <c r="BF425" s="462">
        <f>IF(AND(AT425&lt;&gt;0,AN425&lt;&gt;"NE"),VLOOKUP(AN425,Retirement_Rates,3,FALSE)*W425,0)</f>
        <v>5587.92</v>
      </c>
      <c r="BG425" s="462">
        <f>IF(AND(AT425&lt;&gt;0,AJ425&lt;&gt;"PF"),Life*W425,0)</f>
        <v>337.428</v>
      </c>
      <c r="BH425" s="462">
        <f>IF(AND(AT425&lt;&gt;0,AM425="Y"),UI*W425,0)</f>
        <v>229.32</v>
      </c>
      <c r="BI425" s="462">
        <f>IF(AND(AT425&lt;&gt;0,N425&lt;&gt;"NR"),DHR*W425,0)</f>
        <v>143.208</v>
      </c>
      <c r="BJ425" s="462">
        <f>IF(AT425&lt;&gt;0,WC*W425,0)</f>
        <v>716.04</v>
      </c>
      <c r="BK425" s="462">
        <f>IF(OR(AND(AT425&lt;&gt;0,AJ425&lt;&gt;"PF",AN425&lt;&gt;"NE",AG425&lt;&gt;"A"),AND(AL425="E",OR(AT425=1,AT425=3))),Sick*W425,0)</f>
        <v>0</v>
      </c>
      <c r="BL425" s="462">
        <f t="shared" si="107"/>
        <v>10594.115999999998</v>
      </c>
      <c r="BM425" s="462">
        <f t="shared" si="108"/>
        <v>0</v>
      </c>
      <c r="BN425" s="462">
        <f>IF(AND(AT425=1,AK425="E",AU425&gt;=0.75,AW425=1),HealthBY,IF(AND(AT425=1,AK425="E",AU425&gt;=0.75),HealthBY*P425,IF(AND(AT425=1,AK425="E",AU425&gt;=0.5,AW425=1),PTHealthBY,IF(AND(AT425=1,AK425="E",AU425&gt;=0.5),PTHealthBY*P425,0))))</f>
        <v>11650</v>
      </c>
      <c r="BO425" s="462">
        <f>IF(AND(AT425=3,AK425="E",AV425&gt;=0.75,AW425=1),HealthBY,IF(AND(AT425=3,AK425="E",AV425&gt;=0.75),HealthBY*P425,IF(AND(AT425=3,AK425="E",AV425&gt;=0.5,AW425=1),PTHealthBY,IF(AND(AT425=3,AK425="E",AV425&gt;=0.5),PTHealthBY*P425,0))))</f>
        <v>0</v>
      </c>
      <c r="BP425" s="462">
        <f>IF(AND(AT425&lt;&gt;0,(AX425+BA425)&gt;=MAXSSDIBY),SSDIBY*MAXSSDIBY*P425,IF(AT425&lt;&gt;0,SSDIBY*W425,0))</f>
        <v>2901.6</v>
      </c>
      <c r="BQ425" s="462">
        <f>IF(AT425&lt;&gt;0,SSHIBY*W425,0)</f>
        <v>678.6</v>
      </c>
      <c r="BR425" s="462">
        <f>IF(AND(AT425&lt;&gt;0,AN425&lt;&gt;"NE"),VLOOKUP(AN425,Retirement_Rates,4,FALSE)*W425,0)</f>
        <v>5587.92</v>
      </c>
      <c r="BS425" s="462">
        <f>IF(AND(AT425&lt;&gt;0,AJ425&lt;&gt;"PF"),LifeBY*W425,0)</f>
        <v>337.428</v>
      </c>
      <c r="BT425" s="462">
        <f>IF(AND(AT425&lt;&gt;0,AM425="Y"),UIBY*W425,0)</f>
        <v>0</v>
      </c>
      <c r="BU425" s="462">
        <f>IF(AND(AT425&lt;&gt;0,N425&lt;&gt;"NR"),DHRBY*W425,0)</f>
        <v>143.208</v>
      </c>
      <c r="BV425" s="462">
        <f>IF(AT425&lt;&gt;0,WCBY*W425,0)</f>
        <v>823.68000000000006</v>
      </c>
      <c r="BW425" s="462">
        <f>IF(OR(AND(AT425&lt;&gt;0,AJ425&lt;&gt;"PF",AN425&lt;&gt;"NE",AG425&lt;&gt;"A"),AND(AL425="E",OR(AT425=1,AT425=3))),SickBY*W425,0)</f>
        <v>0</v>
      </c>
      <c r="BX425" s="462">
        <f t="shared" si="109"/>
        <v>10472.436</v>
      </c>
      <c r="BY425" s="462">
        <f t="shared" si="110"/>
        <v>0</v>
      </c>
      <c r="BZ425" s="462">
        <f t="shared" si="111"/>
        <v>0</v>
      </c>
      <c r="CA425" s="462">
        <f t="shared" si="112"/>
        <v>0</v>
      </c>
      <c r="CB425" s="462">
        <f t="shared" si="113"/>
        <v>0</v>
      </c>
      <c r="CC425" s="462">
        <f>IF(AT425&lt;&gt;0,SSHICHG*Y425,0)</f>
        <v>0</v>
      </c>
      <c r="CD425" s="462">
        <f>IF(AND(AT425&lt;&gt;0,AN425&lt;&gt;"NE"),VLOOKUP(AN425,Retirement_Rates,5,FALSE)*Y425,0)</f>
        <v>0</v>
      </c>
      <c r="CE425" s="462">
        <f>IF(AND(AT425&lt;&gt;0,AJ425&lt;&gt;"PF"),LifeCHG*Y425,0)</f>
        <v>0</v>
      </c>
      <c r="CF425" s="462">
        <f>IF(AND(AT425&lt;&gt;0,AM425="Y"),UICHG*Y425,0)</f>
        <v>-229.32</v>
      </c>
      <c r="CG425" s="462">
        <f>IF(AND(AT425&lt;&gt;0,N425&lt;&gt;"NR"),DHRCHG*Y425,0)</f>
        <v>0</v>
      </c>
      <c r="CH425" s="462">
        <f>IF(AT425&lt;&gt;0,WCCHG*Y425,0)</f>
        <v>107.64000000000009</v>
      </c>
      <c r="CI425" s="462">
        <f>IF(OR(AND(AT425&lt;&gt;0,AJ425&lt;&gt;"PF",AN425&lt;&gt;"NE",AG425&lt;&gt;"A"),AND(AL425="E",OR(AT425=1,AT425=3))),SickCHG*Y425,0)</f>
        <v>0</v>
      </c>
      <c r="CJ425" s="462">
        <f t="shared" si="114"/>
        <v>-121.67999999999991</v>
      </c>
      <c r="CK425" s="462" t="str">
        <f t="shared" si="115"/>
        <v/>
      </c>
      <c r="CL425" s="462" t="str">
        <f t="shared" si="116"/>
        <v/>
      </c>
      <c r="CM425" s="462" t="str">
        <f t="shared" si="117"/>
        <v/>
      </c>
      <c r="CN425" s="462" t="str">
        <f t="shared" si="118"/>
        <v>0330-12</v>
      </c>
    </row>
    <row r="426" spans="1:92" ht="15" thickBot="1" x14ac:dyDescent="0.35">
      <c r="A426" s="376" t="s">
        <v>161</v>
      </c>
      <c r="B426" s="376" t="s">
        <v>162</v>
      </c>
      <c r="C426" s="376" t="s">
        <v>1047</v>
      </c>
      <c r="D426" s="376" t="s">
        <v>250</v>
      </c>
      <c r="E426" s="376" t="s">
        <v>931</v>
      </c>
      <c r="F426" s="382" t="s">
        <v>1057</v>
      </c>
      <c r="G426" s="376" t="s">
        <v>1010</v>
      </c>
      <c r="H426" s="378"/>
      <c r="I426" s="378"/>
      <c r="J426" s="376" t="s">
        <v>185</v>
      </c>
      <c r="K426" s="376" t="s">
        <v>407</v>
      </c>
      <c r="L426" s="376" t="s">
        <v>247</v>
      </c>
      <c r="M426" s="376" t="s">
        <v>170</v>
      </c>
      <c r="N426" s="376" t="s">
        <v>202</v>
      </c>
      <c r="O426" s="379">
        <v>1</v>
      </c>
      <c r="P426" s="460">
        <v>0.2</v>
      </c>
      <c r="Q426" s="460">
        <v>0.2</v>
      </c>
      <c r="R426" s="380">
        <v>80</v>
      </c>
      <c r="S426" s="460">
        <v>0.2</v>
      </c>
      <c r="T426" s="380">
        <v>17098.52</v>
      </c>
      <c r="U426" s="380">
        <v>0</v>
      </c>
      <c r="V426" s="380">
        <v>5662.74</v>
      </c>
      <c r="W426" s="380">
        <v>12554.88</v>
      </c>
      <c r="X426" s="380">
        <v>5172.04</v>
      </c>
      <c r="Y426" s="380">
        <v>12554.88</v>
      </c>
      <c r="Z426" s="380">
        <v>5139.3900000000003</v>
      </c>
      <c r="AA426" s="376" t="s">
        <v>1048</v>
      </c>
      <c r="AB426" s="376" t="s">
        <v>1049</v>
      </c>
      <c r="AC426" s="376" t="s">
        <v>1050</v>
      </c>
      <c r="AD426" s="376" t="s">
        <v>215</v>
      </c>
      <c r="AE426" s="376" t="s">
        <v>407</v>
      </c>
      <c r="AF426" s="376" t="s">
        <v>299</v>
      </c>
      <c r="AG426" s="376" t="s">
        <v>177</v>
      </c>
      <c r="AH426" s="381">
        <v>30.18</v>
      </c>
      <c r="AI426" s="379">
        <v>24904</v>
      </c>
      <c r="AJ426" s="376" t="s">
        <v>178</v>
      </c>
      <c r="AK426" s="376" t="s">
        <v>179</v>
      </c>
      <c r="AL426" s="376" t="s">
        <v>180</v>
      </c>
      <c r="AM426" s="376" t="s">
        <v>181</v>
      </c>
      <c r="AN426" s="376" t="s">
        <v>68</v>
      </c>
      <c r="AO426" s="379">
        <v>80</v>
      </c>
      <c r="AP426" s="460">
        <v>1</v>
      </c>
      <c r="AQ426" s="460">
        <v>0.2</v>
      </c>
      <c r="AR426" s="458" t="s">
        <v>182</v>
      </c>
      <c r="AS426" s="462">
        <f t="shared" si="102"/>
        <v>0.2</v>
      </c>
      <c r="AT426">
        <f t="shared" si="103"/>
        <v>1</v>
      </c>
      <c r="AU426" s="462">
        <f>IF(AT426=0,"",IF(AND(AT426=1,M426="F",SUMIF(C2:C698,C426,AS2:AS698)&lt;=1),SUMIF(C2:C698,C426,AS2:AS698),IF(AND(AT426=1,M426="F",SUMIF(C2:C698,C426,AS2:AS698)&gt;1),1,"")))</f>
        <v>1</v>
      </c>
      <c r="AV426" s="462" t="str">
        <f>IF(AT426=0,"",IF(AND(AT426=3,M426="F",SUMIF(C2:C698,C426,AS2:AS698)&lt;=1),SUMIF(C2:C698,C426,AS2:AS698),IF(AND(AT426=3,M426="F",SUMIF(C2:C698,C426,AS2:AS698)&gt;1),1,"")))</f>
        <v/>
      </c>
      <c r="AW426" s="462">
        <f>SUMIF(C2:C698,C426,O2:O698)</f>
        <v>2</v>
      </c>
      <c r="AX426" s="462">
        <f>IF(AND(M426="F",AS426&lt;&gt;0),SUMIF(C2:C698,C426,W2:W698),0)</f>
        <v>62774.399999999994</v>
      </c>
      <c r="AY426" s="462">
        <f t="shared" si="104"/>
        <v>12554.88</v>
      </c>
      <c r="AZ426" s="462" t="str">
        <f t="shared" si="105"/>
        <v/>
      </c>
      <c r="BA426" s="462">
        <f t="shared" si="106"/>
        <v>0</v>
      </c>
      <c r="BB426" s="462">
        <f>IF(AND(AT426=1,AK426="E",AU426&gt;=0.75,AW426=1),Health,IF(AND(AT426=1,AK426="E",AU426&gt;=0.75),Health*P426,IF(AND(AT426=1,AK426="E",AU426&gt;=0.5,AW426=1),PTHealth,IF(AND(AT426=1,AK426="E",AU426&gt;=0.5),PTHealth*P426,0))))</f>
        <v>2330</v>
      </c>
      <c r="BC426" s="462">
        <f>IF(AND(AT426=3,AK426="E",AV426&gt;=0.75,AW426=1),Health,IF(AND(AT426=3,AK426="E",AV426&gt;=0.75),Health*P426,IF(AND(AT426=3,AK426="E",AV426&gt;=0.5,AW426=1),PTHealth,IF(AND(AT426=3,AK426="E",AV426&gt;=0.5),PTHealth*P426,0))))</f>
        <v>0</v>
      </c>
      <c r="BD426" s="462">
        <f>IF(AND(AT426&lt;&gt;0,AX426&gt;=MAXSSDI),SSDI*MAXSSDI*P426,IF(AT426&lt;&gt;0,SSDI*W426,0))</f>
        <v>778.40255999999999</v>
      </c>
      <c r="BE426" s="462">
        <f>IF(AT426&lt;&gt;0,SSHI*W426,0)</f>
        <v>182.04576</v>
      </c>
      <c r="BF426" s="462">
        <f>IF(AND(AT426&lt;&gt;0,AN426&lt;&gt;"NE"),VLOOKUP(AN426,Retirement_Rates,3,FALSE)*W426,0)</f>
        <v>1499.052672</v>
      </c>
      <c r="BG426" s="462">
        <f>IF(AND(AT426&lt;&gt;0,AJ426&lt;&gt;"PF"),Life*W426,0)</f>
        <v>90.520684799999998</v>
      </c>
      <c r="BH426" s="462">
        <f>IF(AND(AT426&lt;&gt;0,AM426="Y"),UI*W426,0)</f>
        <v>61.518911999999993</v>
      </c>
      <c r="BI426" s="462">
        <f>IF(AND(AT426&lt;&gt;0,N426&lt;&gt;"NR"),DHR*W426,0)</f>
        <v>38.417932799999996</v>
      </c>
      <c r="BJ426" s="462">
        <f>IF(AT426&lt;&gt;0,WC*W426,0)</f>
        <v>192.08966399999997</v>
      </c>
      <c r="BK426" s="462">
        <f>IF(OR(AND(AT426&lt;&gt;0,AJ426&lt;&gt;"PF",AN426&lt;&gt;"NE",AG426&lt;&gt;"A"),AND(AL426="E",OR(AT426=1,AT426=3))),Sick*W426,0)</f>
        <v>0</v>
      </c>
      <c r="BL426" s="462">
        <f t="shared" si="107"/>
        <v>2842.0481856000001</v>
      </c>
      <c r="BM426" s="462">
        <f t="shared" si="108"/>
        <v>0</v>
      </c>
      <c r="BN426" s="462">
        <f>IF(AND(AT426=1,AK426="E",AU426&gt;=0.75,AW426=1),HealthBY,IF(AND(AT426=1,AK426="E",AU426&gt;=0.75),HealthBY*P426,IF(AND(AT426=1,AK426="E",AU426&gt;=0.5,AW426=1),PTHealthBY,IF(AND(AT426=1,AK426="E",AU426&gt;=0.5),PTHealthBY*P426,0))))</f>
        <v>2330</v>
      </c>
      <c r="BO426" s="462">
        <f>IF(AND(AT426=3,AK426="E",AV426&gt;=0.75,AW426=1),HealthBY,IF(AND(AT426=3,AK426="E",AV426&gt;=0.75),HealthBY*P426,IF(AND(AT426=3,AK426="E",AV426&gt;=0.5,AW426=1),PTHealthBY,IF(AND(AT426=3,AK426="E",AV426&gt;=0.5),PTHealthBY*P426,0))))</f>
        <v>0</v>
      </c>
      <c r="BP426" s="462">
        <f>IF(AND(AT426&lt;&gt;0,(AX426+BA426)&gt;=MAXSSDIBY),SSDIBY*MAXSSDIBY*P426,IF(AT426&lt;&gt;0,SSDIBY*W426,0))</f>
        <v>778.40255999999999</v>
      </c>
      <c r="BQ426" s="462">
        <f>IF(AT426&lt;&gt;0,SSHIBY*W426,0)</f>
        <v>182.04576</v>
      </c>
      <c r="BR426" s="462">
        <f>IF(AND(AT426&lt;&gt;0,AN426&lt;&gt;"NE"),VLOOKUP(AN426,Retirement_Rates,4,FALSE)*W426,0)</f>
        <v>1499.052672</v>
      </c>
      <c r="BS426" s="462">
        <f>IF(AND(AT426&lt;&gt;0,AJ426&lt;&gt;"PF"),LifeBY*W426,0)</f>
        <v>90.520684799999998</v>
      </c>
      <c r="BT426" s="462">
        <f>IF(AND(AT426&lt;&gt;0,AM426="Y"),UIBY*W426,0)</f>
        <v>0</v>
      </c>
      <c r="BU426" s="462">
        <f>IF(AND(AT426&lt;&gt;0,N426&lt;&gt;"NR"),DHRBY*W426,0)</f>
        <v>38.417932799999996</v>
      </c>
      <c r="BV426" s="462">
        <f>IF(AT426&lt;&gt;0,WCBY*W426,0)</f>
        <v>220.96588800000001</v>
      </c>
      <c r="BW426" s="462">
        <f>IF(OR(AND(AT426&lt;&gt;0,AJ426&lt;&gt;"PF",AN426&lt;&gt;"NE",AG426&lt;&gt;"A"),AND(AL426="E",OR(AT426=1,AT426=3))),SickBY*W426,0)</f>
        <v>0</v>
      </c>
      <c r="BX426" s="462">
        <f t="shared" si="109"/>
        <v>2809.4054976000002</v>
      </c>
      <c r="BY426" s="462">
        <f t="shared" si="110"/>
        <v>0</v>
      </c>
      <c r="BZ426" s="462">
        <f t="shared" si="111"/>
        <v>0</v>
      </c>
      <c r="CA426" s="462">
        <f t="shared" si="112"/>
        <v>0</v>
      </c>
      <c r="CB426" s="462">
        <f t="shared" si="113"/>
        <v>0</v>
      </c>
      <c r="CC426" s="462">
        <f>IF(AT426&lt;&gt;0,SSHICHG*Y426,0)</f>
        <v>0</v>
      </c>
      <c r="CD426" s="462">
        <f>IF(AND(AT426&lt;&gt;0,AN426&lt;&gt;"NE"),VLOOKUP(AN426,Retirement_Rates,5,FALSE)*Y426,0)</f>
        <v>0</v>
      </c>
      <c r="CE426" s="462">
        <f>IF(AND(AT426&lt;&gt;0,AJ426&lt;&gt;"PF"),LifeCHG*Y426,0)</f>
        <v>0</v>
      </c>
      <c r="CF426" s="462">
        <f>IF(AND(AT426&lt;&gt;0,AM426="Y"),UICHG*Y426,0)</f>
        <v>-61.518911999999993</v>
      </c>
      <c r="CG426" s="462">
        <f>IF(AND(AT426&lt;&gt;0,N426&lt;&gt;"NR"),DHRCHG*Y426,0)</f>
        <v>0</v>
      </c>
      <c r="CH426" s="462">
        <f>IF(AT426&lt;&gt;0,WCCHG*Y426,0)</f>
        <v>28.876224000000018</v>
      </c>
      <c r="CI426" s="462">
        <f>IF(OR(AND(AT426&lt;&gt;0,AJ426&lt;&gt;"PF",AN426&lt;&gt;"NE",AG426&lt;&gt;"A"),AND(AL426="E",OR(AT426=1,AT426=3))),SickCHG*Y426,0)</f>
        <v>0</v>
      </c>
      <c r="CJ426" s="462">
        <f t="shared" si="114"/>
        <v>-32.642687999999978</v>
      </c>
      <c r="CK426" s="462" t="str">
        <f t="shared" si="115"/>
        <v/>
      </c>
      <c r="CL426" s="462" t="str">
        <f t="shared" si="116"/>
        <v/>
      </c>
      <c r="CM426" s="462" t="str">
        <f t="shared" si="117"/>
        <v/>
      </c>
      <c r="CN426" s="462" t="str">
        <f t="shared" si="118"/>
        <v>0330-12</v>
      </c>
    </row>
    <row r="427" spans="1:92" ht="15" thickBot="1" x14ac:dyDescent="0.35">
      <c r="A427" s="376" t="s">
        <v>161</v>
      </c>
      <c r="B427" s="376" t="s">
        <v>162</v>
      </c>
      <c r="C427" s="376" t="s">
        <v>390</v>
      </c>
      <c r="D427" s="376" t="s">
        <v>339</v>
      </c>
      <c r="E427" s="376" t="s">
        <v>931</v>
      </c>
      <c r="F427" s="382" t="s">
        <v>1057</v>
      </c>
      <c r="G427" s="376" t="s">
        <v>1010</v>
      </c>
      <c r="H427" s="378"/>
      <c r="I427" s="378"/>
      <c r="J427" s="376" t="s">
        <v>185</v>
      </c>
      <c r="K427" s="376" t="s">
        <v>340</v>
      </c>
      <c r="L427" s="376" t="s">
        <v>247</v>
      </c>
      <c r="M427" s="376" t="s">
        <v>170</v>
      </c>
      <c r="N427" s="376" t="s">
        <v>202</v>
      </c>
      <c r="O427" s="379">
        <v>1</v>
      </c>
      <c r="P427" s="460">
        <v>0</v>
      </c>
      <c r="Q427" s="460">
        <v>0</v>
      </c>
      <c r="R427" s="380">
        <v>80</v>
      </c>
      <c r="S427" s="460">
        <v>0</v>
      </c>
      <c r="T427" s="380">
        <v>39830.550000000003</v>
      </c>
      <c r="U427" s="380">
        <v>0</v>
      </c>
      <c r="V427" s="380">
        <v>13795.84</v>
      </c>
      <c r="W427" s="380">
        <v>0</v>
      </c>
      <c r="X427" s="380">
        <v>0</v>
      </c>
      <c r="Y427" s="380">
        <v>0</v>
      </c>
      <c r="Z427" s="380">
        <v>0</v>
      </c>
      <c r="AA427" s="376" t="s">
        <v>391</v>
      </c>
      <c r="AB427" s="376" t="s">
        <v>392</v>
      </c>
      <c r="AC427" s="376" t="s">
        <v>393</v>
      </c>
      <c r="AD427" s="376" t="s">
        <v>394</v>
      </c>
      <c r="AE427" s="376" t="s">
        <v>340</v>
      </c>
      <c r="AF427" s="376" t="s">
        <v>299</v>
      </c>
      <c r="AG427" s="376" t="s">
        <v>177</v>
      </c>
      <c r="AH427" s="381">
        <v>41.15</v>
      </c>
      <c r="AI427" s="379">
        <v>33121</v>
      </c>
      <c r="AJ427" s="376" t="s">
        <v>178</v>
      </c>
      <c r="AK427" s="376" t="s">
        <v>179</v>
      </c>
      <c r="AL427" s="376" t="s">
        <v>180</v>
      </c>
      <c r="AM427" s="376" t="s">
        <v>181</v>
      </c>
      <c r="AN427" s="376" t="s">
        <v>68</v>
      </c>
      <c r="AO427" s="379">
        <v>80</v>
      </c>
      <c r="AP427" s="460">
        <v>1</v>
      </c>
      <c r="AQ427" s="460">
        <v>0</v>
      </c>
      <c r="AR427" s="458" t="s">
        <v>182</v>
      </c>
      <c r="AS427" s="462">
        <f t="shared" si="102"/>
        <v>0</v>
      </c>
      <c r="AT427">
        <f t="shared" si="103"/>
        <v>0</v>
      </c>
      <c r="AU427" s="462" t="str">
        <f>IF(AT427=0,"",IF(AND(AT427=1,M427="F",SUMIF(C2:C698,C427,AS2:AS698)&lt;=1),SUMIF(C2:C698,C427,AS2:AS698),IF(AND(AT427=1,M427="F",SUMIF(C2:C698,C427,AS2:AS698)&gt;1),1,"")))</f>
        <v/>
      </c>
      <c r="AV427" s="462" t="str">
        <f>IF(AT427=0,"",IF(AND(AT427=3,M427="F",SUMIF(C2:C698,C427,AS2:AS698)&lt;=1),SUMIF(C2:C698,C427,AS2:AS698),IF(AND(AT427=3,M427="F",SUMIF(C2:C698,C427,AS2:AS698)&gt;1),1,"")))</f>
        <v/>
      </c>
      <c r="AW427" s="462">
        <f>SUMIF(C2:C698,C427,O2:O698)</f>
        <v>6</v>
      </c>
      <c r="AX427" s="462">
        <f>IF(AND(M427="F",AS427&lt;&gt;0),SUMIF(C2:C698,C427,W2:W698),0)</f>
        <v>0</v>
      </c>
      <c r="AY427" s="462" t="str">
        <f t="shared" si="104"/>
        <v/>
      </c>
      <c r="AZ427" s="462" t="str">
        <f t="shared" si="105"/>
        <v/>
      </c>
      <c r="BA427" s="462">
        <f t="shared" si="106"/>
        <v>0</v>
      </c>
      <c r="BB427" s="462">
        <f>IF(AND(AT427=1,AK427="E",AU427&gt;=0.75,AW427=1),Health,IF(AND(AT427=1,AK427="E",AU427&gt;=0.75),Health*P427,IF(AND(AT427=1,AK427="E",AU427&gt;=0.5,AW427=1),PTHealth,IF(AND(AT427=1,AK427="E",AU427&gt;=0.5),PTHealth*P427,0))))</f>
        <v>0</v>
      </c>
      <c r="BC427" s="462">
        <f>IF(AND(AT427=3,AK427="E",AV427&gt;=0.75,AW427=1),Health,IF(AND(AT427=3,AK427="E",AV427&gt;=0.75),Health*P427,IF(AND(AT427=3,AK427="E",AV427&gt;=0.5,AW427=1),PTHealth,IF(AND(AT427=3,AK427="E",AV427&gt;=0.5),PTHealth*P427,0))))</f>
        <v>0</v>
      </c>
      <c r="BD427" s="462">
        <f>IF(AND(AT427&lt;&gt;0,AX427&gt;=MAXSSDI),SSDI*MAXSSDI*P427,IF(AT427&lt;&gt;0,SSDI*W427,0))</f>
        <v>0</v>
      </c>
      <c r="BE427" s="462">
        <f>IF(AT427&lt;&gt;0,SSHI*W427,0)</f>
        <v>0</v>
      </c>
      <c r="BF427" s="462">
        <f>IF(AND(AT427&lt;&gt;0,AN427&lt;&gt;"NE"),VLOOKUP(AN427,Retirement_Rates,3,FALSE)*W427,0)</f>
        <v>0</v>
      </c>
      <c r="BG427" s="462">
        <f>IF(AND(AT427&lt;&gt;0,AJ427&lt;&gt;"PF"),Life*W427,0)</f>
        <v>0</v>
      </c>
      <c r="BH427" s="462">
        <f>IF(AND(AT427&lt;&gt;0,AM427="Y"),UI*W427,0)</f>
        <v>0</v>
      </c>
      <c r="BI427" s="462">
        <f>IF(AND(AT427&lt;&gt;0,N427&lt;&gt;"NR"),DHR*W427,0)</f>
        <v>0</v>
      </c>
      <c r="BJ427" s="462">
        <f>IF(AT427&lt;&gt;0,WC*W427,0)</f>
        <v>0</v>
      </c>
      <c r="BK427" s="462">
        <f>IF(OR(AND(AT427&lt;&gt;0,AJ427&lt;&gt;"PF",AN427&lt;&gt;"NE",AG427&lt;&gt;"A"),AND(AL427="E",OR(AT427=1,AT427=3))),Sick*W427,0)</f>
        <v>0</v>
      </c>
      <c r="BL427" s="462">
        <f t="shared" si="107"/>
        <v>0</v>
      </c>
      <c r="BM427" s="462">
        <f t="shared" si="108"/>
        <v>0</v>
      </c>
      <c r="BN427" s="462">
        <f>IF(AND(AT427=1,AK427="E",AU427&gt;=0.75,AW427=1),HealthBY,IF(AND(AT427=1,AK427="E",AU427&gt;=0.75),HealthBY*P427,IF(AND(AT427=1,AK427="E",AU427&gt;=0.5,AW427=1),PTHealthBY,IF(AND(AT427=1,AK427="E",AU427&gt;=0.5),PTHealthBY*P427,0))))</f>
        <v>0</v>
      </c>
      <c r="BO427" s="462">
        <f>IF(AND(AT427=3,AK427="E",AV427&gt;=0.75,AW427=1),HealthBY,IF(AND(AT427=3,AK427="E",AV427&gt;=0.75),HealthBY*P427,IF(AND(AT427=3,AK427="E",AV427&gt;=0.5,AW427=1),PTHealthBY,IF(AND(AT427=3,AK427="E",AV427&gt;=0.5),PTHealthBY*P427,0))))</f>
        <v>0</v>
      </c>
      <c r="BP427" s="462">
        <f>IF(AND(AT427&lt;&gt;0,(AX427+BA427)&gt;=MAXSSDIBY),SSDIBY*MAXSSDIBY*P427,IF(AT427&lt;&gt;0,SSDIBY*W427,0))</f>
        <v>0</v>
      </c>
      <c r="BQ427" s="462">
        <f>IF(AT427&lt;&gt;0,SSHIBY*W427,0)</f>
        <v>0</v>
      </c>
      <c r="BR427" s="462">
        <f>IF(AND(AT427&lt;&gt;0,AN427&lt;&gt;"NE"),VLOOKUP(AN427,Retirement_Rates,4,FALSE)*W427,0)</f>
        <v>0</v>
      </c>
      <c r="BS427" s="462">
        <f>IF(AND(AT427&lt;&gt;0,AJ427&lt;&gt;"PF"),LifeBY*W427,0)</f>
        <v>0</v>
      </c>
      <c r="BT427" s="462">
        <f>IF(AND(AT427&lt;&gt;0,AM427="Y"),UIBY*W427,0)</f>
        <v>0</v>
      </c>
      <c r="BU427" s="462">
        <f>IF(AND(AT427&lt;&gt;0,N427&lt;&gt;"NR"),DHRBY*W427,0)</f>
        <v>0</v>
      </c>
      <c r="BV427" s="462">
        <f>IF(AT427&lt;&gt;0,WCBY*W427,0)</f>
        <v>0</v>
      </c>
      <c r="BW427" s="462">
        <f>IF(OR(AND(AT427&lt;&gt;0,AJ427&lt;&gt;"PF",AN427&lt;&gt;"NE",AG427&lt;&gt;"A"),AND(AL427="E",OR(AT427=1,AT427=3))),SickBY*W427,0)</f>
        <v>0</v>
      </c>
      <c r="BX427" s="462">
        <f t="shared" si="109"/>
        <v>0</v>
      </c>
      <c r="BY427" s="462">
        <f t="shared" si="110"/>
        <v>0</v>
      </c>
      <c r="BZ427" s="462">
        <f t="shared" si="111"/>
        <v>0</v>
      </c>
      <c r="CA427" s="462">
        <f t="shared" si="112"/>
        <v>0</v>
      </c>
      <c r="CB427" s="462">
        <f t="shared" si="113"/>
        <v>0</v>
      </c>
      <c r="CC427" s="462">
        <f>IF(AT427&lt;&gt;0,SSHICHG*Y427,0)</f>
        <v>0</v>
      </c>
      <c r="CD427" s="462">
        <f>IF(AND(AT427&lt;&gt;0,AN427&lt;&gt;"NE"),VLOOKUP(AN427,Retirement_Rates,5,FALSE)*Y427,0)</f>
        <v>0</v>
      </c>
      <c r="CE427" s="462">
        <f>IF(AND(AT427&lt;&gt;0,AJ427&lt;&gt;"PF"),LifeCHG*Y427,0)</f>
        <v>0</v>
      </c>
      <c r="CF427" s="462">
        <f>IF(AND(AT427&lt;&gt;0,AM427="Y"),UICHG*Y427,0)</f>
        <v>0</v>
      </c>
      <c r="CG427" s="462">
        <f>IF(AND(AT427&lt;&gt;0,N427&lt;&gt;"NR"),DHRCHG*Y427,0)</f>
        <v>0</v>
      </c>
      <c r="CH427" s="462">
        <f>IF(AT427&lt;&gt;0,WCCHG*Y427,0)</f>
        <v>0</v>
      </c>
      <c r="CI427" s="462">
        <f>IF(OR(AND(AT427&lt;&gt;0,AJ427&lt;&gt;"PF",AN427&lt;&gt;"NE",AG427&lt;&gt;"A"),AND(AL427="E",OR(AT427=1,AT427=3))),SickCHG*Y427,0)</f>
        <v>0</v>
      </c>
      <c r="CJ427" s="462">
        <f t="shared" si="114"/>
        <v>0</v>
      </c>
      <c r="CK427" s="462" t="str">
        <f t="shared" si="115"/>
        <v/>
      </c>
      <c r="CL427" s="462" t="str">
        <f t="shared" si="116"/>
        <v/>
      </c>
      <c r="CM427" s="462" t="str">
        <f t="shared" si="117"/>
        <v/>
      </c>
      <c r="CN427" s="462" t="str">
        <f t="shared" si="118"/>
        <v>0330-12</v>
      </c>
    </row>
    <row r="428" spans="1:92" ht="15" thickBot="1" x14ac:dyDescent="0.35">
      <c r="A428" s="376" t="s">
        <v>161</v>
      </c>
      <c r="B428" s="376" t="s">
        <v>162</v>
      </c>
      <c r="C428" s="376" t="s">
        <v>1055</v>
      </c>
      <c r="D428" s="376" t="s">
        <v>362</v>
      </c>
      <c r="E428" s="376" t="s">
        <v>931</v>
      </c>
      <c r="F428" s="382" t="s">
        <v>1057</v>
      </c>
      <c r="G428" s="376" t="s">
        <v>1010</v>
      </c>
      <c r="H428" s="378"/>
      <c r="I428" s="378"/>
      <c r="J428" s="376" t="s">
        <v>168</v>
      </c>
      <c r="K428" s="376" t="s">
        <v>363</v>
      </c>
      <c r="L428" s="376" t="s">
        <v>200</v>
      </c>
      <c r="M428" s="376" t="s">
        <v>201</v>
      </c>
      <c r="N428" s="376" t="s">
        <v>202</v>
      </c>
      <c r="O428" s="379">
        <v>0</v>
      </c>
      <c r="P428" s="460">
        <v>1</v>
      </c>
      <c r="Q428" s="460">
        <v>1</v>
      </c>
      <c r="R428" s="380">
        <v>80</v>
      </c>
      <c r="S428" s="460">
        <v>1</v>
      </c>
      <c r="T428" s="380">
        <v>9736.24</v>
      </c>
      <c r="U428" s="380">
        <v>0</v>
      </c>
      <c r="V428" s="380">
        <v>2380.4499999999998</v>
      </c>
      <c r="W428" s="380">
        <v>47403.199999999997</v>
      </c>
      <c r="X428" s="380">
        <v>20762.599999999999</v>
      </c>
      <c r="Y428" s="380">
        <v>47403.199999999997</v>
      </c>
      <c r="Z428" s="380">
        <v>20525.580000000002</v>
      </c>
      <c r="AA428" s="378"/>
      <c r="AB428" s="376" t="s">
        <v>45</v>
      </c>
      <c r="AC428" s="376" t="s">
        <v>45</v>
      </c>
      <c r="AD428" s="378"/>
      <c r="AE428" s="378"/>
      <c r="AF428" s="378"/>
      <c r="AG428" s="378"/>
      <c r="AH428" s="379">
        <v>0</v>
      </c>
      <c r="AI428" s="379">
        <v>0</v>
      </c>
      <c r="AJ428" s="378"/>
      <c r="AK428" s="378"/>
      <c r="AL428" s="376" t="s">
        <v>180</v>
      </c>
      <c r="AM428" s="378"/>
      <c r="AN428" s="378"/>
      <c r="AO428" s="379">
        <v>0</v>
      </c>
      <c r="AP428" s="460">
        <v>0</v>
      </c>
      <c r="AQ428" s="460">
        <v>0</v>
      </c>
      <c r="AR428" s="459"/>
      <c r="AS428" s="462">
        <f t="shared" si="102"/>
        <v>0</v>
      </c>
      <c r="AT428">
        <f t="shared" si="103"/>
        <v>0</v>
      </c>
      <c r="AU428" s="462" t="str">
        <f>IF(AT428=0,"",IF(AND(AT428=1,M428="F",SUMIF(C2:C698,C428,AS2:AS698)&lt;=1),SUMIF(C2:C698,C428,AS2:AS698),IF(AND(AT428=1,M428="F",SUMIF(C2:C698,C428,AS2:AS698)&gt;1),1,"")))</f>
        <v/>
      </c>
      <c r="AV428" s="462" t="str">
        <f>IF(AT428=0,"",IF(AND(AT428=3,M428="F",SUMIF(C2:C698,C428,AS2:AS698)&lt;=1),SUMIF(C2:C698,C428,AS2:AS698),IF(AND(AT428=3,M428="F",SUMIF(C2:C698,C428,AS2:AS698)&gt;1),1,"")))</f>
        <v/>
      </c>
      <c r="AW428" s="462">
        <f>SUMIF(C2:C698,C428,O2:O698)</f>
        <v>0</v>
      </c>
      <c r="AX428" s="462">
        <f>IF(AND(M428="F",AS428&lt;&gt;0),SUMIF(C2:C698,C428,W2:W698),0)</f>
        <v>0</v>
      </c>
      <c r="AY428" s="462" t="str">
        <f t="shared" si="104"/>
        <v/>
      </c>
      <c r="AZ428" s="462" t="str">
        <f t="shared" si="105"/>
        <v/>
      </c>
      <c r="BA428" s="462">
        <f t="shared" si="106"/>
        <v>0</v>
      </c>
      <c r="BB428" s="462">
        <f>IF(AND(AT428=1,AK428="E",AU428&gt;=0.75,AW428=1),Health,IF(AND(AT428=1,AK428="E",AU428&gt;=0.75),Health*P428,IF(AND(AT428=1,AK428="E",AU428&gt;=0.5,AW428=1),PTHealth,IF(AND(AT428=1,AK428="E",AU428&gt;=0.5),PTHealth*P428,0))))</f>
        <v>0</v>
      </c>
      <c r="BC428" s="462">
        <f>IF(AND(AT428=3,AK428="E",AV428&gt;=0.75,AW428=1),Health,IF(AND(AT428=3,AK428="E",AV428&gt;=0.75),Health*P428,IF(AND(AT428=3,AK428="E",AV428&gt;=0.5,AW428=1),PTHealth,IF(AND(AT428=3,AK428="E",AV428&gt;=0.5),PTHealth*P428,0))))</f>
        <v>0</v>
      </c>
      <c r="BD428" s="462">
        <f>IF(AND(AT428&lt;&gt;0,AX428&gt;=MAXSSDI),SSDI*MAXSSDI*P428,IF(AT428&lt;&gt;0,SSDI*W428,0))</f>
        <v>0</v>
      </c>
      <c r="BE428" s="462">
        <f>IF(AT428&lt;&gt;0,SSHI*W428,0)</f>
        <v>0</v>
      </c>
      <c r="BF428" s="462">
        <f>IF(AND(AT428&lt;&gt;0,AN428&lt;&gt;"NE"),VLOOKUP(AN428,Retirement_Rates,3,FALSE)*W428,0)</f>
        <v>0</v>
      </c>
      <c r="BG428" s="462">
        <f>IF(AND(AT428&lt;&gt;0,AJ428&lt;&gt;"PF"),Life*W428,0)</f>
        <v>0</v>
      </c>
      <c r="BH428" s="462">
        <f>IF(AND(AT428&lt;&gt;0,AM428="Y"),UI*W428,0)</f>
        <v>0</v>
      </c>
      <c r="BI428" s="462">
        <f>IF(AND(AT428&lt;&gt;0,N428&lt;&gt;"NR"),DHR*W428,0)</f>
        <v>0</v>
      </c>
      <c r="BJ428" s="462">
        <f>IF(AT428&lt;&gt;0,WC*W428,0)</f>
        <v>0</v>
      </c>
      <c r="BK428" s="462">
        <f>IF(OR(AND(AT428&lt;&gt;0,AJ428&lt;&gt;"PF",AN428&lt;&gt;"NE",AG428&lt;&gt;"A"),AND(AL428="E",OR(AT428=1,AT428=3))),Sick*W428,0)</f>
        <v>0</v>
      </c>
      <c r="BL428" s="462">
        <f t="shared" si="107"/>
        <v>0</v>
      </c>
      <c r="BM428" s="462">
        <f t="shared" si="108"/>
        <v>0</v>
      </c>
      <c r="BN428" s="462">
        <f>IF(AND(AT428=1,AK428="E",AU428&gt;=0.75,AW428=1),HealthBY,IF(AND(AT428=1,AK428="E",AU428&gt;=0.75),HealthBY*P428,IF(AND(AT428=1,AK428="E",AU428&gt;=0.5,AW428=1),PTHealthBY,IF(AND(AT428=1,AK428="E",AU428&gt;=0.5),PTHealthBY*P428,0))))</f>
        <v>0</v>
      </c>
      <c r="BO428" s="462">
        <f>IF(AND(AT428=3,AK428="E",AV428&gt;=0.75,AW428=1),HealthBY,IF(AND(AT428=3,AK428="E",AV428&gt;=0.75),HealthBY*P428,IF(AND(AT428=3,AK428="E",AV428&gt;=0.5,AW428=1),PTHealthBY,IF(AND(AT428=3,AK428="E",AV428&gt;=0.5),PTHealthBY*P428,0))))</f>
        <v>0</v>
      </c>
      <c r="BP428" s="462">
        <f>IF(AND(AT428&lt;&gt;0,(AX428+BA428)&gt;=MAXSSDIBY),SSDIBY*MAXSSDIBY*P428,IF(AT428&lt;&gt;0,SSDIBY*W428,0))</f>
        <v>0</v>
      </c>
      <c r="BQ428" s="462">
        <f>IF(AT428&lt;&gt;0,SSHIBY*W428,0)</f>
        <v>0</v>
      </c>
      <c r="BR428" s="462">
        <f>IF(AND(AT428&lt;&gt;0,AN428&lt;&gt;"NE"),VLOOKUP(AN428,Retirement_Rates,4,FALSE)*W428,0)</f>
        <v>0</v>
      </c>
      <c r="BS428" s="462">
        <f>IF(AND(AT428&lt;&gt;0,AJ428&lt;&gt;"PF"),LifeBY*W428,0)</f>
        <v>0</v>
      </c>
      <c r="BT428" s="462">
        <f>IF(AND(AT428&lt;&gt;0,AM428="Y"),UIBY*W428,0)</f>
        <v>0</v>
      </c>
      <c r="BU428" s="462">
        <f>IF(AND(AT428&lt;&gt;0,N428&lt;&gt;"NR"),DHRBY*W428,0)</f>
        <v>0</v>
      </c>
      <c r="BV428" s="462">
        <f>IF(AT428&lt;&gt;0,WCBY*W428,0)</f>
        <v>0</v>
      </c>
      <c r="BW428" s="462">
        <f>IF(OR(AND(AT428&lt;&gt;0,AJ428&lt;&gt;"PF",AN428&lt;&gt;"NE",AG428&lt;&gt;"A"),AND(AL428="E",OR(AT428=1,AT428=3))),SickBY*W428,0)</f>
        <v>0</v>
      </c>
      <c r="BX428" s="462">
        <f t="shared" si="109"/>
        <v>0</v>
      </c>
      <c r="BY428" s="462">
        <f t="shared" si="110"/>
        <v>0</v>
      </c>
      <c r="BZ428" s="462">
        <f t="shared" si="111"/>
        <v>0</v>
      </c>
      <c r="CA428" s="462">
        <f t="shared" si="112"/>
        <v>0</v>
      </c>
      <c r="CB428" s="462">
        <f t="shared" si="113"/>
        <v>0</v>
      </c>
      <c r="CC428" s="462">
        <f>IF(AT428&lt;&gt;0,SSHICHG*Y428,0)</f>
        <v>0</v>
      </c>
      <c r="CD428" s="462">
        <f>IF(AND(AT428&lt;&gt;0,AN428&lt;&gt;"NE"),VLOOKUP(AN428,Retirement_Rates,5,FALSE)*Y428,0)</f>
        <v>0</v>
      </c>
      <c r="CE428" s="462">
        <f>IF(AND(AT428&lt;&gt;0,AJ428&lt;&gt;"PF"),LifeCHG*Y428,0)</f>
        <v>0</v>
      </c>
      <c r="CF428" s="462">
        <f>IF(AND(AT428&lt;&gt;0,AM428="Y"),UICHG*Y428,0)</f>
        <v>0</v>
      </c>
      <c r="CG428" s="462">
        <f>IF(AND(AT428&lt;&gt;0,N428&lt;&gt;"NR"),DHRCHG*Y428,0)</f>
        <v>0</v>
      </c>
      <c r="CH428" s="462">
        <f>IF(AT428&lt;&gt;0,WCCHG*Y428,0)</f>
        <v>0</v>
      </c>
      <c r="CI428" s="462">
        <f>IF(OR(AND(AT428&lt;&gt;0,AJ428&lt;&gt;"PF",AN428&lt;&gt;"NE",AG428&lt;&gt;"A"),AND(AL428="E",OR(AT428=1,AT428=3))),SickCHG*Y428,0)</f>
        <v>0</v>
      </c>
      <c r="CJ428" s="462">
        <f t="shared" si="114"/>
        <v>0</v>
      </c>
      <c r="CK428" s="462" t="str">
        <f t="shared" si="115"/>
        <v/>
      </c>
      <c r="CL428" s="462" t="str">
        <f t="shared" si="116"/>
        <v/>
      </c>
      <c r="CM428" s="462" t="str">
        <f t="shared" si="117"/>
        <v/>
      </c>
      <c r="CN428" s="462" t="str">
        <f t="shared" si="118"/>
        <v>0330-12</v>
      </c>
    </row>
    <row r="429" spans="1:92" ht="15" thickBot="1" x14ac:dyDescent="0.35">
      <c r="A429" s="376" t="s">
        <v>161</v>
      </c>
      <c r="B429" s="376" t="s">
        <v>162</v>
      </c>
      <c r="C429" s="376" t="s">
        <v>1068</v>
      </c>
      <c r="D429" s="376" t="s">
        <v>287</v>
      </c>
      <c r="E429" s="376" t="s">
        <v>931</v>
      </c>
      <c r="F429" s="382" t="s">
        <v>1057</v>
      </c>
      <c r="G429" s="376" t="s">
        <v>1010</v>
      </c>
      <c r="H429" s="378"/>
      <c r="I429" s="378"/>
      <c r="J429" s="376" t="s">
        <v>168</v>
      </c>
      <c r="K429" s="376" t="s">
        <v>290</v>
      </c>
      <c r="L429" s="376" t="s">
        <v>166</v>
      </c>
      <c r="M429" s="376" t="s">
        <v>201</v>
      </c>
      <c r="N429" s="376" t="s">
        <v>291</v>
      </c>
      <c r="O429" s="379">
        <v>0</v>
      </c>
      <c r="P429" s="460">
        <v>1</v>
      </c>
      <c r="Q429" s="460">
        <v>0</v>
      </c>
      <c r="R429" s="380">
        <v>0</v>
      </c>
      <c r="S429" s="460">
        <v>0</v>
      </c>
      <c r="T429" s="380">
        <v>4536</v>
      </c>
      <c r="U429" s="380">
        <v>0</v>
      </c>
      <c r="V429" s="380">
        <v>385.59</v>
      </c>
      <c r="W429" s="380">
        <v>4536</v>
      </c>
      <c r="X429" s="380">
        <v>385.59</v>
      </c>
      <c r="Y429" s="380">
        <v>4536</v>
      </c>
      <c r="Z429" s="380">
        <v>385.59</v>
      </c>
      <c r="AA429" s="378"/>
      <c r="AB429" s="376" t="s">
        <v>45</v>
      </c>
      <c r="AC429" s="376" t="s">
        <v>45</v>
      </c>
      <c r="AD429" s="378"/>
      <c r="AE429" s="378"/>
      <c r="AF429" s="378"/>
      <c r="AG429" s="378"/>
      <c r="AH429" s="379">
        <v>0</v>
      </c>
      <c r="AI429" s="379">
        <v>0</v>
      </c>
      <c r="AJ429" s="378"/>
      <c r="AK429" s="378"/>
      <c r="AL429" s="376" t="s">
        <v>180</v>
      </c>
      <c r="AM429" s="378"/>
      <c r="AN429" s="378"/>
      <c r="AO429" s="379">
        <v>0</v>
      </c>
      <c r="AP429" s="460">
        <v>0</v>
      </c>
      <c r="AQ429" s="460">
        <v>0</v>
      </c>
      <c r="AR429" s="459"/>
      <c r="AS429" s="462">
        <f t="shared" si="102"/>
        <v>0</v>
      </c>
      <c r="AT429">
        <f t="shared" si="103"/>
        <v>0</v>
      </c>
      <c r="AU429" s="462" t="str">
        <f>IF(AT429=0,"",IF(AND(AT429=1,M429="F",SUMIF(C2:C698,C429,AS2:AS698)&lt;=1),SUMIF(C2:C698,C429,AS2:AS698),IF(AND(AT429=1,M429="F",SUMIF(C2:C698,C429,AS2:AS698)&gt;1),1,"")))</f>
        <v/>
      </c>
      <c r="AV429" s="462" t="str">
        <f>IF(AT429=0,"",IF(AND(AT429=3,M429="F",SUMIF(C2:C698,C429,AS2:AS698)&lt;=1),SUMIF(C2:C698,C429,AS2:AS698),IF(AND(AT429=3,M429="F",SUMIF(C2:C698,C429,AS2:AS698)&gt;1),1,"")))</f>
        <v/>
      </c>
      <c r="AW429" s="462">
        <f>SUMIF(C2:C698,C429,O2:O698)</f>
        <v>0</v>
      </c>
      <c r="AX429" s="462">
        <f>IF(AND(M429="F",AS429&lt;&gt;0),SUMIF(C2:C698,C429,W2:W698),0)</f>
        <v>0</v>
      </c>
      <c r="AY429" s="462" t="str">
        <f t="shared" si="104"/>
        <v/>
      </c>
      <c r="AZ429" s="462" t="str">
        <f t="shared" si="105"/>
        <v/>
      </c>
      <c r="BA429" s="462">
        <f t="shared" si="106"/>
        <v>0</v>
      </c>
      <c r="BB429" s="462">
        <f>IF(AND(AT429=1,AK429="E",AU429&gt;=0.75,AW429=1),Health,IF(AND(AT429=1,AK429="E",AU429&gt;=0.75),Health*P429,IF(AND(AT429=1,AK429="E",AU429&gt;=0.5,AW429=1),PTHealth,IF(AND(AT429=1,AK429="E",AU429&gt;=0.5),PTHealth*P429,0))))</f>
        <v>0</v>
      </c>
      <c r="BC429" s="462">
        <f>IF(AND(AT429=3,AK429="E",AV429&gt;=0.75,AW429=1),Health,IF(AND(AT429=3,AK429="E",AV429&gt;=0.75),Health*P429,IF(AND(AT429=3,AK429="E",AV429&gt;=0.5,AW429=1),PTHealth,IF(AND(AT429=3,AK429="E",AV429&gt;=0.5),PTHealth*P429,0))))</f>
        <v>0</v>
      </c>
      <c r="BD429" s="462">
        <f>IF(AND(AT429&lt;&gt;0,AX429&gt;=MAXSSDI),SSDI*MAXSSDI*P429,IF(AT429&lt;&gt;0,SSDI*W429,0))</f>
        <v>0</v>
      </c>
      <c r="BE429" s="462">
        <f>IF(AT429&lt;&gt;0,SSHI*W429,0)</f>
        <v>0</v>
      </c>
      <c r="BF429" s="462">
        <f>IF(AND(AT429&lt;&gt;0,AN429&lt;&gt;"NE"),VLOOKUP(AN429,Retirement_Rates,3,FALSE)*W429,0)</f>
        <v>0</v>
      </c>
      <c r="BG429" s="462">
        <f>IF(AND(AT429&lt;&gt;0,AJ429&lt;&gt;"PF"),Life*W429,0)</f>
        <v>0</v>
      </c>
      <c r="BH429" s="462">
        <f>IF(AND(AT429&lt;&gt;0,AM429="Y"),UI*W429,0)</f>
        <v>0</v>
      </c>
      <c r="BI429" s="462">
        <f>IF(AND(AT429&lt;&gt;0,N429&lt;&gt;"NR"),DHR*W429,0)</f>
        <v>0</v>
      </c>
      <c r="BJ429" s="462">
        <f>IF(AT429&lt;&gt;0,WC*W429,0)</f>
        <v>0</v>
      </c>
      <c r="BK429" s="462">
        <f>IF(OR(AND(AT429&lt;&gt;0,AJ429&lt;&gt;"PF",AN429&lt;&gt;"NE",AG429&lt;&gt;"A"),AND(AL429="E",OR(AT429=1,AT429=3))),Sick*W429,0)</f>
        <v>0</v>
      </c>
      <c r="BL429" s="462">
        <f t="shared" si="107"/>
        <v>0</v>
      </c>
      <c r="BM429" s="462">
        <f t="shared" si="108"/>
        <v>0</v>
      </c>
      <c r="BN429" s="462">
        <f>IF(AND(AT429=1,AK429="E",AU429&gt;=0.75,AW429=1),HealthBY,IF(AND(AT429=1,AK429="E",AU429&gt;=0.75),HealthBY*P429,IF(AND(AT429=1,AK429="E",AU429&gt;=0.5,AW429=1),PTHealthBY,IF(AND(AT429=1,AK429="E",AU429&gt;=0.5),PTHealthBY*P429,0))))</f>
        <v>0</v>
      </c>
      <c r="BO429" s="462">
        <f>IF(AND(AT429=3,AK429="E",AV429&gt;=0.75,AW429=1),HealthBY,IF(AND(AT429=3,AK429="E",AV429&gt;=0.75),HealthBY*P429,IF(AND(AT429=3,AK429="E",AV429&gt;=0.5,AW429=1),PTHealthBY,IF(AND(AT429=3,AK429="E",AV429&gt;=0.5),PTHealthBY*P429,0))))</f>
        <v>0</v>
      </c>
      <c r="BP429" s="462">
        <f>IF(AND(AT429&lt;&gt;0,(AX429+BA429)&gt;=MAXSSDIBY),SSDIBY*MAXSSDIBY*P429,IF(AT429&lt;&gt;0,SSDIBY*W429,0))</f>
        <v>0</v>
      </c>
      <c r="BQ429" s="462">
        <f>IF(AT429&lt;&gt;0,SSHIBY*W429,0)</f>
        <v>0</v>
      </c>
      <c r="BR429" s="462">
        <f>IF(AND(AT429&lt;&gt;0,AN429&lt;&gt;"NE"),VLOOKUP(AN429,Retirement_Rates,4,FALSE)*W429,0)</f>
        <v>0</v>
      </c>
      <c r="BS429" s="462">
        <f>IF(AND(AT429&lt;&gt;0,AJ429&lt;&gt;"PF"),LifeBY*W429,0)</f>
        <v>0</v>
      </c>
      <c r="BT429" s="462">
        <f>IF(AND(AT429&lt;&gt;0,AM429="Y"),UIBY*W429,0)</f>
        <v>0</v>
      </c>
      <c r="BU429" s="462">
        <f>IF(AND(AT429&lt;&gt;0,N429&lt;&gt;"NR"),DHRBY*W429,0)</f>
        <v>0</v>
      </c>
      <c r="BV429" s="462">
        <f>IF(AT429&lt;&gt;0,WCBY*W429,0)</f>
        <v>0</v>
      </c>
      <c r="BW429" s="462">
        <f>IF(OR(AND(AT429&lt;&gt;0,AJ429&lt;&gt;"PF",AN429&lt;&gt;"NE",AG429&lt;&gt;"A"),AND(AL429="E",OR(AT429=1,AT429=3))),SickBY*W429,0)</f>
        <v>0</v>
      </c>
      <c r="BX429" s="462">
        <f t="shared" si="109"/>
        <v>0</v>
      </c>
      <c r="BY429" s="462">
        <f t="shared" si="110"/>
        <v>0</v>
      </c>
      <c r="BZ429" s="462">
        <f t="shared" si="111"/>
        <v>0</v>
      </c>
      <c r="CA429" s="462">
        <f t="shared" si="112"/>
        <v>0</v>
      </c>
      <c r="CB429" s="462">
        <f t="shared" si="113"/>
        <v>0</v>
      </c>
      <c r="CC429" s="462">
        <f>IF(AT429&lt;&gt;0,SSHICHG*Y429,0)</f>
        <v>0</v>
      </c>
      <c r="CD429" s="462">
        <f>IF(AND(AT429&lt;&gt;0,AN429&lt;&gt;"NE"),VLOOKUP(AN429,Retirement_Rates,5,FALSE)*Y429,0)</f>
        <v>0</v>
      </c>
      <c r="CE429" s="462">
        <f>IF(AND(AT429&lt;&gt;0,AJ429&lt;&gt;"PF"),LifeCHG*Y429,0)</f>
        <v>0</v>
      </c>
      <c r="CF429" s="462">
        <f>IF(AND(AT429&lt;&gt;0,AM429="Y"),UICHG*Y429,0)</f>
        <v>0</v>
      </c>
      <c r="CG429" s="462">
        <f>IF(AND(AT429&lt;&gt;0,N429&lt;&gt;"NR"),DHRCHG*Y429,0)</f>
        <v>0</v>
      </c>
      <c r="CH429" s="462">
        <f>IF(AT429&lt;&gt;0,WCCHG*Y429,0)</f>
        <v>0</v>
      </c>
      <c r="CI429" s="462">
        <f>IF(OR(AND(AT429&lt;&gt;0,AJ429&lt;&gt;"PF",AN429&lt;&gt;"NE",AG429&lt;&gt;"A"),AND(AL429="E",OR(AT429=1,AT429=3))),SickCHG*Y429,0)</f>
        <v>0</v>
      </c>
      <c r="CJ429" s="462">
        <f t="shared" si="114"/>
        <v>0</v>
      </c>
      <c r="CK429" s="462" t="str">
        <f t="shared" si="115"/>
        <v/>
      </c>
      <c r="CL429" s="462">
        <f t="shared" si="116"/>
        <v>4536</v>
      </c>
      <c r="CM429" s="462">
        <f t="shared" si="117"/>
        <v>385.59</v>
      </c>
      <c r="CN429" s="462" t="str">
        <f t="shared" si="118"/>
        <v>0330-12</v>
      </c>
    </row>
    <row r="430" spans="1:92" ht="15" thickBot="1" x14ac:dyDescent="0.35">
      <c r="A430" s="376" t="s">
        <v>161</v>
      </c>
      <c r="B430" s="376" t="s">
        <v>162</v>
      </c>
      <c r="C430" s="376" t="s">
        <v>1069</v>
      </c>
      <c r="D430" s="376" t="s">
        <v>362</v>
      </c>
      <c r="E430" s="376" t="s">
        <v>535</v>
      </c>
      <c r="F430" s="382" t="s">
        <v>1070</v>
      </c>
      <c r="G430" s="376" t="s">
        <v>1010</v>
      </c>
      <c r="H430" s="378"/>
      <c r="I430" s="378"/>
      <c r="J430" s="376" t="s">
        <v>168</v>
      </c>
      <c r="K430" s="376" t="s">
        <v>363</v>
      </c>
      <c r="L430" s="376" t="s">
        <v>200</v>
      </c>
      <c r="M430" s="376" t="s">
        <v>170</v>
      </c>
      <c r="N430" s="376" t="s">
        <v>202</v>
      </c>
      <c r="O430" s="379">
        <v>1</v>
      </c>
      <c r="P430" s="460">
        <v>1</v>
      </c>
      <c r="Q430" s="460">
        <v>1</v>
      </c>
      <c r="R430" s="380">
        <v>80</v>
      </c>
      <c r="S430" s="460">
        <v>1</v>
      </c>
      <c r="T430" s="380">
        <v>44776</v>
      </c>
      <c r="U430" s="380">
        <v>0</v>
      </c>
      <c r="V430" s="380">
        <v>21407.89</v>
      </c>
      <c r="W430" s="380">
        <v>46800</v>
      </c>
      <c r="X430" s="380">
        <v>22244.1</v>
      </c>
      <c r="Y430" s="380">
        <v>46800</v>
      </c>
      <c r="Z430" s="380">
        <v>22122.42</v>
      </c>
      <c r="AA430" s="376" t="s">
        <v>1071</v>
      </c>
      <c r="AB430" s="376" t="s">
        <v>1072</v>
      </c>
      <c r="AC430" s="376" t="s">
        <v>1073</v>
      </c>
      <c r="AD430" s="376" t="s">
        <v>370</v>
      </c>
      <c r="AE430" s="376" t="s">
        <v>363</v>
      </c>
      <c r="AF430" s="376" t="s">
        <v>210</v>
      </c>
      <c r="AG430" s="376" t="s">
        <v>177</v>
      </c>
      <c r="AH430" s="381">
        <v>22.5</v>
      </c>
      <c r="AI430" s="379">
        <v>7273</v>
      </c>
      <c r="AJ430" s="376" t="s">
        <v>178</v>
      </c>
      <c r="AK430" s="376" t="s">
        <v>179</v>
      </c>
      <c r="AL430" s="376" t="s">
        <v>180</v>
      </c>
      <c r="AM430" s="376" t="s">
        <v>181</v>
      </c>
      <c r="AN430" s="376" t="s">
        <v>68</v>
      </c>
      <c r="AO430" s="379">
        <v>80</v>
      </c>
      <c r="AP430" s="460">
        <v>1</v>
      </c>
      <c r="AQ430" s="460">
        <v>1</v>
      </c>
      <c r="AR430" s="458" t="s">
        <v>182</v>
      </c>
      <c r="AS430" s="462">
        <f t="shared" si="102"/>
        <v>1</v>
      </c>
      <c r="AT430">
        <f t="shared" si="103"/>
        <v>1</v>
      </c>
      <c r="AU430" s="462">
        <f>IF(AT430=0,"",IF(AND(AT430=1,M430="F",SUMIF(C2:C698,C430,AS2:AS698)&lt;=1),SUMIF(C2:C698,C430,AS2:AS698),IF(AND(AT430=1,M430="F",SUMIF(C2:C698,C430,AS2:AS698)&gt;1),1,"")))</f>
        <v>1</v>
      </c>
      <c r="AV430" s="462" t="str">
        <f>IF(AT430=0,"",IF(AND(AT430=3,M430="F",SUMIF(C2:C698,C430,AS2:AS698)&lt;=1),SUMIF(C2:C698,C430,AS2:AS698),IF(AND(AT430=3,M430="F",SUMIF(C2:C698,C430,AS2:AS698)&gt;1),1,"")))</f>
        <v/>
      </c>
      <c r="AW430" s="462">
        <f>SUMIF(C2:C698,C430,O2:O698)</f>
        <v>1</v>
      </c>
      <c r="AX430" s="462">
        <f>IF(AND(M430="F",AS430&lt;&gt;0),SUMIF(C2:C698,C430,W2:W698),0)</f>
        <v>46800</v>
      </c>
      <c r="AY430" s="462">
        <f t="shared" si="104"/>
        <v>46800</v>
      </c>
      <c r="AZ430" s="462" t="str">
        <f t="shared" si="105"/>
        <v/>
      </c>
      <c r="BA430" s="462">
        <f t="shared" si="106"/>
        <v>0</v>
      </c>
      <c r="BB430" s="462">
        <f>IF(AND(AT430=1,AK430="E",AU430&gt;=0.75,AW430=1),Health,IF(AND(AT430=1,AK430="E",AU430&gt;=0.75),Health*P430,IF(AND(AT430=1,AK430="E",AU430&gt;=0.5,AW430=1),PTHealth,IF(AND(AT430=1,AK430="E",AU430&gt;=0.5),PTHealth*P430,0))))</f>
        <v>11650</v>
      </c>
      <c r="BC430" s="462">
        <f>IF(AND(AT430=3,AK430="E",AV430&gt;=0.75,AW430=1),Health,IF(AND(AT430=3,AK430="E",AV430&gt;=0.75),Health*P430,IF(AND(AT430=3,AK430="E",AV430&gt;=0.5,AW430=1),PTHealth,IF(AND(AT430=3,AK430="E",AV430&gt;=0.5),PTHealth*P430,0))))</f>
        <v>0</v>
      </c>
      <c r="BD430" s="462">
        <f>IF(AND(AT430&lt;&gt;0,AX430&gt;=MAXSSDI),SSDI*MAXSSDI*P430,IF(AT430&lt;&gt;0,SSDI*W430,0))</f>
        <v>2901.6</v>
      </c>
      <c r="BE430" s="462">
        <f>IF(AT430&lt;&gt;0,SSHI*W430,0)</f>
        <v>678.6</v>
      </c>
      <c r="BF430" s="462">
        <f>IF(AND(AT430&lt;&gt;0,AN430&lt;&gt;"NE"),VLOOKUP(AN430,Retirement_Rates,3,FALSE)*W430,0)</f>
        <v>5587.92</v>
      </c>
      <c r="BG430" s="462">
        <f>IF(AND(AT430&lt;&gt;0,AJ430&lt;&gt;"PF"),Life*W430,0)</f>
        <v>337.428</v>
      </c>
      <c r="BH430" s="462">
        <f>IF(AND(AT430&lt;&gt;0,AM430="Y"),UI*W430,0)</f>
        <v>229.32</v>
      </c>
      <c r="BI430" s="462">
        <f>IF(AND(AT430&lt;&gt;0,N430&lt;&gt;"NR"),DHR*W430,0)</f>
        <v>143.208</v>
      </c>
      <c r="BJ430" s="462">
        <f>IF(AT430&lt;&gt;0,WC*W430,0)</f>
        <v>716.04</v>
      </c>
      <c r="BK430" s="462">
        <f>IF(OR(AND(AT430&lt;&gt;0,AJ430&lt;&gt;"PF",AN430&lt;&gt;"NE",AG430&lt;&gt;"A"),AND(AL430="E",OR(AT430=1,AT430=3))),Sick*W430,0)</f>
        <v>0</v>
      </c>
      <c r="BL430" s="462">
        <f t="shared" si="107"/>
        <v>10594.115999999998</v>
      </c>
      <c r="BM430" s="462">
        <f t="shared" si="108"/>
        <v>0</v>
      </c>
      <c r="BN430" s="462">
        <f>IF(AND(AT430=1,AK430="E",AU430&gt;=0.75,AW430=1),HealthBY,IF(AND(AT430=1,AK430="E",AU430&gt;=0.75),HealthBY*P430,IF(AND(AT430=1,AK430="E",AU430&gt;=0.5,AW430=1),PTHealthBY,IF(AND(AT430=1,AK430="E",AU430&gt;=0.5),PTHealthBY*P430,0))))</f>
        <v>11650</v>
      </c>
      <c r="BO430" s="462">
        <f>IF(AND(AT430=3,AK430="E",AV430&gt;=0.75,AW430=1),HealthBY,IF(AND(AT430=3,AK430="E",AV430&gt;=0.75),HealthBY*P430,IF(AND(AT430=3,AK430="E",AV430&gt;=0.5,AW430=1),PTHealthBY,IF(AND(AT430=3,AK430="E",AV430&gt;=0.5),PTHealthBY*P430,0))))</f>
        <v>0</v>
      </c>
      <c r="BP430" s="462">
        <f>IF(AND(AT430&lt;&gt;0,(AX430+BA430)&gt;=MAXSSDIBY),SSDIBY*MAXSSDIBY*P430,IF(AT430&lt;&gt;0,SSDIBY*W430,0))</f>
        <v>2901.6</v>
      </c>
      <c r="BQ430" s="462">
        <f>IF(AT430&lt;&gt;0,SSHIBY*W430,0)</f>
        <v>678.6</v>
      </c>
      <c r="BR430" s="462">
        <f>IF(AND(AT430&lt;&gt;0,AN430&lt;&gt;"NE"),VLOOKUP(AN430,Retirement_Rates,4,FALSE)*W430,0)</f>
        <v>5587.92</v>
      </c>
      <c r="BS430" s="462">
        <f>IF(AND(AT430&lt;&gt;0,AJ430&lt;&gt;"PF"),LifeBY*W430,0)</f>
        <v>337.428</v>
      </c>
      <c r="BT430" s="462">
        <f>IF(AND(AT430&lt;&gt;0,AM430="Y"),UIBY*W430,0)</f>
        <v>0</v>
      </c>
      <c r="BU430" s="462">
        <f>IF(AND(AT430&lt;&gt;0,N430&lt;&gt;"NR"),DHRBY*W430,0)</f>
        <v>143.208</v>
      </c>
      <c r="BV430" s="462">
        <f>IF(AT430&lt;&gt;0,WCBY*W430,0)</f>
        <v>823.68000000000006</v>
      </c>
      <c r="BW430" s="462">
        <f>IF(OR(AND(AT430&lt;&gt;0,AJ430&lt;&gt;"PF",AN430&lt;&gt;"NE",AG430&lt;&gt;"A"),AND(AL430="E",OR(AT430=1,AT430=3))),SickBY*W430,0)</f>
        <v>0</v>
      </c>
      <c r="BX430" s="462">
        <f t="shared" si="109"/>
        <v>10472.436</v>
      </c>
      <c r="BY430" s="462">
        <f t="shared" si="110"/>
        <v>0</v>
      </c>
      <c r="BZ430" s="462">
        <f t="shared" si="111"/>
        <v>0</v>
      </c>
      <c r="CA430" s="462">
        <f t="shared" si="112"/>
        <v>0</v>
      </c>
      <c r="CB430" s="462">
        <f t="shared" si="113"/>
        <v>0</v>
      </c>
      <c r="CC430" s="462">
        <f>IF(AT430&lt;&gt;0,SSHICHG*Y430,0)</f>
        <v>0</v>
      </c>
      <c r="CD430" s="462">
        <f>IF(AND(AT430&lt;&gt;0,AN430&lt;&gt;"NE"),VLOOKUP(AN430,Retirement_Rates,5,FALSE)*Y430,0)</f>
        <v>0</v>
      </c>
      <c r="CE430" s="462">
        <f>IF(AND(AT430&lt;&gt;0,AJ430&lt;&gt;"PF"),LifeCHG*Y430,0)</f>
        <v>0</v>
      </c>
      <c r="CF430" s="462">
        <f>IF(AND(AT430&lt;&gt;0,AM430="Y"),UICHG*Y430,0)</f>
        <v>-229.32</v>
      </c>
      <c r="CG430" s="462">
        <f>IF(AND(AT430&lt;&gt;0,N430&lt;&gt;"NR"),DHRCHG*Y430,0)</f>
        <v>0</v>
      </c>
      <c r="CH430" s="462">
        <f>IF(AT430&lt;&gt;0,WCCHG*Y430,0)</f>
        <v>107.64000000000009</v>
      </c>
      <c r="CI430" s="462">
        <f>IF(OR(AND(AT430&lt;&gt;0,AJ430&lt;&gt;"PF",AN430&lt;&gt;"NE",AG430&lt;&gt;"A"),AND(AL430="E",OR(AT430=1,AT430=3))),SickCHG*Y430,0)</f>
        <v>0</v>
      </c>
      <c r="CJ430" s="462">
        <f t="shared" si="114"/>
        <v>-121.67999999999991</v>
      </c>
      <c r="CK430" s="462" t="str">
        <f t="shared" si="115"/>
        <v/>
      </c>
      <c r="CL430" s="462" t="str">
        <f t="shared" si="116"/>
        <v/>
      </c>
      <c r="CM430" s="462" t="str">
        <f t="shared" si="117"/>
        <v/>
      </c>
      <c r="CN430" s="462" t="str">
        <f t="shared" si="118"/>
        <v>0332-10</v>
      </c>
    </row>
    <row r="431" spans="1:92" ht="15" thickBot="1" x14ac:dyDescent="0.35">
      <c r="A431" s="376" t="s">
        <v>161</v>
      </c>
      <c r="B431" s="376" t="s">
        <v>162</v>
      </c>
      <c r="C431" s="376" t="s">
        <v>1074</v>
      </c>
      <c r="D431" s="376" t="s">
        <v>362</v>
      </c>
      <c r="E431" s="376" t="s">
        <v>535</v>
      </c>
      <c r="F431" s="382" t="s">
        <v>1070</v>
      </c>
      <c r="G431" s="376" t="s">
        <v>1010</v>
      </c>
      <c r="H431" s="378"/>
      <c r="I431" s="378"/>
      <c r="J431" s="376" t="s">
        <v>168</v>
      </c>
      <c r="K431" s="376" t="s">
        <v>363</v>
      </c>
      <c r="L431" s="376" t="s">
        <v>200</v>
      </c>
      <c r="M431" s="376" t="s">
        <v>170</v>
      </c>
      <c r="N431" s="376" t="s">
        <v>202</v>
      </c>
      <c r="O431" s="379">
        <v>1</v>
      </c>
      <c r="P431" s="460">
        <v>1</v>
      </c>
      <c r="Q431" s="460">
        <v>1</v>
      </c>
      <c r="R431" s="380">
        <v>80</v>
      </c>
      <c r="S431" s="460">
        <v>1</v>
      </c>
      <c r="T431" s="380">
        <v>37467</v>
      </c>
      <c r="U431" s="380">
        <v>0</v>
      </c>
      <c r="V431" s="380">
        <v>17876.38</v>
      </c>
      <c r="W431" s="380">
        <v>46800</v>
      </c>
      <c r="X431" s="380">
        <v>22244.1</v>
      </c>
      <c r="Y431" s="380">
        <v>46800</v>
      </c>
      <c r="Z431" s="380">
        <v>22122.42</v>
      </c>
      <c r="AA431" s="376" t="s">
        <v>1075</v>
      </c>
      <c r="AB431" s="376" t="s">
        <v>1076</v>
      </c>
      <c r="AC431" s="376" t="s">
        <v>563</v>
      </c>
      <c r="AD431" s="376" t="s">
        <v>215</v>
      </c>
      <c r="AE431" s="376" t="s">
        <v>363</v>
      </c>
      <c r="AF431" s="376" t="s">
        <v>210</v>
      </c>
      <c r="AG431" s="376" t="s">
        <v>177</v>
      </c>
      <c r="AH431" s="381">
        <v>22.5</v>
      </c>
      <c r="AI431" s="381">
        <v>3572.5</v>
      </c>
      <c r="AJ431" s="376" t="s">
        <v>178</v>
      </c>
      <c r="AK431" s="376" t="s">
        <v>179</v>
      </c>
      <c r="AL431" s="376" t="s">
        <v>180</v>
      </c>
      <c r="AM431" s="376" t="s">
        <v>181</v>
      </c>
      <c r="AN431" s="376" t="s">
        <v>68</v>
      </c>
      <c r="AO431" s="379">
        <v>80</v>
      </c>
      <c r="AP431" s="460">
        <v>1</v>
      </c>
      <c r="AQ431" s="460">
        <v>1</v>
      </c>
      <c r="AR431" s="458" t="s">
        <v>182</v>
      </c>
      <c r="AS431" s="462">
        <f t="shared" si="102"/>
        <v>1</v>
      </c>
      <c r="AT431">
        <f t="shared" si="103"/>
        <v>1</v>
      </c>
      <c r="AU431" s="462">
        <f>IF(AT431=0,"",IF(AND(AT431=1,M431="F",SUMIF(C2:C698,C431,AS2:AS698)&lt;=1),SUMIF(C2:C698,C431,AS2:AS698),IF(AND(AT431=1,M431="F",SUMIF(C2:C698,C431,AS2:AS698)&gt;1),1,"")))</f>
        <v>1</v>
      </c>
      <c r="AV431" s="462" t="str">
        <f>IF(AT431=0,"",IF(AND(AT431=3,M431="F",SUMIF(C2:C698,C431,AS2:AS698)&lt;=1),SUMIF(C2:C698,C431,AS2:AS698),IF(AND(AT431=3,M431="F",SUMIF(C2:C698,C431,AS2:AS698)&gt;1),1,"")))</f>
        <v/>
      </c>
      <c r="AW431" s="462">
        <f>SUMIF(C2:C698,C431,O2:O698)</f>
        <v>1</v>
      </c>
      <c r="AX431" s="462">
        <f>IF(AND(M431="F",AS431&lt;&gt;0),SUMIF(C2:C698,C431,W2:W698),0)</f>
        <v>46800</v>
      </c>
      <c r="AY431" s="462">
        <f t="shared" si="104"/>
        <v>46800</v>
      </c>
      <c r="AZ431" s="462" t="str">
        <f t="shared" si="105"/>
        <v/>
      </c>
      <c r="BA431" s="462">
        <f t="shared" si="106"/>
        <v>0</v>
      </c>
      <c r="BB431" s="462">
        <f>IF(AND(AT431=1,AK431="E",AU431&gt;=0.75,AW431=1),Health,IF(AND(AT431=1,AK431="E",AU431&gt;=0.75),Health*P431,IF(AND(AT431=1,AK431="E",AU431&gt;=0.5,AW431=1),PTHealth,IF(AND(AT431=1,AK431="E",AU431&gt;=0.5),PTHealth*P431,0))))</f>
        <v>11650</v>
      </c>
      <c r="BC431" s="462">
        <f>IF(AND(AT431=3,AK431="E",AV431&gt;=0.75,AW431=1),Health,IF(AND(AT431=3,AK431="E",AV431&gt;=0.75),Health*P431,IF(AND(AT431=3,AK431="E",AV431&gt;=0.5,AW431=1),PTHealth,IF(AND(AT431=3,AK431="E",AV431&gt;=0.5),PTHealth*P431,0))))</f>
        <v>0</v>
      </c>
      <c r="BD431" s="462">
        <f>IF(AND(AT431&lt;&gt;0,AX431&gt;=MAXSSDI),SSDI*MAXSSDI*P431,IF(AT431&lt;&gt;0,SSDI*W431,0))</f>
        <v>2901.6</v>
      </c>
      <c r="BE431" s="462">
        <f>IF(AT431&lt;&gt;0,SSHI*W431,0)</f>
        <v>678.6</v>
      </c>
      <c r="BF431" s="462">
        <f>IF(AND(AT431&lt;&gt;0,AN431&lt;&gt;"NE"),VLOOKUP(AN431,Retirement_Rates,3,FALSE)*W431,0)</f>
        <v>5587.92</v>
      </c>
      <c r="BG431" s="462">
        <f>IF(AND(AT431&lt;&gt;0,AJ431&lt;&gt;"PF"),Life*W431,0)</f>
        <v>337.428</v>
      </c>
      <c r="BH431" s="462">
        <f>IF(AND(AT431&lt;&gt;0,AM431="Y"),UI*W431,0)</f>
        <v>229.32</v>
      </c>
      <c r="BI431" s="462">
        <f>IF(AND(AT431&lt;&gt;0,N431&lt;&gt;"NR"),DHR*W431,0)</f>
        <v>143.208</v>
      </c>
      <c r="BJ431" s="462">
        <f>IF(AT431&lt;&gt;0,WC*W431,0)</f>
        <v>716.04</v>
      </c>
      <c r="BK431" s="462">
        <f>IF(OR(AND(AT431&lt;&gt;0,AJ431&lt;&gt;"PF",AN431&lt;&gt;"NE",AG431&lt;&gt;"A"),AND(AL431="E",OR(AT431=1,AT431=3))),Sick*W431,0)</f>
        <v>0</v>
      </c>
      <c r="BL431" s="462">
        <f t="shared" si="107"/>
        <v>10594.115999999998</v>
      </c>
      <c r="BM431" s="462">
        <f t="shared" si="108"/>
        <v>0</v>
      </c>
      <c r="BN431" s="462">
        <f>IF(AND(AT431=1,AK431="E",AU431&gt;=0.75,AW431=1),HealthBY,IF(AND(AT431=1,AK431="E",AU431&gt;=0.75),HealthBY*P431,IF(AND(AT431=1,AK431="E",AU431&gt;=0.5,AW431=1),PTHealthBY,IF(AND(AT431=1,AK431="E",AU431&gt;=0.5),PTHealthBY*P431,0))))</f>
        <v>11650</v>
      </c>
      <c r="BO431" s="462">
        <f>IF(AND(AT431=3,AK431="E",AV431&gt;=0.75,AW431=1),HealthBY,IF(AND(AT431=3,AK431="E",AV431&gt;=0.75),HealthBY*P431,IF(AND(AT431=3,AK431="E",AV431&gt;=0.5,AW431=1),PTHealthBY,IF(AND(AT431=3,AK431="E",AV431&gt;=0.5),PTHealthBY*P431,0))))</f>
        <v>0</v>
      </c>
      <c r="BP431" s="462">
        <f>IF(AND(AT431&lt;&gt;0,(AX431+BA431)&gt;=MAXSSDIBY),SSDIBY*MAXSSDIBY*P431,IF(AT431&lt;&gt;0,SSDIBY*W431,0))</f>
        <v>2901.6</v>
      </c>
      <c r="BQ431" s="462">
        <f>IF(AT431&lt;&gt;0,SSHIBY*W431,0)</f>
        <v>678.6</v>
      </c>
      <c r="BR431" s="462">
        <f>IF(AND(AT431&lt;&gt;0,AN431&lt;&gt;"NE"),VLOOKUP(AN431,Retirement_Rates,4,FALSE)*W431,0)</f>
        <v>5587.92</v>
      </c>
      <c r="BS431" s="462">
        <f>IF(AND(AT431&lt;&gt;0,AJ431&lt;&gt;"PF"),LifeBY*W431,0)</f>
        <v>337.428</v>
      </c>
      <c r="BT431" s="462">
        <f>IF(AND(AT431&lt;&gt;0,AM431="Y"),UIBY*W431,0)</f>
        <v>0</v>
      </c>
      <c r="BU431" s="462">
        <f>IF(AND(AT431&lt;&gt;0,N431&lt;&gt;"NR"),DHRBY*W431,0)</f>
        <v>143.208</v>
      </c>
      <c r="BV431" s="462">
        <f>IF(AT431&lt;&gt;0,WCBY*W431,0)</f>
        <v>823.68000000000006</v>
      </c>
      <c r="BW431" s="462">
        <f>IF(OR(AND(AT431&lt;&gt;0,AJ431&lt;&gt;"PF",AN431&lt;&gt;"NE",AG431&lt;&gt;"A"),AND(AL431="E",OR(AT431=1,AT431=3))),SickBY*W431,0)</f>
        <v>0</v>
      </c>
      <c r="BX431" s="462">
        <f t="shared" si="109"/>
        <v>10472.436</v>
      </c>
      <c r="BY431" s="462">
        <f t="shared" si="110"/>
        <v>0</v>
      </c>
      <c r="BZ431" s="462">
        <f t="shared" si="111"/>
        <v>0</v>
      </c>
      <c r="CA431" s="462">
        <f t="shared" si="112"/>
        <v>0</v>
      </c>
      <c r="CB431" s="462">
        <f t="shared" si="113"/>
        <v>0</v>
      </c>
      <c r="CC431" s="462">
        <f>IF(AT431&lt;&gt;0,SSHICHG*Y431,0)</f>
        <v>0</v>
      </c>
      <c r="CD431" s="462">
        <f>IF(AND(AT431&lt;&gt;0,AN431&lt;&gt;"NE"),VLOOKUP(AN431,Retirement_Rates,5,FALSE)*Y431,0)</f>
        <v>0</v>
      </c>
      <c r="CE431" s="462">
        <f>IF(AND(AT431&lt;&gt;0,AJ431&lt;&gt;"PF"),LifeCHG*Y431,0)</f>
        <v>0</v>
      </c>
      <c r="CF431" s="462">
        <f>IF(AND(AT431&lt;&gt;0,AM431="Y"),UICHG*Y431,0)</f>
        <v>-229.32</v>
      </c>
      <c r="CG431" s="462">
        <f>IF(AND(AT431&lt;&gt;0,N431&lt;&gt;"NR"),DHRCHG*Y431,0)</f>
        <v>0</v>
      </c>
      <c r="CH431" s="462">
        <f>IF(AT431&lt;&gt;0,WCCHG*Y431,0)</f>
        <v>107.64000000000009</v>
      </c>
      <c r="CI431" s="462">
        <f>IF(OR(AND(AT431&lt;&gt;0,AJ431&lt;&gt;"PF",AN431&lt;&gt;"NE",AG431&lt;&gt;"A"),AND(AL431="E",OR(AT431=1,AT431=3))),SickCHG*Y431,0)</f>
        <v>0</v>
      </c>
      <c r="CJ431" s="462">
        <f t="shared" si="114"/>
        <v>-121.67999999999991</v>
      </c>
      <c r="CK431" s="462" t="str">
        <f t="shared" si="115"/>
        <v/>
      </c>
      <c r="CL431" s="462" t="str">
        <f t="shared" si="116"/>
        <v/>
      </c>
      <c r="CM431" s="462" t="str">
        <f t="shared" si="117"/>
        <v/>
      </c>
      <c r="CN431" s="462" t="str">
        <f t="shared" si="118"/>
        <v>0332-10</v>
      </c>
    </row>
    <row r="432" spans="1:92" ht="15" thickBot="1" x14ac:dyDescent="0.35">
      <c r="A432" s="376" t="s">
        <v>161</v>
      </c>
      <c r="B432" s="376" t="s">
        <v>162</v>
      </c>
      <c r="C432" s="376" t="s">
        <v>958</v>
      </c>
      <c r="D432" s="376" t="s">
        <v>858</v>
      </c>
      <c r="E432" s="376" t="s">
        <v>535</v>
      </c>
      <c r="F432" s="382" t="s">
        <v>1070</v>
      </c>
      <c r="G432" s="376" t="s">
        <v>1010</v>
      </c>
      <c r="H432" s="378"/>
      <c r="I432" s="378"/>
      <c r="J432" s="376" t="s">
        <v>168</v>
      </c>
      <c r="K432" s="376" t="s">
        <v>859</v>
      </c>
      <c r="L432" s="376" t="s">
        <v>166</v>
      </c>
      <c r="M432" s="376" t="s">
        <v>170</v>
      </c>
      <c r="N432" s="376" t="s">
        <v>291</v>
      </c>
      <c r="O432" s="379">
        <v>0</v>
      </c>
      <c r="P432" s="460">
        <v>0</v>
      </c>
      <c r="Q432" s="460">
        <v>0</v>
      </c>
      <c r="R432" s="380">
        <v>0</v>
      </c>
      <c r="S432" s="460">
        <v>0</v>
      </c>
      <c r="T432" s="380">
        <v>24.75</v>
      </c>
      <c r="U432" s="380">
        <v>0</v>
      </c>
      <c r="V432" s="380">
        <v>14.92</v>
      </c>
      <c r="W432" s="380">
        <v>0</v>
      </c>
      <c r="X432" s="380">
        <v>0</v>
      </c>
      <c r="Y432" s="380">
        <v>0</v>
      </c>
      <c r="Z432" s="380">
        <v>0</v>
      </c>
      <c r="AA432" s="378"/>
      <c r="AB432" s="376" t="s">
        <v>45</v>
      </c>
      <c r="AC432" s="376" t="s">
        <v>45</v>
      </c>
      <c r="AD432" s="378"/>
      <c r="AE432" s="378"/>
      <c r="AF432" s="378"/>
      <c r="AG432" s="378"/>
      <c r="AH432" s="379">
        <v>0</v>
      </c>
      <c r="AI432" s="379">
        <v>0</v>
      </c>
      <c r="AJ432" s="378"/>
      <c r="AK432" s="378"/>
      <c r="AL432" s="376" t="s">
        <v>180</v>
      </c>
      <c r="AM432" s="378"/>
      <c r="AN432" s="378"/>
      <c r="AO432" s="379">
        <v>0</v>
      </c>
      <c r="AP432" s="460">
        <v>0</v>
      </c>
      <c r="AQ432" s="460">
        <v>0</v>
      </c>
      <c r="AR432" s="459"/>
      <c r="AS432" s="462">
        <f t="shared" si="102"/>
        <v>0</v>
      </c>
      <c r="AT432">
        <f t="shared" si="103"/>
        <v>0</v>
      </c>
      <c r="AU432" s="462" t="str">
        <f>IF(AT432=0,"",IF(AND(AT432=1,M432="F",SUMIF(C2:C698,C432,AS2:AS698)&lt;=1),SUMIF(C2:C698,C432,AS2:AS698),IF(AND(AT432=1,M432="F",SUMIF(C2:C698,C432,AS2:AS698)&gt;1),1,"")))</f>
        <v/>
      </c>
      <c r="AV432" s="462" t="str">
        <f>IF(AT432=0,"",IF(AND(AT432=3,M432="F",SUMIF(C2:C698,C432,AS2:AS698)&lt;=1),SUMIF(C2:C698,C432,AS2:AS698),IF(AND(AT432=3,M432="F",SUMIF(C2:C698,C432,AS2:AS698)&gt;1),1,"")))</f>
        <v/>
      </c>
      <c r="AW432" s="462">
        <f>SUMIF(C2:C698,C432,O2:O698)</f>
        <v>0</v>
      </c>
      <c r="AX432" s="462">
        <f>IF(AND(M432="F",AS432&lt;&gt;0),SUMIF(C2:C698,C432,W2:W698),0)</f>
        <v>0</v>
      </c>
      <c r="AY432" s="462" t="str">
        <f t="shared" si="104"/>
        <v/>
      </c>
      <c r="AZ432" s="462" t="str">
        <f t="shared" si="105"/>
        <v/>
      </c>
      <c r="BA432" s="462">
        <f t="shared" si="106"/>
        <v>0</v>
      </c>
      <c r="BB432" s="462">
        <f>IF(AND(AT432=1,AK432="E",AU432&gt;=0.75,AW432=1),Health,IF(AND(AT432=1,AK432="E",AU432&gt;=0.75),Health*P432,IF(AND(AT432=1,AK432="E",AU432&gt;=0.5,AW432=1),PTHealth,IF(AND(AT432=1,AK432="E",AU432&gt;=0.5),PTHealth*P432,0))))</f>
        <v>0</v>
      </c>
      <c r="BC432" s="462">
        <f>IF(AND(AT432=3,AK432="E",AV432&gt;=0.75,AW432=1),Health,IF(AND(AT432=3,AK432="E",AV432&gt;=0.75),Health*P432,IF(AND(AT432=3,AK432="E",AV432&gt;=0.5,AW432=1),PTHealth,IF(AND(AT432=3,AK432="E",AV432&gt;=0.5),PTHealth*P432,0))))</f>
        <v>0</v>
      </c>
      <c r="BD432" s="462">
        <f>IF(AND(AT432&lt;&gt;0,AX432&gt;=MAXSSDI),SSDI*MAXSSDI*P432,IF(AT432&lt;&gt;0,SSDI*W432,0))</f>
        <v>0</v>
      </c>
      <c r="BE432" s="462">
        <f>IF(AT432&lt;&gt;0,SSHI*W432,0)</f>
        <v>0</v>
      </c>
      <c r="BF432" s="462">
        <f>IF(AND(AT432&lt;&gt;0,AN432&lt;&gt;"NE"),VLOOKUP(AN432,Retirement_Rates,3,FALSE)*W432,0)</f>
        <v>0</v>
      </c>
      <c r="BG432" s="462">
        <f>IF(AND(AT432&lt;&gt;0,AJ432&lt;&gt;"PF"),Life*W432,0)</f>
        <v>0</v>
      </c>
      <c r="BH432" s="462">
        <f>IF(AND(AT432&lt;&gt;0,AM432="Y"),UI*W432,0)</f>
        <v>0</v>
      </c>
      <c r="BI432" s="462">
        <f>IF(AND(AT432&lt;&gt;0,N432&lt;&gt;"NR"),DHR*W432,0)</f>
        <v>0</v>
      </c>
      <c r="BJ432" s="462">
        <f>IF(AT432&lt;&gt;0,WC*W432,0)</f>
        <v>0</v>
      </c>
      <c r="BK432" s="462">
        <f>IF(OR(AND(AT432&lt;&gt;0,AJ432&lt;&gt;"PF",AN432&lt;&gt;"NE",AG432&lt;&gt;"A"),AND(AL432="E",OR(AT432=1,AT432=3))),Sick*W432,0)</f>
        <v>0</v>
      </c>
      <c r="BL432" s="462">
        <f t="shared" si="107"/>
        <v>0</v>
      </c>
      <c r="BM432" s="462">
        <f t="shared" si="108"/>
        <v>0</v>
      </c>
      <c r="BN432" s="462">
        <f>IF(AND(AT432=1,AK432="E",AU432&gt;=0.75,AW432=1),HealthBY,IF(AND(AT432=1,AK432="E",AU432&gt;=0.75),HealthBY*P432,IF(AND(AT432=1,AK432="E",AU432&gt;=0.5,AW432=1),PTHealthBY,IF(AND(AT432=1,AK432="E",AU432&gt;=0.5),PTHealthBY*P432,0))))</f>
        <v>0</v>
      </c>
      <c r="BO432" s="462">
        <f>IF(AND(AT432=3,AK432="E",AV432&gt;=0.75,AW432=1),HealthBY,IF(AND(AT432=3,AK432="E",AV432&gt;=0.75),HealthBY*P432,IF(AND(AT432=3,AK432="E",AV432&gt;=0.5,AW432=1),PTHealthBY,IF(AND(AT432=3,AK432="E",AV432&gt;=0.5),PTHealthBY*P432,0))))</f>
        <v>0</v>
      </c>
      <c r="BP432" s="462">
        <f>IF(AND(AT432&lt;&gt;0,(AX432+BA432)&gt;=MAXSSDIBY),SSDIBY*MAXSSDIBY*P432,IF(AT432&lt;&gt;0,SSDIBY*W432,0))</f>
        <v>0</v>
      </c>
      <c r="BQ432" s="462">
        <f>IF(AT432&lt;&gt;0,SSHIBY*W432,0)</f>
        <v>0</v>
      </c>
      <c r="BR432" s="462">
        <f>IF(AND(AT432&lt;&gt;0,AN432&lt;&gt;"NE"),VLOOKUP(AN432,Retirement_Rates,4,FALSE)*W432,0)</f>
        <v>0</v>
      </c>
      <c r="BS432" s="462">
        <f>IF(AND(AT432&lt;&gt;0,AJ432&lt;&gt;"PF"),LifeBY*W432,0)</f>
        <v>0</v>
      </c>
      <c r="BT432" s="462">
        <f>IF(AND(AT432&lt;&gt;0,AM432="Y"),UIBY*W432,0)</f>
        <v>0</v>
      </c>
      <c r="BU432" s="462">
        <f>IF(AND(AT432&lt;&gt;0,N432&lt;&gt;"NR"),DHRBY*W432,0)</f>
        <v>0</v>
      </c>
      <c r="BV432" s="462">
        <f>IF(AT432&lt;&gt;0,WCBY*W432,0)</f>
        <v>0</v>
      </c>
      <c r="BW432" s="462">
        <f>IF(OR(AND(AT432&lt;&gt;0,AJ432&lt;&gt;"PF",AN432&lt;&gt;"NE",AG432&lt;&gt;"A"),AND(AL432="E",OR(AT432=1,AT432=3))),SickBY*W432,0)</f>
        <v>0</v>
      </c>
      <c r="BX432" s="462">
        <f t="shared" si="109"/>
        <v>0</v>
      </c>
      <c r="BY432" s="462">
        <f t="shared" si="110"/>
        <v>0</v>
      </c>
      <c r="BZ432" s="462">
        <f t="shared" si="111"/>
        <v>0</v>
      </c>
      <c r="CA432" s="462">
        <f t="shared" si="112"/>
        <v>0</v>
      </c>
      <c r="CB432" s="462">
        <f t="shared" si="113"/>
        <v>0</v>
      </c>
      <c r="CC432" s="462">
        <f>IF(AT432&lt;&gt;0,SSHICHG*Y432,0)</f>
        <v>0</v>
      </c>
      <c r="CD432" s="462">
        <f>IF(AND(AT432&lt;&gt;0,AN432&lt;&gt;"NE"),VLOOKUP(AN432,Retirement_Rates,5,FALSE)*Y432,0)</f>
        <v>0</v>
      </c>
      <c r="CE432" s="462">
        <f>IF(AND(AT432&lt;&gt;0,AJ432&lt;&gt;"PF"),LifeCHG*Y432,0)</f>
        <v>0</v>
      </c>
      <c r="CF432" s="462">
        <f>IF(AND(AT432&lt;&gt;0,AM432="Y"),UICHG*Y432,0)</f>
        <v>0</v>
      </c>
      <c r="CG432" s="462">
        <f>IF(AND(AT432&lt;&gt;0,N432&lt;&gt;"NR"),DHRCHG*Y432,0)</f>
        <v>0</v>
      </c>
      <c r="CH432" s="462">
        <f>IF(AT432&lt;&gt;0,WCCHG*Y432,0)</f>
        <v>0</v>
      </c>
      <c r="CI432" s="462">
        <f>IF(OR(AND(AT432&lt;&gt;0,AJ432&lt;&gt;"PF",AN432&lt;&gt;"NE",AG432&lt;&gt;"A"),AND(AL432="E",OR(AT432=1,AT432=3))),SickCHG*Y432,0)</f>
        <v>0</v>
      </c>
      <c r="CJ432" s="462">
        <f t="shared" si="114"/>
        <v>0</v>
      </c>
      <c r="CK432" s="462" t="str">
        <f t="shared" si="115"/>
        <v/>
      </c>
      <c r="CL432" s="462">
        <f t="shared" si="116"/>
        <v>24.75</v>
      </c>
      <c r="CM432" s="462">
        <f t="shared" si="117"/>
        <v>14.92</v>
      </c>
      <c r="CN432" s="462" t="str">
        <f t="shared" si="118"/>
        <v>0332-10</v>
      </c>
    </row>
    <row r="433" spans="1:92" ht="15" thickBot="1" x14ac:dyDescent="0.35">
      <c r="A433" s="376" t="s">
        <v>161</v>
      </c>
      <c r="B433" s="376" t="s">
        <v>162</v>
      </c>
      <c r="C433" s="376" t="s">
        <v>1077</v>
      </c>
      <c r="D433" s="376" t="s">
        <v>362</v>
      </c>
      <c r="E433" s="376" t="s">
        <v>535</v>
      </c>
      <c r="F433" s="382" t="s">
        <v>1070</v>
      </c>
      <c r="G433" s="376" t="s">
        <v>1010</v>
      </c>
      <c r="H433" s="378"/>
      <c r="I433" s="378"/>
      <c r="J433" s="376" t="s">
        <v>168</v>
      </c>
      <c r="K433" s="376" t="s">
        <v>363</v>
      </c>
      <c r="L433" s="376" t="s">
        <v>200</v>
      </c>
      <c r="M433" s="376" t="s">
        <v>170</v>
      </c>
      <c r="N433" s="376" t="s">
        <v>202</v>
      </c>
      <c r="O433" s="379">
        <v>1</v>
      </c>
      <c r="P433" s="460">
        <v>1</v>
      </c>
      <c r="Q433" s="460">
        <v>1</v>
      </c>
      <c r="R433" s="380">
        <v>80</v>
      </c>
      <c r="S433" s="460">
        <v>1</v>
      </c>
      <c r="T433" s="380">
        <v>44812.800000000003</v>
      </c>
      <c r="U433" s="380">
        <v>0</v>
      </c>
      <c r="V433" s="380">
        <v>21294.29</v>
      </c>
      <c r="W433" s="380">
        <v>46800</v>
      </c>
      <c r="X433" s="380">
        <v>22244.1</v>
      </c>
      <c r="Y433" s="380">
        <v>46800</v>
      </c>
      <c r="Z433" s="380">
        <v>22122.42</v>
      </c>
      <c r="AA433" s="376" t="s">
        <v>1078</v>
      </c>
      <c r="AB433" s="376" t="s">
        <v>1079</v>
      </c>
      <c r="AC433" s="376" t="s">
        <v>576</v>
      </c>
      <c r="AD433" s="376" t="s">
        <v>180</v>
      </c>
      <c r="AE433" s="376" t="s">
        <v>363</v>
      </c>
      <c r="AF433" s="376" t="s">
        <v>210</v>
      </c>
      <c r="AG433" s="376" t="s">
        <v>177</v>
      </c>
      <c r="AH433" s="381">
        <v>22.5</v>
      </c>
      <c r="AI433" s="379">
        <v>10781</v>
      </c>
      <c r="AJ433" s="376" t="s">
        <v>178</v>
      </c>
      <c r="AK433" s="376" t="s">
        <v>179</v>
      </c>
      <c r="AL433" s="376" t="s">
        <v>180</v>
      </c>
      <c r="AM433" s="376" t="s">
        <v>181</v>
      </c>
      <c r="AN433" s="376" t="s">
        <v>68</v>
      </c>
      <c r="AO433" s="379">
        <v>80</v>
      </c>
      <c r="AP433" s="460">
        <v>1</v>
      </c>
      <c r="AQ433" s="460">
        <v>1</v>
      </c>
      <c r="AR433" s="458" t="s">
        <v>182</v>
      </c>
      <c r="AS433" s="462">
        <f t="shared" si="102"/>
        <v>1</v>
      </c>
      <c r="AT433">
        <f t="shared" si="103"/>
        <v>1</v>
      </c>
      <c r="AU433" s="462">
        <f>IF(AT433=0,"",IF(AND(AT433=1,M433="F",SUMIF(C2:C698,C433,AS2:AS698)&lt;=1),SUMIF(C2:C698,C433,AS2:AS698),IF(AND(AT433=1,M433="F",SUMIF(C2:C698,C433,AS2:AS698)&gt;1),1,"")))</f>
        <v>1</v>
      </c>
      <c r="AV433" s="462" t="str">
        <f>IF(AT433=0,"",IF(AND(AT433=3,M433="F",SUMIF(C2:C698,C433,AS2:AS698)&lt;=1),SUMIF(C2:C698,C433,AS2:AS698),IF(AND(AT433=3,M433="F",SUMIF(C2:C698,C433,AS2:AS698)&gt;1),1,"")))</f>
        <v/>
      </c>
      <c r="AW433" s="462">
        <f>SUMIF(C2:C698,C433,O2:O698)</f>
        <v>1</v>
      </c>
      <c r="AX433" s="462">
        <f>IF(AND(M433="F",AS433&lt;&gt;0),SUMIF(C2:C698,C433,W2:W698),0)</f>
        <v>46800</v>
      </c>
      <c r="AY433" s="462">
        <f t="shared" si="104"/>
        <v>46800</v>
      </c>
      <c r="AZ433" s="462" t="str">
        <f t="shared" si="105"/>
        <v/>
      </c>
      <c r="BA433" s="462">
        <f t="shared" si="106"/>
        <v>0</v>
      </c>
      <c r="BB433" s="462">
        <f>IF(AND(AT433=1,AK433="E",AU433&gt;=0.75,AW433=1),Health,IF(AND(AT433=1,AK433="E",AU433&gt;=0.75),Health*P433,IF(AND(AT433=1,AK433="E",AU433&gt;=0.5,AW433=1),PTHealth,IF(AND(AT433=1,AK433="E",AU433&gt;=0.5),PTHealth*P433,0))))</f>
        <v>11650</v>
      </c>
      <c r="BC433" s="462">
        <f>IF(AND(AT433=3,AK433="E",AV433&gt;=0.75,AW433=1),Health,IF(AND(AT433=3,AK433="E",AV433&gt;=0.75),Health*P433,IF(AND(AT433=3,AK433="E",AV433&gt;=0.5,AW433=1),PTHealth,IF(AND(AT433=3,AK433="E",AV433&gt;=0.5),PTHealth*P433,0))))</f>
        <v>0</v>
      </c>
      <c r="BD433" s="462">
        <f>IF(AND(AT433&lt;&gt;0,AX433&gt;=MAXSSDI),SSDI*MAXSSDI*P433,IF(AT433&lt;&gt;0,SSDI*W433,0))</f>
        <v>2901.6</v>
      </c>
      <c r="BE433" s="462">
        <f>IF(AT433&lt;&gt;0,SSHI*W433,0)</f>
        <v>678.6</v>
      </c>
      <c r="BF433" s="462">
        <f>IF(AND(AT433&lt;&gt;0,AN433&lt;&gt;"NE"),VLOOKUP(AN433,Retirement_Rates,3,FALSE)*W433,0)</f>
        <v>5587.92</v>
      </c>
      <c r="BG433" s="462">
        <f>IF(AND(AT433&lt;&gt;0,AJ433&lt;&gt;"PF"),Life*W433,0)</f>
        <v>337.428</v>
      </c>
      <c r="BH433" s="462">
        <f>IF(AND(AT433&lt;&gt;0,AM433="Y"),UI*W433,0)</f>
        <v>229.32</v>
      </c>
      <c r="BI433" s="462">
        <f>IF(AND(AT433&lt;&gt;0,N433&lt;&gt;"NR"),DHR*W433,0)</f>
        <v>143.208</v>
      </c>
      <c r="BJ433" s="462">
        <f>IF(AT433&lt;&gt;0,WC*W433,0)</f>
        <v>716.04</v>
      </c>
      <c r="BK433" s="462">
        <f>IF(OR(AND(AT433&lt;&gt;0,AJ433&lt;&gt;"PF",AN433&lt;&gt;"NE",AG433&lt;&gt;"A"),AND(AL433="E",OR(AT433=1,AT433=3))),Sick*W433,0)</f>
        <v>0</v>
      </c>
      <c r="BL433" s="462">
        <f t="shared" si="107"/>
        <v>10594.115999999998</v>
      </c>
      <c r="BM433" s="462">
        <f t="shared" si="108"/>
        <v>0</v>
      </c>
      <c r="BN433" s="462">
        <f>IF(AND(AT433=1,AK433="E",AU433&gt;=0.75,AW433=1),HealthBY,IF(AND(AT433=1,AK433="E",AU433&gt;=0.75),HealthBY*P433,IF(AND(AT433=1,AK433="E",AU433&gt;=0.5,AW433=1),PTHealthBY,IF(AND(AT433=1,AK433="E",AU433&gt;=0.5),PTHealthBY*P433,0))))</f>
        <v>11650</v>
      </c>
      <c r="BO433" s="462">
        <f>IF(AND(AT433=3,AK433="E",AV433&gt;=0.75,AW433=1),HealthBY,IF(AND(AT433=3,AK433="E",AV433&gt;=0.75),HealthBY*P433,IF(AND(AT433=3,AK433="E",AV433&gt;=0.5,AW433=1),PTHealthBY,IF(AND(AT433=3,AK433="E",AV433&gt;=0.5),PTHealthBY*P433,0))))</f>
        <v>0</v>
      </c>
      <c r="BP433" s="462">
        <f>IF(AND(AT433&lt;&gt;0,(AX433+BA433)&gt;=MAXSSDIBY),SSDIBY*MAXSSDIBY*P433,IF(AT433&lt;&gt;0,SSDIBY*W433,0))</f>
        <v>2901.6</v>
      </c>
      <c r="BQ433" s="462">
        <f>IF(AT433&lt;&gt;0,SSHIBY*W433,0)</f>
        <v>678.6</v>
      </c>
      <c r="BR433" s="462">
        <f>IF(AND(AT433&lt;&gt;0,AN433&lt;&gt;"NE"),VLOOKUP(AN433,Retirement_Rates,4,FALSE)*W433,0)</f>
        <v>5587.92</v>
      </c>
      <c r="BS433" s="462">
        <f>IF(AND(AT433&lt;&gt;0,AJ433&lt;&gt;"PF"),LifeBY*W433,0)</f>
        <v>337.428</v>
      </c>
      <c r="BT433" s="462">
        <f>IF(AND(AT433&lt;&gt;0,AM433="Y"),UIBY*W433,0)</f>
        <v>0</v>
      </c>
      <c r="BU433" s="462">
        <f>IF(AND(AT433&lt;&gt;0,N433&lt;&gt;"NR"),DHRBY*W433,0)</f>
        <v>143.208</v>
      </c>
      <c r="BV433" s="462">
        <f>IF(AT433&lt;&gt;0,WCBY*W433,0)</f>
        <v>823.68000000000006</v>
      </c>
      <c r="BW433" s="462">
        <f>IF(OR(AND(AT433&lt;&gt;0,AJ433&lt;&gt;"PF",AN433&lt;&gt;"NE",AG433&lt;&gt;"A"),AND(AL433="E",OR(AT433=1,AT433=3))),SickBY*W433,0)</f>
        <v>0</v>
      </c>
      <c r="BX433" s="462">
        <f t="shared" si="109"/>
        <v>10472.436</v>
      </c>
      <c r="BY433" s="462">
        <f t="shared" si="110"/>
        <v>0</v>
      </c>
      <c r="BZ433" s="462">
        <f t="shared" si="111"/>
        <v>0</v>
      </c>
      <c r="CA433" s="462">
        <f t="shared" si="112"/>
        <v>0</v>
      </c>
      <c r="CB433" s="462">
        <f t="shared" si="113"/>
        <v>0</v>
      </c>
      <c r="CC433" s="462">
        <f>IF(AT433&lt;&gt;0,SSHICHG*Y433,0)</f>
        <v>0</v>
      </c>
      <c r="CD433" s="462">
        <f>IF(AND(AT433&lt;&gt;0,AN433&lt;&gt;"NE"),VLOOKUP(AN433,Retirement_Rates,5,FALSE)*Y433,0)</f>
        <v>0</v>
      </c>
      <c r="CE433" s="462">
        <f>IF(AND(AT433&lt;&gt;0,AJ433&lt;&gt;"PF"),LifeCHG*Y433,0)</f>
        <v>0</v>
      </c>
      <c r="CF433" s="462">
        <f>IF(AND(AT433&lt;&gt;0,AM433="Y"),UICHG*Y433,0)</f>
        <v>-229.32</v>
      </c>
      <c r="CG433" s="462">
        <f>IF(AND(AT433&lt;&gt;0,N433&lt;&gt;"NR"),DHRCHG*Y433,0)</f>
        <v>0</v>
      </c>
      <c r="CH433" s="462">
        <f>IF(AT433&lt;&gt;0,WCCHG*Y433,0)</f>
        <v>107.64000000000009</v>
      </c>
      <c r="CI433" s="462">
        <f>IF(OR(AND(AT433&lt;&gt;0,AJ433&lt;&gt;"PF",AN433&lt;&gt;"NE",AG433&lt;&gt;"A"),AND(AL433="E",OR(AT433=1,AT433=3))),SickCHG*Y433,0)</f>
        <v>0</v>
      </c>
      <c r="CJ433" s="462">
        <f t="shared" si="114"/>
        <v>-121.67999999999991</v>
      </c>
      <c r="CK433" s="462" t="str">
        <f t="shared" si="115"/>
        <v/>
      </c>
      <c r="CL433" s="462" t="str">
        <f t="shared" si="116"/>
        <v/>
      </c>
      <c r="CM433" s="462" t="str">
        <f t="shared" si="117"/>
        <v/>
      </c>
      <c r="CN433" s="462" t="str">
        <f t="shared" si="118"/>
        <v>0332-10</v>
      </c>
    </row>
    <row r="434" spans="1:92" ht="15" thickBot="1" x14ac:dyDescent="0.35">
      <c r="A434" s="376" t="s">
        <v>161</v>
      </c>
      <c r="B434" s="376" t="s">
        <v>162</v>
      </c>
      <c r="C434" s="376" t="s">
        <v>288</v>
      </c>
      <c r="D434" s="376" t="s">
        <v>362</v>
      </c>
      <c r="E434" s="376" t="s">
        <v>535</v>
      </c>
      <c r="F434" s="382" t="s">
        <v>1070</v>
      </c>
      <c r="G434" s="376" t="s">
        <v>1010</v>
      </c>
      <c r="H434" s="378"/>
      <c r="I434" s="378"/>
      <c r="J434" s="376" t="s">
        <v>168</v>
      </c>
      <c r="K434" s="376" t="s">
        <v>363</v>
      </c>
      <c r="L434" s="376" t="s">
        <v>200</v>
      </c>
      <c r="M434" s="376" t="s">
        <v>170</v>
      </c>
      <c r="N434" s="376" t="s">
        <v>202</v>
      </c>
      <c r="O434" s="379">
        <v>1</v>
      </c>
      <c r="P434" s="460">
        <v>1</v>
      </c>
      <c r="Q434" s="460">
        <v>1</v>
      </c>
      <c r="R434" s="380">
        <v>80</v>
      </c>
      <c r="S434" s="460">
        <v>1</v>
      </c>
      <c r="T434" s="380">
        <v>44592</v>
      </c>
      <c r="U434" s="380">
        <v>0</v>
      </c>
      <c r="V434" s="380">
        <v>21259.08</v>
      </c>
      <c r="W434" s="380">
        <v>46800</v>
      </c>
      <c r="X434" s="380">
        <v>22244.1</v>
      </c>
      <c r="Y434" s="380">
        <v>46800</v>
      </c>
      <c r="Z434" s="380">
        <v>22122.42</v>
      </c>
      <c r="AA434" s="376" t="s">
        <v>1080</v>
      </c>
      <c r="AB434" s="376" t="s">
        <v>1081</v>
      </c>
      <c r="AC434" s="376" t="s">
        <v>1082</v>
      </c>
      <c r="AD434" s="376" t="s">
        <v>247</v>
      </c>
      <c r="AE434" s="376" t="s">
        <v>363</v>
      </c>
      <c r="AF434" s="376" t="s">
        <v>210</v>
      </c>
      <c r="AG434" s="376" t="s">
        <v>177</v>
      </c>
      <c r="AH434" s="381">
        <v>22.5</v>
      </c>
      <c r="AI434" s="381">
        <v>6623.3</v>
      </c>
      <c r="AJ434" s="376" t="s">
        <v>178</v>
      </c>
      <c r="AK434" s="376" t="s">
        <v>179</v>
      </c>
      <c r="AL434" s="376" t="s">
        <v>180</v>
      </c>
      <c r="AM434" s="376" t="s">
        <v>181</v>
      </c>
      <c r="AN434" s="376" t="s">
        <v>68</v>
      </c>
      <c r="AO434" s="379">
        <v>80</v>
      </c>
      <c r="AP434" s="460">
        <v>1</v>
      </c>
      <c r="AQ434" s="460">
        <v>1</v>
      </c>
      <c r="AR434" s="458" t="s">
        <v>182</v>
      </c>
      <c r="AS434" s="462">
        <f t="shared" si="102"/>
        <v>1</v>
      </c>
      <c r="AT434">
        <f t="shared" si="103"/>
        <v>1</v>
      </c>
      <c r="AU434" s="462">
        <f>IF(AT434=0,"",IF(AND(AT434=1,M434="F",SUMIF(C2:C698,C434,AS2:AS698)&lt;=1),SUMIF(C2:C698,C434,AS2:AS698),IF(AND(AT434=1,M434="F",SUMIF(C2:C698,C434,AS2:AS698)&gt;1),1,"")))</f>
        <v>1</v>
      </c>
      <c r="AV434" s="462" t="str">
        <f>IF(AT434=0,"",IF(AND(AT434=3,M434="F",SUMIF(C2:C698,C434,AS2:AS698)&lt;=1),SUMIF(C2:C698,C434,AS2:AS698),IF(AND(AT434=3,M434="F",SUMIF(C2:C698,C434,AS2:AS698)&gt;1),1,"")))</f>
        <v/>
      </c>
      <c r="AW434" s="462">
        <f>SUMIF(C2:C698,C434,O2:O698)</f>
        <v>1</v>
      </c>
      <c r="AX434" s="462">
        <f>IF(AND(M434="F",AS434&lt;&gt;0),SUMIF(C2:C698,C434,W2:W698),0)</f>
        <v>46800</v>
      </c>
      <c r="AY434" s="462">
        <f t="shared" si="104"/>
        <v>46800</v>
      </c>
      <c r="AZ434" s="462" t="str">
        <f t="shared" si="105"/>
        <v/>
      </c>
      <c r="BA434" s="462">
        <f t="shared" si="106"/>
        <v>0</v>
      </c>
      <c r="BB434" s="462">
        <f>IF(AND(AT434=1,AK434="E",AU434&gt;=0.75,AW434=1),Health,IF(AND(AT434=1,AK434="E",AU434&gt;=0.75),Health*P434,IF(AND(AT434=1,AK434="E",AU434&gt;=0.5,AW434=1),PTHealth,IF(AND(AT434=1,AK434="E",AU434&gt;=0.5),PTHealth*P434,0))))</f>
        <v>11650</v>
      </c>
      <c r="BC434" s="462">
        <f>IF(AND(AT434=3,AK434="E",AV434&gt;=0.75,AW434=1),Health,IF(AND(AT434=3,AK434="E",AV434&gt;=0.75),Health*P434,IF(AND(AT434=3,AK434="E",AV434&gt;=0.5,AW434=1),PTHealth,IF(AND(AT434=3,AK434="E",AV434&gt;=0.5),PTHealth*P434,0))))</f>
        <v>0</v>
      </c>
      <c r="BD434" s="462">
        <f>IF(AND(AT434&lt;&gt;0,AX434&gt;=MAXSSDI),SSDI*MAXSSDI*P434,IF(AT434&lt;&gt;0,SSDI*W434,0))</f>
        <v>2901.6</v>
      </c>
      <c r="BE434" s="462">
        <f>IF(AT434&lt;&gt;0,SSHI*W434,0)</f>
        <v>678.6</v>
      </c>
      <c r="BF434" s="462">
        <f>IF(AND(AT434&lt;&gt;0,AN434&lt;&gt;"NE"),VLOOKUP(AN434,Retirement_Rates,3,FALSE)*W434,0)</f>
        <v>5587.92</v>
      </c>
      <c r="BG434" s="462">
        <f>IF(AND(AT434&lt;&gt;0,AJ434&lt;&gt;"PF"),Life*W434,0)</f>
        <v>337.428</v>
      </c>
      <c r="BH434" s="462">
        <f>IF(AND(AT434&lt;&gt;0,AM434="Y"),UI*W434,0)</f>
        <v>229.32</v>
      </c>
      <c r="BI434" s="462">
        <f>IF(AND(AT434&lt;&gt;0,N434&lt;&gt;"NR"),DHR*W434,0)</f>
        <v>143.208</v>
      </c>
      <c r="BJ434" s="462">
        <f>IF(AT434&lt;&gt;0,WC*W434,0)</f>
        <v>716.04</v>
      </c>
      <c r="BK434" s="462">
        <f>IF(OR(AND(AT434&lt;&gt;0,AJ434&lt;&gt;"PF",AN434&lt;&gt;"NE",AG434&lt;&gt;"A"),AND(AL434="E",OR(AT434=1,AT434=3))),Sick*W434,0)</f>
        <v>0</v>
      </c>
      <c r="BL434" s="462">
        <f t="shared" si="107"/>
        <v>10594.115999999998</v>
      </c>
      <c r="BM434" s="462">
        <f t="shared" si="108"/>
        <v>0</v>
      </c>
      <c r="BN434" s="462">
        <f>IF(AND(AT434=1,AK434="E",AU434&gt;=0.75,AW434=1),HealthBY,IF(AND(AT434=1,AK434="E",AU434&gt;=0.75),HealthBY*P434,IF(AND(AT434=1,AK434="E",AU434&gt;=0.5,AW434=1),PTHealthBY,IF(AND(AT434=1,AK434="E",AU434&gt;=0.5),PTHealthBY*P434,0))))</f>
        <v>11650</v>
      </c>
      <c r="BO434" s="462">
        <f>IF(AND(AT434=3,AK434="E",AV434&gt;=0.75,AW434=1),HealthBY,IF(AND(AT434=3,AK434="E",AV434&gt;=0.75),HealthBY*P434,IF(AND(AT434=3,AK434="E",AV434&gt;=0.5,AW434=1),PTHealthBY,IF(AND(AT434=3,AK434="E",AV434&gt;=0.5),PTHealthBY*P434,0))))</f>
        <v>0</v>
      </c>
      <c r="BP434" s="462">
        <f>IF(AND(AT434&lt;&gt;0,(AX434+BA434)&gt;=MAXSSDIBY),SSDIBY*MAXSSDIBY*P434,IF(AT434&lt;&gt;0,SSDIBY*W434,0))</f>
        <v>2901.6</v>
      </c>
      <c r="BQ434" s="462">
        <f>IF(AT434&lt;&gt;0,SSHIBY*W434,0)</f>
        <v>678.6</v>
      </c>
      <c r="BR434" s="462">
        <f>IF(AND(AT434&lt;&gt;0,AN434&lt;&gt;"NE"),VLOOKUP(AN434,Retirement_Rates,4,FALSE)*W434,0)</f>
        <v>5587.92</v>
      </c>
      <c r="BS434" s="462">
        <f>IF(AND(AT434&lt;&gt;0,AJ434&lt;&gt;"PF"),LifeBY*W434,0)</f>
        <v>337.428</v>
      </c>
      <c r="BT434" s="462">
        <f>IF(AND(AT434&lt;&gt;0,AM434="Y"),UIBY*W434,0)</f>
        <v>0</v>
      </c>
      <c r="BU434" s="462">
        <f>IF(AND(AT434&lt;&gt;0,N434&lt;&gt;"NR"),DHRBY*W434,0)</f>
        <v>143.208</v>
      </c>
      <c r="BV434" s="462">
        <f>IF(AT434&lt;&gt;0,WCBY*W434,0)</f>
        <v>823.68000000000006</v>
      </c>
      <c r="BW434" s="462">
        <f>IF(OR(AND(AT434&lt;&gt;0,AJ434&lt;&gt;"PF",AN434&lt;&gt;"NE",AG434&lt;&gt;"A"),AND(AL434="E",OR(AT434=1,AT434=3))),SickBY*W434,0)</f>
        <v>0</v>
      </c>
      <c r="BX434" s="462">
        <f t="shared" si="109"/>
        <v>10472.436</v>
      </c>
      <c r="BY434" s="462">
        <f t="shared" si="110"/>
        <v>0</v>
      </c>
      <c r="BZ434" s="462">
        <f t="shared" si="111"/>
        <v>0</v>
      </c>
      <c r="CA434" s="462">
        <f t="shared" si="112"/>
        <v>0</v>
      </c>
      <c r="CB434" s="462">
        <f t="shared" si="113"/>
        <v>0</v>
      </c>
      <c r="CC434" s="462">
        <f>IF(AT434&lt;&gt;0,SSHICHG*Y434,0)</f>
        <v>0</v>
      </c>
      <c r="CD434" s="462">
        <f>IF(AND(AT434&lt;&gt;0,AN434&lt;&gt;"NE"),VLOOKUP(AN434,Retirement_Rates,5,FALSE)*Y434,0)</f>
        <v>0</v>
      </c>
      <c r="CE434" s="462">
        <f>IF(AND(AT434&lt;&gt;0,AJ434&lt;&gt;"PF"),LifeCHG*Y434,0)</f>
        <v>0</v>
      </c>
      <c r="CF434" s="462">
        <f>IF(AND(AT434&lt;&gt;0,AM434="Y"),UICHG*Y434,0)</f>
        <v>-229.32</v>
      </c>
      <c r="CG434" s="462">
        <f>IF(AND(AT434&lt;&gt;0,N434&lt;&gt;"NR"),DHRCHG*Y434,0)</f>
        <v>0</v>
      </c>
      <c r="CH434" s="462">
        <f>IF(AT434&lt;&gt;0,WCCHG*Y434,0)</f>
        <v>107.64000000000009</v>
      </c>
      <c r="CI434" s="462">
        <f>IF(OR(AND(AT434&lt;&gt;0,AJ434&lt;&gt;"PF",AN434&lt;&gt;"NE",AG434&lt;&gt;"A"),AND(AL434="E",OR(AT434=1,AT434=3))),SickCHG*Y434,0)</f>
        <v>0</v>
      </c>
      <c r="CJ434" s="462">
        <f t="shared" si="114"/>
        <v>-121.67999999999991</v>
      </c>
      <c r="CK434" s="462" t="str">
        <f t="shared" si="115"/>
        <v/>
      </c>
      <c r="CL434" s="462" t="str">
        <f t="shared" si="116"/>
        <v/>
      </c>
      <c r="CM434" s="462" t="str">
        <f t="shared" si="117"/>
        <v/>
      </c>
      <c r="CN434" s="462" t="str">
        <f t="shared" si="118"/>
        <v>0332-10</v>
      </c>
    </row>
    <row r="435" spans="1:92" ht="15" thickBot="1" x14ac:dyDescent="0.35">
      <c r="A435" s="376" t="s">
        <v>161</v>
      </c>
      <c r="B435" s="376" t="s">
        <v>162</v>
      </c>
      <c r="C435" s="376" t="s">
        <v>1051</v>
      </c>
      <c r="D435" s="376" t="s">
        <v>272</v>
      </c>
      <c r="E435" s="376" t="s">
        <v>535</v>
      </c>
      <c r="F435" s="382" t="s">
        <v>1070</v>
      </c>
      <c r="G435" s="376" t="s">
        <v>1010</v>
      </c>
      <c r="H435" s="378"/>
      <c r="I435" s="378"/>
      <c r="J435" s="376" t="s">
        <v>168</v>
      </c>
      <c r="K435" s="376" t="s">
        <v>273</v>
      </c>
      <c r="L435" s="376" t="s">
        <v>274</v>
      </c>
      <c r="M435" s="376" t="s">
        <v>170</v>
      </c>
      <c r="N435" s="376" t="s">
        <v>202</v>
      </c>
      <c r="O435" s="379">
        <v>1</v>
      </c>
      <c r="P435" s="460">
        <v>1</v>
      </c>
      <c r="Q435" s="460">
        <v>1</v>
      </c>
      <c r="R435" s="380">
        <v>80</v>
      </c>
      <c r="S435" s="460">
        <v>1</v>
      </c>
      <c r="T435" s="380">
        <v>12562.65</v>
      </c>
      <c r="U435" s="380">
        <v>0</v>
      </c>
      <c r="V435" s="380">
        <v>7131.16</v>
      </c>
      <c r="W435" s="380">
        <v>36400</v>
      </c>
      <c r="X435" s="380">
        <v>19889.86</v>
      </c>
      <c r="Y435" s="380">
        <v>36400</v>
      </c>
      <c r="Z435" s="380">
        <v>19795.22</v>
      </c>
      <c r="AA435" s="376" t="s">
        <v>1052</v>
      </c>
      <c r="AB435" s="376" t="s">
        <v>1053</v>
      </c>
      <c r="AC435" s="376" t="s">
        <v>1054</v>
      </c>
      <c r="AD435" s="376" t="s">
        <v>349</v>
      </c>
      <c r="AE435" s="376" t="s">
        <v>273</v>
      </c>
      <c r="AF435" s="376" t="s">
        <v>279</v>
      </c>
      <c r="AG435" s="376" t="s">
        <v>177</v>
      </c>
      <c r="AH435" s="381">
        <v>17.5</v>
      </c>
      <c r="AI435" s="379">
        <v>784</v>
      </c>
      <c r="AJ435" s="376" t="s">
        <v>178</v>
      </c>
      <c r="AK435" s="376" t="s">
        <v>179</v>
      </c>
      <c r="AL435" s="376" t="s">
        <v>180</v>
      </c>
      <c r="AM435" s="376" t="s">
        <v>181</v>
      </c>
      <c r="AN435" s="376" t="s">
        <v>68</v>
      </c>
      <c r="AO435" s="379">
        <v>80</v>
      </c>
      <c r="AP435" s="460">
        <v>1</v>
      </c>
      <c r="AQ435" s="460">
        <v>1</v>
      </c>
      <c r="AR435" s="458" t="s">
        <v>182</v>
      </c>
      <c r="AS435" s="462">
        <f t="shared" si="102"/>
        <v>1</v>
      </c>
      <c r="AT435">
        <f t="shared" si="103"/>
        <v>1</v>
      </c>
      <c r="AU435" s="462">
        <f>IF(AT435=0,"",IF(AND(AT435=1,M435="F",SUMIF(C2:C698,C435,AS2:AS698)&lt;=1),SUMIF(C2:C698,C435,AS2:AS698),IF(AND(AT435=1,M435="F",SUMIF(C2:C698,C435,AS2:AS698)&gt;1),1,"")))</f>
        <v>1</v>
      </c>
      <c r="AV435" s="462" t="str">
        <f>IF(AT435=0,"",IF(AND(AT435=3,M435="F",SUMIF(C2:C698,C435,AS2:AS698)&lt;=1),SUMIF(C2:C698,C435,AS2:AS698),IF(AND(AT435=3,M435="F",SUMIF(C2:C698,C435,AS2:AS698)&gt;1),1,"")))</f>
        <v/>
      </c>
      <c r="AW435" s="462">
        <f>SUMIF(C2:C698,C435,O2:O698)</f>
        <v>3</v>
      </c>
      <c r="AX435" s="462">
        <f>IF(AND(M435="F",AS435&lt;&gt;0),SUMIF(C2:C698,C435,W2:W698),0)</f>
        <v>36400</v>
      </c>
      <c r="AY435" s="462">
        <f t="shared" si="104"/>
        <v>36400</v>
      </c>
      <c r="AZ435" s="462" t="str">
        <f t="shared" si="105"/>
        <v/>
      </c>
      <c r="BA435" s="462">
        <f t="shared" si="106"/>
        <v>0</v>
      </c>
      <c r="BB435" s="462">
        <f>IF(AND(AT435=1,AK435="E",AU435&gt;=0.75,AW435=1),Health,IF(AND(AT435=1,AK435="E",AU435&gt;=0.75),Health*P435,IF(AND(AT435=1,AK435="E",AU435&gt;=0.5,AW435=1),PTHealth,IF(AND(AT435=1,AK435="E",AU435&gt;=0.5),PTHealth*P435,0))))</f>
        <v>11650</v>
      </c>
      <c r="BC435" s="462">
        <f>IF(AND(AT435=3,AK435="E",AV435&gt;=0.75,AW435=1),Health,IF(AND(AT435=3,AK435="E",AV435&gt;=0.75),Health*P435,IF(AND(AT435=3,AK435="E",AV435&gt;=0.5,AW435=1),PTHealth,IF(AND(AT435=3,AK435="E",AV435&gt;=0.5),PTHealth*P435,0))))</f>
        <v>0</v>
      </c>
      <c r="BD435" s="462">
        <f>IF(AND(AT435&lt;&gt;0,AX435&gt;=MAXSSDI),SSDI*MAXSSDI*P435,IF(AT435&lt;&gt;0,SSDI*W435,0))</f>
        <v>2256.8000000000002</v>
      </c>
      <c r="BE435" s="462">
        <f>IF(AT435&lt;&gt;0,SSHI*W435,0)</f>
        <v>527.80000000000007</v>
      </c>
      <c r="BF435" s="462">
        <f>IF(AND(AT435&lt;&gt;0,AN435&lt;&gt;"NE"),VLOOKUP(AN435,Retirement_Rates,3,FALSE)*W435,0)</f>
        <v>4346.16</v>
      </c>
      <c r="BG435" s="462">
        <f>IF(AND(AT435&lt;&gt;0,AJ435&lt;&gt;"PF"),Life*W435,0)</f>
        <v>262.44400000000002</v>
      </c>
      <c r="BH435" s="462">
        <f>IF(AND(AT435&lt;&gt;0,AM435="Y"),UI*W435,0)</f>
        <v>178.35999999999999</v>
      </c>
      <c r="BI435" s="462">
        <f>IF(AND(AT435&lt;&gt;0,N435&lt;&gt;"NR"),DHR*W435,0)</f>
        <v>111.38399999999999</v>
      </c>
      <c r="BJ435" s="462">
        <f>IF(AT435&lt;&gt;0,WC*W435,0)</f>
        <v>556.91999999999996</v>
      </c>
      <c r="BK435" s="462">
        <f>IF(OR(AND(AT435&lt;&gt;0,AJ435&lt;&gt;"PF",AN435&lt;&gt;"NE",AG435&lt;&gt;"A"),AND(AL435="E",OR(AT435=1,AT435=3))),Sick*W435,0)</f>
        <v>0</v>
      </c>
      <c r="BL435" s="462">
        <f t="shared" si="107"/>
        <v>8239.8680000000004</v>
      </c>
      <c r="BM435" s="462">
        <f t="shared" si="108"/>
        <v>0</v>
      </c>
      <c r="BN435" s="462">
        <f>IF(AND(AT435=1,AK435="E",AU435&gt;=0.75,AW435=1),HealthBY,IF(AND(AT435=1,AK435="E",AU435&gt;=0.75),HealthBY*P435,IF(AND(AT435=1,AK435="E",AU435&gt;=0.5,AW435=1),PTHealthBY,IF(AND(AT435=1,AK435="E",AU435&gt;=0.5),PTHealthBY*P435,0))))</f>
        <v>11650</v>
      </c>
      <c r="BO435" s="462">
        <f>IF(AND(AT435=3,AK435="E",AV435&gt;=0.75,AW435=1),HealthBY,IF(AND(AT435=3,AK435="E",AV435&gt;=0.75),HealthBY*P435,IF(AND(AT435=3,AK435="E",AV435&gt;=0.5,AW435=1),PTHealthBY,IF(AND(AT435=3,AK435="E",AV435&gt;=0.5),PTHealthBY*P435,0))))</f>
        <v>0</v>
      </c>
      <c r="BP435" s="462">
        <f>IF(AND(AT435&lt;&gt;0,(AX435+BA435)&gt;=MAXSSDIBY),SSDIBY*MAXSSDIBY*P435,IF(AT435&lt;&gt;0,SSDIBY*W435,0))</f>
        <v>2256.8000000000002</v>
      </c>
      <c r="BQ435" s="462">
        <f>IF(AT435&lt;&gt;0,SSHIBY*W435,0)</f>
        <v>527.80000000000007</v>
      </c>
      <c r="BR435" s="462">
        <f>IF(AND(AT435&lt;&gt;0,AN435&lt;&gt;"NE"),VLOOKUP(AN435,Retirement_Rates,4,FALSE)*W435,0)</f>
        <v>4346.16</v>
      </c>
      <c r="BS435" s="462">
        <f>IF(AND(AT435&lt;&gt;0,AJ435&lt;&gt;"PF"),LifeBY*W435,0)</f>
        <v>262.44400000000002</v>
      </c>
      <c r="BT435" s="462">
        <f>IF(AND(AT435&lt;&gt;0,AM435="Y"),UIBY*W435,0)</f>
        <v>0</v>
      </c>
      <c r="BU435" s="462">
        <f>IF(AND(AT435&lt;&gt;0,N435&lt;&gt;"NR"),DHRBY*W435,0)</f>
        <v>111.38399999999999</v>
      </c>
      <c r="BV435" s="462">
        <f>IF(AT435&lt;&gt;0,WCBY*W435,0)</f>
        <v>640.64</v>
      </c>
      <c r="BW435" s="462">
        <f>IF(OR(AND(AT435&lt;&gt;0,AJ435&lt;&gt;"PF",AN435&lt;&gt;"NE",AG435&lt;&gt;"A"),AND(AL435="E",OR(AT435=1,AT435=3))),SickBY*W435,0)</f>
        <v>0</v>
      </c>
      <c r="BX435" s="462">
        <f t="shared" si="109"/>
        <v>8145.228000000001</v>
      </c>
      <c r="BY435" s="462">
        <f t="shared" si="110"/>
        <v>0</v>
      </c>
      <c r="BZ435" s="462">
        <f t="shared" si="111"/>
        <v>0</v>
      </c>
      <c r="CA435" s="462">
        <f t="shared" si="112"/>
        <v>0</v>
      </c>
      <c r="CB435" s="462">
        <f t="shared" si="113"/>
        <v>0</v>
      </c>
      <c r="CC435" s="462">
        <f>IF(AT435&lt;&gt;0,SSHICHG*Y435,0)</f>
        <v>0</v>
      </c>
      <c r="CD435" s="462">
        <f>IF(AND(AT435&lt;&gt;0,AN435&lt;&gt;"NE"),VLOOKUP(AN435,Retirement_Rates,5,FALSE)*Y435,0)</f>
        <v>0</v>
      </c>
      <c r="CE435" s="462">
        <f>IF(AND(AT435&lt;&gt;0,AJ435&lt;&gt;"PF"),LifeCHG*Y435,0)</f>
        <v>0</v>
      </c>
      <c r="CF435" s="462">
        <f>IF(AND(AT435&lt;&gt;0,AM435="Y"),UICHG*Y435,0)</f>
        <v>-178.35999999999999</v>
      </c>
      <c r="CG435" s="462">
        <f>IF(AND(AT435&lt;&gt;0,N435&lt;&gt;"NR"),DHRCHG*Y435,0)</f>
        <v>0</v>
      </c>
      <c r="CH435" s="462">
        <f>IF(AT435&lt;&gt;0,WCCHG*Y435,0)</f>
        <v>83.720000000000056</v>
      </c>
      <c r="CI435" s="462">
        <f>IF(OR(AND(AT435&lt;&gt;0,AJ435&lt;&gt;"PF",AN435&lt;&gt;"NE",AG435&lt;&gt;"A"),AND(AL435="E",OR(AT435=1,AT435=3))),SickCHG*Y435,0)</f>
        <v>0</v>
      </c>
      <c r="CJ435" s="462">
        <f t="shared" si="114"/>
        <v>-94.63999999999993</v>
      </c>
      <c r="CK435" s="462" t="str">
        <f t="shared" si="115"/>
        <v/>
      </c>
      <c r="CL435" s="462" t="str">
        <f t="shared" si="116"/>
        <v/>
      </c>
      <c r="CM435" s="462" t="str">
        <f t="shared" si="117"/>
        <v/>
      </c>
      <c r="CN435" s="462" t="str">
        <f t="shared" si="118"/>
        <v>0332-10</v>
      </c>
    </row>
    <row r="436" spans="1:92" ht="15" thickBot="1" x14ac:dyDescent="0.35">
      <c r="A436" s="376" t="s">
        <v>161</v>
      </c>
      <c r="B436" s="376" t="s">
        <v>162</v>
      </c>
      <c r="C436" s="376" t="s">
        <v>1083</v>
      </c>
      <c r="D436" s="376" t="s">
        <v>287</v>
      </c>
      <c r="E436" s="376" t="s">
        <v>535</v>
      </c>
      <c r="F436" s="382" t="s">
        <v>1070</v>
      </c>
      <c r="G436" s="376" t="s">
        <v>1010</v>
      </c>
      <c r="H436" s="378"/>
      <c r="I436" s="378"/>
      <c r="J436" s="376" t="s">
        <v>168</v>
      </c>
      <c r="K436" s="376" t="s">
        <v>290</v>
      </c>
      <c r="L436" s="376" t="s">
        <v>166</v>
      </c>
      <c r="M436" s="376" t="s">
        <v>201</v>
      </c>
      <c r="N436" s="376" t="s">
        <v>291</v>
      </c>
      <c r="O436" s="379">
        <v>0</v>
      </c>
      <c r="P436" s="460">
        <v>1</v>
      </c>
      <c r="Q436" s="460">
        <v>0</v>
      </c>
      <c r="R436" s="380">
        <v>0</v>
      </c>
      <c r="S436" s="460">
        <v>0</v>
      </c>
      <c r="T436" s="380">
        <v>0</v>
      </c>
      <c r="U436" s="380">
        <v>0</v>
      </c>
      <c r="V436" s="380">
        <v>0</v>
      </c>
      <c r="W436" s="380">
        <v>0</v>
      </c>
      <c r="X436" s="380">
        <v>0</v>
      </c>
      <c r="Y436" s="380">
        <v>0</v>
      </c>
      <c r="Z436" s="380">
        <v>0</v>
      </c>
      <c r="AA436" s="378"/>
      <c r="AB436" s="376" t="s">
        <v>45</v>
      </c>
      <c r="AC436" s="376" t="s">
        <v>45</v>
      </c>
      <c r="AD436" s="378"/>
      <c r="AE436" s="378"/>
      <c r="AF436" s="378"/>
      <c r="AG436" s="378"/>
      <c r="AH436" s="379">
        <v>0</v>
      </c>
      <c r="AI436" s="379">
        <v>0</v>
      </c>
      <c r="AJ436" s="378"/>
      <c r="AK436" s="378"/>
      <c r="AL436" s="376" t="s">
        <v>180</v>
      </c>
      <c r="AM436" s="378"/>
      <c r="AN436" s="378"/>
      <c r="AO436" s="379">
        <v>0</v>
      </c>
      <c r="AP436" s="460">
        <v>0</v>
      </c>
      <c r="AQ436" s="460">
        <v>0</v>
      </c>
      <c r="AR436" s="459"/>
      <c r="AS436" s="462">
        <f t="shared" si="102"/>
        <v>0</v>
      </c>
      <c r="AT436">
        <f t="shared" si="103"/>
        <v>0</v>
      </c>
      <c r="AU436" s="462" t="str">
        <f>IF(AT436=0,"",IF(AND(AT436=1,M436="F",SUMIF(C2:C698,C436,AS2:AS698)&lt;=1),SUMIF(C2:C698,C436,AS2:AS698),IF(AND(AT436=1,M436="F",SUMIF(C2:C698,C436,AS2:AS698)&gt;1),1,"")))</f>
        <v/>
      </c>
      <c r="AV436" s="462" t="str">
        <f>IF(AT436=0,"",IF(AND(AT436=3,M436="F",SUMIF(C2:C698,C436,AS2:AS698)&lt;=1),SUMIF(C2:C698,C436,AS2:AS698),IF(AND(AT436=3,M436="F",SUMIF(C2:C698,C436,AS2:AS698)&gt;1),1,"")))</f>
        <v/>
      </c>
      <c r="AW436" s="462">
        <f>SUMIF(C2:C698,C436,O2:O698)</f>
        <v>0</v>
      </c>
      <c r="AX436" s="462">
        <f>IF(AND(M436="F",AS436&lt;&gt;0),SUMIF(C2:C698,C436,W2:W698),0)</f>
        <v>0</v>
      </c>
      <c r="AY436" s="462" t="str">
        <f t="shared" si="104"/>
        <v/>
      </c>
      <c r="AZ436" s="462" t="str">
        <f t="shared" si="105"/>
        <v/>
      </c>
      <c r="BA436" s="462">
        <f t="shared" si="106"/>
        <v>0</v>
      </c>
      <c r="BB436" s="462">
        <f>IF(AND(AT436=1,AK436="E",AU436&gt;=0.75,AW436=1),Health,IF(AND(AT436=1,AK436="E",AU436&gt;=0.75),Health*P436,IF(AND(AT436=1,AK436="E",AU436&gt;=0.5,AW436=1),PTHealth,IF(AND(AT436=1,AK436="E",AU436&gt;=0.5),PTHealth*P436,0))))</f>
        <v>0</v>
      </c>
      <c r="BC436" s="462">
        <f>IF(AND(AT436=3,AK436="E",AV436&gt;=0.75,AW436=1),Health,IF(AND(AT436=3,AK436="E",AV436&gt;=0.75),Health*P436,IF(AND(AT436=3,AK436="E",AV436&gt;=0.5,AW436=1),PTHealth,IF(AND(AT436=3,AK436="E",AV436&gt;=0.5),PTHealth*P436,0))))</f>
        <v>0</v>
      </c>
      <c r="BD436" s="462">
        <f>IF(AND(AT436&lt;&gt;0,AX436&gt;=MAXSSDI),SSDI*MAXSSDI*P436,IF(AT436&lt;&gt;0,SSDI*W436,0))</f>
        <v>0</v>
      </c>
      <c r="BE436" s="462">
        <f>IF(AT436&lt;&gt;0,SSHI*W436,0)</f>
        <v>0</v>
      </c>
      <c r="BF436" s="462">
        <f>IF(AND(AT436&lt;&gt;0,AN436&lt;&gt;"NE"),VLOOKUP(AN436,Retirement_Rates,3,FALSE)*W436,0)</f>
        <v>0</v>
      </c>
      <c r="BG436" s="462">
        <f>IF(AND(AT436&lt;&gt;0,AJ436&lt;&gt;"PF"),Life*W436,0)</f>
        <v>0</v>
      </c>
      <c r="BH436" s="462">
        <f>IF(AND(AT436&lt;&gt;0,AM436="Y"),UI*W436,0)</f>
        <v>0</v>
      </c>
      <c r="BI436" s="462">
        <f>IF(AND(AT436&lt;&gt;0,N436&lt;&gt;"NR"),DHR*W436,0)</f>
        <v>0</v>
      </c>
      <c r="BJ436" s="462">
        <f>IF(AT436&lt;&gt;0,WC*W436,0)</f>
        <v>0</v>
      </c>
      <c r="BK436" s="462">
        <f>IF(OR(AND(AT436&lt;&gt;0,AJ436&lt;&gt;"PF",AN436&lt;&gt;"NE",AG436&lt;&gt;"A"),AND(AL436="E",OR(AT436=1,AT436=3))),Sick*W436,0)</f>
        <v>0</v>
      </c>
      <c r="BL436" s="462">
        <f t="shared" si="107"/>
        <v>0</v>
      </c>
      <c r="BM436" s="462">
        <f t="shared" si="108"/>
        <v>0</v>
      </c>
      <c r="BN436" s="462">
        <f>IF(AND(AT436=1,AK436="E",AU436&gt;=0.75,AW436=1),HealthBY,IF(AND(AT436=1,AK436="E",AU436&gt;=0.75),HealthBY*P436,IF(AND(AT436=1,AK436="E",AU436&gt;=0.5,AW436=1),PTHealthBY,IF(AND(AT436=1,AK436="E",AU436&gt;=0.5),PTHealthBY*P436,0))))</f>
        <v>0</v>
      </c>
      <c r="BO436" s="462">
        <f>IF(AND(AT436=3,AK436="E",AV436&gt;=0.75,AW436=1),HealthBY,IF(AND(AT436=3,AK436="E",AV436&gt;=0.75),HealthBY*P436,IF(AND(AT436=3,AK436="E",AV436&gt;=0.5,AW436=1),PTHealthBY,IF(AND(AT436=3,AK436="E",AV436&gt;=0.5),PTHealthBY*P436,0))))</f>
        <v>0</v>
      </c>
      <c r="BP436" s="462">
        <f>IF(AND(AT436&lt;&gt;0,(AX436+BA436)&gt;=MAXSSDIBY),SSDIBY*MAXSSDIBY*P436,IF(AT436&lt;&gt;0,SSDIBY*W436,0))</f>
        <v>0</v>
      </c>
      <c r="BQ436" s="462">
        <f>IF(AT436&lt;&gt;0,SSHIBY*W436,0)</f>
        <v>0</v>
      </c>
      <c r="BR436" s="462">
        <f>IF(AND(AT436&lt;&gt;0,AN436&lt;&gt;"NE"),VLOOKUP(AN436,Retirement_Rates,4,FALSE)*W436,0)</f>
        <v>0</v>
      </c>
      <c r="BS436" s="462">
        <f>IF(AND(AT436&lt;&gt;0,AJ436&lt;&gt;"PF"),LifeBY*W436,0)</f>
        <v>0</v>
      </c>
      <c r="BT436" s="462">
        <f>IF(AND(AT436&lt;&gt;0,AM436="Y"),UIBY*W436,0)</f>
        <v>0</v>
      </c>
      <c r="BU436" s="462">
        <f>IF(AND(AT436&lt;&gt;0,N436&lt;&gt;"NR"),DHRBY*W436,0)</f>
        <v>0</v>
      </c>
      <c r="BV436" s="462">
        <f>IF(AT436&lt;&gt;0,WCBY*W436,0)</f>
        <v>0</v>
      </c>
      <c r="BW436" s="462">
        <f>IF(OR(AND(AT436&lt;&gt;0,AJ436&lt;&gt;"PF",AN436&lt;&gt;"NE",AG436&lt;&gt;"A"),AND(AL436="E",OR(AT436=1,AT436=3))),SickBY*W436,0)</f>
        <v>0</v>
      </c>
      <c r="BX436" s="462">
        <f t="shared" si="109"/>
        <v>0</v>
      </c>
      <c r="BY436" s="462">
        <f t="shared" si="110"/>
        <v>0</v>
      </c>
      <c r="BZ436" s="462">
        <f t="shared" si="111"/>
        <v>0</v>
      </c>
      <c r="CA436" s="462">
        <f t="shared" si="112"/>
        <v>0</v>
      </c>
      <c r="CB436" s="462">
        <f t="shared" si="113"/>
        <v>0</v>
      </c>
      <c r="CC436" s="462">
        <f>IF(AT436&lt;&gt;0,SSHICHG*Y436,0)</f>
        <v>0</v>
      </c>
      <c r="CD436" s="462">
        <f>IF(AND(AT436&lt;&gt;0,AN436&lt;&gt;"NE"),VLOOKUP(AN436,Retirement_Rates,5,FALSE)*Y436,0)</f>
        <v>0</v>
      </c>
      <c r="CE436" s="462">
        <f>IF(AND(AT436&lt;&gt;0,AJ436&lt;&gt;"PF"),LifeCHG*Y436,0)</f>
        <v>0</v>
      </c>
      <c r="CF436" s="462">
        <f>IF(AND(AT436&lt;&gt;0,AM436="Y"),UICHG*Y436,0)</f>
        <v>0</v>
      </c>
      <c r="CG436" s="462">
        <f>IF(AND(AT436&lt;&gt;0,N436&lt;&gt;"NR"),DHRCHG*Y436,0)</f>
        <v>0</v>
      </c>
      <c r="CH436" s="462">
        <f>IF(AT436&lt;&gt;0,WCCHG*Y436,0)</f>
        <v>0</v>
      </c>
      <c r="CI436" s="462">
        <f>IF(OR(AND(AT436&lt;&gt;0,AJ436&lt;&gt;"PF",AN436&lt;&gt;"NE",AG436&lt;&gt;"A"),AND(AL436="E",OR(AT436=1,AT436=3))),SickCHG*Y436,0)</f>
        <v>0</v>
      </c>
      <c r="CJ436" s="462">
        <f t="shared" si="114"/>
        <v>0</v>
      </c>
      <c r="CK436" s="462" t="str">
        <f t="shared" si="115"/>
        <v/>
      </c>
      <c r="CL436" s="462">
        <f t="shared" si="116"/>
        <v>0</v>
      </c>
      <c r="CM436" s="462">
        <f t="shared" si="117"/>
        <v>0</v>
      </c>
      <c r="CN436" s="462" t="str">
        <f t="shared" si="118"/>
        <v>0332-10</v>
      </c>
    </row>
    <row r="437" spans="1:92" ht="15" thickBot="1" x14ac:dyDescent="0.35">
      <c r="A437" s="376" t="s">
        <v>161</v>
      </c>
      <c r="B437" s="376" t="s">
        <v>162</v>
      </c>
      <c r="C437" s="376" t="s">
        <v>1084</v>
      </c>
      <c r="D437" s="376" t="s">
        <v>1085</v>
      </c>
      <c r="E437" s="376" t="s">
        <v>535</v>
      </c>
      <c r="F437" s="382" t="s">
        <v>1070</v>
      </c>
      <c r="G437" s="376" t="s">
        <v>1010</v>
      </c>
      <c r="H437" s="378"/>
      <c r="I437" s="378"/>
      <c r="J437" s="376" t="s">
        <v>168</v>
      </c>
      <c r="K437" s="376" t="s">
        <v>1086</v>
      </c>
      <c r="L437" s="376" t="s">
        <v>166</v>
      </c>
      <c r="M437" s="376" t="s">
        <v>201</v>
      </c>
      <c r="N437" s="376" t="s">
        <v>291</v>
      </c>
      <c r="O437" s="379">
        <v>0</v>
      </c>
      <c r="P437" s="460">
        <v>1</v>
      </c>
      <c r="Q437" s="460">
        <v>0</v>
      </c>
      <c r="R437" s="380">
        <v>0</v>
      </c>
      <c r="S437" s="460">
        <v>0</v>
      </c>
      <c r="T437" s="380">
        <v>0</v>
      </c>
      <c r="U437" s="380">
        <v>0</v>
      </c>
      <c r="V437" s="380">
        <v>0</v>
      </c>
      <c r="W437" s="380">
        <v>0</v>
      </c>
      <c r="X437" s="380">
        <v>0</v>
      </c>
      <c r="Y437" s="380">
        <v>0</v>
      </c>
      <c r="Z437" s="380">
        <v>0</v>
      </c>
      <c r="AA437" s="378"/>
      <c r="AB437" s="376" t="s">
        <v>45</v>
      </c>
      <c r="AC437" s="376" t="s">
        <v>45</v>
      </c>
      <c r="AD437" s="378"/>
      <c r="AE437" s="378"/>
      <c r="AF437" s="378"/>
      <c r="AG437" s="378"/>
      <c r="AH437" s="379">
        <v>0</v>
      </c>
      <c r="AI437" s="379">
        <v>0</v>
      </c>
      <c r="AJ437" s="378"/>
      <c r="AK437" s="378"/>
      <c r="AL437" s="376" t="s">
        <v>180</v>
      </c>
      <c r="AM437" s="378"/>
      <c r="AN437" s="378"/>
      <c r="AO437" s="379">
        <v>0</v>
      </c>
      <c r="AP437" s="460">
        <v>0</v>
      </c>
      <c r="AQ437" s="460">
        <v>0</v>
      </c>
      <c r="AR437" s="459"/>
      <c r="AS437" s="462">
        <f t="shared" si="102"/>
        <v>0</v>
      </c>
      <c r="AT437">
        <f t="shared" si="103"/>
        <v>0</v>
      </c>
      <c r="AU437" s="462" t="str">
        <f>IF(AT437=0,"",IF(AND(AT437=1,M437="F",SUMIF(C2:C698,C437,AS2:AS698)&lt;=1),SUMIF(C2:C698,C437,AS2:AS698),IF(AND(AT437=1,M437="F",SUMIF(C2:C698,C437,AS2:AS698)&gt;1),1,"")))</f>
        <v/>
      </c>
      <c r="AV437" s="462" t="str">
        <f>IF(AT437=0,"",IF(AND(AT437=3,M437="F",SUMIF(C2:C698,C437,AS2:AS698)&lt;=1),SUMIF(C2:C698,C437,AS2:AS698),IF(AND(AT437=3,M437="F",SUMIF(C2:C698,C437,AS2:AS698)&gt;1),1,"")))</f>
        <v/>
      </c>
      <c r="AW437" s="462">
        <f>SUMIF(C2:C698,C437,O2:O698)</f>
        <v>0</v>
      </c>
      <c r="AX437" s="462">
        <f>IF(AND(M437="F",AS437&lt;&gt;0),SUMIF(C2:C698,C437,W2:W698),0)</f>
        <v>0</v>
      </c>
      <c r="AY437" s="462" t="str">
        <f t="shared" si="104"/>
        <v/>
      </c>
      <c r="AZ437" s="462" t="str">
        <f t="shared" si="105"/>
        <v/>
      </c>
      <c r="BA437" s="462">
        <f t="shared" si="106"/>
        <v>0</v>
      </c>
      <c r="BB437" s="462">
        <f>IF(AND(AT437=1,AK437="E",AU437&gt;=0.75,AW437=1),Health,IF(AND(AT437=1,AK437="E",AU437&gt;=0.75),Health*P437,IF(AND(AT437=1,AK437="E",AU437&gt;=0.5,AW437=1),PTHealth,IF(AND(AT437=1,AK437="E",AU437&gt;=0.5),PTHealth*P437,0))))</f>
        <v>0</v>
      </c>
      <c r="BC437" s="462">
        <f>IF(AND(AT437=3,AK437="E",AV437&gt;=0.75,AW437=1),Health,IF(AND(AT437=3,AK437="E",AV437&gt;=0.75),Health*P437,IF(AND(AT437=3,AK437="E",AV437&gt;=0.5,AW437=1),PTHealth,IF(AND(AT437=3,AK437="E",AV437&gt;=0.5),PTHealth*P437,0))))</f>
        <v>0</v>
      </c>
      <c r="BD437" s="462">
        <f>IF(AND(AT437&lt;&gt;0,AX437&gt;=MAXSSDI),SSDI*MAXSSDI*P437,IF(AT437&lt;&gt;0,SSDI*W437,0))</f>
        <v>0</v>
      </c>
      <c r="BE437" s="462">
        <f>IF(AT437&lt;&gt;0,SSHI*W437,0)</f>
        <v>0</v>
      </c>
      <c r="BF437" s="462">
        <f>IF(AND(AT437&lt;&gt;0,AN437&lt;&gt;"NE"),VLOOKUP(AN437,Retirement_Rates,3,FALSE)*W437,0)</f>
        <v>0</v>
      </c>
      <c r="BG437" s="462">
        <f>IF(AND(AT437&lt;&gt;0,AJ437&lt;&gt;"PF"),Life*W437,0)</f>
        <v>0</v>
      </c>
      <c r="BH437" s="462">
        <f>IF(AND(AT437&lt;&gt;0,AM437="Y"),UI*W437,0)</f>
        <v>0</v>
      </c>
      <c r="BI437" s="462">
        <f>IF(AND(AT437&lt;&gt;0,N437&lt;&gt;"NR"),DHR*W437,0)</f>
        <v>0</v>
      </c>
      <c r="BJ437" s="462">
        <f>IF(AT437&lt;&gt;0,WC*W437,0)</f>
        <v>0</v>
      </c>
      <c r="BK437" s="462">
        <f>IF(OR(AND(AT437&lt;&gt;0,AJ437&lt;&gt;"PF",AN437&lt;&gt;"NE",AG437&lt;&gt;"A"),AND(AL437="E",OR(AT437=1,AT437=3))),Sick*W437,0)</f>
        <v>0</v>
      </c>
      <c r="BL437" s="462">
        <f t="shared" si="107"/>
        <v>0</v>
      </c>
      <c r="BM437" s="462">
        <f t="shared" si="108"/>
        <v>0</v>
      </c>
      <c r="BN437" s="462">
        <f>IF(AND(AT437=1,AK437="E",AU437&gt;=0.75,AW437=1),HealthBY,IF(AND(AT437=1,AK437="E",AU437&gt;=0.75),HealthBY*P437,IF(AND(AT437=1,AK437="E",AU437&gt;=0.5,AW437=1),PTHealthBY,IF(AND(AT437=1,AK437="E",AU437&gt;=0.5),PTHealthBY*P437,0))))</f>
        <v>0</v>
      </c>
      <c r="BO437" s="462">
        <f>IF(AND(AT437=3,AK437="E",AV437&gt;=0.75,AW437=1),HealthBY,IF(AND(AT437=3,AK437="E",AV437&gt;=0.75),HealthBY*P437,IF(AND(AT437=3,AK437="E",AV437&gt;=0.5,AW437=1),PTHealthBY,IF(AND(AT437=3,AK437="E",AV437&gt;=0.5),PTHealthBY*P437,0))))</f>
        <v>0</v>
      </c>
      <c r="BP437" s="462">
        <f>IF(AND(AT437&lt;&gt;0,(AX437+BA437)&gt;=MAXSSDIBY),SSDIBY*MAXSSDIBY*P437,IF(AT437&lt;&gt;0,SSDIBY*W437,0))</f>
        <v>0</v>
      </c>
      <c r="BQ437" s="462">
        <f>IF(AT437&lt;&gt;0,SSHIBY*W437,0)</f>
        <v>0</v>
      </c>
      <c r="BR437" s="462">
        <f>IF(AND(AT437&lt;&gt;0,AN437&lt;&gt;"NE"),VLOOKUP(AN437,Retirement_Rates,4,FALSE)*W437,0)</f>
        <v>0</v>
      </c>
      <c r="BS437" s="462">
        <f>IF(AND(AT437&lt;&gt;0,AJ437&lt;&gt;"PF"),LifeBY*W437,0)</f>
        <v>0</v>
      </c>
      <c r="BT437" s="462">
        <f>IF(AND(AT437&lt;&gt;0,AM437="Y"),UIBY*W437,0)</f>
        <v>0</v>
      </c>
      <c r="BU437" s="462">
        <f>IF(AND(AT437&lt;&gt;0,N437&lt;&gt;"NR"),DHRBY*W437,0)</f>
        <v>0</v>
      </c>
      <c r="BV437" s="462">
        <f>IF(AT437&lt;&gt;0,WCBY*W437,0)</f>
        <v>0</v>
      </c>
      <c r="BW437" s="462">
        <f>IF(OR(AND(AT437&lt;&gt;0,AJ437&lt;&gt;"PF",AN437&lt;&gt;"NE",AG437&lt;&gt;"A"),AND(AL437="E",OR(AT437=1,AT437=3))),SickBY*W437,0)</f>
        <v>0</v>
      </c>
      <c r="BX437" s="462">
        <f t="shared" si="109"/>
        <v>0</v>
      </c>
      <c r="BY437" s="462">
        <f t="shared" si="110"/>
        <v>0</v>
      </c>
      <c r="BZ437" s="462">
        <f t="shared" si="111"/>
        <v>0</v>
      </c>
      <c r="CA437" s="462">
        <f t="shared" si="112"/>
        <v>0</v>
      </c>
      <c r="CB437" s="462">
        <f t="shared" si="113"/>
        <v>0</v>
      </c>
      <c r="CC437" s="462">
        <f>IF(AT437&lt;&gt;0,SSHICHG*Y437,0)</f>
        <v>0</v>
      </c>
      <c r="CD437" s="462">
        <f>IF(AND(AT437&lt;&gt;0,AN437&lt;&gt;"NE"),VLOOKUP(AN437,Retirement_Rates,5,FALSE)*Y437,0)</f>
        <v>0</v>
      </c>
      <c r="CE437" s="462">
        <f>IF(AND(AT437&lt;&gt;0,AJ437&lt;&gt;"PF"),LifeCHG*Y437,0)</f>
        <v>0</v>
      </c>
      <c r="CF437" s="462">
        <f>IF(AND(AT437&lt;&gt;0,AM437="Y"),UICHG*Y437,0)</f>
        <v>0</v>
      </c>
      <c r="CG437" s="462">
        <f>IF(AND(AT437&lt;&gt;0,N437&lt;&gt;"NR"),DHRCHG*Y437,0)</f>
        <v>0</v>
      </c>
      <c r="CH437" s="462">
        <f>IF(AT437&lt;&gt;0,WCCHG*Y437,0)</f>
        <v>0</v>
      </c>
      <c r="CI437" s="462">
        <f>IF(OR(AND(AT437&lt;&gt;0,AJ437&lt;&gt;"PF",AN437&lt;&gt;"NE",AG437&lt;&gt;"A"),AND(AL437="E",OR(AT437=1,AT437=3))),SickCHG*Y437,0)</f>
        <v>0</v>
      </c>
      <c r="CJ437" s="462">
        <f t="shared" si="114"/>
        <v>0</v>
      </c>
      <c r="CK437" s="462" t="str">
        <f t="shared" si="115"/>
        <v/>
      </c>
      <c r="CL437" s="462">
        <f t="shared" si="116"/>
        <v>0</v>
      </c>
      <c r="CM437" s="462">
        <f t="shared" si="117"/>
        <v>0</v>
      </c>
      <c r="CN437" s="462" t="str">
        <f t="shared" si="118"/>
        <v>0332-10</v>
      </c>
    </row>
    <row r="438" spans="1:92" ht="15" thickBot="1" x14ac:dyDescent="0.35">
      <c r="A438" s="376" t="s">
        <v>161</v>
      </c>
      <c r="B438" s="376" t="s">
        <v>162</v>
      </c>
      <c r="C438" s="376" t="s">
        <v>1087</v>
      </c>
      <c r="D438" s="376" t="s">
        <v>362</v>
      </c>
      <c r="E438" s="376" t="s">
        <v>535</v>
      </c>
      <c r="F438" s="382" t="s">
        <v>1070</v>
      </c>
      <c r="G438" s="376" t="s">
        <v>1010</v>
      </c>
      <c r="H438" s="378"/>
      <c r="I438" s="378"/>
      <c r="J438" s="376" t="s">
        <v>168</v>
      </c>
      <c r="K438" s="376" t="s">
        <v>363</v>
      </c>
      <c r="L438" s="376" t="s">
        <v>200</v>
      </c>
      <c r="M438" s="376" t="s">
        <v>201</v>
      </c>
      <c r="N438" s="376" t="s">
        <v>291</v>
      </c>
      <c r="O438" s="379">
        <v>0</v>
      </c>
      <c r="P438" s="460">
        <v>1</v>
      </c>
      <c r="Q438" s="460">
        <v>0</v>
      </c>
      <c r="R438" s="380">
        <v>0</v>
      </c>
      <c r="S438" s="460">
        <v>0</v>
      </c>
      <c r="T438" s="380">
        <v>0</v>
      </c>
      <c r="U438" s="380">
        <v>0</v>
      </c>
      <c r="V438" s="380">
        <v>0</v>
      </c>
      <c r="W438" s="380">
        <v>0</v>
      </c>
      <c r="X438" s="380">
        <v>0</v>
      </c>
      <c r="Y438" s="380">
        <v>0</v>
      </c>
      <c r="Z438" s="380">
        <v>0</v>
      </c>
      <c r="AA438" s="378"/>
      <c r="AB438" s="376" t="s">
        <v>45</v>
      </c>
      <c r="AC438" s="376" t="s">
        <v>45</v>
      </c>
      <c r="AD438" s="378"/>
      <c r="AE438" s="378"/>
      <c r="AF438" s="378"/>
      <c r="AG438" s="378"/>
      <c r="AH438" s="379">
        <v>0</v>
      </c>
      <c r="AI438" s="379">
        <v>0</v>
      </c>
      <c r="AJ438" s="378"/>
      <c r="AK438" s="378"/>
      <c r="AL438" s="376" t="s">
        <v>180</v>
      </c>
      <c r="AM438" s="378"/>
      <c r="AN438" s="378"/>
      <c r="AO438" s="379">
        <v>0</v>
      </c>
      <c r="AP438" s="460">
        <v>0</v>
      </c>
      <c r="AQ438" s="460">
        <v>0</v>
      </c>
      <c r="AR438" s="459"/>
      <c r="AS438" s="462">
        <f t="shared" si="102"/>
        <v>0</v>
      </c>
      <c r="AT438">
        <f t="shared" si="103"/>
        <v>0</v>
      </c>
      <c r="AU438" s="462" t="str">
        <f>IF(AT438=0,"",IF(AND(AT438=1,M438="F",SUMIF(C2:C698,C438,AS2:AS698)&lt;=1),SUMIF(C2:C698,C438,AS2:AS698),IF(AND(AT438=1,M438="F",SUMIF(C2:C698,C438,AS2:AS698)&gt;1),1,"")))</f>
        <v/>
      </c>
      <c r="AV438" s="462" t="str">
        <f>IF(AT438=0,"",IF(AND(AT438=3,M438="F",SUMIF(C2:C698,C438,AS2:AS698)&lt;=1),SUMIF(C2:C698,C438,AS2:AS698),IF(AND(AT438=3,M438="F",SUMIF(C2:C698,C438,AS2:AS698)&gt;1),1,"")))</f>
        <v/>
      </c>
      <c r="AW438" s="462">
        <f>SUMIF(C2:C698,C438,O2:O698)</f>
        <v>0</v>
      </c>
      <c r="AX438" s="462">
        <f>IF(AND(M438="F",AS438&lt;&gt;0),SUMIF(C2:C698,C438,W2:W698),0)</f>
        <v>0</v>
      </c>
      <c r="AY438" s="462" t="str">
        <f t="shared" si="104"/>
        <v/>
      </c>
      <c r="AZ438" s="462" t="str">
        <f t="shared" si="105"/>
        <v/>
      </c>
      <c r="BA438" s="462">
        <f t="shared" si="106"/>
        <v>0</v>
      </c>
      <c r="BB438" s="462">
        <f>IF(AND(AT438=1,AK438="E",AU438&gt;=0.75,AW438=1),Health,IF(AND(AT438=1,AK438="E",AU438&gt;=0.75),Health*P438,IF(AND(AT438=1,AK438="E",AU438&gt;=0.5,AW438=1),PTHealth,IF(AND(AT438=1,AK438="E",AU438&gt;=0.5),PTHealth*P438,0))))</f>
        <v>0</v>
      </c>
      <c r="BC438" s="462">
        <f>IF(AND(AT438=3,AK438="E",AV438&gt;=0.75,AW438=1),Health,IF(AND(AT438=3,AK438="E",AV438&gt;=0.75),Health*P438,IF(AND(AT438=3,AK438="E",AV438&gt;=0.5,AW438=1),PTHealth,IF(AND(AT438=3,AK438="E",AV438&gt;=0.5),PTHealth*P438,0))))</f>
        <v>0</v>
      </c>
      <c r="BD438" s="462">
        <f>IF(AND(AT438&lt;&gt;0,AX438&gt;=MAXSSDI),SSDI*MAXSSDI*P438,IF(AT438&lt;&gt;0,SSDI*W438,0))</f>
        <v>0</v>
      </c>
      <c r="BE438" s="462">
        <f>IF(AT438&lt;&gt;0,SSHI*W438,0)</f>
        <v>0</v>
      </c>
      <c r="BF438" s="462">
        <f>IF(AND(AT438&lt;&gt;0,AN438&lt;&gt;"NE"),VLOOKUP(AN438,Retirement_Rates,3,FALSE)*W438,0)</f>
        <v>0</v>
      </c>
      <c r="BG438" s="462">
        <f>IF(AND(AT438&lt;&gt;0,AJ438&lt;&gt;"PF"),Life*W438,0)</f>
        <v>0</v>
      </c>
      <c r="BH438" s="462">
        <f>IF(AND(AT438&lt;&gt;0,AM438="Y"),UI*W438,0)</f>
        <v>0</v>
      </c>
      <c r="BI438" s="462">
        <f>IF(AND(AT438&lt;&gt;0,N438&lt;&gt;"NR"),DHR*W438,0)</f>
        <v>0</v>
      </c>
      <c r="BJ438" s="462">
        <f>IF(AT438&lt;&gt;0,WC*W438,0)</f>
        <v>0</v>
      </c>
      <c r="BK438" s="462">
        <f>IF(OR(AND(AT438&lt;&gt;0,AJ438&lt;&gt;"PF",AN438&lt;&gt;"NE",AG438&lt;&gt;"A"),AND(AL438="E",OR(AT438=1,AT438=3))),Sick*W438,0)</f>
        <v>0</v>
      </c>
      <c r="BL438" s="462">
        <f t="shared" si="107"/>
        <v>0</v>
      </c>
      <c r="BM438" s="462">
        <f t="shared" si="108"/>
        <v>0</v>
      </c>
      <c r="BN438" s="462">
        <f>IF(AND(AT438=1,AK438="E",AU438&gt;=0.75,AW438=1),HealthBY,IF(AND(AT438=1,AK438="E",AU438&gt;=0.75),HealthBY*P438,IF(AND(AT438=1,AK438="E",AU438&gt;=0.5,AW438=1),PTHealthBY,IF(AND(AT438=1,AK438="E",AU438&gt;=0.5),PTHealthBY*P438,0))))</f>
        <v>0</v>
      </c>
      <c r="BO438" s="462">
        <f>IF(AND(AT438=3,AK438="E",AV438&gt;=0.75,AW438=1),HealthBY,IF(AND(AT438=3,AK438="E",AV438&gt;=0.75),HealthBY*P438,IF(AND(AT438=3,AK438="E",AV438&gt;=0.5,AW438=1),PTHealthBY,IF(AND(AT438=3,AK438="E",AV438&gt;=0.5),PTHealthBY*P438,0))))</f>
        <v>0</v>
      </c>
      <c r="BP438" s="462">
        <f>IF(AND(AT438&lt;&gt;0,(AX438+BA438)&gt;=MAXSSDIBY),SSDIBY*MAXSSDIBY*P438,IF(AT438&lt;&gt;0,SSDIBY*W438,0))</f>
        <v>0</v>
      </c>
      <c r="BQ438" s="462">
        <f>IF(AT438&lt;&gt;0,SSHIBY*W438,0)</f>
        <v>0</v>
      </c>
      <c r="BR438" s="462">
        <f>IF(AND(AT438&lt;&gt;0,AN438&lt;&gt;"NE"),VLOOKUP(AN438,Retirement_Rates,4,FALSE)*W438,0)</f>
        <v>0</v>
      </c>
      <c r="BS438" s="462">
        <f>IF(AND(AT438&lt;&gt;0,AJ438&lt;&gt;"PF"),LifeBY*W438,0)</f>
        <v>0</v>
      </c>
      <c r="BT438" s="462">
        <f>IF(AND(AT438&lt;&gt;0,AM438="Y"),UIBY*W438,0)</f>
        <v>0</v>
      </c>
      <c r="BU438" s="462">
        <f>IF(AND(AT438&lt;&gt;0,N438&lt;&gt;"NR"),DHRBY*W438,0)</f>
        <v>0</v>
      </c>
      <c r="BV438" s="462">
        <f>IF(AT438&lt;&gt;0,WCBY*W438,0)</f>
        <v>0</v>
      </c>
      <c r="BW438" s="462">
        <f>IF(OR(AND(AT438&lt;&gt;0,AJ438&lt;&gt;"PF",AN438&lt;&gt;"NE",AG438&lt;&gt;"A"),AND(AL438="E",OR(AT438=1,AT438=3))),SickBY*W438,0)</f>
        <v>0</v>
      </c>
      <c r="BX438" s="462">
        <f t="shared" si="109"/>
        <v>0</v>
      </c>
      <c r="BY438" s="462">
        <f t="shared" si="110"/>
        <v>0</v>
      </c>
      <c r="BZ438" s="462">
        <f t="shared" si="111"/>
        <v>0</v>
      </c>
      <c r="CA438" s="462">
        <f t="shared" si="112"/>
        <v>0</v>
      </c>
      <c r="CB438" s="462">
        <f t="shared" si="113"/>
        <v>0</v>
      </c>
      <c r="CC438" s="462">
        <f>IF(AT438&lt;&gt;0,SSHICHG*Y438,0)</f>
        <v>0</v>
      </c>
      <c r="CD438" s="462">
        <f>IF(AND(AT438&lt;&gt;0,AN438&lt;&gt;"NE"),VLOOKUP(AN438,Retirement_Rates,5,FALSE)*Y438,0)</f>
        <v>0</v>
      </c>
      <c r="CE438" s="462">
        <f>IF(AND(AT438&lt;&gt;0,AJ438&lt;&gt;"PF"),LifeCHG*Y438,0)</f>
        <v>0</v>
      </c>
      <c r="CF438" s="462">
        <f>IF(AND(AT438&lt;&gt;0,AM438="Y"),UICHG*Y438,0)</f>
        <v>0</v>
      </c>
      <c r="CG438" s="462">
        <f>IF(AND(AT438&lt;&gt;0,N438&lt;&gt;"NR"),DHRCHG*Y438,0)</f>
        <v>0</v>
      </c>
      <c r="CH438" s="462">
        <f>IF(AT438&lt;&gt;0,WCCHG*Y438,0)</f>
        <v>0</v>
      </c>
      <c r="CI438" s="462">
        <f>IF(OR(AND(AT438&lt;&gt;0,AJ438&lt;&gt;"PF",AN438&lt;&gt;"NE",AG438&lt;&gt;"A"),AND(AL438="E",OR(AT438=1,AT438=3))),SickCHG*Y438,0)</f>
        <v>0</v>
      </c>
      <c r="CJ438" s="462">
        <f t="shared" si="114"/>
        <v>0</v>
      </c>
      <c r="CK438" s="462" t="str">
        <f t="shared" si="115"/>
        <v/>
      </c>
      <c r="CL438" s="462">
        <f t="shared" si="116"/>
        <v>0</v>
      </c>
      <c r="CM438" s="462">
        <f t="shared" si="117"/>
        <v>0</v>
      </c>
      <c r="CN438" s="462" t="str">
        <f t="shared" si="118"/>
        <v>0332-10</v>
      </c>
    </row>
    <row r="439" spans="1:92" ht="15" thickBot="1" x14ac:dyDescent="0.35">
      <c r="A439" s="376" t="s">
        <v>161</v>
      </c>
      <c r="B439" s="376" t="s">
        <v>162</v>
      </c>
      <c r="C439" s="376" t="s">
        <v>1088</v>
      </c>
      <c r="D439" s="376" t="s">
        <v>362</v>
      </c>
      <c r="E439" s="376" t="s">
        <v>535</v>
      </c>
      <c r="F439" s="382" t="s">
        <v>1070</v>
      </c>
      <c r="G439" s="376" t="s">
        <v>1010</v>
      </c>
      <c r="H439" s="378"/>
      <c r="I439" s="378"/>
      <c r="J439" s="376" t="s">
        <v>168</v>
      </c>
      <c r="K439" s="376" t="s">
        <v>363</v>
      </c>
      <c r="L439" s="376" t="s">
        <v>200</v>
      </c>
      <c r="M439" s="376" t="s">
        <v>170</v>
      </c>
      <c r="N439" s="376" t="s">
        <v>202</v>
      </c>
      <c r="O439" s="379">
        <v>1</v>
      </c>
      <c r="P439" s="460">
        <v>1</v>
      </c>
      <c r="Q439" s="460">
        <v>1</v>
      </c>
      <c r="R439" s="380">
        <v>80</v>
      </c>
      <c r="S439" s="460">
        <v>1</v>
      </c>
      <c r="T439" s="380">
        <v>44040</v>
      </c>
      <c r="U439" s="380">
        <v>0</v>
      </c>
      <c r="V439" s="380">
        <v>21719.439999999999</v>
      </c>
      <c r="W439" s="380">
        <v>46800</v>
      </c>
      <c r="X439" s="380">
        <v>22244.1</v>
      </c>
      <c r="Y439" s="380">
        <v>46800</v>
      </c>
      <c r="Z439" s="380">
        <v>22122.42</v>
      </c>
      <c r="AA439" s="376" t="s">
        <v>1089</v>
      </c>
      <c r="AB439" s="376" t="s">
        <v>1090</v>
      </c>
      <c r="AC439" s="376" t="s">
        <v>1091</v>
      </c>
      <c r="AD439" s="376" t="s">
        <v>247</v>
      </c>
      <c r="AE439" s="376" t="s">
        <v>363</v>
      </c>
      <c r="AF439" s="376" t="s">
        <v>210</v>
      </c>
      <c r="AG439" s="376" t="s">
        <v>177</v>
      </c>
      <c r="AH439" s="381">
        <v>22.5</v>
      </c>
      <c r="AI439" s="381">
        <v>3732.1</v>
      </c>
      <c r="AJ439" s="376" t="s">
        <v>178</v>
      </c>
      <c r="AK439" s="376" t="s">
        <v>179</v>
      </c>
      <c r="AL439" s="376" t="s">
        <v>180</v>
      </c>
      <c r="AM439" s="376" t="s">
        <v>181</v>
      </c>
      <c r="AN439" s="376" t="s">
        <v>68</v>
      </c>
      <c r="AO439" s="379">
        <v>80</v>
      </c>
      <c r="AP439" s="460">
        <v>1</v>
      </c>
      <c r="AQ439" s="460">
        <v>1</v>
      </c>
      <c r="AR439" s="458" t="s">
        <v>182</v>
      </c>
      <c r="AS439" s="462">
        <f t="shared" si="102"/>
        <v>1</v>
      </c>
      <c r="AT439">
        <f t="shared" si="103"/>
        <v>1</v>
      </c>
      <c r="AU439" s="462">
        <f>IF(AT439=0,"",IF(AND(AT439=1,M439="F",SUMIF(C2:C698,C439,AS2:AS698)&lt;=1),SUMIF(C2:C698,C439,AS2:AS698),IF(AND(AT439=1,M439="F",SUMIF(C2:C698,C439,AS2:AS698)&gt;1),1,"")))</f>
        <v>1</v>
      </c>
      <c r="AV439" s="462" t="str">
        <f>IF(AT439=0,"",IF(AND(AT439=3,M439="F",SUMIF(C2:C698,C439,AS2:AS698)&lt;=1),SUMIF(C2:C698,C439,AS2:AS698),IF(AND(AT439=3,M439="F",SUMIF(C2:C698,C439,AS2:AS698)&gt;1),1,"")))</f>
        <v/>
      </c>
      <c r="AW439" s="462">
        <f>SUMIF(C2:C698,C439,O2:O698)</f>
        <v>1</v>
      </c>
      <c r="AX439" s="462">
        <f>IF(AND(M439="F",AS439&lt;&gt;0),SUMIF(C2:C698,C439,W2:W698),0)</f>
        <v>46800</v>
      </c>
      <c r="AY439" s="462">
        <f t="shared" si="104"/>
        <v>46800</v>
      </c>
      <c r="AZ439" s="462" t="str">
        <f t="shared" si="105"/>
        <v/>
      </c>
      <c r="BA439" s="462">
        <f t="shared" si="106"/>
        <v>0</v>
      </c>
      <c r="BB439" s="462">
        <f>IF(AND(AT439=1,AK439="E",AU439&gt;=0.75,AW439=1),Health,IF(AND(AT439=1,AK439="E",AU439&gt;=0.75),Health*P439,IF(AND(AT439=1,AK439="E",AU439&gt;=0.5,AW439=1),PTHealth,IF(AND(AT439=1,AK439="E",AU439&gt;=0.5),PTHealth*P439,0))))</f>
        <v>11650</v>
      </c>
      <c r="BC439" s="462">
        <f>IF(AND(AT439=3,AK439="E",AV439&gt;=0.75,AW439=1),Health,IF(AND(AT439=3,AK439="E",AV439&gt;=0.75),Health*P439,IF(AND(AT439=3,AK439="E",AV439&gt;=0.5,AW439=1),PTHealth,IF(AND(AT439=3,AK439="E",AV439&gt;=0.5),PTHealth*P439,0))))</f>
        <v>0</v>
      </c>
      <c r="BD439" s="462">
        <f>IF(AND(AT439&lt;&gt;0,AX439&gt;=MAXSSDI),SSDI*MAXSSDI*P439,IF(AT439&lt;&gt;0,SSDI*W439,0))</f>
        <v>2901.6</v>
      </c>
      <c r="BE439" s="462">
        <f>IF(AT439&lt;&gt;0,SSHI*W439,0)</f>
        <v>678.6</v>
      </c>
      <c r="BF439" s="462">
        <f>IF(AND(AT439&lt;&gt;0,AN439&lt;&gt;"NE"),VLOOKUP(AN439,Retirement_Rates,3,FALSE)*W439,0)</f>
        <v>5587.92</v>
      </c>
      <c r="BG439" s="462">
        <f>IF(AND(AT439&lt;&gt;0,AJ439&lt;&gt;"PF"),Life*W439,0)</f>
        <v>337.428</v>
      </c>
      <c r="BH439" s="462">
        <f>IF(AND(AT439&lt;&gt;0,AM439="Y"),UI*W439,0)</f>
        <v>229.32</v>
      </c>
      <c r="BI439" s="462">
        <f>IF(AND(AT439&lt;&gt;0,N439&lt;&gt;"NR"),DHR*W439,0)</f>
        <v>143.208</v>
      </c>
      <c r="BJ439" s="462">
        <f>IF(AT439&lt;&gt;0,WC*W439,0)</f>
        <v>716.04</v>
      </c>
      <c r="BK439" s="462">
        <f>IF(OR(AND(AT439&lt;&gt;0,AJ439&lt;&gt;"PF",AN439&lt;&gt;"NE",AG439&lt;&gt;"A"),AND(AL439="E",OR(AT439=1,AT439=3))),Sick*W439,0)</f>
        <v>0</v>
      </c>
      <c r="BL439" s="462">
        <f t="shared" si="107"/>
        <v>10594.115999999998</v>
      </c>
      <c r="BM439" s="462">
        <f t="shared" si="108"/>
        <v>0</v>
      </c>
      <c r="BN439" s="462">
        <f>IF(AND(AT439=1,AK439="E",AU439&gt;=0.75,AW439=1),HealthBY,IF(AND(AT439=1,AK439="E",AU439&gt;=0.75),HealthBY*P439,IF(AND(AT439=1,AK439="E",AU439&gt;=0.5,AW439=1),PTHealthBY,IF(AND(AT439=1,AK439="E",AU439&gt;=0.5),PTHealthBY*P439,0))))</f>
        <v>11650</v>
      </c>
      <c r="BO439" s="462">
        <f>IF(AND(AT439=3,AK439="E",AV439&gt;=0.75,AW439=1),HealthBY,IF(AND(AT439=3,AK439="E",AV439&gt;=0.75),HealthBY*P439,IF(AND(AT439=3,AK439="E",AV439&gt;=0.5,AW439=1),PTHealthBY,IF(AND(AT439=3,AK439="E",AV439&gt;=0.5),PTHealthBY*P439,0))))</f>
        <v>0</v>
      </c>
      <c r="BP439" s="462">
        <f>IF(AND(AT439&lt;&gt;0,(AX439+BA439)&gt;=MAXSSDIBY),SSDIBY*MAXSSDIBY*P439,IF(AT439&lt;&gt;0,SSDIBY*W439,0))</f>
        <v>2901.6</v>
      </c>
      <c r="BQ439" s="462">
        <f>IF(AT439&lt;&gt;0,SSHIBY*W439,0)</f>
        <v>678.6</v>
      </c>
      <c r="BR439" s="462">
        <f>IF(AND(AT439&lt;&gt;0,AN439&lt;&gt;"NE"),VLOOKUP(AN439,Retirement_Rates,4,FALSE)*W439,0)</f>
        <v>5587.92</v>
      </c>
      <c r="BS439" s="462">
        <f>IF(AND(AT439&lt;&gt;0,AJ439&lt;&gt;"PF"),LifeBY*W439,0)</f>
        <v>337.428</v>
      </c>
      <c r="BT439" s="462">
        <f>IF(AND(AT439&lt;&gt;0,AM439="Y"),UIBY*W439,0)</f>
        <v>0</v>
      </c>
      <c r="BU439" s="462">
        <f>IF(AND(AT439&lt;&gt;0,N439&lt;&gt;"NR"),DHRBY*W439,0)</f>
        <v>143.208</v>
      </c>
      <c r="BV439" s="462">
        <f>IF(AT439&lt;&gt;0,WCBY*W439,0)</f>
        <v>823.68000000000006</v>
      </c>
      <c r="BW439" s="462">
        <f>IF(OR(AND(AT439&lt;&gt;0,AJ439&lt;&gt;"PF",AN439&lt;&gt;"NE",AG439&lt;&gt;"A"),AND(AL439="E",OR(AT439=1,AT439=3))),SickBY*W439,0)</f>
        <v>0</v>
      </c>
      <c r="BX439" s="462">
        <f t="shared" si="109"/>
        <v>10472.436</v>
      </c>
      <c r="BY439" s="462">
        <f t="shared" si="110"/>
        <v>0</v>
      </c>
      <c r="BZ439" s="462">
        <f t="shared" si="111"/>
        <v>0</v>
      </c>
      <c r="CA439" s="462">
        <f t="shared" si="112"/>
        <v>0</v>
      </c>
      <c r="CB439" s="462">
        <f t="shared" si="113"/>
        <v>0</v>
      </c>
      <c r="CC439" s="462">
        <f>IF(AT439&lt;&gt;0,SSHICHG*Y439,0)</f>
        <v>0</v>
      </c>
      <c r="CD439" s="462">
        <f>IF(AND(AT439&lt;&gt;0,AN439&lt;&gt;"NE"),VLOOKUP(AN439,Retirement_Rates,5,FALSE)*Y439,0)</f>
        <v>0</v>
      </c>
      <c r="CE439" s="462">
        <f>IF(AND(AT439&lt;&gt;0,AJ439&lt;&gt;"PF"),LifeCHG*Y439,0)</f>
        <v>0</v>
      </c>
      <c r="CF439" s="462">
        <f>IF(AND(AT439&lt;&gt;0,AM439="Y"),UICHG*Y439,0)</f>
        <v>-229.32</v>
      </c>
      <c r="CG439" s="462">
        <f>IF(AND(AT439&lt;&gt;0,N439&lt;&gt;"NR"),DHRCHG*Y439,0)</f>
        <v>0</v>
      </c>
      <c r="CH439" s="462">
        <f>IF(AT439&lt;&gt;0,WCCHG*Y439,0)</f>
        <v>107.64000000000009</v>
      </c>
      <c r="CI439" s="462">
        <f>IF(OR(AND(AT439&lt;&gt;0,AJ439&lt;&gt;"PF",AN439&lt;&gt;"NE",AG439&lt;&gt;"A"),AND(AL439="E",OR(AT439=1,AT439=3))),SickCHG*Y439,0)</f>
        <v>0</v>
      </c>
      <c r="CJ439" s="462">
        <f t="shared" si="114"/>
        <v>-121.67999999999991</v>
      </c>
      <c r="CK439" s="462" t="str">
        <f t="shared" si="115"/>
        <v/>
      </c>
      <c r="CL439" s="462" t="str">
        <f t="shared" si="116"/>
        <v/>
      </c>
      <c r="CM439" s="462" t="str">
        <f t="shared" si="117"/>
        <v/>
      </c>
      <c r="CN439" s="462" t="str">
        <f t="shared" si="118"/>
        <v>0332-10</v>
      </c>
    </row>
    <row r="440" spans="1:92" ht="15" thickBot="1" x14ac:dyDescent="0.35">
      <c r="A440" s="376" t="s">
        <v>161</v>
      </c>
      <c r="B440" s="376" t="s">
        <v>162</v>
      </c>
      <c r="C440" s="376" t="s">
        <v>1092</v>
      </c>
      <c r="D440" s="376" t="s">
        <v>250</v>
      </c>
      <c r="E440" s="376" t="s">
        <v>535</v>
      </c>
      <c r="F440" s="382" t="s">
        <v>1070</v>
      </c>
      <c r="G440" s="376" t="s">
        <v>1010</v>
      </c>
      <c r="H440" s="378"/>
      <c r="I440" s="378"/>
      <c r="J440" s="376" t="s">
        <v>168</v>
      </c>
      <c r="K440" s="376" t="s">
        <v>407</v>
      </c>
      <c r="L440" s="376" t="s">
        <v>247</v>
      </c>
      <c r="M440" s="376" t="s">
        <v>170</v>
      </c>
      <c r="N440" s="376" t="s">
        <v>202</v>
      </c>
      <c r="O440" s="379">
        <v>1</v>
      </c>
      <c r="P440" s="460">
        <v>1</v>
      </c>
      <c r="Q440" s="460">
        <v>1</v>
      </c>
      <c r="R440" s="380">
        <v>80</v>
      </c>
      <c r="S440" s="460">
        <v>1</v>
      </c>
      <c r="T440" s="380">
        <v>57859.99</v>
      </c>
      <c r="U440" s="380">
        <v>0</v>
      </c>
      <c r="V440" s="380">
        <v>23740.67</v>
      </c>
      <c r="W440" s="380">
        <v>60049.599999999999</v>
      </c>
      <c r="X440" s="380">
        <v>25243.39</v>
      </c>
      <c r="Y440" s="380">
        <v>60049.599999999999</v>
      </c>
      <c r="Z440" s="380">
        <v>25087.27</v>
      </c>
      <c r="AA440" s="376" t="s">
        <v>1093</v>
      </c>
      <c r="AB440" s="376" t="s">
        <v>1094</v>
      </c>
      <c r="AC440" s="376" t="s">
        <v>607</v>
      </c>
      <c r="AD440" s="376" t="s">
        <v>215</v>
      </c>
      <c r="AE440" s="376" t="s">
        <v>407</v>
      </c>
      <c r="AF440" s="376" t="s">
        <v>299</v>
      </c>
      <c r="AG440" s="376" t="s">
        <v>177</v>
      </c>
      <c r="AH440" s="381">
        <v>28.87</v>
      </c>
      <c r="AI440" s="381">
        <v>13527.4</v>
      </c>
      <c r="AJ440" s="376" t="s">
        <v>178</v>
      </c>
      <c r="AK440" s="376" t="s">
        <v>179</v>
      </c>
      <c r="AL440" s="376" t="s">
        <v>180</v>
      </c>
      <c r="AM440" s="376" t="s">
        <v>181</v>
      </c>
      <c r="AN440" s="376" t="s">
        <v>68</v>
      </c>
      <c r="AO440" s="379">
        <v>80</v>
      </c>
      <c r="AP440" s="460">
        <v>1</v>
      </c>
      <c r="AQ440" s="460">
        <v>1</v>
      </c>
      <c r="AR440" s="458" t="s">
        <v>182</v>
      </c>
      <c r="AS440" s="462">
        <f t="shared" si="102"/>
        <v>1</v>
      </c>
      <c r="AT440">
        <f t="shared" si="103"/>
        <v>1</v>
      </c>
      <c r="AU440" s="462">
        <f>IF(AT440=0,"",IF(AND(AT440=1,M440="F",SUMIF(C2:C698,C440,AS2:AS698)&lt;=1),SUMIF(C2:C698,C440,AS2:AS698),IF(AND(AT440=1,M440="F",SUMIF(C2:C698,C440,AS2:AS698)&gt;1),1,"")))</f>
        <v>1</v>
      </c>
      <c r="AV440" s="462" t="str">
        <f>IF(AT440=0,"",IF(AND(AT440=3,M440="F",SUMIF(C2:C698,C440,AS2:AS698)&lt;=1),SUMIF(C2:C698,C440,AS2:AS698),IF(AND(AT440=3,M440="F",SUMIF(C2:C698,C440,AS2:AS698)&gt;1),1,"")))</f>
        <v/>
      </c>
      <c r="AW440" s="462">
        <f>SUMIF(C2:C698,C440,O2:O698)</f>
        <v>1</v>
      </c>
      <c r="AX440" s="462">
        <f>IF(AND(M440="F",AS440&lt;&gt;0),SUMIF(C2:C698,C440,W2:W698),0)</f>
        <v>60049.599999999999</v>
      </c>
      <c r="AY440" s="462">
        <f t="shared" si="104"/>
        <v>60049.599999999999</v>
      </c>
      <c r="AZ440" s="462" t="str">
        <f t="shared" si="105"/>
        <v/>
      </c>
      <c r="BA440" s="462">
        <f t="shared" si="106"/>
        <v>0</v>
      </c>
      <c r="BB440" s="462">
        <f>IF(AND(AT440=1,AK440="E",AU440&gt;=0.75,AW440=1),Health,IF(AND(AT440=1,AK440="E",AU440&gt;=0.75),Health*P440,IF(AND(AT440=1,AK440="E",AU440&gt;=0.5,AW440=1),PTHealth,IF(AND(AT440=1,AK440="E",AU440&gt;=0.5),PTHealth*P440,0))))</f>
        <v>11650</v>
      </c>
      <c r="BC440" s="462">
        <f>IF(AND(AT440=3,AK440="E",AV440&gt;=0.75,AW440=1),Health,IF(AND(AT440=3,AK440="E",AV440&gt;=0.75),Health*P440,IF(AND(AT440=3,AK440="E",AV440&gt;=0.5,AW440=1),PTHealth,IF(AND(AT440=3,AK440="E",AV440&gt;=0.5),PTHealth*P440,0))))</f>
        <v>0</v>
      </c>
      <c r="BD440" s="462">
        <f>IF(AND(AT440&lt;&gt;0,AX440&gt;=MAXSSDI),SSDI*MAXSSDI*P440,IF(AT440&lt;&gt;0,SSDI*W440,0))</f>
        <v>3723.0751999999998</v>
      </c>
      <c r="BE440" s="462">
        <f>IF(AT440&lt;&gt;0,SSHI*W440,0)</f>
        <v>870.7192</v>
      </c>
      <c r="BF440" s="462">
        <f>IF(AND(AT440&lt;&gt;0,AN440&lt;&gt;"NE"),VLOOKUP(AN440,Retirement_Rates,3,FALSE)*W440,0)</f>
        <v>7169.9222399999999</v>
      </c>
      <c r="BG440" s="462">
        <f>IF(AND(AT440&lt;&gt;0,AJ440&lt;&gt;"PF"),Life*W440,0)</f>
        <v>432.95761600000003</v>
      </c>
      <c r="BH440" s="462">
        <f>IF(AND(AT440&lt;&gt;0,AM440="Y"),UI*W440,0)</f>
        <v>294.24304000000001</v>
      </c>
      <c r="BI440" s="462">
        <f>IF(AND(AT440&lt;&gt;0,N440&lt;&gt;"NR"),DHR*W440,0)</f>
        <v>183.75177599999998</v>
      </c>
      <c r="BJ440" s="462">
        <f>IF(AT440&lt;&gt;0,WC*W440,0)</f>
        <v>918.75887999999998</v>
      </c>
      <c r="BK440" s="462">
        <f>IF(OR(AND(AT440&lt;&gt;0,AJ440&lt;&gt;"PF",AN440&lt;&gt;"NE",AG440&lt;&gt;"A"),AND(AL440="E",OR(AT440=1,AT440=3))),Sick*W440,0)</f>
        <v>0</v>
      </c>
      <c r="BL440" s="462">
        <f t="shared" si="107"/>
        <v>13593.427951999996</v>
      </c>
      <c r="BM440" s="462">
        <f t="shared" si="108"/>
        <v>0</v>
      </c>
      <c r="BN440" s="462">
        <f>IF(AND(AT440=1,AK440="E",AU440&gt;=0.75,AW440=1),HealthBY,IF(AND(AT440=1,AK440="E",AU440&gt;=0.75),HealthBY*P440,IF(AND(AT440=1,AK440="E",AU440&gt;=0.5,AW440=1),PTHealthBY,IF(AND(AT440=1,AK440="E",AU440&gt;=0.5),PTHealthBY*P440,0))))</f>
        <v>11650</v>
      </c>
      <c r="BO440" s="462">
        <f>IF(AND(AT440=3,AK440="E",AV440&gt;=0.75,AW440=1),HealthBY,IF(AND(AT440=3,AK440="E",AV440&gt;=0.75),HealthBY*P440,IF(AND(AT440=3,AK440="E",AV440&gt;=0.5,AW440=1),PTHealthBY,IF(AND(AT440=3,AK440="E",AV440&gt;=0.5),PTHealthBY*P440,0))))</f>
        <v>0</v>
      </c>
      <c r="BP440" s="462">
        <f>IF(AND(AT440&lt;&gt;0,(AX440+BA440)&gt;=MAXSSDIBY),SSDIBY*MAXSSDIBY*P440,IF(AT440&lt;&gt;0,SSDIBY*W440,0))</f>
        <v>3723.0751999999998</v>
      </c>
      <c r="BQ440" s="462">
        <f>IF(AT440&lt;&gt;0,SSHIBY*W440,0)</f>
        <v>870.7192</v>
      </c>
      <c r="BR440" s="462">
        <f>IF(AND(AT440&lt;&gt;0,AN440&lt;&gt;"NE"),VLOOKUP(AN440,Retirement_Rates,4,FALSE)*W440,0)</f>
        <v>7169.9222399999999</v>
      </c>
      <c r="BS440" s="462">
        <f>IF(AND(AT440&lt;&gt;0,AJ440&lt;&gt;"PF"),LifeBY*W440,0)</f>
        <v>432.95761600000003</v>
      </c>
      <c r="BT440" s="462">
        <f>IF(AND(AT440&lt;&gt;0,AM440="Y"),UIBY*W440,0)</f>
        <v>0</v>
      </c>
      <c r="BU440" s="462">
        <f>IF(AND(AT440&lt;&gt;0,N440&lt;&gt;"NR"),DHRBY*W440,0)</f>
        <v>183.75177599999998</v>
      </c>
      <c r="BV440" s="462">
        <f>IF(AT440&lt;&gt;0,WCBY*W440,0)</f>
        <v>1056.8729600000001</v>
      </c>
      <c r="BW440" s="462">
        <f>IF(OR(AND(AT440&lt;&gt;0,AJ440&lt;&gt;"PF",AN440&lt;&gt;"NE",AG440&lt;&gt;"A"),AND(AL440="E",OR(AT440=1,AT440=3))),SickBY*W440,0)</f>
        <v>0</v>
      </c>
      <c r="BX440" s="462">
        <f t="shared" si="109"/>
        <v>13437.298991999998</v>
      </c>
      <c r="BY440" s="462">
        <f t="shared" si="110"/>
        <v>0</v>
      </c>
      <c r="BZ440" s="462">
        <f t="shared" si="111"/>
        <v>0</v>
      </c>
      <c r="CA440" s="462">
        <f t="shared" si="112"/>
        <v>0</v>
      </c>
      <c r="CB440" s="462">
        <f t="shared" si="113"/>
        <v>0</v>
      </c>
      <c r="CC440" s="462">
        <f>IF(AT440&lt;&gt;0,SSHICHG*Y440,0)</f>
        <v>0</v>
      </c>
      <c r="CD440" s="462">
        <f>IF(AND(AT440&lt;&gt;0,AN440&lt;&gt;"NE"),VLOOKUP(AN440,Retirement_Rates,5,FALSE)*Y440,0)</f>
        <v>0</v>
      </c>
      <c r="CE440" s="462">
        <f>IF(AND(AT440&lt;&gt;0,AJ440&lt;&gt;"PF"),LifeCHG*Y440,0)</f>
        <v>0</v>
      </c>
      <c r="CF440" s="462">
        <f>IF(AND(AT440&lt;&gt;0,AM440="Y"),UICHG*Y440,0)</f>
        <v>-294.24304000000001</v>
      </c>
      <c r="CG440" s="462">
        <f>IF(AND(AT440&lt;&gt;0,N440&lt;&gt;"NR"),DHRCHG*Y440,0)</f>
        <v>0</v>
      </c>
      <c r="CH440" s="462">
        <f>IF(AT440&lt;&gt;0,WCCHG*Y440,0)</f>
        <v>138.11408000000009</v>
      </c>
      <c r="CI440" s="462">
        <f>IF(OR(AND(AT440&lt;&gt;0,AJ440&lt;&gt;"PF",AN440&lt;&gt;"NE",AG440&lt;&gt;"A"),AND(AL440="E",OR(AT440=1,AT440=3))),SickCHG*Y440,0)</f>
        <v>0</v>
      </c>
      <c r="CJ440" s="462">
        <f t="shared" si="114"/>
        <v>-156.12895999999992</v>
      </c>
      <c r="CK440" s="462" t="str">
        <f t="shared" si="115"/>
        <v/>
      </c>
      <c r="CL440" s="462" t="str">
        <f t="shared" si="116"/>
        <v/>
      </c>
      <c r="CM440" s="462" t="str">
        <f t="shared" si="117"/>
        <v/>
      </c>
      <c r="CN440" s="462" t="str">
        <f t="shared" si="118"/>
        <v>0332-10</v>
      </c>
    </row>
    <row r="441" spans="1:92" ht="15" thickBot="1" x14ac:dyDescent="0.35">
      <c r="A441" s="376" t="s">
        <v>161</v>
      </c>
      <c r="B441" s="376" t="s">
        <v>162</v>
      </c>
      <c r="C441" s="376" t="s">
        <v>1095</v>
      </c>
      <c r="D441" s="376" t="s">
        <v>250</v>
      </c>
      <c r="E441" s="376" t="s">
        <v>535</v>
      </c>
      <c r="F441" s="382" t="s">
        <v>1070</v>
      </c>
      <c r="G441" s="376" t="s">
        <v>1010</v>
      </c>
      <c r="H441" s="378"/>
      <c r="I441" s="378"/>
      <c r="J441" s="376" t="s">
        <v>168</v>
      </c>
      <c r="K441" s="376" t="s">
        <v>251</v>
      </c>
      <c r="L441" s="376" t="s">
        <v>180</v>
      </c>
      <c r="M441" s="376" t="s">
        <v>170</v>
      </c>
      <c r="N441" s="376" t="s">
        <v>202</v>
      </c>
      <c r="O441" s="379">
        <v>1</v>
      </c>
      <c r="P441" s="460">
        <v>1</v>
      </c>
      <c r="Q441" s="460">
        <v>1</v>
      </c>
      <c r="R441" s="380">
        <v>80</v>
      </c>
      <c r="S441" s="460">
        <v>1</v>
      </c>
      <c r="T441" s="380">
        <v>64564.87</v>
      </c>
      <c r="U441" s="380">
        <v>0</v>
      </c>
      <c r="V441" s="380">
        <v>25451.97</v>
      </c>
      <c r="W441" s="380">
        <v>67288</v>
      </c>
      <c r="X441" s="380">
        <v>26881.95</v>
      </c>
      <c r="Y441" s="380">
        <v>67288</v>
      </c>
      <c r="Z441" s="380">
        <v>26707</v>
      </c>
      <c r="AA441" s="376" t="s">
        <v>1096</v>
      </c>
      <c r="AB441" s="376" t="s">
        <v>1097</v>
      </c>
      <c r="AC441" s="376" t="s">
        <v>806</v>
      </c>
      <c r="AD441" s="376" t="s">
        <v>1098</v>
      </c>
      <c r="AE441" s="376" t="s">
        <v>251</v>
      </c>
      <c r="AF441" s="376" t="s">
        <v>256</v>
      </c>
      <c r="AG441" s="376" t="s">
        <v>177</v>
      </c>
      <c r="AH441" s="381">
        <v>32.35</v>
      </c>
      <c r="AI441" s="381">
        <v>11279.6</v>
      </c>
      <c r="AJ441" s="376" t="s">
        <v>178</v>
      </c>
      <c r="AK441" s="376" t="s">
        <v>179</v>
      </c>
      <c r="AL441" s="376" t="s">
        <v>180</v>
      </c>
      <c r="AM441" s="376" t="s">
        <v>181</v>
      </c>
      <c r="AN441" s="376" t="s">
        <v>68</v>
      </c>
      <c r="AO441" s="379">
        <v>80</v>
      </c>
      <c r="AP441" s="460">
        <v>1</v>
      </c>
      <c r="AQ441" s="460">
        <v>1</v>
      </c>
      <c r="AR441" s="458" t="s">
        <v>182</v>
      </c>
      <c r="AS441" s="462">
        <f t="shared" si="102"/>
        <v>1</v>
      </c>
      <c r="AT441">
        <f t="shared" si="103"/>
        <v>1</v>
      </c>
      <c r="AU441" s="462">
        <f>IF(AT441=0,"",IF(AND(AT441=1,M441="F",SUMIF(C2:C698,C441,AS2:AS698)&lt;=1),SUMIF(C2:C698,C441,AS2:AS698),IF(AND(AT441=1,M441="F",SUMIF(C2:C698,C441,AS2:AS698)&gt;1),1,"")))</f>
        <v>1</v>
      </c>
      <c r="AV441" s="462" t="str">
        <f>IF(AT441=0,"",IF(AND(AT441=3,M441="F",SUMIF(C2:C698,C441,AS2:AS698)&lt;=1),SUMIF(C2:C698,C441,AS2:AS698),IF(AND(AT441=3,M441="F",SUMIF(C2:C698,C441,AS2:AS698)&gt;1),1,"")))</f>
        <v/>
      </c>
      <c r="AW441" s="462">
        <f>SUMIF(C2:C698,C441,O2:O698)</f>
        <v>1</v>
      </c>
      <c r="AX441" s="462">
        <f>IF(AND(M441="F",AS441&lt;&gt;0),SUMIF(C2:C698,C441,W2:W698),0)</f>
        <v>67288</v>
      </c>
      <c r="AY441" s="462">
        <f t="shared" si="104"/>
        <v>67288</v>
      </c>
      <c r="AZ441" s="462" t="str">
        <f t="shared" si="105"/>
        <v/>
      </c>
      <c r="BA441" s="462">
        <f t="shared" si="106"/>
        <v>0</v>
      </c>
      <c r="BB441" s="462">
        <f>IF(AND(AT441=1,AK441="E",AU441&gt;=0.75,AW441=1),Health,IF(AND(AT441=1,AK441="E",AU441&gt;=0.75),Health*P441,IF(AND(AT441=1,AK441="E",AU441&gt;=0.5,AW441=1),PTHealth,IF(AND(AT441=1,AK441="E",AU441&gt;=0.5),PTHealth*P441,0))))</f>
        <v>11650</v>
      </c>
      <c r="BC441" s="462">
        <f>IF(AND(AT441=3,AK441="E",AV441&gt;=0.75,AW441=1),Health,IF(AND(AT441=3,AK441="E",AV441&gt;=0.75),Health*P441,IF(AND(AT441=3,AK441="E",AV441&gt;=0.5,AW441=1),PTHealth,IF(AND(AT441=3,AK441="E",AV441&gt;=0.5),PTHealth*P441,0))))</f>
        <v>0</v>
      </c>
      <c r="BD441" s="462">
        <f>IF(AND(AT441&lt;&gt;0,AX441&gt;=MAXSSDI),SSDI*MAXSSDI*P441,IF(AT441&lt;&gt;0,SSDI*W441,0))</f>
        <v>4171.8559999999998</v>
      </c>
      <c r="BE441" s="462">
        <f>IF(AT441&lt;&gt;0,SSHI*W441,0)</f>
        <v>975.67600000000004</v>
      </c>
      <c r="BF441" s="462">
        <f>IF(AND(AT441&lt;&gt;0,AN441&lt;&gt;"NE"),VLOOKUP(AN441,Retirement_Rates,3,FALSE)*W441,0)</f>
        <v>8034.1872000000003</v>
      </c>
      <c r="BG441" s="462">
        <f>IF(AND(AT441&lt;&gt;0,AJ441&lt;&gt;"PF"),Life*W441,0)</f>
        <v>485.14648</v>
      </c>
      <c r="BH441" s="462">
        <f>IF(AND(AT441&lt;&gt;0,AM441="Y"),UI*W441,0)</f>
        <v>329.71119999999996</v>
      </c>
      <c r="BI441" s="462">
        <f>IF(AND(AT441&lt;&gt;0,N441&lt;&gt;"NR"),DHR*W441,0)</f>
        <v>205.90127999999999</v>
      </c>
      <c r="BJ441" s="462">
        <f>IF(AT441&lt;&gt;0,WC*W441,0)</f>
        <v>1029.5064</v>
      </c>
      <c r="BK441" s="462">
        <f>IF(OR(AND(AT441&lt;&gt;0,AJ441&lt;&gt;"PF",AN441&lt;&gt;"NE",AG441&lt;&gt;"A"),AND(AL441="E",OR(AT441=1,AT441=3))),Sick*W441,0)</f>
        <v>0</v>
      </c>
      <c r="BL441" s="462">
        <f t="shared" si="107"/>
        <v>15231.984559999999</v>
      </c>
      <c r="BM441" s="462">
        <f t="shared" si="108"/>
        <v>0</v>
      </c>
      <c r="BN441" s="462">
        <f>IF(AND(AT441=1,AK441="E",AU441&gt;=0.75,AW441=1),HealthBY,IF(AND(AT441=1,AK441="E",AU441&gt;=0.75),HealthBY*P441,IF(AND(AT441=1,AK441="E",AU441&gt;=0.5,AW441=1),PTHealthBY,IF(AND(AT441=1,AK441="E",AU441&gt;=0.5),PTHealthBY*P441,0))))</f>
        <v>11650</v>
      </c>
      <c r="BO441" s="462">
        <f>IF(AND(AT441=3,AK441="E",AV441&gt;=0.75,AW441=1),HealthBY,IF(AND(AT441=3,AK441="E",AV441&gt;=0.75),HealthBY*P441,IF(AND(AT441=3,AK441="E",AV441&gt;=0.5,AW441=1),PTHealthBY,IF(AND(AT441=3,AK441="E",AV441&gt;=0.5),PTHealthBY*P441,0))))</f>
        <v>0</v>
      </c>
      <c r="BP441" s="462">
        <f>IF(AND(AT441&lt;&gt;0,(AX441+BA441)&gt;=MAXSSDIBY),SSDIBY*MAXSSDIBY*P441,IF(AT441&lt;&gt;0,SSDIBY*W441,0))</f>
        <v>4171.8559999999998</v>
      </c>
      <c r="BQ441" s="462">
        <f>IF(AT441&lt;&gt;0,SSHIBY*W441,0)</f>
        <v>975.67600000000004</v>
      </c>
      <c r="BR441" s="462">
        <f>IF(AND(AT441&lt;&gt;0,AN441&lt;&gt;"NE"),VLOOKUP(AN441,Retirement_Rates,4,FALSE)*W441,0)</f>
        <v>8034.1872000000003</v>
      </c>
      <c r="BS441" s="462">
        <f>IF(AND(AT441&lt;&gt;0,AJ441&lt;&gt;"PF"),LifeBY*W441,0)</f>
        <v>485.14648</v>
      </c>
      <c r="BT441" s="462">
        <f>IF(AND(AT441&lt;&gt;0,AM441="Y"),UIBY*W441,0)</f>
        <v>0</v>
      </c>
      <c r="BU441" s="462">
        <f>IF(AND(AT441&lt;&gt;0,N441&lt;&gt;"NR"),DHRBY*W441,0)</f>
        <v>205.90127999999999</v>
      </c>
      <c r="BV441" s="462">
        <f>IF(AT441&lt;&gt;0,WCBY*W441,0)</f>
        <v>1184.2688000000001</v>
      </c>
      <c r="BW441" s="462">
        <f>IF(OR(AND(AT441&lt;&gt;0,AJ441&lt;&gt;"PF",AN441&lt;&gt;"NE",AG441&lt;&gt;"A"),AND(AL441="E",OR(AT441=1,AT441=3))),SickBY*W441,0)</f>
        <v>0</v>
      </c>
      <c r="BX441" s="462">
        <f t="shared" si="109"/>
        <v>15057.035759999999</v>
      </c>
      <c r="BY441" s="462">
        <f t="shared" si="110"/>
        <v>0</v>
      </c>
      <c r="BZ441" s="462">
        <f t="shared" si="111"/>
        <v>0</v>
      </c>
      <c r="CA441" s="462">
        <f t="shared" si="112"/>
        <v>0</v>
      </c>
      <c r="CB441" s="462">
        <f t="shared" si="113"/>
        <v>0</v>
      </c>
      <c r="CC441" s="462">
        <f>IF(AT441&lt;&gt;0,SSHICHG*Y441,0)</f>
        <v>0</v>
      </c>
      <c r="CD441" s="462">
        <f>IF(AND(AT441&lt;&gt;0,AN441&lt;&gt;"NE"),VLOOKUP(AN441,Retirement_Rates,5,FALSE)*Y441,0)</f>
        <v>0</v>
      </c>
      <c r="CE441" s="462">
        <f>IF(AND(AT441&lt;&gt;0,AJ441&lt;&gt;"PF"),LifeCHG*Y441,0)</f>
        <v>0</v>
      </c>
      <c r="CF441" s="462">
        <f>IF(AND(AT441&lt;&gt;0,AM441="Y"),UICHG*Y441,0)</f>
        <v>-329.71119999999996</v>
      </c>
      <c r="CG441" s="462">
        <f>IF(AND(AT441&lt;&gt;0,N441&lt;&gt;"NR"),DHRCHG*Y441,0)</f>
        <v>0</v>
      </c>
      <c r="CH441" s="462">
        <f>IF(AT441&lt;&gt;0,WCCHG*Y441,0)</f>
        <v>154.76240000000013</v>
      </c>
      <c r="CI441" s="462">
        <f>IF(OR(AND(AT441&lt;&gt;0,AJ441&lt;&gt;"PF",AN441&lt;&gt;"NE",AG441&lt;&gt;"A"),AND(AL441="E",OR(AT441=1,AT441=3))),SickCHG*Y441,0)</f>
        <v>0</v>
      </c>
      <c r="CJ441" s="462">
        <f t="shared" si="114"/>
        <v>-174.94879999999984</v>
      </c>
      <c r="CK441" s="462" t="str">
        <f t="shared" si="115"/>
        <v/>
      </c>
      <c r="CL441" s="462" t="str">
        <f t="shared" si="116"/>
        <v/>
      </c>
      <c r="CM441" s="462" t="str">
        <f t="shared" si="117"/>
        <v/>
      </c>
      <c r="CN441" s="462" t="str">
        <f t="shared" si="118"/>
        <v>0332-10</v>
      </c>
    </row>
    <row r="442" spans="1:92" ht="15" thickBot="1" x14ac:dyDescent="0.35">
      <c r="A442" s="376" t="s">
        <v>161</v>
      </c>
      <c r="B442" s="376" t="s">
        <v>162</v>
      </c>
      <c r="C442" s="376" t="s">
        <v>1099</v>
      </c>
      <c r="D442" s="376" t="s">
        <v>1100</v>
      </c>
      <c r="E442" s="376" t="s">
        <v>165</v>
      </c>
      <c r="F442" s="377" t="s">
        <v>166</v>
      </c>
      <c r="G442" s="376" t="s">
        <v>1101</v>
      </c>
      <c r="H442" s="378"/>
      <c r="I442" s="378"/>
      <c r="J442" s="376" t="s">
        <v>168</v>
      </c>
      <c r="K442" s="376" t="s">
        <v>1102</v>
      </c>
      <c r="L442" s="376" t="s">
        <v>200</v>
      </c>
      <c r="M442" s="376" t="s">
        <v>170</v>
      </c>
      <c r="N442" s="376" t="s">
        <v>1103</v>
      </c>
      <c r="O442" s="379">
        <v>1</v>
      </c>
      <c r="P442" s="460">
        <v>0</v>
      </c>
      <c r="Q442" s="460">
        <v>0</v>
      </c>
      <c r="R442" s="380">
        <v>80</v>
      </c>
      <c r="S442" s="460">
        <v>0</v>
      </c>
      <c r="T442" s="380">
        <v>4827.3999999999996</v>
      </c>
      <c r="U442" s="380">
        <v>0</v>
      </c>
      <c r="V442" s="380">
        <v>2577.5300000000002</v>
      </c>
      <c r="W442" s="380">
        <v>0</v>
      </c>
      <c r="X442" s="380">
        <v>0</v>
      </c>
      <c r="Y442" s="380">
        <v>0</v>
      </c>
      <c r="Z442" s="380">
        <v>0</v>
      </c>
      <c r="AA442" s="376" t="s">
        <v>1104</v>
      </c>
      <c r="AB442" s="376" t="s">
        <v>1105</v>
      </c>
      <c r="AC442" s="376" t="s">
        <v>1106</v>
      </c>
      <c r="AD442" s="376" t="s">
        <v>190</v>
      </c>
      <c r="AE442" s="376" t="s">
        <v>1102</v>
      </c>
      <c r="AF442" s="376" t="s">
        <v>210</v>
      </c>
      <c r="AG442" s="376" t="s">
        <v>177</v>
      </c>
      <c r="AH442" s="381">
        <v>22.5</v>
      </c>
      <c r="AI442" s="379">
        <v>528</v>
      </c>
      <c r="AJ442" s="376" t="s">
        <v>178</v>
      </c>
      <c r="AK442" s="376" t="s">
        <v>179</v>
      </c>
      <c r="AL442" s="376" t="s">
        <v>180</v>
      </c>
      <c r="AM442" s="376" t="s">
        <v>181</v>
      </c>
      <c r="AN442" s="376" t="s">
        <v>68</v>
      </c>
      <c r="AO442" s="379">
        <v>80</v>
      </c>
      <c r="AP442" s="460">
        <v>1</v>
      </c>
      <c r="AQ442" s="460">
        <v>0</v>
      </c>
      <c r="AR442" s="458" t="s">
        <v>182</v>
      </c>
      <c r="AS442" s="462">
        <f t="shared" si="102"/>
        <v>0</v>
      </c>
      <c r="AT442">
        <f t="shared" si="103"/>
        <v>0</v>
      </c>
      <c r="AU442" s="462" t="str">
        <f>IF(AT442=0,"",IF(AND(AT442=1,M442="F",SUMIF(C2:C698,C442,AS2:AS698)&lt;=1),SUMIF(C2:C698,C442,AS2:AS698),IF(AND(AT442=1,M442="F",SUMIF(C2:C698,C442,AS2:AS698)&gt;1),1,"")))</f>
        <v/>
      </c>
      <c r="AV442" s="462" t="str">
        <f>IF(AT442=0,"",IF(AND(AT442=3,M442="F",SUMIF(C2:C698,C442,AS2:AS698)&lt;=1),SUMIF(C2:C698,C442,AS2:AS698),IF(AND(AT442=3,M442="F",SUMIF(C2:C698,C442,AS2:AS698)&gt;1),1,"")))</f>
        <v/>
      </c>
      <c r="AW442" s="462">
        <f>SUMIF(C2:C698,C442,O2:O698)</f>
        <v>2</v>
      </c>
      <c r="AX442" s="462">
        <f>IF(AND(M442="F",AS442&lt;&gt;0),SUMIF(C2:C698,C442,W2:W698),0)</f>
        <v>0</v>
      </c>
      <c r="AY442" s="462" t="str">
        <f t="shared" si="104"/>
        <v/>
      </c>
      <c r="AZ442" s="462" t="str">
        <f t="shared" si="105"/>
        <v/>
      </c>
      <c r="BA442" s="462">
        <f t="shared" si="106"/>
        <v>0</v>
      </c>
      <c r="BB442" s="462">
        <f>IF(AND(AT442=1,AK442="E",AU442&gt;=0.75,AW442=1),Health,IF(AND(AT442=1,AK442="E",AU442&gt;=0.75),Health*P442,IF(AND(AT442=1,AK442="E",AU442&gt;=0.5,AW442=1),PTHealth,IF(AND(AT442=1,AK442="E",AU442&gt;=0.5),PTHealth*P442,0))))</f>
        <v>0</v>
      </c>
      <c r="BC442" s="462">
        <f>IF(AND(AT442=3,AK442="E",AV442&gt;=0.75,AW442=1),Health,IF(AND(AT442=3,AK442="E",AV442&gt;=0.75),Health*P442,IF(AND(AT442=3,AK442="E",AV442&gt;=0.5,AW442=1),PTHealth,IF(AND(AT442=3,AK442="E",AV442&gt;=0.5),PTHealth*P442,0))))</f>
        <v>0</v>
      </c>
      <c r="BD442" s="462">
        <f>IF(AND(AT442&lt;&gt;0,AX442&gt;=MAXSSDI),SSDI*MAXSSDI*P442,IF(AT442&lt;&gt;0,SSDI*W442,0))</f>
        <v>0</v>
      </c>
      <c r="BE442" s="462">
        <f>IF(AT442&lt;&gt;0,SSHI*W442,0)</f>
        <v>0</v>
      </c>
      <c r="BF442" s="462">
        <f>IF(AND(AT442&lt;&gt;0,AN442&lt;&gt;"NE"),VLOOKUP(AN442,Retirement_Rates,3,FALSE)*W442,0)</f>
        <v>0</v>
      </c>
      <c r="BG442" s="462">
        <f>IF(AND(AT442&lt;&gt;0,AJ442&lt;&gt;"PF"),Life*W442,0)</f>
        <v>0</v>
      </c>
      <c r="BH442" s="462">
        <f>IF(AND(AT442&lt;&gt;0,AM442="Y"),UI*W442,0)</f>
        <v>0</v>
      </c>
      <c r="BI442" s="462">
        <f>IF(AND(AT442&lt;&gt;0,N442&lt;&gt;"NR"),DHR*W442,0)</f>
        <v>0</v>
      </c>
      <c r="BJ442" s="462">
        <f>IF(AT442&lt;&gt;0,WC*W442,0)</f>
        <v>0</v>
      </c>
      <c r="BK442" s="462">
        <f>IF(OR(AND(AT442&lt;&gt;0,AJ442&lt;&gt;"PF",AN442&lt;&gt;"NE",AG442&lt;&gt;"A"),AND(AL442="E",OR(AT442=1,AT442=3))),Sick*W442,0)</f>
        <v>0</v>
      </c>
      <c r="BL442" s="462">
        <f t="shared" si="107"/>
        <v>0</v>
      </c>
      <c r="BM442" s="462">
        <f t="shared" si="108"/>
        <v>0</v>
      </c>
      <c r="BN442" s="462">
        <f>IF(AND(AT442=1,AK442="E",AU442&gt;=0.75,AW442=1),HealthBY,IF(AND(AT442=1,AK442="E",AU442&gt;=0.75),HealthBY*P442,IF(AND(AT442=1,AK442="E",AU442&gt;=0.5,AW442=1),PTHealthBY,IF(AND(AT442=1,AK442="E",AU442&gt;=0.5),PTHealthBY*P442,0))))</f>
        <v>0</v>
      </c>
      <c r="BO442" s="462">
        <f>IF(AND(AT442=3,AK442="E",AV442&gt;=0.75,AW442=1),HealthBY,IF(AND(AT442=3,AK442="E",AV442&gt;=0.75),HealthBY*P442,IF(AND(AT442=3,AK442="E",AV442&gt;=0.5,AW442=1),PTHealthBY,IF(AND(AT442=3,AK442="E",AV442&gt;=0.5),PTHealthBY*P442,0))))</f>
        <v>0</v>
      </c>
      <c r="BP442" s="462">
        <f>IF(AND(AT442&lt;&gt;0,(AX442+BA442)&gt;=MAXSSDIBY),SSDIBY*MAXSSDIBY*P442,IF(AT442&lt;&gt;0,SSDIBY*W442,0))</f>
        <v>0</v>
      </c>
      <c r="BQ442" s="462">
        <f>IF(AT442&lt;&gt;0,SSHIBY*W442,0)</f>
        <v>0</v>
      </c>
      <c r="BR442" s="462">
        <f>IF(AND(AT442&lt;&gt;0,AN442&lt;&gt;"NE"),VLOOKUP(AN442,Retirement_Rates,4,FALSE)*W442,0)</f>
        <v>0</v>
      </c>
      <c r="BS442" s="462">
        <f>IF(AND(AT442&lt;&gt;0,AJ442&lt;&gt;"PF"),LifeBY*W442,0)</f>
        <v>0</v>
      </c>
      <c r="BT442" s="462">
        <f>IF(AND(AT442&lt;&gt;0,AM442="Y"),UIBY*W442,0)</f>
        <v>0</v>
      </c>
      <c r="BU442" s="462">
        <f>IF(AND(AT442&lt;&gt;0,N442&lt;&gt;"NR"),DHRBY*W442,0)</f>
        <v>0</v>
      </c>
      <c r="BV442" s="462">
        <f>IF(AT442&lt;&gt;0,WCBY*W442,0)</f>
        <v>0</v>
      </c>
      <c r="BW442" s="462">
        <f>IF(OR(AND(AT442&lt;&gt;0,AJ442&lt;&gt;"PF",AN442&lt;&gt;"NE",AG442&lt;&gt;"A"),AND(AL442="E",OR(AT442=1,AT442=3))),SickBY*W442,0)</f>
        <v>0</v>
      </c>
      <c r="BX442" s="462">
        <f t="shared" si="109"/>
        <v>0</v>
      </c>
      <c r="BY442" s="462">
        <f t="shared" si="110"/>
        <v>0</v>
      </c>
      <c r="BZ442" s="462">
        <f t="shared" si="111"/>
        <v>0</v>
      </c>
      <c r="CA442" s="462">
        <f t="shared" si="112"/>
        <v>0</v>
      </c>
      <c r="CB442" s="462">
        <f t="shared" si="113"/>
        <v>0</v>
      </c>
      <c r="CC442" s="462">
        <f>IF(AT442&lt;&gt;0,SSHICHG*Y442,0)</f>
        <v>0</v>
      </c>
      <c r="CD442" s="462">
        <f>IF(AND(AT442&lt;&gt;0,AN442&lt;&gt;"NE"),VLOOKUP(AN442,Retirement_Rates,5,FALSE)*Y442,0)</f>
        <v>0</v>
      </c>
      <c r="CE442" s="462">
        <f>IF(AND(AT442&lt;&gt;0,AJ442&lt;&gt;"PF"),LifeCHG*Y442,0)</f>
        <v>0</v>
      </c>
      <c r="CF442" s="462">
        <f>IF(AND(AT442&lt;&gt;0,AM442="Y"),UICHG*Y442,0)</f>
        <v>0</v>
      </c>
      <c r="CG442" s="462">
        <f>IF(AND(AT442&lt;&gt;0,N442&lt;&gt;"NR"),DHRCHG*Y442,0)</f>
        <v>0</v>
      </c>
      <c r="CH442" s="462">
        <f>IF(AT442&lt;&gt;0,WCCHG*Y442,0)</f>
        <v>0</v>
      </c>
      <c r="CI442" s="462">
        <f>IF(OR(AND(AT442&lt;&gt;0,AJ442&lt;&gt;"PF",AN442&lt;&gt;"NE",AG442&lt;&gt;"A"),AND(AL442="E",OR(AT442=1,AT442=3))),SickCHG*Y442,0)</f>
        <v>0</v>
      </c>
      <c r="CJ442" s="462">
        <f t="shared" si="114"/>
        <v>0</v>
      </c>
      <c r="CK442" s="462" t="str">
        <f t="shared" si="115"/>
        <v/>
      </c>
      <c r="CL442" s="462" t="str">
        <f t="shared" si="116"/>
        <v/>
      </c>
      <c r="CM442" s="462" t="str">
        <f t="shared" si="117"/>
        <v/>
      </c>
      <c r="CN442" s="462" t="str">
        <f t="shared" si="118"/>
        <v>0001-00</v>
      </c>
    </row>
    <row r="443" spans="1:92" ht="15" thickBot="1" x14ac:dyDescent="0.35">
      <c r="A443" s="376" t="s">
        <v>161</v>
      </c>
      <c r="B443" s="376" t="s">
        <v>162</v>
      </c>
      <c r="C443" s="376" t="s">
        <v>1107</v>
      </c>
      <c r="D443" s="376" t="s">
        <v>1108</v>
      </c>
      <c r="E443" s="376" t="s">
        <v>165</v>
      </c>
      <c r="F443" s="377" t="s">
        <v>166</v>
      </c>
      <c r="G443" s="376" t="s">
        <v>1101</v>
      </c>
      <c r="H443" s="378"/>
      <c r="I443" s="378"/>
      <c r="J443" s="376" t="s">
        <v>168</v>
      </c>
      <c r="K443" s="376" t="s">
        <v>1109</v>
      </c>
      <c r="L443" s="376" t="s">
        <v>224</v>
      </c>
      <c r="M443" s="376" t="s">
        <v>170</v>
      </c>
      <c r="N443" s="376" t="s">
        <v>202</v>
      </c>
      <c r="O443" s="379">
        <v>1</v>
      </c>
      <c r="P443" s="460">
        <v>1</v>
      </c>
      <c r="Q443" s="460">
        <v>1</v>
      </c>
      <c r="R443" s="380">
        <v>80</v>
      </c>
      <c r="S443" s="460">
        <v>1</v>
      </c>
      <c r="T443" s="380">
        <v>32694.43</v>
      </c>
      <c r="U443" s="380">
        <v>0</v>
      </c>
      <c r="V443" s="380">
        <v>15500.01</v>
      </c>
      <c r="W443" s="380">
        <v>41600</v>
      </c>
      <c r="X443" s="380">
        <v>21066.98</v>
      </c>
      <c r="Y443" s="380">
        <v>41600</v>
      </c>
      <c r="Z443" s="380">
        <v>20958.82</v>
      </c>
      <c r="AA443" s="376" t="s">
        <v>1110</v>
      </c>
      <c r="AB443" s="376" t="s">
        <v>1111</v>
      </c>
      <c r="AC443" s="376" t="s">
        <v>239</v>
      </c>
      <c r="AD443" s="376" t="s">
        <v>215</v>
      </c>
      <c r="AE443" s="376" t="s">
        <v>1109</v>
      </c>
      <c r="AF443" s="376" t="s">
        <v>232</v>
      </c>
      <c r="AG443" s="376" t="s">
        <v>177</v>
      </c>
      <c r="AH443" s="379">
        <v>25</v>
      </c>
      <c r="AI443" s="381">
        <v>1436.5</v>
      </c>
      <c r="AJ443" s="376" t="s">
        <v>313</v>
      </c>
      <c r="AK443" s="376" t="s">
        <v>179</v>
      </c>
      <c r="AL443" s="376" t="s">
        <v>180</v>
      </c>
      <c r="AM443" s="376" t="s">
        <v>181</v>
      </c>
      <c r="AN443" s="376" t="s">
        <v>68</v>
      </c>
      <c r="AO443" s="379">
        <v>64</v>
      </c>
      <c r="AP443" s="460">
        <v>1</v>
      </c>
      <c r="AQ443" s="460">
        <v>0.8</v>
      </c>
      <c r="AR443" s="458" t="s">
        <v>182</v>
      </c>
      <c r="AS443" s="462">
        <f t="shared" si="102"/>
        <v>0.8</v>
      </c>
      <c r="AT443">
        <f t="shared" si="103"/>
        <v>1</v>
      </c>
      <c r="AU443" s="462">
        <f>IF(AT443=0,"",IF(AND(AT443=1,M443="F",SUMIF(C2:C698,C443,AS2:AS698)&lt;=1),SUMIF(C2:C698,C443,AS2:AS698),IF(AND(AT443=1,M443="F",SUMIF(C2:C698,C443,AS2:AS698)&gt;1),1,"")))</f>
        <v>0.8</v>
      </c>
      <c r="AV443" s="462" t="str">
        <f>IF(AT443=0,"",IF(AND(AT443=3,M443="F",SUMIF(C2:C698,C443,AS2:AS698)&lt;=1),SUMIF(C2:C698,C443,AS2:AS698),IF(AND(AT443=3,M443="F",SUMIF(C2:C698,C443,AS2:AS698)&gt;1),1,"")))</f>
        <v/>
      </c>
      <c r="AW443" s="462">
        <f>SUMIF(C2:C698,C443,O2:O698)</f>
        <v>1</v>
      </c>
      <c r="AX443" s="462">
        <f>IF(AND(M443="F",AS443&lt;&gt;0),SUMIF(C2:C698,C443,W2:W698),0)</f>
        <v>41600</v>
      </c>
      <c r="AY443" s="462">
        <f t="shared" si="104"/>
        <v>41600</v>
      </c>
      <c r="AZ443" s="462" t="str">
        <f t="shared" si="105"/>
        <v/>
      </c>
      <c r="BA443" s="462">
        <f t="shared" si="106"/>
        <v>0</v>
      </c>
      <c r="BB443" s="462">
        <f>IF(AND(AT443=1,AK443="E",AU443&gt;=0.75,AW443=1),Health,IF(AND(AT443=1,AK443="E",AU443&gt;=0.75),Health*P443,IF(AND(AT443=1,AK443="E",AU443&gt;=0.5,AW443=1),PTHealth,IF(AND(AT443=1,AK443="E",AU443&gt;=0.5),PTHealth*P443,0))))</f>
        <v>11650</v>
      </c>
      <c r="BC443" s="462">
        <f>IF(AND(AT443=3,AK443="E",AV443&gt;=0.75,AW443=1),Health,IF(AND(AT443=3,AK443="E",AV443&gt;=0.75),Health*P443,IF(AND(AT443=3,AK443="E",AV443&gt;=0.5,AW443=1),PTHealth,IF(AND(AT443=3,AK443="E",AV443&gt;=0.5),PTHealth*P443,0))))</f>
        <v>0</v>
      </c>
      <c r="BD443" s="462">
        <f>IF(AND(AT443&lt;&gt;0,AX443&gt;=MAXSSDI),SSDI*MAXSSDI*P443,IF(AT443&lt;&gt;0,SSDI*W443,0))</f>
        <v>2579.1999999999998</v>
      </c>
      <c r="BE443" s="462">
        <f>IF(AT443&lt;&gt;0,SSHI*W443,0)</f>
        <v>603.20000000000005</v>
      </c>
      <c r="BF443" s="462">
        <f>IF(AND(AT443&lt;&gt;0,AN443&lt;&gt;"NE"),VLOOKUP(AN443,Retirement_Rates,3,FALSE)*W443,0)</f>
        <v>4967.04</v>
      </c>
      <c r="BG443" s="462">
        <f>IF(AND(AT443&lt;&gt;0,AJ443&lt;&gt;"PF"),Life*W443,0)</f>
        <v>299.93600000000004</v>
      </c>
      <c r="BH443" s="462">
        <f>IF(AND(AT443&lt;&gt;0,AM443="Y"),UI*W443,0)</f>
        <v>203.84</v>
      </c>
      <c r="BI443" s="462">
        <f>IF(AND(AT443&lt;&gt;0,N443&lt;&gt;"NR"),DHR*W443,0)</f>
        <v>127.29599999999999</v>
      </c>
      <c r="BJ443" s="462">
        <f>IF(AT443&lt;&gt;0,WC*W443,0)</f>
        <v>636.48</v>
      </c>
      <c r="BK443" s="462">
        <f>IF(OR(AND(AT443&lt;&gt;0,AJ443&lt;&gt;"PF",AN443&lt;&gt;"NE",AG443&lt;&gt;"A"),AND(AL443="E",OR(AT443=1,AT443=3))),Sick*W443,0)</f>
        <v>0</v>
      </c>
      <c r="BL443" s="462">
        <f t="shared" si="107"/>
        <v>9416.9920000000002</v>
      </c>
      <c r="BM443" s="462">
        <f t="shared" si="108"/>
        <v>0</v>
      </c>
      <c r="BN443" s="462">
        <f>IF(AND(AT443=1,AK443="E",AU443&gt;=0.75,AW443=1),HealthBY,IF(AND(AT443=1,AK443="E",AU443&gt;=0.75),HealthBY*P443,IF(AND(AT443=1,AK443="E",AU443&gt;=0.5,AW443=1),PTHealthBY,IF(AND(AT443=1,AK443="E",AU443&gt;=0.5),PTHealthBY*P443,0))))</f>
        <v>11650</v>
      </c>
      <c r="BO443" s="462">
        <f>IF(AND(AT443=3,AK443="E",AV443&gt;=0.75,AW443=1),HealthBY,IF(AND(AT443=3,AK443="E",AV443&gt;=0.75),HealthBY*P443,IF(AND(AT443=3,AK443="E",AV443&gt;=0.5,AW443=1),PTHealthBY,IF(AND(AT443=3,AK443="E",AV443&gt;=0.5),PTHealthBY*P443,0))))</f>
        <v>0</v>
      </c>
      <c r="BP443" s="462">
        <f>IF(AND(AT443&lt;&gt;0,(AX443+BA443)&gt;=MAXSSDIBY),SSDIBY*MAXSSDIBY*P443,IF(AT443&lt;&gt;0,SSDIBY*W443,0))</f>
        <v>2579.1999999999998</v>
      </c>
      <c r="BQ443" s="462">
        <f>IF(AT443&lt;&gt;0,SSHIBY*W443,0)</f>
        <v>603.20000000000005</v>
      </c>
      <c r="BR443" s="462">
        <f>IF(AND(AT443&lt;&gt;0,AN443&lt;&gt;"NE"),VLOOKUP(AN443,Retirement_Rates,4,FALSE)*W443,0)</f>
        <v>4967.04</v>
      </c>
      <c r="BS443" s="462">
        <f>IF(AND(AT443&lt;&gt;0,AJ443&lt;&gt;"PF"),LifeBY*W443,0)</f>
        <v>299.93600000000004</v>
      </c>
      <c r="BT443" s="462">
        <f>IF(AND(AT443&lt;&gt;0,AM443="Y"),UIBY*W443,0)</f>
        <v>0</v>
      </c>
      <c r="BU443" s="462">
        <f>IF(AND(AT443&lt;&gt;0,N443&lt;&gt;"NR"),DHRBY*W443,0)</f>
        <v>127.29599999999999</v>
      </c>
      <c r="BV443" s="462">
        <f>IF(AT443&lt;&gt;0,WCBY*W443,0)</f>
        <v>732.16000000000008</v>
      </c>
      <c r="BW443" s="462">
        <f>IF(OR(AND(AT443&lt;&gt;0,AJ443&lt;&gt;"PF",AN443&lt;&gt;"NE",AG443&lt;&gt;"A"),AND(AL443="E",OR(AT443=1,AT443=3))),SickBY*W443,0)</f>
        <v>0</v>
      </c>
      <c r="BX443" s="462">
        <f t="shared" si="109"/>
        <v>9308.8320000000003</v>
      </c>
      <c r="BY443" s="462">
        <f t="shared" si="110"/>
        <v>0</v>
      </c>
      <c r="BZ443" s="462">
        <f t="shared" si="111"/>
        <v>0</v>
      </c>
      <c r="CA443" s="462">
        <f t="shared" si="112"/>
        <v>0</v>
      </c>
      <c r="CB443" s="462">
        <f t="shared" si="113"/>
        <v>0</v>
      </c>
      <c r="CC443" s="462">
        <f>IF(AT443&lt;&gt;0,SSHICHG*Y443,0)</f>
        <v>0</v>
      </c>
      <c r="CD443" s="462">
        <f>IF(AND(AT443&lt;&gt;0,AN443&lt;&gt;"NE"),VLOOKUP(AN443,Retirement_Rates,5,FALSE)*Y443,0)</f>
        <v>0</v>
      </c>
      <c r="CE443" s="462">
        <f>IF(AND(AT443&lt;&gt;0,AJ443&lt;&gt;"PF"),LifeCHG*Y443,0)</f>
        <v>0</v>
      </c>
      <c r="CF443" s="462">
        <f>IF(AND(AT443&lt;&gt;0,AM443="Y"),UICHG*Y443,0)</f>
        <v>-203.84</v>
      </c>
      <c r="CG443" s="462">
        <f>IF(AND(AT443&lt;&gt;0,N443&lt;&gt;"NR"),DHRCHG*Y443,0)</f>
        <v>0</v>
      </c>
      <c r="CH443" s="462">
        <f>IF(AT443&lt;&gt;0,WCCHG*Y443,0)</f>
        <v>95.680000000000064</v>
      </c>
      <c r="CI443" s="462">
        <f>IF(OR(AND(AT443&lt;&gt;0,AJ443&lt;&gt;"PF",AN443&lt;&gt;"NE",AG443&lt;&gt;"A"),AND(AL443="E",OR(AT443=1,AT443=3))),SickCHG*Y443,0)</f>
        <v>0</v>
      </c>
      <c r="CJ443" s="462">
        <f t="shared" si="114"/>
        <v>-108.15999999999994</v>
      </c>
      <c r="CK443" s="462" t="str">
        <f t="shared" si="115"/>
        <v/>
      </c>
      <c r="CL443" s="462" t="str">
        <f t="shared" si="116"/>
        <v/>
      </c>
      <c r="CM443" s="462" t="str">
        <f t="shared" si="117"/>
        <v/>
      </c>
      <c r="CN443" s="462" t="str">
        <f t="shared" si="118"/>
        <v>0001-00</v>
      </c>
    </row>
    <row r="444" spans="1:92" ht="15" thickBot="1" x14ac:dyDescent="0.35">
      <c r="A444" s="376" t="s">
        <v>161</v>
      </c>
      <c r="B444" s="376" t="s">
        <v>162</v>
      </c>
      <c r="C444" s="376" t="s">
        <v>1112</v>
      </c>
      <c r="D444" s="376" t="s">
        <v>1113</v>
      </c>
      <c r="E444" s="376" t="s">
        <v>165</v>
      </c>
      <c r="F444" s="377" t="s">
        <v>166</v>
      </c>
      <c r="G444" s="376" t="s">
        <v>1101</v>
      </c>
      <c r="H444" s="378"/>
      <c r="I444" s="378"/>
      <c r="J444" s="376" t="s">
        <v>185</v>
      </c>
      <c r="K444" s="376" t="s">
        <v>1114</v>
      </c>
      <c r="L444" s="376" t="s">
        <v>177</v>
      </c>
      <c r="M444" s="376" t="s">
        <v>170</v>
      </c>
      <c r="N444" s="376" t="s">
        <v>202</v>
      </c>
      <c r="O444" s="379">
        <v>1</v>
      </c>
      <c r="P444" s="460">
        <v>0.95</v>
      </c>
      <c r="Q444" s="460">
        <v>0.95</v>
      </c>
      <c r="R444" s="380">
        <v>80</v>
      </c>
      <c r="S444" s="460">
        <v>0.95</v>
      </c>
      <c r="T444" s="380">
        <v>33282.160000000003</v>
      </c>
      <c r="U444" s="380">
        <v>0</v>
      </c>
      <c r="V444" s="380">
        <v>18534.59</v>
      </c>
      <c r="W444" s="380">
        <v>32900.400000000001</v>
      </c>
      <c r="X444" s="380">
        <v>18515.12</v>
      </c>
      <c r="Y444" s="380">
        <v>32900.400000000001</v>
      </c>
      <c r="Z444" s="380">
        <v>18429.599999999999</v>
      </c>
      <c r="AA444" s="376" t="s">
        <v>1115</v>
      </c>
      <c r="AB444" s="376" t="s">
        <v>1116</v>
      </c>
      <c r="AC444" s="376" t="s">
        <v>1117</v>
      </c>
      <c r="AD444" s="376" t="s">
        <v>1118</v>
      </c>
      <c r="AE444" s="376" t="s">
        <v>1114</v>
      </c>
      <c r="AF444" s="376" t="s">
        <v>436</v>
      </c>
      <c r="AG444" s="376" t="s">
        <v>177</v>
      </c>
      <c r="AH444" s="381">
        <v>16.649999999999999</v>
      </c>
      <c r="AI444" s="381">
        <v>10646.5</v>
      </c>
      <c r="AJ444" s="376" t="s">
        <v>178</v>
      </c>
      <c r="AK444" s="376" t="s">
        <v>179</v>
      </c>
      <c r="AL444" s="376" t="s">
        <v>180</v>
      </c>
      <c r="AM444" s="376" t="s">
        <v>181</v>
      </c>
      <c r="AN444" s="376" t="s">
        <v>68</v>
      </c>
      <c r="AO444" s="379">
        <v>80</v>
      </c>
      <c r="AP444" s="460">
        <v>1</v>
      </c>
      <c r="AQ444" s="460">
        <v>0.95</v>
      </c>
      <c r="AR444" s="458" t="s">
        <v>182</v>
      </c>
      <c r="AS444" s="462">
        <f t="shared" si="102"/>
        <v>0.95</v>
      </c>
      <c r="AT444">
        <f t="shared" si="103"/>
        <v>1</v>
      </c>
      <c r="AU444" s="462">
        <f>IF(AT444=0,"",IF(AND(AT444=1,M444="F",SUMIF(C2:C698,C444,AS2:AS698)&lt;=1),SUMIF(C2:C698,C444,AS2:AS698),IF(AND(AT444=1,M444="F",SUMIF(C2:C698,C444,AS2:AS698)&gt;1),1,"")))</f>
        <v>1</v>
      </c>
      <c r="AV444" s="462" t="str">
        <f>IF(AT444=0,"",IF(AND(AT444=3,M444="F",SUMIF(C2:C698,C444,AS2:AS698)&lt;=1),SUMIF(C2:C698,C444,AS2:AS698),IF(AND(AT444=3,M444="F",SUMIF(C2:C698,C444,AS2:AS698)&gt;1),1,"")))</f>
        <v/>
      </c>
      <c r="AW444" s="462">
        <f>SUMIF(C2:C698,C444,O2:O698)</f>
        <v>2</v>
      </c>
      <c r="AX444" s="462">
        <f>IF(AND(M444="F",AS444&lt;&gt;0),SUMIF(C2:C698,C444,W2:W698),0)</f>
        <v>34632</v>
      </c>
      <c r="AY444" s="462">
        <f t="shared" si="104"/>
        <v>32900.400000000001</v>
      </c>
      <c r="AZ444" s="462" t="str">
        <f t="shared" si="105"/>
        <v/>
      </c>
      <c r="BA444" s="462">
        <f t="shared" si="106"/>
        <v>0</v>
      </c>
      <c r="BB444" s="462">
        <f>IF(AND(AT444=1,AK444="E",AU444&gt;=0.75,AW444=1),Health,IF(AND(AT444=1,AK444="E",AU444&gt;=0.75),Health*P444,IF(AND(AT444=1,AK444="E",AU444&gt;=0.5,AW444=1),PTHealth,IF(AND(AT444=1,AK444="E",AU444&gt;=0.5),PTHealth*P444,0))))</f>
        <v>11067.5</v>
      </c>
      <c r="BC444" s="462">
        <f>IF(AND(AT444=3,AK444="E",AV444&gt;=0.75,AW444=1),Health,IF(AND(AT444=3,AK444="E",AV444&gt;=0.75),Health*P444,IF(AND(AT444=3,AK444="E",AV444&gt;=0.5,AW444=1),PTHealth,IF(AND(AT444=3,AK444="E",AV444&gt;=0.5),PTHealth*P444,0))))</f>
        <v>0</v>
      </c>
      <c r="BD444" s="462">
        <f>IF(AND(AT444&lt;&gt;0,AX444&gt;=MAXSSDI),SSDI*MAXSSDI*P444,IF(AT444&lt;&gt;0,SSDI*W444,0))</f>
        <v>2039.8248000000001</v>
      </c>
      <c r="BE444" s="462">
        <f>IF(AT444&lt;&gt;0,SSHI*W444,0)</f>
        <v>477.05580000000003</v>
      </c>
      <c r="BF444" s="462">
        <f>IF(AND(AT444&lt;&gt;0,AN444&lt;&gt;"NE"),VLOOKUP(AN444,Retirement_Rates,3,FALSE)*W444,0)</f>
        <v>3928.3077600000006</v>
      </c>
      <c r="BG444" s="462">
        <f>IF(AND(AT444&lt;&gt;0,AJ444&lt;&gt;"PF"),Life*W444,0)</f>
        <v>237.21188400000003</v>
      </c>
      <c r="BH444" s="462">
        <f>IF(AND(AT444&lt;&gt;0,AM444="Y"),UI*W444,0)</f>
        <v>161.21196</v>
      </c>
      <c r="BI444" s="462">
        <f>IF(AND(AT444&lt;&gt;0,N444&lt;&gt;"NR"),DHR*W444,0)</f>
        <v>100.675224</v>
      </c>
      <c r="BJ444" s="462">
        <f>IF(AT444&lt;&gt;0,WC*W444,0)</f>
        <v>503.37612000000001</v>
      </c>
      <c r="BK444" s="462">
        <f>IF(OR(AND(AT444&lt;&gt;0,AJ444&lt;&gt;"PF",AN444&lt;&gt;"NE",AG444&lt;&gt;"A"),AND(AL444="E",OR(AT444=1,AT444=3))),Sick*W444,0)</f>
        <v>0</v>
      </c>
      <c r="BL444" s="462">
        <f t="shared" si="107"/>
        <v>7447.6635479999995</v>
      </c>
      <c r="BM444" s="462">
        <f t="shared" si="108"/>
        <v>0</v>
      </c>
      <c r="BN444" s="462">
        <f>IF(AND(AT444=1,AK444="E",AU444&gt;=0.75,AW444=1),HealthBY,IF(AND(AT444=1,AK444="E",AU444&gt;=0.75),HealthBY*P444,IF(AND(AT444=1,AK444="E",AU444&gt;=0.5,AW444=1),PTHealthBY,IF(AND(AT444=1,AK444="E",AU444&gt;=0.5),PTHealthBY*P444,0))))</f>
        <v>11067.5</v>
      </c>
      <c r="BO444" s="462">
        <f>IF(AND(AT444=3,AK444="E",AV444&gt;=0.75,AW444=1),HealthBY,IF(AND(AT444=3,AK444="E",AV444&gt;=0.75),HealthBY*P444,IF(AND(AT444=3,AK444="E",AV444&gt;=0.5,AW444=1),PTHealthBY,IF(AND(AT444=3,AK444="E",AV444&gt;=0.5),PTHealthBY*P444,0))))</f>
        <v>0</v>
      </c>
      <c r="BP444" s="462">
        <f>IF(AND(AT444&lt;&gt;0,(AX444+BA444)&gt;=MAXSSDIBY),SSDIBY*MAXSSDIBY*P444,IF(AT444&lt;&gt;0,SSDIBY*W444,0))</f>
        <v>2039.8248000000001</v>
      </c>
      <c r="BQ444" s="462">
        <f>IF(AT444&lt;&gt;0,SSHIBY*W444,0)</f>
        <v>477.05580000000003</v>
      </c>
      <c r="BR444" s="462">
        <f>IF(AND(AT444&lt;&gt;0,AN444&lt;&gt;"NE"),VLOOKUP(AN444,Retirement_Rates,4,FALSE)*W444,0)</f>
        <v>3928.3077600000006</v>
      </c>
      <c r="BS444" s="462">
        <f>IF(AND(AT444&lt;&gt;0,AJ444&lt;&gt;"PF"),LifeBY*W444,0)</f>
        <v>237.21188400000003</v>
      </c>
      <c r="BT444" s="462">
        <f>IF(AND(AT444&lt;&gt;0,AM444="Y"),UIBY*W444,0)</f>
        <v>0</v>
      </c>
      <c r="BU444" s="462">
        <f>IF(AND(AT444&lt;&gt;0,N444&lt;&gt;"NR"),DHRBY*W444,0)</f>
        <v>100.675224</v>
      </c>
      <c r="BV444" s="462">
        <f>IF(AT444&lt;&gt;0,WCBY*W444,0)</f>
        <v>579.04704000000004</v>
      </c>
      <c r="BW444" s="462">
        <f>IF(OR(AND(AT444&lt;&gt;0,AJ444&lt;&gt;"PF",AN444&lt;&gt;"NE",AG444&lt;&gt;"A"),AND(AL444="E",OR(AT444=1,AT444=3))),SickBY*W444,0)</f>
        <v>0</v>
      </c>
      <c r="BX444" s="462">
        <f t="shared" si="109"/>
        <v>7362.1225080000004</v>
      </c>
      <c r="BY444" s="462">
        <f t="shared" si="110"/>
        <v>0</v>
      </c>
      <c r="BZ444" s="462">
        <f t="shared" si="111"/>
        <v>0</v>
      </c>
      <c r="CA444" s="462">
        <f t="shared" si="112"/>
        <v>0</v>
      </c>
      <c r="CB444" s="462">
        <f t="shared" si="113"/>
        <v>0</v>
      </c>
      <c r="CC444" s="462">
        <f>IF(AT444&lt;&gt;0,SSHICHG*Y444,0)</f>
        <v>0</v>
      </c>
      <c r="CD444" s="462">
        <f>IF(AND(AT444&lt;&gt;0,AN444&lt;&gt;"NE"),VLOOKUP(AN444,Retirement_Rates,5,FALSE)*Y444,0)</f>
        <v>0</v>
      </c>
      <c r="CE444" s="462">
        <f>IF(AND(AT444&lt;&gt;0,AJ444&lt;&gt;"PF"),LifeCHG*Y444,0)</f>
        <v>0</v>
      </c>
      <c r="CF444" s="462">
        <f>IF(AND(AT444&lt;&gt;0,AM444="Y"),UICHG*Y444,0)</f>
        <v>-161.21196</v>
      </c>
      <c r="CG444" s="462">
        <f>IF(AND(AT444&lt;&gt;0,N444&lt;&gt;"NR"),DHRCHG*Y444,0)</f>
        <v>0</v>
      </c>
      <c r="CH444" s="462">
        <f>IF(AT444&lt;&gt;0,WCCHG*Y444,0)</f>
        <v>75.670920000000052</v>
      </c>
      <c r="CI444" s="462">
        <f>IF(OR(AND(AT444&lt;&gt;0,AJ444&lt;&gt;"PF",AN444&lt;&gt;"NE",AG444&lt;&gt;"A"),AND(AL444="E",OR(AT444=1,AT444=3))),SickCHG*Y444,0)</f>
        <v>0</v>
      </c>
      <c r="CJ444" s="462">
        <f t="shared" si="114"/>
        <v>-85.541039999999953</v>
      </c>
      <c r="CK444" s="462" t="str">
        <f t="shared" si="115"/>
        <v/>
      </c>
      <c r="CL444" s="462" t="str">
        <f t="shared" si="116"/>
        <v/>
      </c>
      <c r="CM444" s="462" t="str">
        <f t="shared" si="117"/>
        <v/>
      </c>
      <c r="CN444" s="462" t="str">
        <f t="shared" si="118"/>
        <v>0001-00</v>
      </c>
    </row>
    <row r="445" spans="1:92" ht="15" thickBot="1" x14ac:dyDescent="0.35">
      <c r="A445" s="376" t="s">
        <v>161</v>
      </c>
      <c r="B445" s="376" t="s">
        <v>162</v>
      </c>
      <c r="C445" s="376" t="s">
        <v>1119</v>
      </c>
      <c r="D445" s="376" t="s">
        <v>1108</v>
      </c>
      <c r="E445" s="376" t="s">
        <v>165</v>
      </c>
      <c r="F445" s="377" t="s">
        <v>166</v>
      </c>
      <c r="G445" s="376" t="s">
        <v>1101</v>
      </c>
      <c r="H445" s="378"/>
      <c r="I445" s="378"/>
      <c r="J445" s="376" t="s">
        <v>168</v>
      </c>
      <c r="K445" s="376" t="s">
        <v>1109</v>
      </c>
      <c r="L445" s="376" t="s">
        <v>224</v>
      </c>
      <c r="M445" s="376" t="s">
        <v>170</v>
      </c>
      <c r="N445" s="376" t="s">
        <v>202</v>
      </c>
      <c r="O445" s="379">
        <v>1</v>
      </c>
      <c r="P445" s="460">
        <v>1</v>
      </c>
      <c r="Q445" s="460">
        <v>1</v>
      </c>
      <c r="R445" s="380">
        <v>80</v>
      </c>
      <c r="S445" s="460">
        <v>1</v>
      </c>
      <c r="T445" s="380">
        <v>52189.9</v>
      </c>
      <c r="U445" s="380">
        <v>0</v>
      </c>
      <c r="V445" s="380">
        <v>22469.47</v>
      </c>
      <c r="W445" s="380">
        <v>53123.199999999997</v>
      </c>
      <c r="X445" s="380">
        <v>23675.46</v>
      </c>
      <c r="Y445" s="380">
        <v>53123.199999999997</v>
      </c>
      <c r="Z445" s="380">
        <v>23537.34</v>
      </c>
      <c r="AA445" s="376" t="s">
        <v>1120</v>
      </c>
      <c r="AB445" s="376" t="s">
        <v>1121</v>
      </c>
      <c r="AC445" s="376" t="s">
        <v>1122</v>
      </c>
      <c r="AD445" s="376" t="s">
        <v>1123</v>
      </c>
      <c r="AE445" s="376" t="s">
        <v>1109</v>
      </c>
      <c r="AF445" s="376" t="s">
        <v>232</v>
      </c>
      <c r="AG445" s="376" t="s">
        <v>177</v>
      </c>
      <c r="AH445" s="381">
        <v>25.54</v>
      </c>
      <c r="AI445" s="381">
        <v>15012.2</v>
      </c>
      <c r="AJ445" s="376" t="s">
        <v>178</v>
      </c>
      <c r="AK445" s="376" t="s">
        <v>179</v>
      </c>
      <c r="AL445" s="376" t="s">
        <v>180</v>
      </c>
      <c r="AM445" s="376" t="s">
        <v>181</v>
      </c>
      <c r="AN445" s="376" t="s">
        <v>68</v>
      </c>
      <c r="AO445" s="379">
        <v>80</v>
      </c>
      <c r="AP445" s="460">
        <v>1</v>
      </c>
      <c r="AQ445" s="460">
        <v>1</v>
      </c>
      <c r="AR445" s="458" t="s">
        <v>182</v>
      </c>
      <c r="AS445" s="462">
        <f t="shared" si="102"/>
        <v>1</v>
      </c>
      <c r="AT445">
        <f t="shared" si="103"/>
        <v>1</v>
      </c>
      <c r="AU445" s="462">
        <f>IF(AT445=0,"",IF(AND(AT445=1,M445="F",SUMIF(C2:C698,C445,AS2:AS698)&lt;=1),SUMIF(C2:C698,C445,AS2:AS698),IF(AND(AT445=1,M445="F",SUMIF(C2:C698,C445,AS2:AS698)&gt;1),1,"")))</f>
        <v>1</v>
      </c>
      <c r="AV445" s="462" t="str">
        <f>IF(AT445=0,"",IF(AND(AT445=3,M445="F",SUMIF(C2:C698,C445,AS2:AS698)&lt;=1),SUMIF(C2:C698,C445,AS2:AS698),IF(AND(AT445=3,M445="F",SUMIF(C2:C698,C445,AS2:AS698)&gt;1),1,"")))</f>
        <v/>
      </c>
      <c r="AW445" s="462">
        <f>SUMIF(C2:C698,C445,O2:O698)</f>
        <v>1</v>
      </c>
      <c r="AX445" s="462">
        <f>IF(AND(M445="F",AS445&lt;&gt;0),SUMIF(C2:C698,C445,W2:W698),0)</f>
        <v>53123.199999999997</v>
      </c>
      <c r="AY445" s="462">
        <f t="shared" si="104"/>
        <v>53123.199999999997</v>
      </c>
      <c r="AZ445" s="462" t="str">
        <f t="shared" si="105"/>
        <v/>
      </c>
      <c r="BA445" s="462">
        <f t="shared" si="106"/>
        <v>0</v>
      </c>
      <c r="BB445" s="462">
        <f>IF(AND(AT445=1,AK445="E",AU445&gt;=0.75,AW445=1),Health,IF(AND(AT445=1,AK445="E",AU445&gt;=0.75),Health*P445,IF(AND(AT445=1,AK445="E",AU445&gt;=0.5,AW445=1),PTHealth,IF(AND(AT445=1,AK445="E",AU445&gt;=0.5),PTHealth*P445,0))))</f>
        <v>11650</v>
      </c>
      <c r="BC445" s="462">
        <f>IF(AND(AT445=3,AK445="E",AV445&gt;=0.75,AW445=1),Health,IF(AND(AT445=3,AK445="E",AV445&gt;=0.75),Health*P445,IF(AND(AT445=3,AK445="E",AV445&gt;=0.5,AW445=1),PTHealth,IF(AND(AT445=3,AK445="E",AV445&gt;=0.5),PTHealth*P445,0))))</f>
        <v>0</v>
      </c>
      <c r="BD445" s="462">
        <f>IF(AND(AT445&lt;&gt;0,AX445&gt;=MAXSSDI),SSDI*MAXSSDI*P445,IF(AT445&lt;&gt;0,SSDI*W445,0))</f>
        <v>3293.6383999999998</v>
      </c>
      <c r="BE445" s="462">
        <f>IF(AT445&lt;&gt;0,SSHI*W445,0)</f>
        <v>770.28639999999996</v>
      </c>
      <c r="BF445" s="462">
        <f>IF(AND(AT445&lt;&gt;0,AN445&lt;&gt;"NE"),VLOOKUP(AN445,Retirement_Rates,3,FALSE)*W445,0)</f>
        <v>6342.9100799999997</v>
      </c>
      <c r="BG445" s="462">
        <f>IF(AND(AT445&lt;&gt;0,AJ445&lt;&gt;"PF"),Life*W445,0)</f>
        <v>383.01827199999997</v>
      </c>
      <c r="BH445" s="462">
        <f>IF(AND(AT445&lt;&gt;0,AM445="Y"),UI*W445,0)</f>
        <v>260.30367999999999</v>
      </c>
      <c r="BI445" s="462">
        <f>IF(AND(AT445&lt;&gt;0,N445&lt;&gt;"NR"),DHR*W445,0)</f>
        <v>162.55699199999998</v>
      </c>
      <c r="BJ445" s="462">
        <f>IF(AT445&lt;&gt;0,WC*W445,0)</f>
        <v>812.78495999999996</v>
      </c>
      <c r="BK445" s="462">
        <f>IF(OR(AND(AT445&lt;&gt;0,AJ445&lt;&gt;"PF",AN445&lt;&gt;"NE",AG445&lt;&gt;"A"),AND(AL445="E",OR(AT445=1,AT445=3))),Sick*W445,0)</f>
        <v>0</v>
      </c>
      <c r="BL445" s="462">
        <f t="shared" si="107"/>
        <v>12025.498783999996</v>
      </c>
      <c r="BM445" s="462">
        <f t="shared" si="108"/>
        <v>0</v>
      </c>
      <c r="BN445" s="462">
        <f>IF(AND(AT445=1,AK445="E",AU445&gt;=0.75,AW445=1),HealthBY,IF(AND(AT445=1,AK445="E",AU445&gt;=0.75),HealthBY*P445,IF(AND(AT445=1,AK445="E",AU445&gt;=0.5,AW445=1),PTHealthBY,IF(AND(AT445=1,AK445="E",AU445&gt;=0.5),PTHealthBY*P445,0))))</f>
        <v>11650</v>
      </c>
      <c r="BO445" s="462">
        <f>IF(AND(AT445=3,AK445="E",AV445&gt;=0.75,AW445=1),HealthBY,IF(AND(AT445=3,AK445="E",AV445&gt;=0.75),HealthBY*P445,IF(AND(AT445=3,AK445="E",AV445&gt;=0.5,AW445=1),PTHealthBY,IF(AND(AT445=3,AK445="E",AV445&gt;=0.5),PTHealthBY*P445,0))))</f>
        <v>0</v>
      </c>
      <c r="BP445" s="462">
        <f>IF(AND(AT445&lt;&gt;0,(AX445+BA445)&gt;=MAXSSDIBY),SSDIBY*MAXSSDIBY*P445,IF(AT445&lt;&gt;0,SSDIBY*W445,0))</f>
        <v>3293.6383999999998</v>
      </c>
      <c r="BQ445" s="462">
        <f>IF(AT445&lt;&gt;0,SSHIBY*W445,0)</f>
        <v>770.28639999999996</v>
      </c>
      <c r="BR445" s="462">
        <f>IF(AND(AT445&lt;&gt;0,AN445&lt;&gt;"NE"),VLOOKUP(AN445,Retirement_Rates,4,FALSE)*W445,0)</f>
        <v>6342.9100799999997</v>
      </c>
      <c r="BS445" s="462">
        <f>IF(AND(AT445&lt;&gt;0,AJ445&lt;&gt;"PF"),LifeBY*W445,0)</f>
        <v>383.01827199999997</v>
      </c>
      <c r="BT445" s="462">
        <f>IF(AND(AT445&lt;&gt;0,AM445="Y"),UIBY*W445,0)</f>
        <v>0</v>
      </c>
      <c r="BU445" s="462">
        <f>IF(AND(AT445&lt;&gt;0,N445&lt;&gt;"NR"),DHRBY*W445,0)</f>
        <v>162.55699199999998</v>
      </c>
      <c r="BV445" s="462">
        <f>IF(AT445&lt;&gt;0,WCBY*W445,0)</f>
        <v>934.96831999999995</v>
      </c>
      <c r="BW445" s="462">
        <f>IF(OR(AND(AT445&lt;&gt;0,AJ445&lt;&gt;"PF",AN445&lt;&gt;"NE",AG445&lt;&gt;"A"),AND(AL445="E",OR(AT445=1,AT445=3))),SickBY*W445,0)</f>
        <v>0</v>
      </c>
      <c r="BX445" s="462">
        <f t="shared" si="109"/>
        <v>11887.378463999998</v>
      </c>
      <c r="BY445" s="462">
        <f t="shared" si="110"/>
        <v>0</v>
      </c>
      <c r="BZ445" s="462">
        <f t="shared" si="111"/>
        <v>0</v>
      </c>
      <c r="CA445" s="462">
        <f t="shared" si="112"/>
        <v>0</v>
      </c>
      <c r="CB445" s="462">
        <f t="shared" si="113"/>
        <v>0</v>
      </c>
      <c r="CC445" s="462">
        <f>IF(AT445&lt;&gt;0,SSHICHG*Y445,0)</f>
        <v>0</v>
      </c>
      <c r="CD445" s="462">
        <f>IF(AND(AT445&lt;&gt;0,AN445&lt;&gt;"NE"),VLOOKUP(AN445,Retirement_Rates,5,FALSE)*Y445,0)</f>
        <v>0</v>
      </c>
      <c r="CE445" s="462">
        <f>IF(AND(AT445&lt;&gt;0,AJ445&lt;&gt;"PF"),LifeCHG*Y445,0)</f>
        <v>0</v>
      </c>
      <c r="CF445" s="462">
        <f>IF(AND(AT445&lt;&gt;0,AM445="Y"),UICHG*Y445,0)</f>
        <v>-260.30367999999999</v>
      </c>
      <c r="CG445" s="462">
        <f>IF(AND(AT445&lt;&gt;0,N445&lt;&gt;"NR"),DHRCHG*Y445,0)</f>
        <v>0</v>
      </c>
      <c r="CH445" s="462">
        <f>IF(AT445&lt;&gt;0,WCCHG*Y445,0)</f>
        <v>122.18336000000008</v>
      </c>
      <c r="CI445" s="462">
        <f>IF(OR(AND(AT445&lt;&gt;0,AJ445&lt;&gt;"PF",AN445&lt;&gt;"NE",AG445&lt;&gt;"A"),AND(AL445="E",OR(AT445=1,AT445=3))),SickCHG*Y445,0)</f>
        <v>0</v>
      </c>
      <c r="CJ445" s="462">
        <f t="shared" si="114"/>
        <v>-138.12031999999991</v>
      </c>
      <c r="CK445" s="462" t="str">
        <f t="shared" si="115"/>
        <v/>
      </c>
      <c r="CL445" s="462" t="str">
        <f t="shared" si="116"/>
        <v/>
      </c>
      <c r="CM445" s="462" t="str">
        <f t="shared" si="117"/>
        <v/>
      </c>
      <c r="CN445" s="462" t="str">
        <f t="shared" si="118"/>
        <v>0001-00</v>
      </c>
    </row>
    <row r="446" spans="1:92" ht="15" thickBot="1" x14ac:dyDescent="0.35">
      <c r="A446" s="376" t="s">
        <v>161</v>
      </c>
      <c r="B446" s="376" t="s">
        <v>162</v>
      </c>
      <c r="C446" s="376" t="s">
        <v>1124</v>
      </c>
      <c r="D446" s="376" t="s">
        <v>372</v>
      </c>
      <c r="E446" s="376" t="s">
        <v>165</v>
      </c>
      <c r="F446" s="377" t="s">
        <v>166</v>
      </c>
      <c r="G446" s="376" t="s">
        <v>1101</v>
      </c>
      <c r="H446" s="378"/>
      <c r="I446" s="378"/>
      <c r="J446" s="376" t="s">
        <v>768</v>
      </c>
      <c r="K446" s="376" t="s">
        <v>373</v>
      </c>
      <c r="L446" s="376" t="s">
        <v>374</v>
      </c>
      <c r="M446" s="376" t="s">
        <v>170</v>
      </c>
      <c r="N446" s="376" t="s">
        <v>202</v>
      </c>
      <c r="O446" s="379">
        <v>1</v>
      </c>
      <c r="P446" s="460">
        <v>1</v>
      </c>
      <c r="Q446" s="460">
        <v>1</v>
      </c>
      <c r="R446" s="380">
        <v>80</v>
      </c>
      <c r="S446" s="460">
        <v>1</v>
      </c>
      <c r="T446" s="380">
        <v>98155.23</v>
      </c>
      <c r="U446" s="380">
        <v>0</v>
      </c>
      <c r="V446" s="380">
        <v>31716.85</v>
      </c>
      <c r="W446" s="380">
        <v>98155.199999999997</v>
      </c>
      <c r="X446" s="380">
        <v>33869.35</v>
      </c>
      <c r="Y446" s="380">
        <v>98155.199999999997</v>
      </c>
      <c r="Z446" s="380">
        <v>33614.15</v>
      </c>
      <c r="AA446" s="376" t="s">
        <v>1125</v>
      </c>
      <c r="AB446" s="376" t="s">
        <v>508</v>
      </c>
      <c r="AC446" s="376" t="s">
        <v>219</v>
      </c>
      <c r="AD446" s="376" t="s">
        <v>247</v>
      </c>
      <c r="AE446" s="376" t="s">
        <v>373</v>
      </c>
      <c r="AF446" s="376" t="s">
        <v>378</v>
      </c>
      <c r="AG446" s="376" t="s">
        <v>177</v>
      </c>
      <c r="AH446" s="381">
        <v>47.19</v>
      </c>
      <c r="AI446" s="381">
        <v>63274.2</v>
      </c>
      <c r="AJ446" s="376" t="s">
        <v>178</v>
      </c>
      <c r="AK446" s="376" t="s">
        <v>179</v>
      </c>
      <c r="AL446" s="376" t="s">
        <v>180</v>
      </c>
      <c r="AM446" s="376" t="s">
        <v>181</v>
      </c>
      <c r="AN446" s="376" t="s">
        <v>68</v>
      </c>
      <c r="AO446" s="379">
        <v>80</v>
      </c>
      <c r="AP446" s="460">
        <v>1</v>
      </c>
      <c r="AQ446" s="460">
        <v>1</v>
      </c>
      <c r="AR446" s="458" t="s">
        <v>182</v>
      </c>
      <c r="AS446" s="462">
        <f t="shared" si="102"/>
        <v>1</v>
      </c>
      <c r="AT446">
        <f t="shared" si="103"/>
        <v>1</v>
      </c>
      <c r="AU446" s="462">
        <f>IF(AT446=0,"",IF(AND(AT446=1,M446="F",SUMIF(C2:C698,C446,AS2:AS698)&lt;=1),SUMIF(C2:C698,C446,AS2:AS698),IF(AND(AT446=1,M446="F",SUMIF(C2:C698,C446,AS2:AS698)&gt;1),1,"")))</f>
        <v>1</v>
      </c>
      <c r="AV446" s="462" t="str">
        <f>IF(AT446=0,"",IF(AND(AT446=3,M446="F",SUMIF(C2:C698,C446,AS2:AS698)&lt;=1),SUMIF(C2:C698,C446,AS2:AS698),IF(AND(AT446=3,M446="F",SUMIF(C2:C698,C446,AS2:AS698)&gt;1),1,"")))</f>
        <v/>
      </c>
      <c r="AW446" s="462">
        <f>SUMIF(C2:C698,C446,O2:O698)</f>
        <v>1</v>
      </c>
      <c r="AX446" s="462">
        <f>IF(AND(M446="F",AS446&lt;&gt;0),SUMIF(C2:C698,C446,W2:W698),0)</f>
        <v>98155.199999999997</v>
      </c>
      <c r="AY446" s="462">
        <f t="shared" si="104"/>
        <v>98155.199999999997</v>
      </c>
      <c r="AZ446" s="462" t="str">
        <f t="shared" si="105"/>
        <v/>
      </c>
      <c r="BA446" s="462">
        <f t="shared" si="106"/>
        <v>0</v>
      </c>
      <c r="BB446" s="462">
        <f>IF(AND(AT446=1,AK446="E",AU446&gt;=0.75,AW446=1),Health,IF(AND(AT446=1,AK446="E",AU446&gt;=0.75),Health*P446,IF(AND(AT446=1,AK446="E",AU446&gt;=0.5,AW446=1),PTHealth,IF(AND(AT446=1,AK446="E",AU446&gt;=0.5),PTHealth*P446,0))))</f>
        <v>11650</v>
      </c>
      <c r="BC446" s="462">
        <f>IF(AND(AT446=3,AK446="E",AV446&gt;=0.75,AW446=1),Health,IF(AND(AT446=3,AK446="E",AV446&gt;=0.75),Health*P446,IF(AND(AT446=3,AK446="E",AV446&gt;=0.5,AW446=1),PTHealth,IF(AND(AT446=3,AK446="E",AV446&gt;=0.5),PTHealth*P446,0))))</f>
        <v>0</v>
      </c>
      <c r="BD446" s="462">
        <f>IF(AND(AT446&lt;&gt;0,AX446&gt;=MAXSSDI),SSDI*MAXSSDI*P446,IF(AT446&lt;&gt;0,SSDI*W446,0))</f>
        <v>6085.6224000000002</v>
      </c>
      <c r="BE446" s="462">
        <f>IF(AT446&lt;&gt;0,SSHI*W446,0)</f>
        <v>1423.2504000000001</v>
      </c>
      <c r="BF446" s="462">
        <f>IF(AND(AT446&lt;&gt;0,AN446&lt;&gt;"NE"),VLOOKUP(AN446,Retirement_Rates,3,FALSE)*W446,0)</f>
        <v>11719.730880000001</v>
      </c>
      <c r="BG446" s="462">
        <f>IF(AND(AT446&lt;&gt;0,AJ446&lt;&gt;"PF"),Life*W446,0)</f>
        <v>707.69899199999998</v>
      </c>
      <c r="BH446" s="462">
        <f>IF(AND(AT446&lt;&gt;0,AM446="Y"),UI*W446,0)</f>
        <v>480.96047999999996</v>
      </c>
      <c r="BI446" s="462">
        <f>IF(AND(AT446&lt;&gt;0,N446&lt;&gt;"NR"),DHR*W446,0)</f>
        <v>300.35491199999996</v>
      </c>
      <c r="BJ446" s="462">
        <f>IF(AT446&lt;&gt;0,WC*W446,0)</f>
        <v>1501.7745599999998</v>
      </c>
      <c r="BK446" s="462">
        <f>IF(OR(AND(AT446&lt;&gt;0,AJ446&lt;&gt;"PF",AN446&lt;&gt;"NE",AG446&lt;&gt;"A"),AND(AL446="E",OR(AT446=1,AT446=3))),Sick*W446,0)</f>
        <v>0</v>
      </c>
      <c r="BL446" s="462">
        <f t="shared" si="107"/>
        <v>22219.392624</v>
      </c>
      <c r="BM446" s="462">
        <f t="shared" si="108"/>
        <v>0</v>
      </c>
      <c r="BN446" s="462">
        <f>IF(AND(AT446=1,AK446="E",AU446&gt;=0.75,AW446=1),HealthBY,IF(AND(AT446=1,AK446="E",AU446&gt;=0.75),HealthBY*P446,IF(AND(AT446=1,AK446="E",AU446&gt;=0.5,AW446=1),PTHealthBY,IF(AND(AT446=1,AK446="E",AU446&gt;=0.5),PTHealthBY*P446,0))))</f>
        <v>11650</v>
      </c>
      <c r="BO446" s="462">
        <f>IF(AND(AT446=3,AK446="E",AV446&gt;=0.75,AW446=1),HealthBY,IF(AND(AT446=3,AK446="E",AV446&gt;=0.75),HealthBY*P446,IF(AND(AT446=3,AK446="E",AV446&gt;=0.5,AW446=1),PTHealthBY,IF(AND(AT446=3,AK446="E",AV446&gt;=0.5),PTHealthBY*P446,0))))</f>
        <v>0</v>
      </c>
      <c r="BP446" s="462">
        <f>IF(AND(AT446&lt;&gt;0,(AX446+BA446)&gt;=MAXSSDIBY),SSDIBY*MAXSSDIBY*P446,IF(AT446&lt;&gt;0,SSDIBY*W446,0))</f>
        <v>6085.6224000000002</v>
      </c>
      <c r="BQ446" s="462">
        <f>IF(AT446&lt;&gt;0,SSHIBY*W446,0)</f>
        <v>1423.2504000000001</v>
      </c>
      <c r="BR446" s="462">
        <f>IF(AND(AT446&lt;&gt;0,AN446&lt;&gt;"NE"),VLOOKUP(AN446,Retirement_Rates,4,FALSE)*W446,0)</f>
        <v>11719.730880000001</v>
      </c>
      <c r="BS446" s="462">
        <f>IF(AND(AT446&lt;&gt;0,AJ446&lt;&gt;"PF"),LifeBY*W446,0)</f>
        <v>707.69899199999998</v>
      </c>
      <c r="BT446" s="462">
        <f>IF(AND(AT446&lt;&gt;0,AM446="Y"),UIBY*W446,0)</f>
        <v>0</v>
      </c>
      <c r="BU446" s="462">
        <f>IF(AND(AT446&lt;&gt;0,N446&lt;&gt;"NR"),DHRBY*W446,0)</f>
        <v>300.35491199999996</v>
      </c>
      <c r="BV446" s="462">
        <f>IF(AT446&lt;&gt;0,WCBY*W446,0)</f>
        <v>1727.53152</v>
      </c>
      <c r="BW446" s="462">
        <f>IF(OR(AND(AT446&lt;&gt;0,AJ446&lt;&gt;"PF",AN446&lt;&gt;"NE",AG446&lt;&gt;"A"),AND(AL446="E",OR(AT446=1,AT446=3))),SickBY*W446,0)</f>
        <v>0</v>
      </c>
      <c r="BX446" s="462">
        <f t="shared" si="109"/>
        <v>21964.189104000001</v>
      </c>
      <c r="BY446" s="462">
        <f t="shared" si="110"/>
        <v>0</v>
      </c>
      <c r="BZ446" s="462">
        <f t="shared" si="111"/>
        <v>0</v>
      </c>
      <c r="CA446" s="462">
        <f t="shared" si="112"/>
        <v>0</v>
      </c>
      <c r="CB446" s="462">
        <f t="shared" si="113"/>
        <v>0</v>
      </c>
      <c r="CC446" s="462">
        <f>IF(AT446&lt;&gt;0,SSHICHG*Y446,0)</f>
        <v>0</v>
      </c>
      <c r="CD446" s="462">
        <f>IF(AND(AT446&lt;&gt;0,AN446&lt;&gt;"NE"),VLOOKUP(AN446,Retirement_Rates,5,FALSE)*Y446,0)</f>
        <v>0</v>
      </c>
      <c r="CE446" s="462">
        <f>IF(AND(AT446&lt;&gt;0,AJ446&lt;&gt;"PF"),LifeCHG*Y446,0)</f>
        <v>0</v>
      </c>
      <c r="CF446" s="462">
        <f>IF(AND(AT446&lt;&gt;0,AM446="Y"),UICHG*Y446,0)</f>
        <v>-480.96047999999996</v>
      </c>
      <c r="CG446" s="462">
        <f>IF(AND(AT446&lt;&gt;0,N446&lt;&gt;"NR"),DHRCHG*Y446,0)</f>
        <v>0</v>
      </c>
      <c r="CH446" s="462">
        <f>IF(AT446&lt;&gt;0,WCCHG*Y446,0)</f>
        <v>225.75696000000016</v>
      </c>
      <c r="CI446" s="462">
        <f>IF(OR(AND(AT446&lt;&gt;0,AJ446&lt;&gt;"PF",AN446&lt;&gt;"NE",AG446&lt;&gt;"A"),AND(AL446="E",OR(AT446=1,AT446=3))),SickCHG*Y446,0)</f>
        <v>0</v>
      </c>
      <c r="CJ446" s="462">
        <f t="shared" si="114"/>
        <v>-255.2035199999998</v>
      </c>
      <c r="CK446" s="462" t="str">
        <f t="shared" si="115"/>
        <v/>
      </c>
      <c r="CL446" s="462" t="str">
        <f t="shared" si="116"/>
        <v/>
      </c>
      <c r="CM446" s="462" t="str">
        <f t="shared" si="117"/>
        <v/>
      </c>
      <c r="CN446" s="462" t="str">
        <f t="shared" si="118"/>
        <v>0001-00</v>
      </c>
    </row>
    <row r="447" spans="1:92" ht="15" thickBot="1" x14ac:dyDescent="0.35">
      <c r="A447" s="376" t="s">
        <v>161</v>
      </c>
      <c r="B447" s="376" t="s">
        <v>162</v>
      </c>
      <c r="C447" s="376" t="s">
        <v>1126</v>
      </c>
      <c r="D447" s="376" t="s">
        <v>1108</v>
      </c>
      <c r="E447" s="376" t="s">
        <v>165</v>
      </c>
      <c r="F447" s="377" t="s">
        <v>166</v>
      </c>
      <c r="G447" s="376" t="s">
        <v>1101</v>
      </c>
      <c r="H447" s="378"/>
      <c r="I447" s="378"/>
      <c r="J447" s="376" t="s">
        <v>185</v>
      </c>
      <c r="K447" s="376" t="s">
        <v>1109</v>
      </c>
      <c r="L447" s="376" t="s">
        <v>224</v>
      </c>
      <c r="M447" s="376" t="s">
        <v>201</v>
      </c>
      <c r="N447" s="376" t="s">
        <v>202</v>
      </c>
      <c r="O447" s="379">
        <v>0</v>
      </c>
      <c r="P447" s="460">
        <v>1</v>
      </c>
      <c r="Q447" s="460">
        <v>1</v>
      </c>
      <c r="R447" s="380">
        <v>80</v>
      </c>
      <c r="S447" s="460">
        <v>1</v>
      </c>
      <c r="T447" s="380">
        <v>39981.01</v>
      </c>
      <c r="U447" s="380">
        <v>0</v>
      </c>
      <c r="V447" s="380">
        <v>16673.080000000002</v>
      </c>
      <c r="W447" s="380">
        <v>53476.800000000003</v>
      </c>
      <c r="X447" s="380">
        <v>23422.82</v>
      </c>
      <c r="Y447" s="380">
        <v>53476.800000000003</v>
      </c>
      <c r="Z447" s="380">
        <v>23155.439999999999</v>
      </c>
      <c r="AA447" s="378"/>
      <c r="AB447" s="376" t="s">
        <v>45</v>
      </c>
      <c r="AC447" s="376" t="s">
        <v>45</v>
      </c>
      <c r="AD447" s="378"/>
      <c r="AE447" s="378"/>
      <c r="AF447" s="378"/>
      <c r="AG447" s="378"/>
      <c r="AH447" s="379">
        <v>0</v>
      </c>
      <c r="AI447" s="379">
        <v>0</v>
      </c>
      <c r="AJ447" s="378"/>
      <c r="AK447" s="378"/>
      <c r="AL447" s="376" t="s">
        <v>180</v>
      </c>
      <c r="AM447" s="378"/>
      <c r="AN447" s="378"/>
      <c r="AO447" s="379">
        <v>0</v>
      </c>
      <c r="AP447" s="460">
        <v>0</v>
      </c>
      <c r="AQ447" s="460">
        <v>0</v>
      </c>
      <c r="AR447" s="459"/>
      <c r="AS447" s="462">
        <f t="shared" si="102"/>
        <v>0</v>
      </c>
      <c r="AT447">
        <f t="shared" si="103"/>
        <v>0</v>
      </c>
      <c r="AU447" s="462" t="str">
        <f>IF(AT447=0,"",IF(AND(AT447=1,M447="F",SUMIF(C2:C698,C447,AS2:AS698)&lt;=1),SUMIF(C2:C698,C447,AS2:AS698),IF(AND(AT447=1,M447="F",SUMIF(C2:C698,C447,AS2:AS698)&gt;1),1,"")))</f>
        <v/>
      </c>
      <c r="AV447" s="462" t="str">
        <f>IF(AT447=0,"",IF(AND(AT447=3,M447="F",SUMIF(C2:C698,C447,AS2:AS698)&lt;=1),SUMIF(C2:C698,C447,AS2:AS698),IF(AND(AT447=3,M447="F",SUMIF(C2:C698,C447,AS2:AS698)&gt;1),1,"")))</f>
        <v/>
      </c>
      <c r="AW447" s="462">
        <f>SUMIF(C2:C698,C447,O2:O698)</f>
        <v>0</v>
      </c>
      <c r="AX447" s="462">
        <f>IF(AND(M447="F",AS447&lt;&gt;0),SUMIF(C2:C698,C447,W2:W698),0)</f>
        <v>0</v>
      </c>
      <c r="AY447" s="462" t="str">
        <f t="shared" si="104"/>
        <v/>
      </c>
      <c r="AZ447" s="462" t="str">
        <f t="shared" si="105"/>
        <v/>
      </c>
      <c r="BA447" s="462">
        <f t="shared" si="106"/>
        <v>0</v>
      </c>
      <c r="BB447" s="462">
        <f>IF(AND(AT447=1,AK447="E",AU447&gt;=0.75,AW447=1),Health,IF(AND(AT447=1,AK447="E",AU447&gt;=0.75),Health*P447,IF(AND(AT447=1,AK447="E",AU447&gt;=0.5,AW447=1),PTHealth,IF(AND(AT447=1,AK447="E",AU447&gt;=0.5),PTHealth*P447,0))))</f>
        <v>0</v>
      </c>
      <c r="BC447" s="462">
        <f>IF(AND(AT447=3,AK447="E",AV447&gt;=0.75,AW447=1),Health,IF(AND(AT447=3,AK447="E",AV447&gt;=0.75),Health*P447,IF(AND(AT447=3,AK447="E",AV447&gt;=0.5,AW447=1),PTHealth,IF(AND(AT447=3,AK447="E",AV447&gt;=0.5),PTHealth*P447,0))))</f>
        <v>0</v>
      </c>
      <c r="BD447" s="462">
        <f>IF(AND(AT447&lt;&gt;0,AX447&gt;=MAXSSDI),SSDI*MAXSSDI*P447,IF(AT447&lt;&gt;0,SSDI*W447,0))</f>
        <v>0</v>
      </c>
      <c r="BE447" s="462">
        <f>IF(AT447&lt;&gt;0,SSHI*W447,0)</f>
        <v>0</v>
      </c>
      <c r="BF447" s="462">
        <f>IF(AND(AT447&lt;&gt;0,AN447&lt;&gt;"NE"),VLOOKUP(AN447,Retirement_Rates,3,FALSE)*W447,0)</f>
        <v>0</v>
      </c>
      <c r="BG447" s="462">
        <f>IF(AND(AT447&lt;&gt;0,AJ447&lt;&gt;"PF"),Life*W447,0)</f>
        <v>0</v>
      </c>
      <c r="BH447" s="462">
        <f>IF(AND(AT447&lt;&gt;0,AM447="Y"),UI*W447,0)</f>
        <v>0</v>
      </c>
      <c r="BI447" s="462">
        <f>IF(AND(AT447&lt;&gt;0,N447&lt;&gt;"NR"),DHR*W447,0)</f>
        <v>0</v>
      </c>
      <c r="BJ447" s="462">
        <f>IF(AT447&lt;&gt;0,WC*W447,0)</f>
        <v>0</v>
      </c>
      <c r="BK447" s="462">
        <f>IF(OR(AND(AT447&lt;&gt;0,AJ447&lt;&gt;"PF",AN447&lt;&gt;"NE",AG447&lt;&gt;"A"),AND(AL447="E",OR(AT447=1,AT447=3))),Sick*W447,0)</f>
        <v>0</v>
      </c>
      <c r="BL447" s="462">
        <f t="shared" si="107"/>
        <v>0</v>
      </c>
      <c r="BM447" s="462">
        <f t="shared" si="108"/>
        <v>0</v>
      </c>
      <c r="BN447" s="462">
        <f>IF(AND(AT447=1,AK447="E",AU447&gt;=0.75,AW447=1),HealthBY,IF(AND(AT447=1,AK447="E",AU447&gt;=0.75),HealthBY*P447,IF(AND(AT447=1,AK447="E",AU447&gt;=0.5,AW447=1),PTHealthBY,IF(AND(AT447=1,AK447="E",AU447&gt;=0.5),PTHealthBY*P447,0))))</f>
        <v>0</v>
      </c>
      <c r="BO447" s="462">
        <f>IF(AND(AT447=3,AK447="E",AV447&gt;=0.75,AW447=1),HealthBY,IF(AND(AT447=3,AK447="E",AV447&gt;=0.75),HealthBY*P447,IF(AND(AT447=3,AK447="E",AV447&gt;=0.5,AW447=1),PTHealthBY,IF(AND(AT447=3,AK447="E",AV447&gt;=0.5),PTHealthBY*P447,0))))</f>
        <v>0</v>
      </c>
      <c r="BP447" s="462">
        <f>IF(AND(AT447&lt;&gt;0,(AX447+BA447)&gt;=MAXSSDIBY),SSDIBY*MAXSSDIBY*P447,IF(AT447&lt;&gt;0,SSDIBY*W447,0))</f>
        <v>0</v>
      </c>
      <c r="BQ447" s="462">
        <f>IF(AT447&lt;&gt;0,SSHIBY*W447,0)</f>
        <v>0</v>
      </c>
      <c r="BR447" s="462">
        <f>IF(AND(AT447&lt;&gt;0,AN447&lt;&gt;"NE"),VLOOKUP(AN447,Retirement_Rates,4,FALSE)*W447,0)</f>
        <v>0</v>
      </c>
      <c r="BS447" s="462">
        <f>IF(AND(AT447&lt;&gt;0,AJ447&lt;&gt;"PF"),LifeBY*W447,0)</f>
        <v>0</v>
      </c>
      <c r="BT447" s="462">
        <f>IF(AND(AT447&lt;&gt;0,AM447="Y"),UIBY*W447,0)</f>
        <v>0</v>
      </c>
      <c r="BU447" s="462">
        <f>IF(AND(AT447&lt;&gt;0,N447&lt;&gt;"NR"),DHRBY*W447,0)</f>
        <v>0</v>
      </c>
      <c r="BV447" s="462">
        <f>IF(AT447&lt;&gt;0,WCBY*W447,0)</f>
        <v>0</v>
      </c>
      <c r="BW447" s="462">
        <f>IF(OR(AND(AT447&lt;&gt;0,AJ447&lt;&gt;"PF",AN447&lt;&gt;"NE",AG447&lt;&gt;"A"),AND(AL447="E",OR(AT447=1,AT447=3))),SickBY*W447,0)</f>
        <v>0</v>
      </c>
      <c r="BX447" s="462">
        <f t="shared" si="109"/>
        <v>0</v>
      </c>
      <c r="BY447" s="462">
        <f t="shared" si="110"/>
        <v>0</v>
      </c>
      <c r="BZ447" s="462">
        <f t="shared" si="111"/>
        <v>0</v>
      </c>
      <c r="CA447" s="462">
        <f t="shared" si="112"/>
        <v>0</v>
      </c>
      <c r="CB447" s="462">
        <f t="shared" si="113"/>
        <v>0</v>
      </c>
      <c r="CC447" s="462">
        <f>IF(AT447&lt;&gt;0,SSHICHG*Y447,0)</f>
        <v>0</v>
      </c>
      <c r="CD447" s="462">
        <f>IF(AND(AT447&lt;&gt;0,AN447&lt;&gt;"NE"),VLOOKUP(AN447,Retirement_Rates,5,FALSE)*Y447,0)</f>
        <v>0</v>
      </c>
      <c r="CE447" s="462">
        <f>IF(AND(AT447&lt;&gt;0,AJ447&lt;&gt;"PF"),LifeCHG*Y447,0)</f>
        <v>0</v>
      </c>
      <c r="CF447" s="462">
        <f>IF(AND(AT447&lt;&gt;0,AM447="Y"),UICHG*Y447,0)</f>
        <v>0</v>
      </c>
      <c r="CG447" s="462">
        <f>IF(AND(AT447&lt;&gt;0,N447&lt;&gt;"NR"),DHRCHG*Y447,0)</f>
        <v>0</v>
      </c>
      <c r="CH447" s="462">
        <f>IF(AT447&lt;&gt;0,WCCHG*Y447,0)</f>
        <v>0</v>
      </c>
      <c r="CI447" s="462">
        <f>IF(OR(AND(AT447&lt;&gt;0,AJ447&lt;&gt;"PF",AN447&lt;&gt;"NE",AG447&lt;&gt;"A"),AND(AL447="E",OR(AT447=1,AT447=3))),SickCHG*Y447,0)</f>
        <v>0</v>
      </c>
      <c r="CJ447" s="462">
        <f t="shared" si="114"/>
        <v>0</v>
      </c>
      <c r="CK447" s="462" t="str">
        <f t="shared" si="115"/>
        <v/>
      </c>
      <c r="CL447" s="462" t="str">
        <f t="shared" si="116"/>
        <v/>
      </c>
      <c r="CM447" s="462" t="str">
        <f t="shared" si="117"/>
        <v/>
      </c>
      <c r="CN447" s="462" t="str">
        <f t="shared" si="118"/>
        <v>0001-00</v>
      </c>
    </row>
    <row r="448" spans="1:92" ht="15" thickBot="1" x14ac:dyDescent="0.35">
      <c r="A448" s="376" t="s">
        <v>161</v>
      </c>
      <c r="B448" s="376" t="s">
        <v>162</v>
      </c>
      <c r="C448" s="376" t="s">
        <v>165</v>
      </c>
      <c r="D448" s="376" t="s">
        <v>191</v>
      </c>
      <c r="E448" s="376" t="s">
        <v>165</v>
      </c>
      <c r="F448" s="377" t="s">
        <v>166</v>
      </c>
      <c r="G448" s="376" t="s">
        <v>1101</v>
      </c>
      <c r="H448" s="378"/>
      <c r="I448" s="378"/>
      <c r="J448" s="376" t="s">
        <v>168</v>
      </c>
      <c r="K448" s="376" t="s">
        <v>192</v>
      </c>
      <c r="L448" s="376" t="s">
        <v>166</v>
      </c>
      <c r="M448" s="376" t="s">
        <v>170</v>
      </c>
      <c r="N448" s="376" t="s">
        <v>171</v>
      </c>
      <c r="O448" s="379">
        <v>1</v>
      </c>
      <c r="P448" s="460">
        <v>0</v>
      </c>
      <c r="Q448" s="460">
        <v>0</v>
      </c>
      <c r="R448" s="380">
        <v>80</v>
      </c>
      <c r="S448" s="460">
        <v>0</v>
      </c>
      <c r="T448" s="380">
        <v>40000</v>
      </c>
      <c r="U448" s="380">
        <v>0</v>
      </c>
      <c r="V448" s="380">
        <v>8259.2900000000009</v>
      </c>
      <c r="W448" s="380">
        <v>0</v>
      </c>
      <c r="X448" s="380">
        <v>0</v>
      </c>
      <c r="Y448" s="380">
        <v>0</v>
      </c>
      <c r="Z448" s="380">
        <v>0</v>
      </c>
      <c r="AA448" s="376" t="s">
        <v>193</v>
      </c>
      <c r="AB448" s="376" t="s">
        <v>194</v>
      </c>
      <c r="AC448" s="376" t="s">
        <v>195</v>
      </c>
      <c r="AD448" s="376" t="s">
        <v>196</v>
      </c>
      <c r="AE448" s="376" t="s">
        <v>192</v>
      </c>
      <c r="AF448" s="376" t="s">
        <v>176</v>
      </c>
      <c r="AG448" s="376" t="s">
        <v>177</v>
      </c>
      <c r="AH448" s="381">
        <v>76.13</v>
      </c>
      <c r="AI448" s="381">
        <v>63776.9</v>
      </c>
      <c r="AJ448" s="376" t="s">
        <v>178</v>
      </c>
      <c r="AK448" s="376" t="s">
        <v>179</v>
      </c>
      <c r="AL448" s="376" t="s">
        <v>180</v>
      </c>
      <c r="AM448" s="376" t="s">
        <v>180</v>
      </c>
      <c r="AN448" s="376" t="s">
        <v>68</v>
      </c>
      <c r="AO448" s="379">
        <v>80</v>
      </c>
      <c r="AP448" s="460">
        <v>1</v>
      </c>
      <c r="AQ448" s="460">
        <v>0</v>
      </c>
      <c r="AR448" s="458" t="s">
        <v>182</v>
      </c>
      <c r="AS448" s="462">
        <f t="shared" si="102"/>
        <v>0</v>
      </c>
      <c r="AT448">
        <f t="shared" si="103"/>
        <v>0</v>
      </c>
      <c r="AU448" s="462" t="str">
        <f>IF(AT448=0,"",IF(AND(AT448=1,M448="F",SUMIF(C2:C698,C448,AS2:AS698)&lt;=1),SUMIF(C2:C698,C448,AS2:AS698),IF(AND(AT448=1,M448="F",SUMIF(C2:C698,C448,AS2:AS698)&gt;1),1,"")))</f>
        <v/>
      </c>
      <c r="AV448" s="462" t="str">
        <f>IF(AT448=0,"",IF(AND(AT448=3,M448="F",SUMIF(C2:C698,C448,AS2:AS698)&lt;=1),SUMIF(C2:C698,C448,AS2:AS698),IF(AND(AT448=3,M448="F",SUMIF(C2:C698,C448,AS2:AS698)&gt;1),1,"")))</f>
        <v/>
      </c>
      <c r="AW448" s="462">
        <f>SUMIF(C2:C698,C448,O2:O698)</f>
        <v>2</v>
      </c>
      <c r="AX448" s="462">
        <f>IF(AND(M448="F",AS448&lt;&gt;0),SUMIF(C2:C698,C448,W2:W698),0)</f>
        <v>0</v>
      </c>
      <c r="AY448" s="462" t="str">
        <f t="shared" si="104"/>
        <v/>
      </c>
      <c r="AZ448" s="462" t="str">
        <f t="shared" si="105"/>
        <v/>
      </c>
      <c r="BA448" s="462">
        <f t="shared" si="106"/>
        <v>0</v>
      </c>
      <c r="BB448" s="462">
        <f>IF(AND(AT448=1,AK448="E",AU448&gt;=0.75,AW448=1),Health,IF(AND(AT448=1,AK448="E",AU448&gt;=0.75),Health*P448,IF(AND(AT448=1,AK448="E",AU448&gt;=0.5,AW448=1),PTHealth,IF(AND(AT448=1,AK448="E",AU448&gt;=0.5),PTHealth*P448,0))))</f>
        <v>0</v>
      </c>
      <c r="BC448" s="462">
        <f>IF(AND(AT448=3,AK448="E",AV448&gt;=0.75,AW448=1),Health,IF(AND(AT448=3,AK448="E",AV448&gt;=0.75),Health*P448,IF(AND(AT448=3,AK448="E",AV448&gt;=0.5,AW448=1),PTHealth,IF(AND(AT448=3,AK448="E",AV448&gt;=0.5),PTHealth*P448,0))))</f>
        <v>0</v>
      </c>
      <c r="BD448" s="462">
        <f>IF(AND(AT448&lt;&gt;0,AX448&gt;=MAXSSDI),SSDI*MAXSSDI*P448,IF(AT448&lt;&gt;0,SSDI*W448,0))</f>
        <v>0</v>
      </c>
      <c r="BE448" s="462">
        <f>IF(AT448&lt;&gt;0,SSHI*W448,0)</f>
        <v>0</v>
      </c>
      <c r="BF448" s="462">
        <f>IF(AND(AT448&lt;&gt;0,AN448&lt;&gt;"NE"),VLOOKUP(AN448,Retirement_Rates,3,FALSE)*W448,0)</f>
        <v>0</v>
      </c>
      <c r="BG448" s="462">
        <f>IF(AND(AT448&lt;&gt;0,AJ448&lt;&gt;"PF"),Life*W448,0)</f>
        <v>0</v>
      </c>
      <c r="BH448" s="462">
        <f>IF(AND(AT448&lt;&gt;0,AM448="Y"),UI*W448,0)</f>
        <v>0</v>
      </c>
      <c r="BI448" s="462">
        <f>IF(AND(AT448&lt;&gt;0,N448&lt;&gt;"NR"),DHR*W448,0)</f>
        <v>0</v>
      </c>
      <c r="BJ448" s="462">
        <f>IF(AT448&lt;&gt;0,WC*W448,0)</f>
        <v>0</v>
      </c>
      <c r="BK448" s="462">
        <f>IF(OR(AND(AT448&lt;&gt;0,AJ448&lt;&gt;"PF",AN448&lt;&gt;"NE",AG448&lt;&gt;"A"),AND(AL448="E",OR(AT448=1,AT448=3))),Sick*W448,0)</f>
        <v>0</v>
      </c>
      <c r="BL448" s="462">
        <f t="shared" si="107"/>
        <v>0</v>
      </c>
      <c r="BM448" s="462">
        <f t="shared" si="108"/>
        <v>0</v>
      </c>
      <c r="BN448" s="462">
        <f>IF(AND(AT448=1,AK448="E",AU448&gt;=0.75,AW448=1),HealthBY,IF(AND(AT448=1,AK448="E",AU448&gt;=0.75),HealthBY*P448,IF(AND(AT448=1,AK448="E",AU448&gt;=0.5,AW448=1),PTHealthBY,IF(AND(AT448=1,AK448="E",AU448&gt;=0.5),PTHealthBY*P448,0))))</f>
        <v>0</v>
      </c>
      <c r="BO448" s="462">
        <f>IF(AND(AT448=3,AK448="E",AV448&gt;=0.75,AW448=1),HealthBY,IF(AND(AT448=3,AK448="E",AV448&gt;=0.75),HealthBY*P448,IF(AND(AT448=3,AK448="E",AV448&gt;=0.5,AW448=1),PTHealthBY,IF(AND(AT448=3,AK448="E",AV448&gt;=0.5),PTHealthBY*P448,0))))</f>
        <v>0</v>
      </c>
      <c r="BP448" s="462">
        <f>IF(AND(AT448&lt;&gt;0,(AX448+BA448)&gt;=MAXSSDIBY),SSDIBY*MAXSSDIBY*P448,IF(AT448&lt;&gt;0,SSDIBY*W448,0))</f>
        <v>0</v>
      </c>
      <c r="BQ448" s="462">
        <f>IF(AT448&lt;&gt;0,SSHIBY*W448,0)</f>
        <v>0</v>
      </c>
      <c r="BR448" s="462">
        <f>IF(AND(AT448&lt;&gt;0,AN448&lt;&gt;"NE"),VLOOKUP(AN448,Retirement_Rates,4,FALSE)*W448,0)</f>
        <v>0</v>
      </c>
      <c r="BS448" s="462">
        <f>IF(AND(AT448&lt;&gt;0,AJ448&lt;&gt;"PF"),LifeBY*W448,0)</f>
        <v>0</v>
      </c>
      <c r="BT448" s="462">
        <f>IF(AND(AT448&lt;&gt;0,AM448="Y"),UIBY*W448,0)</f>
        <v>0</v>
      </c>
      <c r="BU448" s="462">
        <f>IF(AND(AT448&lt;&gt;0,N448&lt;&gt;"NR"),DHRBY*W448,0)</f>
        <v>0</v>
      </c>
      <c r="BV448" s="462">
        <f>IF(AT448&lt;&gt;0,WCBY*W448,0)</f>
        <v>0</v>
      </c>
      <c r="BW448" s="462">
        <f>IF(OR(AND(AT448&lt;&gt;0,AJ448&lt;&gt;"PF",AN448&lt;&gt;"NE",AG448&lt;&gt;"A"),AND(AL448="E",OR(AT448=1,AT448=3))),SickBY*W448,0)</f>
        <v>0</v>
      </c>
      <c r="BX448" s="462">
        <f t="shared" si="109"/>
        <v>0</v>
      </c>
      <c r="BY448" s="462">
        <f t="shared" si="110"/>
        <v>0</v>
      </c>
      <c r="BZ448" s="462">
        <f t="shared" si="111"/>
        <v>0</v>
      </c>
      <c r="CA448" s="462">
        <f t="shared" si="112"/>
        <v>0</v>
      </c>
      <c r="CB448" s="462">
        <f t="shared" si="113"/>
        <v>0</v>
      </c>
      <c r="CC448" s="462">
        <f>IF(AT448&lt;&gt;0,SSHICHG*Y448,0)</f>
        <v>0</v>
      </c>
      <c r="CD448" s="462">
        <f>IF(AND(AT448&lt;&gt;0,AN448&lt;&gt;"NE"),VLOOKUP(AN448,Retirement_Rates,5,FALSE)*Y448,0)</f>
        <v>0</v>
      </c>
      <c r="CE448" s="462">
        <f>IF(AND(AT448&lt;&gt;0,AJ448&lt;&gt;"PF"),LifeCHG*Y448,0)</f>
        <v>0</v>
      </c>
      <c r="CF448" s="462">
        <f>IF(AND(AT448&lt;&gt;0,AM448="Y"),UICHG*Y448,0)</f>
        <v>0</v>
      </c>
      <c r="CG448" s="462">
        <f>IF(AND(AT448&lt;&gt;0,N448&lt;&gt;"NR"),DHRCHG*Y448,0)</f>
        <v>0</v>
      </c>
      <c r="CH448" s="462">
        <f>IF(AT448&lt;&gt;0,WCCHG*Y448,0)</f>
        <v>0</v>
      </c>
      <c r="CI448" s="462">
        <f>IF(OR(AND(AT448&lt;&gt;0,AJ448&lt;&gt;"PF",AN448&lt;&gt;"NE",AG448&lt;&gt;"A"),AND(AL448="E",OR(AT448=1,AT448=3))),SickCHG*Y448,0)</f>
        <v>0</v>
      </c>
      <c r="CJ448" s="462">
        <f t="shared" si="114"/>
        <v>0</v>
      </c>
      <c r="CK448" s="462" t="str">
        <f t="shared" si="115"/>
        <v/>
      </c>
      <c r="CL448" s="462" t="str">
        <f t="shared" si="116"/>
        <v/>
      </c>
      <c r="CM448" s="462" t="str">
        <f t="shared" si="117"/>
        <v/>
      </c>
      <c r="CN448" s="462" t="str">
        <f t="shared" si="118"/>
        <v>0001-00</v>
      </c>
    </row>
    <row r="449" spans="1:92" ht="15" thickBot="1" x14ac:dyDescent="0.35">
      <c r="A449" s="376" t="s">
        <v>161</v>
      </c>
      <c r="B449" s="376" t="s">
        <v>162</v>
      </c>
      <c r="C449" s="376" t="s">
        <v>1127</v>
      </c>
      <c r="D449" s="376" t="s">
        <v>287</v>
      </c>
      <c r="E449" s="376" t="s">
        <v>165</v>
      </c>
      <c r="F449" s="377" t="s">
        <v>166</v>
      </c>
      <c r="G449" s="376" t="s">
        <v>1101</v>
      </c>
      <c r="H449" s="378"/>
      <c r="I449" s="378"/>
      <c r="J449" s="376" t="s">
        <v>168</v>
      </c>
      <c r="K449" s="376" t="s">
        <v>290</v>
      </c>
      <c r="L449" s="376" t="s">
        <v>166</v>
      </c>
      <c r="M449" s="376" t="s">
        <v>170</v>
      </c>
      <c r="N449" s="376" t="s">
        <v>291</v>
      </c>
      <c r="O449" s="379">
        <v>0</v>
      </c>
      <c r="P449" s="460">
        <v>0</v>
      </c>
      <c r="Q449" s="460">
        <v>0</v>
      </c>
      <c r="R449" s="380">
        <v>0</v>
      </c>
      <c r="S449" s="460">
        <v>0</v>
      </c>
      <c r="T449" s="380">
        <v>1951.5</v>
      </c>
      <c r="U449" s="380">
        <v>0</v>
      </c>
      <c r="V449" s="380">
        <v>187.55</v>
      </c>
      <c r="W449" s="380">
        <v>0</v>
      </c>
      <c r="X449" s="380">
        <v>0</v>
      </c>
      <c r="Y449" s="380">
        <v>0</v>
      </c>
      <c r="Z449" s="380">
        <v>0</v>
      </c>
      <c r="AA449" s="378"/>
      <c r="AB449" s="376" t="s">
        <v>45</v>
      </c>
      <c r="AC449" s="376" t="s">
        <v>45</v>
      </c>
      <c r="AD449" s="378"/>
      <c r="AE449" s="378"/>
      <c r="AF449" s="378"/>
      <c r="AG449" s="378"/>
      <c r="AH449" s="379">
        <v>0</v>
      </c>
      <c r="AI449" s="379">
        <v>0</v>
      </c>
      <c r="AJ449" s="378"/>
      <c r="AK449" s="378"/>
      <c r="AL449" s="376" t="s">
        <v>180</v>
      </c>
      <c r="AM449" s="378"/>
      <c r="AN449" s="378"/>
      <c r="AO449" s="379">
        <v>0</v>
      </c>
      <c r="AP449" s="460">
        <v>0</v>
      </c>
      <c r="AQ449" s="460">
        <v>0</v>
      </c>
      <c r="AR449" s="459"/>
      <c r="AS449" s="462">
        <f t="shared" si="102"/>
        <v>0</v>
      </c>
      <c r="AT449">
        <f t="shared" si="103"/>
        <v>0</v>
      </c>
      <c r="AU449" s="462" t="str">
        <f>IF(AT449=0,"",IF(AND(AT449=1,M449="F",SUMIF(C2:C698,C449,AS2:AS698)&lt;=1),SUMIF(C2:C698,C449,AS2:AS698),IF(AND(AT449=1,M449="F",SUMIF(C2:C698,C449,AS2:AS698)&gt;1),1,"")))</f>
        <v/>
      </c>
      <c r="AV449" s="462" t="str">
        <f>IF(AT449=0,"",IF(AND(AT449=3,M449="F",SUMIF(C2:C698,C449,AS2:AS698)&lt;=1),SUMIF(C2:C698,C449,AS2:AS698),IF(AND(AT449=3,M449="F",SUMIF(C2:C698,C449,AS2:AS698)&gt;1),1,"")))</f>
        <v/>
      </c>
      <c r="AW449" s="462">
        <f>SUMIF(C2:C698,C449,O2:O698)</f>
        <v>0</v>
      </c>
      <c r="AX449" s="462">
        <f>IF(AND(M449="F",AS449&lt;&gt;0),SUMIF(C2:C698,C449,W2:W698),0)</f>
        <v>0</v>
      </c>
      <c r="AY449" s="462" t="str">
        <f t="shared" si="104"/>
        <v/>
      </c>
      <c r="AZ449" s="462" t="str">
        <f t="shared" si="105"/>
        <v/>
      </c>
      <c r="BA449" s="462">
        <f t="shared" si="106"/>
        <v>0</v>
      </c>
      <c r="BB449" s="462">
        <f>IF(AND(AT449=1,AK449="E",AU449&gt;=0.75,AW449=1),Health,IF(AND(AT449=1,AK449="E",AU449&gt;=0.75),Health*P449,IF(AND(AT449=1,AK449="E",AU449&gt;=0.5,AW449=1),PTHealth,IF(AND(AT449=1,AK449="E",AU449&gt;=0.5),PTHealth*P449,0))))</f>
        <v>0</v>
      </c>
      <c r="BC449" s="462">
        <f>IF(AND(AT449=3,AK449="E",AV449&gt;=0.75,AW449=1),Health,IF(AND(AT449=3,AK449="E",AV449&gt;=0.75),Health*P449,IF(AND(AT449=3,AK449="E",AV449&gt;=0.5,AW449=1),PTHealth,IF(AND(AT449=3,AK449="E",AV449&gt;=0.5),PTHealth*P449,0))))</f>
        <v>0</v>
      </c>
      <c r="BD449" s="462">
        <f>IF(AND(AT449&lt;&gt;0,AX449&gt;=MAXSSDI),SSDI*MAXSSDI*P449,IF(AT449&lt;&gt;0,SSDI*W449,0))</f>
        <v>0</v>
      </c>
      <c r="BE449" s="462">
        <f>IF(AT449&lt;&gt;0,SSHI*W449,0)</f>
        <v>0</v>
      </c>
      <c r="BF449" s="462">
        <f>IF(AND(AT449&lt;&gt;0,AN449&lt;&gt;"NE"),VLOOKUP(AN449,Retirement_Rates,3,FALSE)*W449,0)</f>
        <v>0</v>
      </c>
      <c r="BG449" s="462">
        <f>IF(AND(AT449&lt;&gt;0,AJ449&lt;&gt;"PF"),Life*W449,0)</f>
        <v>0</v>
      </c>
      <c r="BH449" s="462">
        <f>IF(AND(AT449&lt;&gt;0,AM449="Y"),UI*W449,0)</f>
        <v>0</v>
      </c>
      <c r="BI449" s="462">
        <f>IF(AND(AT449&lt;&gt;0,N449&lt;&gt;"NR"),DHR*W449,0)</f>
        <v>0</v>
      </c>
      <c r="BJ449" s="462">
        <f>IF(AT449&lt;&gt;0,WC*W449,0)</f>
        <v>0</v>
      </c>
      <c r="BK449" s="462">
        <f>IF(OR(AND(AT449&lt;&gt;0,AJ449&lt;&gt;"PF",AN449&lt;&gt;"NE",AG449&lt;&gt;"A"),AND(AL449="E",OR(AT449=1,AT449=3))),Sick*W449,0)</f>
        <v>0</v>
      </c>
      <c r="BL449" s="462">
        <f t="shared" si="107"/>
        <v>0</v>
      </c>
      <c r="BM449" s="462">
        <f t="shared" si="108"/>
        <v>0</v>
      </c>
      <c r="BN449" s="462">
        <f>IF(AND(AT449=1,AK449="E",AU449&gt;=0.75,AW449=1),HealthBY,IF(AND(AT449=1,AK449="E",AU449&gt;=0.75),HealthBY*P449,IF(AND(AT449=1,AK449="E",AU449&gt;=0.5,AW449=1),PTHealthBY,IF(AND(AT449=1,AK449="E",AU449&gt;=0.5),PTHealthBY*P449,0))))</f>
        <v>0</v>
      </c>
      <c r="BO449" s="462">
        <f>IF(AND(AT449=3,AK449="E",AV449&gt;=0.75,AW449=1),HealthBY,IF(AND(AT449=3,AK449="E",AV449&gt;=0.75),HealthBY*P449,IF(AND(AT449=3,AK449="E",AV449&gt;=0.5,AW449=1),PTHealthBY,IF(AND(AT449=3,AK449="E",AV449&gt;=0.5),PTHealthBY*P449,0))))</f>
        <v>0</v>
      </c>
      <c r="BP449" s="462">
        <f>IF(AND(AT449&lt;&gt;0,(AX449+BA449)&gt;=MAXSSDIBY),SSDIBY*MAXSSDIBY*P449,IF(AT449&lt;&gt;0,SSDIBY*W449,0))</f>
        <v>0</v>
      </c>
      <c r="BQ449" s="462">
        <f>IF(AT449&lt;&gt;0,SSHIBY*W449,0)</f>
        <v>0</v>
      </c>
      <c r="BR449" s="462">
        <f>IF(AND(AT449&lt;&gt;0,AN449&lt;&gt;"NE"),VLOOKUP(AN449,Retirement_Rates,4,FALSE)*W449,0)</f>
        <v>0</v>
      </c>
      <c r="BS449" s="462">
        <f>IF(AND(AT449&lt;&gt;0,AJ449&lt;&gt;"PF"),LifeBY*W449,0)</f>
        <v>0</v>
      </c>
      <c r="BT449" s="462">
        <f>IF(AND(AT449&lt;&gt;0,AM449="Y"),UIBY*W449,0)</f>
        <v>0</v>
      </c>
      <c r="BU449" s="462">
        <f>IF(AND(AT449&lt;&gt;0,N449&lt;&gt;"NR"),DHRBY*W449,0)</f>
        <v>0</v>
      </c>
      <c r="BV449" s="462">
        <f>IF(AT449&lt;&gt;0,WCBY*W449,0)</f>
        <v>0</v>
      </c>
      <c r="BW449" s="462">
        <f>IF(OR(AND(AT449&lt;&gt;0,AJ449&lt;&gt;"PF",AN449&lt;&gt;"NE",AG449&lt;&gt;"A"),AND(AL449="E",OR(AT449=1,AT449=3))),SickBY*W449,0)</f>
        <v>0</v>
      </c>
      <c r="BX449" s="462">
        <f t="shared" si="109"/>
        <v>0</v>
      </c>
      <c r="BY449" s="462">
        <f t="shared" si="110"/>
        <v>0</v>
      </c>
      <c r="BZ449" s="462">
        <f t="shared" si="111"/>
        <v>0</v>
      </c>
      <c r="CA449" s="462">
        <f t="shared" si="112"/>
        <v>0</v>
      </c>
      <c r="CB449" s="462">
        <f t="shared" si="113"/>
        <v>0</v>
      </c>
      <c r="CC449" s="462">
        <f>IF(AT449&lt;&gt;0,SSHICHG*Y449,0)</f>
        <v>0</v>
      </c>
      <c r="CD449" s="462">
        <f>IF(AND(AT449&lt;&gt;0,AN449&lt;&gt;"NE"),VLOOKUP(AN449,Retirement_Rates,5,FALSE)*Y449,0)</f>
        <v>0</v>
      </c>
      <c r="CE449" s="462">
        <f>IF(AND(AT449&lt;&gt;0,AJ449&lt;&gt;"PF"),LifeCHG*Y449,0)</f>
        <v>0</v>
      </c>
      <c r="CF449" s="462">
        <f>IF(AND(AT449&lt;&gt;0,AM449="Y"),UICHG*Y449,0)</f>
        <v>0</v>
      </c>
      <c r="CG449" s="462">
        <f>IF(AND(AT449&lt;&gt;0,N449&lt;&gt;"NR"),DHRCHG*Y449,0)</f>
        <v>0</v>
      </c>
      <c r="CH449" s="462">
        <f>IF(AT449&lt;&gt;0,WCCHG*Y449,0)</f>
        <v>0</v>
      </c>
      <c r="CI449" s="462">
        <f>IF(OR(AND(AT449&lt;&gt;0,AJ449&lt;&gt;"PF",AN449&lt;&gt;"NE",AG449&lt;&gt;"A"),AND(AL449="E",OR(AT449=1,AT449=3))),SickCHG*Y449,0)</f>
        <v>0</v>
      </c>
      <c r="CJ449" s="462">
        <f t="shared" si="114"/>
        <v>0</v>
      </c>
      <c r="CK449" s="462" t="str">
        <f t="shared" si="115"/>
        <v/>
      </c>
      <c r="CL449" s="462">
        <f t="shared" si="116"/>
        <v>1951.5</v>
      </c>
      <c r="CM449" s="462">
        <f t="shared" si="117"/>
        <v>187.55</v>
      </c>
      <c r="CN449" s="462" t="str">
        <f t="shared" si="118"/>
        <v>0001-00</v>
      </c>
    </row>
    <row r="450" spans="1:92" ht="15" thickBot="1" x14ac:dyDescent="0.35">
      <c r="A450" s="376" t="s">
        <v>161</v>
      </c>
      <c r="B450" s="376" t="s">
        <v>162</v>
      </c>
      <c r="C450" s="376" t="s">
        <v>1128</v>
      </c>
      <c r="D450" s="376" t="s">
        <v>287</v>
      </c>
      <c r="E450" s="376" t="s">
        <v>931</v>
      </c>
      <c r="F450" s="382" t="s">
        <v>565</v>
      </c>
      <c r="G450" s="376" t="s">
        <v>1101</v>
      </c>
      <c r="H450" s="378"/>
      <c r="I450" s="378"/>
      <c r="J450" s="376" t="s">
        <v>168</v>
      </c>
      <c r="K450" s="376" t="s">
        <v>290</v>
      </c>
      <c r="L450" s="376" t="s">
        <v>166</v>
      </c>
      <c r="M450" s="376" t="s">
        <v>201</v>
      </c>
      <c r="N450" s="376" t="s">
        <v>291</v>
      </c>
      <c r="O450" s="379">
        <v>0</v>
      </c>
      <c r="P450" s="460">
        <v>1</v>
      </c>
      <c r="Q450" s="460">
        <v>0</v>
      </c>
      <c r="R450" s="380">
        <v>0</v>
      </c>
      <c r="S450" s="460">
        <v>0</v>
      </c>
      <c r="T450" s="380">
        <v>0</v>
      </c>
      <c r="U450" s="380">
        <v>0</v>
      </c>
      <c r="V450" s="380">
        <v>0</v>
      </c>
      <c r="W450" s="380">
        <v>0</v>
      </c>
      <c r="X450" s="380">
        <v>0</v>
      </c>
      <c r="Y450" s="380">
        <v>0</v>
      </c>
      <c r="Z450" s="380">
        <v>0</v>
      </c>
      <c r="AA450" s="378"/>
      <c r="AB450" s="376" t="s">
        <v>45</v>
      </c>
      <c r="AC450" s="376" t="s">
        <v>45</v>
      </c>
      <c r="AD450" s="378"/>
      <c r="AE450" s="378"/>
      <c r="AF450" s="378"/>
      <c r="AG450" s="378"/>
      <c r="AH450" s="379">
        <v>0</v>
      </c>
      <c r="AI450" s="379">
        <v>0</v>
      </c>
      <c r="AJ450" s="378"/>
      <c r="AK450" s="378"/>
      <c r="AL450" s="376" t="s">
        <v>180</v>
      </c>
      <c r="AM450" s="378"/>
      <c r="AN450" s="378"/>
      <c r="AO450" s="379">
        <v>0</v>
      </c>
      <c r="AP450" s="460">
        <v>0</v>
      </c>
      <c r="AQ450" s="460">
        <v>0</v>
      </c>
      <c r="AR450" s="459"/>
      <c r="AS450" s="462">
        <f t="shared" si="102"/>
        <v>0</v>
      </c>
      <c r="AT450">
        <f t="shared" si="103"/>
        <v>0</v>
      </c>
      <c r="AU450" s="462" t="str">
        <f>IF(AT450=0,"",IF(AND(AT450=1,M450="F",SUMIF(C2:C698,C450,AS2:AS698)&lt;=1),SUMIF(C2:C698,C450,AS2:AS698),IF(AND(AT450=1,M450="F",SUMIF(C2:C698,C450,AS2:AS698)&gt;1),1,"")))</f>
        <v/>
      </c>
      <c r="AV450" s="462" t="str">
        <f>IF(AT450=0,"",IF(AND(AT450=3,M450="F",SUMIF(C2:C698,C450,AS2:AS698)&lt;=1),SUMIF(C2:C698,C450,AS2:AS698),IF(AND(AT450=3,M450="F",SUMIF(C2:C698,C450,AS2:AS698)&gt;1),1,"")))</f>
        <v/>
      </c>
      <c r="AW450" s="462">
        <f>SUMIF(C2:C698,C450,O2:O698)</f>
        <v>0</v>
      </c>
      <c r="AX450" s="462">
        <f>IF(AND(M450="F",AS450&lt;&gt;0),SUMIF(C2:C698,C450,W2:W698),0)</f>
        <v>0</v>
      </c>
      <c r="AY450" s="462" t="str">
        <f t="shared" si="104"/>
        <v/>
      </c>
      <c r="AZ450" s="462" t="str">
        <f t="shared" si="105"/>
        <v/>
      </c>
      <c r="BA450" s="462">
        <f t="shared" si="106"/>
        <v>0</v>
      </c>
      <c r="BB450" s="462">
        <f>IF(AND(AT450=1,AK450="E",AU450&gt;=0.75,AW450=1),Health,IF(AND(AT450=1,AK450="E",AU450&gt;=0.75),Health*P450,IF(AND(AT450=1,AK450="E",AU450&gt;=0.5,AW450=1),PTHealth,IF(AND(AT450=1,AK450="E",AU450&gt;=0.5),PTHealth*P450,0))))</f>
        <v>0</v>
      </c>
      <c r="BC450" s="462">
        <f>IF(AND(AT450=3,AK450="E",AV450&gt;=0.75,AW450=1),Health,IF(AND(AT450=3,AK450="E",AV450&gt;=0.75),Health*P450,IF(AND(AT450=3,AK450="E",AV450&gt;=0.5,AW450=1),PTHealth,IF(AND(AT450=3,AK450="E",AV450&gt;=0.5),PTHealth*P450,0))))</f>
        <v>0</v>
      </c>
      <c r="BD450" s="462">
        <f>IF(AND(AT450&lt;&gt;0,AX450&gt;=MAXSSDI),SSDI*MAXSSDI*P450,IF(AT450&lt;&gt;0,SSDI*W450,0))</f>
        <v>0</v>
      </c>
      <c r="BE450" s="462">
        <f>IF(AT450&lt;&gt;0,SSHI*W450,0)</f>
        <v>0</v>
      </c>
      <c r="BF450" s="462">
        <f>IF(AND(AT450&lt;&gt;0,AN450&lt;&gt;"NE"),VLOOKUP(AN450,Retirement_Rates,3,FALSE)*W450,0)</f>
        <v>0</v>
      </c>
      <c r="BG450" s="462">
        <f>IF(AND(AT450&lt;&gt;0,AJ450&lt;&gt;"PF"),Life*W450,0)</f>
        <v>0</v>
      </c>
      <c r="BH450" s="462">
        <f>IF(AND(AT450&lt;&gt;0,AM450="Y"),UI*W450,0)</f>
        <v>0</v>
      </c>
      <c r="BI450" s="462">
        <f>IF(AND(AT450&lt;&gt;0,N450&lt;&gt;"NR"),DHR*W450,0)</f>
        <v>0</v>
      </c>
      <c r="BJ450" s="462">
        <f>IF(AT450&lt;&gt;0,WC*W450,0)</f>
        <v>0</v>
      </c>
      <c r="BK450" s="462">
        <f>IF(OR(AND(AT450&lt;&gt;0,AJ450&lt;&gt;"PF",AN450&lt;&gt;"NE",AG450&lt;&gt;"A"),AND(AL450="E",OR(AT450=1,AT450=3))),Sick*W450,0)</f>
        <v>0</v>
      </c>
      <c r="BL450" s="462">
        <f t="shared" si="107"/>
        <v>0</v>
      </c>
      <c r="BM450" s="462">
        <f t="shared" si="108"/>
        <v>0</v>
      </c>
      <c r="BN450" s="462">
        <f>IF(AND(AT450=1,AK450="E",AU450&gt;=0.75,AW450=1),HealthBY,IF(AND(AT450=1,AK450="E",AU450&gt;=0.75),HealthBY*P450,IF(AND(AT450=1,AK450="E",AU450&gt;=0.5,AW450=1),PTHealthBY,IF(AND(AT450=1,AK450="E",AU450&gt;=0.5),PTHealthBY*P450,0))))</f>
        <v>0</v>
      </c>
      <c r="BO450" s="462">
        <f>IF(AND(AT450=3,AK450="E",AV450&gt;=0.75,AW450=1),HealthBY,IF(AND(AT450=3,AK450="E",AV450&gt;=0.75),HealthBY*P450,IF(AND(AT450=3,AK450="E",AV450&gt;=0.5,AW450=1),PTHealthBY,IF(AND(AT450=3,AK450="E",AV450&gt;=0.5),PTHealthBY*P450,0))))</f>
        <v>0</v>
      </c>
      <c r="BP450" s="462">
        <f>IF(AND(AT450&lt;&gt;0,(AX450+BA450)&gt;=MAXSSDIBY),SSDIBY*MAXSSDIBY*P450,IF(AT450&lt;&gt;0,SSDIBY*W450,0))</f>
        <v>0</v>
      </c>
      <c r="BQ450" s="462">
        <f>IF(AT450&lt;&gt;0,SSHIBY*W450,0)</f>
        <v>0</v>
      </c>
      <c r="BR450" s="462">
        <f>IF(AND(AT450&lt;&gt;0,AN450&lt;&gt;"NE"),VLOOKUP(AN450,Retirement_Rates,4,FALSE)*W450,0)</f>
        <v>0</v>
      </c>
      <c r="BS450" s="462">
        <f>IF(AND(AT450&lt;&gt;0,AJ450&lt;&gt;"PF"),LifeBY*W450,0)</f>
        <v>0</v>
      </c>
      <c r="BT450" s="462">
        <f>IF(AND(AT450&lt;&gt;0,AM450="Y"),UIBY*W450,0)</f>
        <v>0</v>
      </c>
      <c r="BU450" s="462">
        <f>IF(AND(AT450&lt;&gt;0,N450&lt;&gt;"NR"),DHRBY*W450,0)</f>
        <v>0</v>
      </c>
      <c r="BV450" s="462">
        <f>IF(AT450&lt;&gt;0,WCBY*W450,0)</f>
        <v>0</v>
      </c>
      <c r="BW450" s="462">
        <f>IF(OR(AND(AT450&lt;&gt;0,AJ450&lt;&gt;"PF",AN450&lt;&gt;"NE",AG450&lt;&gt;"A"),AND(AL450="E",OR(AT450=1,AT450=3))),SickBY*W450,0)</f>
        <v>0</v>
      </c>
      <c r="BX450" s="462">
        <f t="shared" si="109"/>
        <v>0</v>
      </c>
      <c r="BY450" s="462">
        <f t="shared" si="110"/>
        <v>0</v>
      </c>
      <c r="BZ450" s="462">
        <f t="shared" si="111"/>
        <v>0</v>
      </c>
      <c r="CA450" s="462">
        <f t="shared" si="112"/>
        <v>0</v>
      </c>
      <c r="CB450" s="462">
        <f t="shared" si="113"/>
        <v>0</v>
      </c>
      <c r="CC450" s="462">
        <f>IF(AT450&lt;&gt;0,SSHICHG*Y450,0)</f>
        <v>0</v>
      </c>
      <c r="CD450" s="462">
        <f>IF(AND(AT450&lt;&gt;0,AN450&lt;&gt;"NE"),VLOOKUP(AN450,Retirement_Rates,5,FALSE)*Y450,0)</f>
        <v>0</v>
      </c>
      <c r="CE450" s="462">
        <f>IF(AND(AT450&lt;&gt;0,AJ450&lt;&gt;"PF"),LifeCHG*Y450,0)</f>
        <v>0</v>
      </c>
      <c r="CF450" s="462">
        <f>IF(AND(AT450&lt;&gt;0,AM450="Y"),UICHG*Y450,0)</f>
        <v>0</v>
      </c>
      <c r="CG450" s="462">
        <f>IF(AND(AT450&lt;&gt;0,N450&lt;&gt;"NR"),DHRCHG*Y450,0)</f>
        <v>0</v>
      </c>
      <c r="CH450" s="462">
        <f>IF(AT450&lt;&gt;0,WCCHG*Y450,0)</f>
        <v>0</v>
      </c>
      <c r="CI450" s="462">
        <f>IF(OR(AND(AT450&lt;&gt;0,AJ450&lt;&gt;"PF",AN450&lt;&gt;"NE",AG450&lt;&gt;"A"),AND(AL450="E",OR(AT450=1,AT450=3))),SickCHG*Y450,0)</f>
        <v>0</v>
      </c>
      <c r="CJ450" s="462">
        <f t="shared" si="114"/>
        <v>0</v>
      </c>
      <c r="CK450" s="462" t="str">
        <f t="shared" si="115"/>
        <v/>
      </c>
      <c r="CL450" s="462">
        <f t="shared" si="116"/>
        <v>0</v>
      </c>
      <c r="CM450" s="462">
        <f t="shared" si="117"/>
        <v>0</v>
      </c>
      <c r="CN450" s="462" t="str">
        <f t="shared" si="118"/>
        <v>0330-07</v>
      </c>
    </row>
    <row r="451" spans="1:92" ht="15" thickBot="1" x14ac:dyDescent="0.35">
      <c r="A451" s="376" t="s">
        <v>161</v>
      </c>
      <c r="B451" s="376" t="s">
        <v>162</v>
      </c>
      <c r="C451" s="376" t="s">
        <v>1112</v>
      </c>
      <c r="D451" s="376" t="s">
        <v>1113</v>
      </c>
      <c r="E451" s="376" t="s">
        <v>931</v>
      </c>
      <c r="F451" s="382" t="s">
        <v>565</v>
      </c>
      <c r="G451" s="376" t="s">
        <v>1101</v>
      </c>
      <c r="H451" s="378"/>
      <c r="I451" s="378"/>
      <c r="J451" s="376" t="s">
        <v>185</v>
      </c>
      <c r="K451" s="376" t="s">
        <v>1114</v>
      </c>
      <c r="L451" s="376" t="s">
        <v>177</v>
      </c>
      <c r="M451" s="376" t="s">
        <v>170</v>
      </c>
      <c r="N451" s="376" t="s">
        <v>202</v>
      </c>
      <c r="O451" s="379">
        <v>1</v>
      </c>
      <c r="P451" s="460">
        <v>0.05</v>
      </c>
      <c r="Q451" s="460">
        <v>0.05</v>
      </c>
      <c r="R451" s="380">
        <v>80</v>
      </c>
      <c r="S451" s="460">
        <v>0.05</v>
      </c>
      <c r="T451" s="380">
        <v>83.87</v>
      </c>
      <c r="U451" s="380">
        <v>0</v>
      </c>
      <c r="V451" s="380">
        <v>46.45</v>
      </c>
      <c r="W451" s="380">
        <v>1731.6</v>
      </c>
      <c r="X451" s="380">
        <v>974.48</v>
      </c>
      <c r="Y451" s="380">
        <v>1731.6</v>
      </c>
      <c r="Z451" s="380">
        <v>969.97</v>
      </c>
      <c r="AA451" s="376" t="s">
        <v>1115</v>
      </c>
      <c r="AB451" s="376" t="s">
        <v>1116</v>
      </c>
      <c r="AC451" s="376" t="s">
        <v>1117</v>
      </c>
      <c r="AD451" s="376" t="s">
        <v>1118</v>
      </c>
      <c r="AE451" s="376" t="s">
        <v>1114</v>
      </c>
      <c r="AF451" s="376" t="s">
        <v>436</v>
      </c>
      <c r="AG451" s="376" t="s">
        <v>177</v>
      </c>
      <c r="AH451" s="381">
        <v>16.649999999999999</v>
      </c>
      <c r="AI451" s="381">
        <v>10646.5</v>
      </c>
      <c r="AJ451" s="376" t="s">
        <v>178</v>
      </c>
      <c r="AK451" s="376" t="s">
        <v>179</v>
      </c>
      <c r="AL451" s="376" t="s">
        <v>180</v>
      </c>
      <c r="AM451" s="376" t="s">
        <v>181</v>
      </c>
      <c r="AN451" s="376" t="s">
        <v>68</v>
      </c>
      <c r="AO451" s="379">
        <v>80</v>
      </c>
      <c r="AP451" s="460">
        <v>1</v>
      </c>
      <c r="AQ451" s="460">
        <v>0.05</v>
      </c>
      <c r="AR451" s="458" t="s">
        <v>182</v>
      </c>
      <c r="AS451" s="462">
        <f t="shared" ref="AS451:AS514" si="119">IF(((AO451/80)*AP451*P451)&gt;1,AQ451,((AO451/80)*AP451*P451))</f>
        <v>0.05</v>
      </c>
      <c r="AT451">
        <f t="shared" ref="AT451:AT514" si="120">IF(AND(M451="F",N451&lt;&gt;"NG",AS451&lt;&gt;0,AND(AR451&lt;&gt;6,AR451&lt;&gt;36,AR451&lt;&gt;56),AG451&lt;&gt;"A",OR(AG451="H",AJ451="FS")),1,IF(AND(M451="F",N451&lt;&gt;"NG",AS451&lt;&gt;0,AG451="A"),3,0))</f>
        <v>1</v>
      </c>
      <c r="AU451" s="462">
        <f>IF(AT451=0,"",IF(AND(AT451=1,M451="F",SUMIF(C2:C698,C451,AS2:AS698)&lt;=1),SUMIF(C2:C698,C451,AS2:AS698),IF(AND(AT451=1,M451="F",SUMIF(C2:C698,C451,AS2:AS698)&gt;1),1,"")))</f>
        <v>1</v>
      </c>
      <c r="AV451" s="462" t="str">
        <f>IF(AT451=0,"",IF(AND(AT451=3,M451="F",SUMIF(C2:C698,C451,AS2:AS698)&lt;=1),SUMIF(C2:C698,C451,AS2:AS698),IF(AND(AT451=3,M451="F",SUMIF(C2:C698,C451,AS2:AS698)&gt;1),1,"")))</f>
        <v/>
      </c>
      <c r="AW451" s="462">
        <f>SUMIF(C2:C698,C451,O2:O698)</f>
        <v>2</v>
      </c>
      <c r="AX451" s="462">
        <f>IF(AND(M451="F",AS451&lt;&gt;0),SUMIF(C2:C698,C451,W2:W698),0)</f>
        <v>34632</v>
      </c>
      <c r="AY451" s="462">
        <f t="shared" ref="AY451:AY514" si="121">IF(AT451=1,W451,"")</f>
        <v>1731.6</v>
      </c>
      <c r="AZ451" s="462" t="str">
        <f t="shared" ref="AZ451:AZ514" si="122">IF(AT451=3,W451,"")</f>
        <v/>
      </c>
      <c r="BA451" s="462">
        <f t="shared" ref="BA451:BA514" si="123">IF(AT451=1,Y451-W451,0)</f>
        <v>0</v>
      </c>
      <c r="BB451" s="462">
        <f>IF(AND(AT451=1,AK451="E",AU451&gt;=0.75,AW451=1),Health,IF(AND(AT451=1,AK451="E",AU451&gt;=0.75),Health*P451,IF(AND(AT451=1,AK451="E",AU451&gt;=0.5,AW451=1),PTHealth,IF(AND(AT451=1,AK451="E",AU451&gt;=0.5),PTHealth*P451,0))))</f>
        <v>582.5</v>
      </c>
      <c r="BC451" s="462">
        <f>IF(AND(AT451=3,AK451="E",AV451&gt;=0.75,AW451=1),Health,IF(AND(AT451=3,AK451="E",AV451&gt;=0.75),Health*P451,IF(AND(AT451=3,AK451="E",AV451&gt;=0.5,AW451=1),PTHealth,IF(AND(AT451=3,AK451="E",AV451&gt;=0.5),PTHealth*P451,0))))</f>
        <v>0</v>
      </c>
      <c r="BD451" s="462">
        <f>IF(AND(AT451&lt;&gt;0,AX451&gt;=MAXSSDI),SSDI*MAXSSDI*P451,IF(AT451&lt;&gt;0,SSDI*W451,0))</f>
        <v>107.35919999999999</v>
      </c>
      <c r="BE451" s="462">
        <f>IF(AT451&lt;&gt;0,SSHI*W451,0)</f>
        <v>25.1082</v>
      </c>
      <c r="BF451" s="462">
        <f>IF(AND(AT451&lt;&gt;0,AN451&lt;&gt;"NE"),VLOOKUP(AN451,Retirement_Rates,3,FALSE)*W451,0)</f>
        <v>206.75304</v>
      </c>
      <c r="BG451" s="462">
        <f>IF(AND(AT451&lt;&gt;0,AJ451&lt;&gt;"PF"),Life*W451,0)</f>
        <v>12.484836</v>
      </c>
      <c r="BH451" s="462">
        <f>IF(AND(AT451&lt;&gt;0,AM451="Y"),UI*W451,0)</f>
        <v>8.4848400000000002</v>
      </c>
      <c r="BI451" s="462">
        <f>IF(AND(AT451&lt;&gt;0,N451&lt;&gt;"NR"),DHR*W451,0)</f>
        <v>5.2986959999999996</v>
      </c>
      <c r="BJ451" s="462">
        <f>IF(AT451&lt;&gt;0,WC*W451,0)</f>
        <v>26.493479999999998</v>
      </c>
      <c r="BK451" s="462">
        <f>IF(OR(AND(AT451&lt;&gt;0,AJ451&lt;&gt;"PF",AN451&lt;&gt;"NE",AG451&lt;&gt;"A"),AND(AL451="E",OR(AT451=1,AT451=3))),Sick*W451,0)</f>
        <v>0</v>
      </c>
      <c r="BL451" s="462">
        <f t="shared" ref="BL451:BL514" si="124">IF(AT451=1,SUM(BD451:BK451),0)</f>
        <v>391.98229199999997</v>
      </c>
      <c r="BM451" s="462">
        <f t="shared" ref="BM451:BM514" si="125">IF(AT451=3,SUM(BD451:BK451),0)</f>
        <v>0</v>
      </c>
      <c r="BN451" s="462">
        <f>IF(AND(AT451=1,AK451="E",AU451&gt;=0.75,AW451=1),HealthBY,IF(AND(AT451=1,AK451="E",AU451&gt;=0.75),HealthBY*P451,IF(AND(AT451=1,AK451="E",AU451&gt;=0.5,AW451=1),PTHealthBY,IF(AND(AT451=1,AK451="E",AU451&gt;=0.5),PTHealthBY*P451,0))))</f>
        <v>582.5</v>
      </c>
      <c r="BO451" s="462">
        <f>IF(AND(AT451=3,AK451="E",AV451&gt;=0.75,AW451=1),HealthBY,IF(AND(AT451=3,AK451="E",AV451&gt;=0.75),HealthBY*P451,IF(AND(AT451=3,AK451="E",AV451&gt;=0.5,AW451=1),PTHealthBY,IF(AND(AT451=3,AK451="E",AV451&gt;=0.5),PTHealthBY*P451,0))))</f>
        <v>0</v>
      </c>
      <c r="BP451" s="462">
        <f>IF(AND(AT451&lt;&gt;0,(AX451+BA451)&gt;=MAXSSDIBY),SSDIBY*MAXSSDIBY*P451,IF(AT451&lt;&gt;0,SSDIBY*W451,0))</f>
        <v>107.35919999999999</v>
      </c>
      <c r="BQ451" s="462">
        <f>IF(AT451&lt;&gt;0,SSHIBY*W451,0)</f>
        <v>25.1082</v>
      </c>
      <c r="BR451" s="462">
        <f>IF(AND(AT451&lt;&gt;0,AN451&lt;&gt;"NE"),VLOOKUP(AN451,Retirement_Rates,4,FALSE)*W451,0)</f>
        <v>206.75304</v>
      </c>
      <c r="BS451" s="462">
        <f>IF(AND(AT451&lt;&gt;0,AJ451&lt;&gt;"PF"),LifeBY*W451,0)</f>
        <v>12.484836</v>
      </c>
      <c r="BT451" s="462">
        <f>IF(AND(AT451&lt;&gt;0,AM451="Y"),UIBY*W451,0)</f>
        <v>0</v>
      </c>
      <c r="BU451" s="462">
        <f>IF(AND(AT451&lt;&gt;0,N451&lt;&gt;"NR"),DHRBY*W451,0)</f>
        <v>5.2986959999999996</v>
      </c>
      <c r="BV451" s="462">
        <f>IF(AT451&lt;&gt;0,WCBY*W451,0)</f>
        <v>30.47616</v>
      </c>
      <c r="BW451" s="462">
        <f>IF(OR(AND(AT451&lt;&gt;0,AJ451&lt;&gt;"PF",AN451&lt;&gt;"NE",AG451&lt;&gt;"A"),AND(AL451="E",OR(AT451=1,AT451=3))),SickBY*W451,0)</f>
        <v>0</v>
      </c>
      <c r="BX451" s="462">
        <f t="shared" ref="BX451:BX514" si="126">IF(AT451=1,SUM(BP451:BW451),0)</f>
        <v>387.48013199999997</v>
      </c>
      <c r="BY451" s="462">
        <f t="shared" ref="BY451:BY514" si="127">IF(AT451=3,SUM(BP451:BW451),0)</f>
        <v>0</v>
      </c>
      <c r="BZ451" s="462">
        <f t="shared" ref="BZ451:BZ514" si="128">IF(AT451=1,BN451-BB451,0)</f>
        <v>0</v>
      </c>
      <c r="CA451" s="462">
        <f t="shared" ref="CA451:CA514" si="129">IF(AT451=3,BO451-BC451,0)</f>
        <v>0</v>
      </c>
      <c r="CB451" s="462">
        <f t="shared" ref="CB451:CB514" si="130">BP451-BD451</f>
        <v>0</v>
      </c>
      <c r="CC451" s="462">
        <f>IF(AT451&lt;&gt;0,SSHICHG*Y451,0)</f>
        <v>0</v>
      </c>
      <c r="CD451" s="462">
        <f>IF(AND(AT451&lt;&gt;0,AN451&lt;&gt;"NE"),VLOOKUP(AN451,Retirement_Rates,5,FALSE)*Y451,0)</f>
        <v>0</v>
      </c>
      <c r="CE451" s="462">
        <f>IF(AND(AT451&lt;&gt;0,AJ451&lt;&gt;"PF"),LifeCHG*Y451,0)</f>
        <v>0</v>
      </c>
      <c r="CF451" s="462">
        <f>IF(AND(AT451&lt;&gt;0,AM451="Y"),UICHG*Y451,0)</f>
        <v>-8.4848400000000002</v>
      </c>
      <c r="CG451" s="462">
        <f>IF(AND(AT451&lt;&gt;0,N451&lt;&gt;"NR"),DHRCHG*Y451,0)</f>
        <v>0</v>
      </c>
      <c r="CH451" s="462">
        <f>IF(AT451&lt;&gt;0,WCCHG*Y451,0)</f>
        <v>3.9826800000000029</v>
      </c>
      <c r="CI451" s="462">
        <f>IF(OR(AND(AT451&lt;&gt;0,AJ451&lt;&gt;"PF",AN451&lt;&gt;"NE",AG451&lt;&gt;"A"),AND(AL451="E",OR(AT451=1,AT451=3))),SickCHG*Y451,0)</f>
        <v>0</v>
      </c>
      <c r="CJ451" s="462">
        <f t="shared" ref="CJ451:CJ514" si="131">IF(AT451=1,SUM(CB451:CI451),0)</f>
        <v>-4.5021599999999973</v>
      </c>
      <c r="CK451" s="462" t="str">
        <f t="shared" ref="CK451:CK514" si="132">IF(AT451=3,SUM(CB451:CI451),"")</f>
        <v/>
      </c>
      <c r="CL451" s="462" t="str">
        <f t="shared" ref="CL451:CL514" si="133">IF(OR(N451="NG",AG451="D"),(T451+U451),"")</f>
        <v/>
      </c>
      <c r="CM451" s="462" t="str">
        <f t="shared" ref="CM451:CM514" si="134">IF(OR(N451="NG",AG451="D"),V451,"")</f>
        <v/>
      </c>
      <c r="CN451" s="462" t="str">
        <f t="shared" ref="CN451:CN514" si="135">E451 &amp; "-" &amp; F451</f>
        <v>0330-07</v>
      </c>
    </row>
    <row r="452" spans="1:92" ht="15" thickBot="1" x14ac:dyDescent="0.35">
      <c r="A452" s="376" t="s">
        <v>161</v>
      </c>
      <c r="B452" s="376" t="s">
        <v>162</v>
      </c>
      <c r="C452" s="376" t="s">
        <v>1126</v>
      </c>
      <c r="D452" s="376" t="s">
        <v>1108</v>
      </c>
      <c r="E452" s="376" t="s">
        <v>931</v>
      </c>
      <c r="F452" s="382" t="s">
        <v>565</v>
      </c>
      <c r="G452" s="376" t="s">
        <v>1101</v>
      </c>
      <c r="H452" s="378"/>
      <c r="I452" s="378"/>
      <c r="J452" s="376" t="s">
        <v>185</v>
      </c>
      <c r="K452" s="376" t="s">
        <v>1109</v>
      </c>
      <c r="L452" s="376" t="s">
        <v>224</v>
      </c>
      <c r="M452" s="376" t="s">
        <v>201</v>
      </c>
      <c r="N452" s="376" t="s">
        <v>202</v>
      </c>
      <c r="O452" s="379">
        <v>0</v>
      </c>
      <c r="P452" s="460">
        <v>0</v>
      </c>
      <c r="Q452" s="460">
        <v>0</v>
      </c>
      <c r="R452" s="380">
        <v>80</v>
      </c>
      <c r="S452" s="460">
        <v>0</v>
      </c>
      <c r="T452" s="380">
        <v>23.75</v>
      </c>
      <c r="U452" s="380">
        <v>0</v>
      </c>
      <c r="V452" s="380">
        <v>10.77</v>
      </c>
      <c r="W452" s="380">
        <v>0</v>
      </c>
      <c r="X452" s="380">
        <v>0</v>
      </c>
      <c r="Y452" s="380">
        <v>0</v>
      </c>
      <c r="Z452" s="380">
        <v>0</v>
      </c>
      <c r="AA452" s="378"/>
      <c r="AB452" s="376" t="s">
        <v>45</v>
      </c>
      <c r="AC452" s="376" t="s">
        <v>45</v>
      </c>
      <c r="AD452" s="378"/>
      <c r="AE452" s="378"/>
      <c r="AF452" s="378"/>
      <c r="AG452" s="378"/>
      <c r="AH452" s="379">
        <v>0</v>
      </c>
      <c r="AI452" s="379">
        <v>0</v>
      </c>
      <c r="AJ452" s="378"/>
      <c r="AK452" s="378"/>
      <c r="AL452" s="376" t="s">
        <v>180</v>
      </c>
      <c r="AM452" s="378"/>
      <c r="AN452" s="378"/>
      <c r="AO452" s="379">
        <v>0</v>
      </c>
      <c r="AP452" s="460">
        <v>0</v>
      </c>
      <c r="AQ452" s="460">
        <v>0</v>
      </c>
      <c r="AR452" s="459"/>
      <c r="AS452" s="462">
        <f t="shared" si="119"/>
        <v>0</v>
      </c>
      <c r="AT452">
        <f t="shared" si="120"/>
        <v>0</v>
      </c>
      <c r="AU452" s="462" t="str">
        <f>IF(AT452=0,"",IF(AND(AT452=1,M452="F",SUMIF(C2:C698,C452,AS2:AS698)&lt;=1),SUMIF(C2:C698,C452,AS2:AS698),IF(AND(AT452=1,M452="F",SUMIF(C2:C698,C452,AS2:AS698)&gt;1),1,"")))</f>
        <v/>
      </c>
      <c r="AV452" s="462" t="str">
        <f>IF(AT452=0,"",IF(AND(AT452=3,M452="F",SUMIF(C2:C698,C452,AS2:AS698)&lt;=1),SUMIF(C2:C698,C452,AS2:AS698),IF(AND(AT452=3,M452="F",SUMIF(C2:C698,C452,AS2:AS698)&gt;1),1,"")))</f>
        <v/>
      </c>
      <c r="AW452" s="462">
        <f>SUMIF(C2:C698,C452,O2:O698)</f>
        <v>0</v>
      </c>
      <c r="AX452" s="462">
        <f>IF(AND(M452="F",AS452&lt;&gt;0),SUMIF(C2:C698,C452,W2:W698),0)</f>
        <v>0</v>
      </c>
      <c r="AY452" s="462" t="str">
        <f t="shared" si="121"/>
        <v/>
      </c>
      <c r="AZ452" s="462" t="str">
        <f t="shared" si="122"/>
        <v/>
      </c>
      <c r="BA452" s="462">
        <f t="shared" si="123"/>
        <v>0</v>
      </c>
      <c r="BB452" s="462">
        <f>IF(AND(AT452=1,AK452="E",AU452&gt;=0.75,AW452=1),Health,IF(AND(AT452=1,AK452="E",AU452&gt;=0.75),Health*P452,IF(AND(AT452=1,AK452="E",AU452&gt;=0.5,AW452=1),PTHealth,IF(AND(AT452=1,AK452="E",AU452&gt;=0.5),PTHealth*P452,0))))</f>
        <v>0</v>
      </c>
      <c r="BC452" s="462">
        <f>IF(AND(AT452=3,AK452="E",AV452&gt;=0.75,AW452=1),Health,IF(AND(AT452=3,AK452="E",AV452&gt;=0.75),Health*P452,IF(AND(AT452=3,AK452="E",AV452&gt;=0.5,AW452=1),PTHealth,IF(AND(AT452=3,AK452="E",AV452&gt;=0.5),PTHealth*P452,0))))</f>
        <v>0</v>
      </c>
      <c r="BD452" s="462">
        <f>IF(AND(AT452&lt;&gt;0,AX452&gt;=MAXSSDI),SSDI*MAXSSDI*P452,IF(AT452&lt;&gt;0,SSDI*W452,0))</f>
        <v>0</v>
      </c>
      <c r="BE452" s="462">
        <f>IF(AT452&lt;&gt;0,SSHI*W452,0)</f>
        <v>0</v>
      </c>
      <c r="BF452" s="462">
        <f>IF(AND(AT452&lt;&gt;0,AN452&lt;&gt;"NE"),VLOOKUP(AN452,Retirement_Rates,3,FALSE)*W452,0)</f>
        <v>0</v>
      </c>
      <c r="BG452" s="462">
        <f>IF(AND(AT452&lt;&gt;0,AJ452&lt;&gt;"PF"),Life*W452,0)</f>
        <v>0</v>
      </c>
      <c r="BH452" s="462">
        <f>IF(AND(AT452&lt;&gt;0,AM452="Y"),UI*W452,0)</f>
        <v>0</v>
      </c>
      <c r="BI452" s="462">
        <f>IF(AND(AT452&lt;&gt;0,N452&lt;&gt;"NR"),DHR*W452,0)</f>
        <v>0</v>
      </c>
      <c r="BJ452" s="462">
        <f>IF(AT452&lt;&gt;0,WC*W452,0)</f>
        <v>0</v>
      </c>
      <c r="BK452" s="462">
        <f>IF(OR(AND(AT452&lt;&gt;0,AJ452&lt;&gt;"PF",AN452&lt;&gt;"NE",AG452&lt;&gt;"A"),AND(AL452="E",OR(AT452=1,AT452=3))),Sick*W452,0)</f>
        <v>0</v>
      </c>
      <c r="BL452" s="462">
        <f t="shared" si="124"/>
        <v>0</v>
      </c>
      <c r="BM452" s="462">
        <f t="shared" si="125"/>
        <v>0</v>
      </c>
      <c r="BN452" s="462">
        <f>IF(AND(AT452=1,AK452="E",AU452&gt;=0.75,AW452=1),HealthBY,IF(AND(AT452=1,AK452="E",AU452&gt;=0.75),HealthBY*P452,IF(AND(AT452=1,AK452="E",AU452&gt;=0.5,AW452=1),PTHealthBY,IF(AND(AT452=1,AK452="E",AU452&gt;=0.5),PTHealthBY*P452,0))))</f>
        <v>0</v>
      </c>
      <c r="BO452" s="462">
        <f>IF(AND(AT452=3,AK452="E",AV452&gt;=0.75,AW452=1),HealthBY,IF(AND(AT452=3,AK452="E",AV452&gt;=0.75),HealthBY*P452,IF(AND(AT452=3,AK452="E",AV452&gt;=0.5,AW452=1),PTHealthBY,IF(AND(AT452=3,AK452="E",AV452&gt;=0.5),PTHealthBY*P452,0))))</f>
        <v>0</v>
      </c>
      <c r="BP452" s="462">
        <f>IF(AND(AT452&lt;&gt;0,(AX452+BA452)&gt;=MAXSSDIBY),SSDIBY*MAXSSDIBY*P452,IF(AT452&lt;&gt;0,SSDIBY*W452,0))</f>
        <v>0</v>
      </c>
      <c r="BQ452" s="462">
        <f>IF(AT452&lt;&gt;0,SSHIBY*W452,0)</f>
        <v>0</v>
      </c>
      <c r="BR452" s="462">
        <f>IF(AND(AT452&lt;&gt;0,AN452&lt;&gt;"NE"),VLOOKUP(AN452,Retirement_Rates,4,FALSE)*W452,0)</f>
        <v>0</v>
      </c>
      <c r="BS452" s="462">
        <f>IF(AND(AT452&lt;&gt;0,AJ452&lt;&gt;"PF"),LifeBY*W452,0)</f>
        <v>0</v>
      </c>
      <c r="BT452" s="462">
        <f>IF(AND(AT452&lt;&gt;0,AM452="Y"),UIBY*W452,0)</f>
        <v>0</v>
      </c>
      <c r="BU452" s="462">
        <f>IF(AND(AT452&lt;&gt;0,N452&lt;&gt;"NR"),DHRBY*W452,0)</f>
        <v>0</v>
      </c>
      <c r="BV452" s="462">
        <f>IF(AT452&lt;&gt;0,WCBY*W452,0)</f>
        <v>0</v>
      </c>
      <c r="BW452" s="462">
        <f>IF(OR(AND(AT452&lt;&gt;0,AJ452&lt;&gt;"PF",AN452&lt;&gt;"NE",AG452&lt;&gt;"A"),AND(AL452="E",OR(AT452=1,AT452=3))),SickBY*W452,0)</f>
        <v>0</v>
      </c>
      <c r="BX452" s="462">
        <f t="shared" si="126"/>
        <v>0</v>
      </c>
      <c r="BY452" s="462">
        <f t="shared" si="127"/>
        <v>0</v>
      </c>
      <c r="BZ452" s="462">
        <f t="shared" si="128"/>
        <v>0</v>
      </c>
      <c r="CA452" s="462">
        <f t="shared" si="129"/>
        <v>0</v>
      </c>
      <c r="CB452" s="462">
        <f t="shared" si="130"/>
        <v>0</v>
      </c>
      <c r="CC452" s="462">
        <f>IF(AT452&lt;&gt;0,SSHICHG*Y452,0)</f>
        <v>0</v>
      </c>
      <c r="CD452" s="462">
        <f>IF(AND(AT452&lt;&gt;0,AN452&lt;&gt;"NE"),VLOOKUP(AN452,Retirement_Rates,5,FALSE)*Y452,0)</f>
        <v>0</v>
      </c>
      <c r="CE452" s="462">
        <f>IF(AND(AT452&lt;&gt;0,AJ452&lt;&gt;"PF"),LifeCHG*Y452,0)</f>
        <v>0</v>
      </c>
      <c r="CF452" s="462">
        <f>IF(AND(AT452&lt;&gt;0,AM452="Y"),UICHG*Y452,0)</f>
        <v>0</v>
      </c>
      <c r="CG452" s="462">
        <f>IF(AND(AT452&lt;&gt;0,N452&lt;&gt;"NR"),DHRCHG*Y452,0)</f>
        <v>0</v>
      </c>
      <c r="CH452" s="462">
        <f>IF(AT452&lt;&gt;0,WCCHG*Y452,0)</f>
        <v>0</v>
      </c>
      <c r="CI452" s="462">
        <f>IF(OR(AND(AT452&lt;&gt;0,AJ452&lt;&gt;"PF",AN452&lt;&gt;"NE",AG452&lt;&gt;"A"),AND(AL452="E",OR(AT452=1,AT452=3))),SickCHG*Y452,0)</f>
        <v>0</v>
      </c>
      <c r="CJ452" s="462">
        <f t="shared" si="131"/>
        <v>0</v>
      </c>
      <c r="CK452" s="462" t="str">
        <f t="shared" si="132"/>
        <v/>
      </c>
      <c r="CL452" s="462" t="str">
        <f t="shared" si="133"/>
        <v/>
      </c>
      <c r="CM452" s="462" t="str">
        <f t="shared" si="134"/>
        <v/>
      </c>
      <c r="CN452" s="462" t="str">
        <f t="shared" si="135"/>
        <v>0330-07</v>
      </c>
    </row>
    <row r="453" spans="1:92" ht="15" thickBot="1" x14ac:dyDescent="0.35">
      <c r="A453" s="376" t="s">
        <v>161</v>
      </c>
      <c r="B453" s="376" t="s">
        <v>162</v>
      </c>
      <c r="C453" s="376" t="s">
        <v>1127</v>
      </c>
      <c r="D453" s="376" t="s">
        <v>287</v>
      </c>
      <c r="E453" s="376" t="s">
        <v>931</v>
      </c>
      <c r="F453" s="382" t="s">
        <v>565</v>
      </c>
      <c r="G453" s="376" t="s">
        <v>1101</v>
      </c>
      <c r="H453" s="378"/>
      <c r="I453" s="378"/>
      <c r="J453" s="376" t="s">
        <v>168</v>
      </c>
      <c r="K453" s="376" t="s">
        <v>290</v>
      </c>
      <c r="L453" s="376" t="s">
        <v>166</v>
      </c>
      <c r="M453" s="376" t="s">
        <v>170</v>
      </c>
      <c r="N453" s="376" t="s">
        <v>291</v>
      </c>
      <c r="O453" s="379">
        <v>0</v>
      </c>
      <c r="P453" s="460">
        <v>1</v>
      </c>
      <c r="Q453" s="460">
        <v>0</v>
      </c>
      <c r="R453" s="380">
        <v>0</v>
      </c>
      <c r="S453" s="460">
        <v>0</v>
      </c>
      <c r="T453" s="380">
        <v>12.5</v>
      </c>
      <c r="U453" s="380">
        <v>0</v>
      </c>
      <c r="V453" s="380">
        <v>1.34</v>
      </c>
      <c r="W453" s="380">
        <v>1964</v>
      </c>
      <c r="X453" s="380">
        <v>188.89</v>
      </c>
      <c r="Y453" s="380">
        <v>1964</v>
      </c>
      <c r="Z453" s="380">
        <v>188.89</v>
      </c>
      <c r="AA453" s="378"/>
      <c r="AB453" s="376" t="s">
        <v>45</v>
      </c>
      <c r="AC453" s="376" t="s">
        <v>45</v>
      </c>
      <c r="AD453" s="378"/>
      <c r="AE453" s="378"/>
      <c r="AF453" s="378"/>
      <c r="AG453" s="378"/>
      <c r="AH453" s="379">
        <v>0</v>
      </c>
      <c r="AI453" s="379">
        <v>0</v>
      </c>
      <c r="AJ453" s="378"/>
      <c r="AK453" s="378"/>
      <c r="AL453" s="376" t="s">
        <v>180</v>
      </c>
      <c r="AM453" s="378"/>
      <c r="AN453" s="378"/>
      <c r="AO453" s="379">
        <v>0</v>
      </c>
      <c r="AP453" s="460">
        <v>0</v>
      </c>
      <c r="AQ453" s="460">
        <v>0</v>
      </c>
      <c r="AR453" s="459"/>
      <c r="AS453" s="462">
        <f t="shared" si="119"/>
        <v>0</v>
      </c>
      <c r="AT453">
        <f t="shared" si="120"/>
        <v>0</v>
      </c>
      <c r="AU453" s="462" t="str">
        <f>IF(AT453=0,"",IF(AND(AT453=1,M453="F",SUMIF(C2:C698,C453,AS2:AS698)&lt;=1),SUMIF(C2:C698,C453,AS2:AS698),IF(AND(AT453=1,M453="F",SUMIF(C2:C698,C453,AS2:AS698)&gt;1),1,"")))</f>
        <v/>
      </c>
      <c r="AV453" s="462" t="str">
        <f>IF(AT453=0,"",IF(AND(AT453=3,M453="F",SUMIF(C2:C698,C453,AS2:AS698)&lt;=1),SUMIF(C2:C698,C453,AS2:AS698),IF(AND(AT453=3,M453="F",SUMIF(C2:C698,C453,AS2:AS698)&gt;1),1,"")))</f>
        <v/>
      </c>
      <c r="AW453" s="462">
        <f>SUMIF(C2:C698,C453,O2:O698)</f>
        <v>0</v>
      </c>
      <c r="AX453" s="462">
        <f>IF(AND(M453="F",AS453&lt;&gt;0),SUMIF(C2:C698,C453,W2:W698),0)</f>
        <v>0</v>
      </c>
      <c r="AY453" s="462" t="str">
        <f t="shared" si="121"/>
        <v/>
      </c>
      <c r="AZ453" s="462" t="str">
        <f t="shared" si="122"/>
        <v/>
      </c>
      <c r="BA453" s="462">
        <f t="shared" si="123"/>
        <v>0</v>
      </c>
      <c r="BB453" s="462">
        <f>IF(AND(AT453=1,AK453="E",AU453&gt;=0.75,AW453=1),Health,IF(AND(AT453=1,AK453="E",AU453&gt;=0.75),Health*P453,IF(AND(AT453=1,AK453="E",AU453&gt;=0.5,AW453=1),PTHealth,IF(AND(AT453=1,AK453="E",AU453&gt;=0.5),PTHealth*P453,0))))</f>
        <v>0</v>
      </c>
      <c r="BC453" s="462">
        <f>IF(AND(AT453=3,AK453="E",AV453&gt;=0.75,AW453=1),Health,IF(AND(AT453=3,AK453="E",AV453&gt;=0.75),Health*P453,IF(AND(AT453=3,AK453="E",AV453&gt;=0.5,AW453=1),PTHealth,IF(AND(AT453=3,AK453="E",AV453&gt;=0.5),PTHealth*P453,0))))</f>
        <v>0</v>
      </c>
      <c r="BD453" s="462">
        <f>IF(AND(AT453&lt;&gt;0,AX453&gt;=MAXSSDI),SSDI*MAXSSDI*P453,IF(AT453&lt;&gt;0,SSDI*W453,0))</f>
        <v>0</v>
      </c>
      <c r="BE453" s="462">
        <f>IF(AT453&lt;&gt;0,SSHI*W453,0)</f>
        <v>0</v>
      </c>
      <c r="BF453" s="462">
        <f>IF(AND(AT453&lt;&gt;0,AN453&lt;&gt;"NE"),VLOOKUP(AN453,Retirement_Rates,3,FALSE)*W453,0)</f>
        <v>0</v>
      </c>
      <c r="BG453" s="462">
        <f>IF(AND(AT453&lt;&gt;0,AJ453&lt;&gt;"PF"),Life*W453,0)</f>
        <v>0</v>
      </c>
      <c r="BH453" s="462">
        <f>IF(AND(AT453&lt;&gt;0,AM453="Y"),UI*W453,0)</f>
        <v>0</v>
      </c>
      <c r="BI453" s="462">
        <f>IF(AND(AT453&lt;&gt;0,N453&lt;&gt;"NR"),DHR*W453,0)</f>
        <v>0</v>
      </c>
      <c r="BJ453" s="462">
        <f>IF(AT453&lt;&gt;0,WC*W453,0)</f>
        <v>0</v>
      </c>
      <c r="BK453" s="462">
        <f>IF(OR(AND(AT453&lt;&gt;0,AJ453&lt;&gt;"PF",AN453&lt;&gt;"NE",AG453&lt;&gt;"A"),AND(AL453="E",OR(AT453=1,AT453=3))),Sick*W453,0)</f>
        <v>0</v>
      </c>
      <c r="BL453" s="462">
        <f t="shared" si="124"/>
        <v>0</v>
      </c>
      <c r="BM453" s="462">
        <f t="shared" si="125"/>
        <v>0</v>
      </c>
      <c r="BN453" s="462">
        <f>IF(AND(AT453=1,AK453="E",AU453&gt;=0.75,AW453=1),HealthBY,IF(AND(AT453=1,AK453="E",AU453&gt;=0.75),HealthBY*P453,IF(AND(AT453=1,AK453="E",AU453&gt;=0.5,AW453=1),PTHealthBY,IF(AND(AT453=1,AK453="E",AU453&gt;=0.5),PTHealthBY*P453,0))))</f>
        <v>0</v>
      </c>
      <c r="BO453" s="462">
        <f>IF(AND(AT453=3,AK453="E",AV453&gt;=0.75,AW453=1),HealthBY,IF(AND(AT453=3,AK453="E",AV453&gt;=0.75),HealthBY*P453,IF(AND(AT453=3,AK453="E",AV453&gt;=0.5,AW453=1),PTHealthBY,IF(AND(AT453=3,AK453="E",AV453&gt;=0.5),PTHealthBY*P453,0))))</f>
        <v>0</v>
      </c>
      <c r="BP453" s="462">
        <f>IF(AND(AT453&lt;&gt;0,(AX453+BA453)&gt;=MAXSSDIBY),SSDIBY*MAXSSDIBY*P453,IF(AT453&lt;&gt;0,SSDIBY*W453,0))</f>
        <v>0</v>
      </c>
      <c r="BQ453" s="462">
        <f>IF(AT453&lt;&gt;0,SSHIBY*W453,0)</f>
        <v>0</v>
      </c>
      <c r="BR453" s="462">
        <f>IF(AND(AT453&lt;&gt;0,AN453&lt;&gt;"NE"),VLOOKUP(AN453,Retirement_Rates,4,FALSE)*W453,0)</f>
        <v>0</v>
      </c>
      <c r="BS453" s="462">
        <f>IF(AND(AT453&lt;&gt;0,AJ453&lt;&gt;"PF"),LifeBY*W453,0)</f>
        <v>0</v>
      </c>
      <c r="BT453" s="462">
        <f>IF(AND(AT453&lt;&gt;0,AM453="Y"),UIBY*W453,0)</f>
        <v>0</v>
      </c>
      <c r="BU453" s="462">
        <f>IF(AND(AT453&lt;&gt;0,N453&lt;&gt;"NR"),DHRBY*W453,0)</f>
        <v>0</v>
      </c>
      <c r="BV453" s="462">
        <f>IF(AT453&lt;&gt;0,WCBY*W453,0)</f>
        <v>0</v>
      </c>
      <c r="BW453" s="462">
        <f>IF(OR(AND(AT453&lt;&gt;0,AJ453&lt;&gt;"PF",AN453&lt;&gt;"NE",AG453&lt;&gt;"A"),AND(AL453="E",OR(AT453=1,AT453=3))),SickBY*W453,0)</f>
        <v>0</v>
      </c>
      <c r="BX453" s="462">
        <f t="shared" si="126"/>
        <v>0</v>
      </c>
      <c r="BY453" s="462">
        <f t="shared" si="127"/>
        <v>0</v>
      </c>
      <c r="BZ453" s="462">
        <f t="shared" si="128"/>
        <v>0</v>
      </c>
      <c r="CA453" s="462">
        <f t="shared" si="129"/>
        <v>0</v>
      </c>
      <c r="CB453" s="462">
        <f t="shared" si="130"/>
        <v>0</v>
      </c>
      <c r="CC453" s="462">
        <f>IF(AT453&lt;&gt;0,SSHICHG*Y453,0)</f>
        <v>0</v>
      </c>
      <c r="CD453" s="462">
        <f>IF(AND(AT453&lt;&gt;0,AN453&lt;&gt;"NE"),VLOOKUP(AN453,Retirement_Rates,5,FALSE)*Y453,0)</f>
        <v>0</v>
      </c>
      <c r="CE453" s="462">
        <f>IF(AND(AT453&lt;&gt;0,AJ453&lt;&gt;"PF"),LifeCHG*Y453,0)</f>
        <v>0</v>
      </c>
      <c r="CF453" s="462">
        <f>IF(AND(AT453&lt;&gt;0,AM453="Y"),UICHG*Y453,0)</f>
        <v>0</v>
      </c>
      <c r="CG453" s="462">
        <f>IF(AND(AT453&lt;&gt;0,N453&lt;&gt;"NR"),DHRCHG*Y453,0)</f>
        <v>0</v>
      </c>
      <c r="CH453" s="462">
        <f>IF(AT453&lt;&gt;0,WCCHG*Y453,0)</f>
        <v>0</v>
      </c>
      <c r="CI453" s="462">
        <f>IF(OR(AND(AT453&lt;&gt;0,AJ453&lt;&gt;"PF",AN453&lt;&gt;"NE",AG453&lt;&gt;"A"),AND(AL453="E",OR(AT453=1,AT453=3))),SickCHG*Y453,0)</f>
        <v>0</v>
      </c>
      <c r="CJ453" s="462">
        <f t="shared" si="131"/>
        <v>0</v>
      </c>
      <c r="CK453" s="462" t="str">
        <f t="shared" si="132"/>
        <v/>
      </c>
      <c r="CL453" s="462">
        <f t="shared" si="133"/>
        <v>12.5</v>
      </c>
      <c r="CM453" s="462">
        <f t="shared" si="134"/>
        <v>1.34</v>
      </c>
      <c r="CN453" s="462" t="str">
        <f t="shared" si="135"/>
        <v>0330-07</v>
      </c>
    </row>
    <row r="454" spans="1:92" ht="15" thickBot="1" x14ac:dyDescent="0.35">
      <c r="A454" s="376" t="s">
        <v>161</v>
      </c>
      <c r="B454" s="376" t="s">
        <v>162</v>
      </c>
      <c r="C454" s="376" t="s">
        <v>1129</v>
      </c>
      <c r="D454" s="376" t="s">
        <v>1130</v>
      </c>
      <c r="E454" s="376" t="s">
        <v>165</v>
      </c>
      <c r="F454" s="377" t="s">
        <v>166</v>
      </c>
      <c r="G454" s="376" t="s">
        <v>1131</v>
      </c>
      <c r="H454" s="378"/>
      <c r="I454" s="378"/>
      <c r="J454" s="376" t="s">
        <v>168</v>
      </c>
      <c r="K454" s="376" t="s">
        <v>1132</v>
      </c>
      <c r="L454" s="376" t="s">
        <v>166</v>
      </c>
      <c r="M454" s="376" t="s">
        <v>201</v>
      </c>
      <c r="N454" s="376" t="s">
        <v>171</v>
      </c>
      <c r="O454" s="379">
        <v>0</v>
      </c>
      <c r="P454" s="460">
        <v>1</v>
      </c>
      <c r="Q454" s="460">
        <v>1</v>
      </c>
      <c r="R454" s="380">
        <v>80</v>
      </c>
      <c r="S454" s="460">
        <v>1</v>
      </c>
      <c r="T454" s="380">
        <v>19523.75</v>
      </c>
      <c r="U454" s="380">
        <v>0</v>
      </c>
      <c r="V454" s="380">
        <v>14460.18</v>
      </c>
      <c r="W454" s="380">
        <v>19500</v>
      </c>
      <c r="X454" s="380">
        <v>8541</v>
      </c>
      <c r="Y454" s="380">
        <v>19500</v>
      </c>
      <c r="Z454" s="380">
        <v>8443.5</v>
      </c>
      <c r="AA454" s="378"/>
      <c r="AB454" s="376" t="s">
        <v>45</v>
      </c>
      <c r="AC454" s="376" t="s">
        <v>45</v>
      </c>
      <c r="AD454" s="378"/>
      <c r="AE454" s="378"/>
      <c r="AF454" s="378"/>
      <c r="AG454" s="378"/>
      <c r="AH454" s="379">
        <v>0</v>
      </c>
      <c r="AI454" s="379">
        <v>0</v>
      </c>
      <c r="AJ454" s="378"/>
      <c r="AK454" s="378"/>
      <c r="AL454" s="376" t="s">
        <v>180</v>
      </c>
      <c r="AM454" s="378"/>
      <c r="AN454" s="378"/>
      <c r="AO454" s="379">
        <v>0</v>
      </c>
      <c r="AP454" s="460">
        <v>0</v>
      </c>
      <c r="AQ454" s="460">
        <v>0</v>
      </c>
      <c r="AR454" s="459"/>
      <c r="AS454" s="462">
        <f t="shared" si="119"/>
        <v>0</v>
      </c>
      <c r="AT454">
        <f t="shared" si="120"/>
        <v>0</v>
      </c>
      <c r="AU454" s="462" t="str">
        <f>IF(AT454=0,"",IF(AND(AT454=1,M454="F",SUMIF(C2:C698,C454,AS2:AS698)&lt;=1),SUMIF(C2:C698,C454,AS2:AS698),IF(AND(AT454=1,M454="F",SUMIF(C2:C698,C454,AS2:AS698)&gt;1),1,"")))</f>
        <v/>
      </c>
      <c r="AV454" s="462" t="str">
        <f>IF(AT454=0,"",IF(AND(AT454=3,M454="F",SUMIF(C2:C698,C454,AS2:AS698)&lt;=1),SUMIF(C2:C698,C454,AS2:AS698),IF(AND(AT454=3,M454="F",SUMIF(C2:C698,C454,AS2:AS698)&gt;1),1,"")))</f>
        <v/>
      </c>
      <c r="AW454" s="462">
        <f>SUMIF(C2:C698,C454,O2:O698)</f>
        <v>0</v>
      </c>
      <c r="AX454" s="462">
        <f>IF(AND(M454="F",AS454&lt;&gt;0),SUMIF(C2:C698,C454,W2:W698),0)</f>
        <v>0</v>
      </c>
      <c r="AY454" s="462" t="str">
        <f t="shared" si="121"/>
        <v/>
      </c>
      <c r="AZ454" s="462" t="str">
        <f t="shared" si="122"/>
        <v/>
      </c>
      <c r="BA454" s="462">
        <f t="shared" si="123"/>
        <v>0</v>
      </c>
      <c r="BB454" s="462">
        <f>IF(AND(AT454=1,AK454="E",AU454&gt;=0.75,AW454=1),Health,IF(AND(AT454=1,AK454="E",AU454&gt;=0.75),Health*P454,IF(AND(AT454=1,AK454="E",AU454&gt;=0.5,AW454=1),PTHealth,IF(AND(AT454=1,AK454="E",AU454&gt;=0.5),PTHealth*P454,0))))</f>
        <v>0</v>
      </c>
      <c r="BC454" s="462">
        <f>IF(AND(AT454=3,AK454="E",AV454&gt;=0.75,AW454=1),Health,IF(AND(AT454=3,AK454="E",AV454&gt;=0.75),Health*P454,IF(AND(AT454=3,AK454="E",AV454&gt;=0.5,AW454=1),PTHealth,IF(AND(AT454=3,AK454="E",AV454&gt;=0.5),PTHealth*P454,0))))</f>
        <v>0</v>
      </c>
      <c r="BD454" s="462">
        <f>IF(AND(AT454&lt;&gt;0,AX454&gt;=MAXSSDI),SSDI*MAXSSDI*P454,IF(AT454&lt;&gt;0,SSDI*W454,0))</f>
        <v>0</v>
      </c>
      <c r="BE454" s="462">
        <f>IF(AT454&lt;&gt;0,SSHI*W454,0)</f>
        <v>0</v>
      </c>
      <c r="BF454" s="462">
        <f>IF(AND(AT454&lt;&gt;0,AN454&lt;&gt;"NE"),VLOOKUP(AN454,Retirement_Rates,3,FALSE)*W454,0)</f>
        <v>0</v>
      </c>
      <c r="BG454" s="462">
        <f>IF(AND(AT454&lt;&gt;0,AJ454&lt;&gt;"PF"),Life*W454,0)</f>
        <v>0</v>
      </c>
      <c r="BH454" s="462">
        <f>IF(AND(AT454&lt;&gt;0,AM454="Y"),UI*W454,0)</f>
        <v>0</v>
      </c>
      <c r="BI454" s="462">
        <f>IF(AND(AT454&lt;&gt;0,N454&lt;&gt;"NR"),DHR*W454,0)</f>
        <v>0</v>
      </c>
      <c r="BJ454" s="462">
        <f>IF(AT454&lt;&gt;0,WC*W454,0)</f>
        <v>0</v>
      </c>
      <c r="BK454" s="462">
        <f>IF(OR(AND(AT454&lt;&gt;0,AJ454&lt;&gt;"PF",AN454&lt;&gt;"NE",AG454&lt;&gt;"A"),AND(AL454="E",OR(AT454=1,AT454=3))),Sick*W454,0)</f>
        <v>0</v>
      </c>
      <c r="BL454" s="462">
        <f t="shared" si="124"/>
        <v>0</v>
      </c>
      <c r="BM454" s="462">
        <f t="shared" si="125"/>
        <v>0</v>
      </c>
      <c r="BN454" s="462">
        <f>IF(AND(AT454=1,AK454="E",AU454&gt;=0.75,AW454=1),HealthBY,IF(AND(AT454=1,AK454="E",AU454&gt;=0.75),HealthBY*P454,IF(AND(AT454=1,AK454="E",AU454&gt;=0.5,AW454=1),PTHealthBY,IF(AND(AT454=1,AK454="E",AU454&gt;=0.5),PTHealthBY*P454,0))))</f>
        <v>0</v>
      </c>
      <c r="BO454" s="462">
        <f>IF(AND(AT454=3,AK454="E",AV454&gt;=0.75,AW454=1),HealthBY,IF(AND(AT454=3,AK454="E",AV454&gt;=0.75),HealthBY*P454,IF(AND(AT454=3,AK454="E",AV454&gt;=0.5,AW454=1),PTHealthBY,IF(AND(AT454=3,AK454="E",AV454&gt;=0.5),PTHealthBY*P454,0))))</f>
        <v>0</v>
      </c>
      <c r="BP454" s="462">
        <f>IF(AND(AT454&lt;&gt;0,(AX454+BA454)&gt;=MAXSSDIBY),SSDIBY*MAXSSDIBY*P454,IF(AT454&lt;&gt;0,SSDIBY*W454,0))</f>
        <v>0</v>
      </c>
      <c r="BQ454" s="462">
        <f>IF(AT454&lt;&gt;0,SSHIBY*W454,0)</f>
        <v>0</v>
      </c>
      <c r="BR454" s="462">
        <f>IF(AND(AT454&lt;&gt;0,AN454&lt;&gt;"NE"),VLOOKUP(AN454,Retirement_Rates,4,FALSE)*W454,0)</f>
        <v>0</v>
      </c>
      <c r="BS454" s="462">
        <f>IF(AND(AT454&lt;&gt;0,AJ454&lt;&gt;"PF"),LifeBY*W454,0)</f>
        <v>0</v>
      </c>
      <c r="BT454" s="462">
        <f>IF(AND(AT454&lt;&gt;0,AM454="Y"),UIBY*W454,0)</f>
        <v>0</v>
      </c>
      <c r="BU454" s="462">
        <f>IF(AND(AT454&lt;&gt;0,N454&lt;&gt;"NR"),DHRBY*W454,0)</f>
        <v>0</v>
      </c>
      <c r="BV454" s="462">
        <f>IF(AT454&lt;&gt;0,WCBY*W454,0)</f>
        <v>0</v>
      </c>
      <c r="BW454" s="462">
        <f>IF(OR(AND(AT454&lt;&gt;0,AJ454&lt;&gt;"PF",AN454&lt;&gt;"NE",AG454&lt;&gt;"A"),AND(AL454="E",OR(AT454=1,AT454=3))),SickBY*W454,0)</f>
        <v>0</v>
      </c>
      <c r="BX454" s="462">
        <f t="shared" si="126"/>
        <v>0</v>
      </c>
      <c r="BY454" s="462">
        <f t="shared" si="127"/>
        <v>0</v>
      </c>
      <c r="BZ454" s="462">
        <f t="shared" si="128"/>
        <v>0</v>
      </c>
      <c r="CA454" s="462">
        <f t="shared" si="129"/>
        <v>0</v>
      </c>
      <c r="CB454" s="462">
        <f t="shared" si="130"/>
        <v>0</v>
      </c>
      <c r="CC454" s="462">
        <f>IF(AT454&lt;&gt;0,SSHICHG*Y454,0)</f>
        <v>0</v>
      </c>
      <c r="CD454" s="462">
        <f>IF(AND(AT454&lt;&gt;0,AN454&lt;&gt;"NE"),VLOOKUP(AN454,Retirement_Rates,5,FALSE)*Y454,0)</f>
        <v>0</v>
      </c>
      <c r="CE454" s="462">
        <f>IF(AND(AT454&lt;&gt;0,AJ454&lt;&gt;"PF"),LifeCHG*Y454,0)</f>
        <v>0</v>
      </c>
      <c r="CF454" s="462">
        <f>IF(AND(AT454&lt;&gt;0,AM454="Y"),UICHG*Y454,0)</f>
        <v>0</v>
      </c>
      <c r="CG454" s="462">
        <f>IF(AND(AT454&lt;&gt;0,N454&lt;&gt;"NR"),DHRCHG*Y454,0)</f>
        <v>0</v>
      </c>
      <c r="CH454" s="462">
        <f>IF(AT454&lt;&gt;0,WCCHG*Y454,0)</f>
        <v>0</v>
      </c>
      <c r="CI454" s="462">
        <f>IF(OR(AND(AT454&lt;&gt;0,AJ454&lt;&gt;"PF",AN454&lt;&gt;"NE",AG454&lt;&gt;"A"),AND(AL454="E",OR(AT454=1,AT454=3))),SickCHG*Y454,0)</f>
        <v>0</v>
      </c>
      <c r="CJ454" s="462">
        <f t="shared" si="131"/>
        <v>0</v>
      </c>
      <c r="CK454" s="462" t="str">
        <f t="shared" si="132"/>
        <v/>
      </c>
      <c r="CL454" s="462" t="str">
        <f t="shared" si="133"/>
        <v/>
      </c>
      <c r="CM454" s="462" t="str">
        <f t="shared" si="134"/>
        <v/>
      </c>
      <c r="CN454" s="462" t="str">
        <f t="shared" si="135"/>
        <v>0001-00</v>
      </c>
    </row>
    <row r="455" spans="1:92" ht="15" thickBot="1" x14ac:dyDescent="0.35">
      <c r="A455" s="376" t="s">
        <v>161</v>
      </c>
      <c r="B455" s="376" t="s">
        <v>162</v>
      </c>
      <c r="C455" s="376" t="s">
        <v>398</v>
      </c>
      <c r="D455" s="376" t="s">
        <v>365</v>
      </c>
      <c r="E455" s="376" t="s">
        <v>165</v>
      </c>
      <c r="F455" s="377" t="s">
        <v>166</v>
      </c>
      <c r="G455" s="376" t="s">
        <v>1131</v>
      </c>
      <c r="H455" s="378"/>
      <c r="I455" s="378"/>
      <c r="J455" s="376" t="s">
        <v>168</v>
      </c>
      <c r="K455" s="376" t="s">
        <v>366</v>
      </c>
      <c r="L455" s="376" t="s">
        <v>274</v>
      </c>
      <c r="M455" s="376" t="s">
        <v>170</v>
      </c>
      <c r="N455" s="376" t="s">
        <v>202</v>
      </c>
      <c r="O455" s="379">
        <v>1</v>
      </c>
      <c r="P455" s="460">
        <v>0</v>
      </c>
      <c r="Q455" s="460">
        <v>0</v>
      </c>
      <c r="R455" s="380">
        <v>80</v>
      </c>
      <c r="S455" s="460">
        <v>0</v>
      </c>
      <c r="T455" s="380">
        <v>1151.22</v>
      </c>
      <c r="U455" s="380">
        <v>0</v>
      </c>
      <c r="V455" s="380">
        <v>614.55999999999995</v>
      </c>
      <c r="W455" s="380">
        <v>0</v>
      </c>
      <c r="X455" s="380">
        <v>0</v>
      </c>
      <c r="Y455" s="380">
        <v>0</v>
      </c>
      <c r="Z455" s="380">
        <v>0</v>
      </c>
      <c r="AA455" s="376" t="s">
        <v>399</v>
      </c>
      <c r="AB455" s="376" t="s">
        <v>400</v>
      </c>
      <c r="AC455" s="376" t="s">
        <v>319</v>
      </c>
      <c r="AD455" s="376" t="s">
        <v>401</v>
      </c>
      <c r="AE455" s="376" t="s">
        <v>366</v>
      </c>
      <c r="AF455" s="376" t="s">
        <v>279</v>
      </c>
      <c r="AG455" s="376" t="s">
        <v>177</v>
      </c>
      <c r="AH455" s="381">
        <v>18.77</v>
      </c>
      <c r="AI455" s="381">
        <v>35305.5</v>
      </c>
      <c r="AJ455" s="376" t="s">
        <v>313</v>
      </c>
      <c r="AK455" s="376" t="s">
        <v>179</v>
      </c>
      <c r="AL455" s="376" t="s">
        <v>180</v>
      </c>
      <c r="AM455" s="376" t="s">
        <v>181</v>
      </c>
      <c r="AN455" s="376" t="s">
        <v>68</v>
      </c>
      <c r="AO455" s="379">
        <v>72</v>
      </c>
      <c r="AP455" s="460">
        <v>1</v>
      </c>
      <c r="AQ455" s="460">
        <v>0</v>
      </c>
      <c r="AR455" s="458" t="s">
        <v>182</v>
      </c>
      <c r="AS455" s="462">
        <f t="shared" si="119"/>
        <v>0</v>
      </c>
      <c r="AT455">
        <f t="shared" si="120"/>
        <v>0</v>
      </c>
      <c r="AU455" s="462" t="str">
        <f>IF(AT455=0,"",IF(AND(AT455=1,M455="F",SUMIF(C2:C698,C455,AS2:AS698)&lt;=1),SUMIF(C2:C698,C455,AS2:AS698),IF(AND(AT455=1,M455="F",SUMIF(C2:C698,C455,AS2:AS698)&gt;1),1,"")))</f>
        <v/>
      </c>
      <c r="AV455" s="462" t="str">
        <f>IF(AT455=0,"",IF(AND(AT455=3,M455="F",SUMIF(C2:C698,C455,AS2:AS698)&lt;=1),SUMIF(C2:C698,C455,AS2:AS698),IF(AND(AT455=3,M455="F",SUMIF(C2:C698,C455,AS2:AS698)&gt;1),1,"")))</f>
        <v/>
      </c>
      <c r="AW455" s="462">
        <f>SUMIF(C2:C698,C455,O2:O698)</f>
        <v>5</v>
      </c>
      <c r="AX455" s="462">
        <f>IF(AND(M455="F",AS455&lt;&gt;0),SUMIF(C2:C698,C455,W2:W698),0)</f>
        <v>0</v>
      </c>
      <c r="AY455" s="462" t="str">
        <f t="shared" si="121"/>
        <v/>
      </c>
      <c r="AZ455" s="462" t="str">
        <f t="shared" si="122"/>
        <v/>
      </c>
      <c r="BA455" s="462">
        <f t="shared" si="123"/>
        <v>0</v>
      </c>
      <c r="BB455" s="462">
        <f>IF(AND(AT455=1,AK455="E",AU455&gt;=0.75,AW455=1),Health,IF(AND(AT455=1,AK455="E",AU455&gt;=0.75),Health*P455,IF(AND(AT455=1,AK455="E",AU455&gt;=0.5,AW455=1),PTHealth,IF(AND(AT455=1,AK455="E",AU455&gt;=0.5),PTHealth*P455,0))))</f>
        <v>0</v>
      </c>
      <c r="BC455" s="462">
        <f>IF(AND(AT455=3,AK455="E",AV455&gt;=0.75,AW455=1),Health,IF(AND(AT455=3,AK455="E",AV455&gt;=0.75),Health*P455,IF(AND(AT455=3,AK455="E",AV455&gt;=0.5,AW455=1),PTHealth,IF(AND(AT455=3,AK455="E",AV455&gt;=0.5),PTHealth*P455,0))))</f>
        <v>0</v>
      </c>
      <c r="BD455" s="462">
        <f>IF(AND(AT455&lt;&gt;0,AX455&gt;=MAXSSDI),SSDI*MAXSSDI*P455,IF(AT455&lt;&gt;0,SSDI*W455,0))</f>
        <v>0</v>
      </c>
      <c r="BE455" s="462">
        <f>IF(AT455&lt;&gt;0,SSHI*W455,0)</f>
        <v>0</v>
      </c>
      <c r="BF455" s="462">
        <f>IF(AND(AT455&lt;&gt;0,AN455&lt;&gt;"NE"),VLOOKUP(AN455,Retirement_Rates,3,FALSE)*W455,0)</f>
        <v>0</v>
      </c>
      <c r="BG455" s="462">
        <f>IF(AND(AT455&lt;&gt;0,AJ455&lt;&gt;"PF"),Life*W455,0)</f>
        <v>0</v>
      </c>
      <c r="BH455" s="462">
        <f>IF(AND(AT455&lt;&gt;0,AM455="Y"),UI*W455,0)</f>
        <v>0</v>
      </c>
      <c r="BI455" s="462">
        <f>IF(AND(AT455&lt;&gt;0,N455&lt;&gt;"NR"),DHR*W455,0)</f>
        <v>0</v>
      </c>
      <c r="BJ455" s="462">
        <f>IF(AT455&lt;&gt;0,WC*W455,0)</f>
        <v>0</v>
      </c>
      <c r="BK455" s="462">
        <f>IF(OR(AND(AT455&lt;&gt;0,AJ455&lt;&gt;"PF",AN455&lt;&gt;"NE",AG455&lt;&gt;"A"),AND(AL455="E",OR(AT455=1,AT455=3))),Sick*W455,0)</f>
        <v>0</v>
      </c>
      <c r="BL455" s="462">
        <f t="shared" si="124"/>
        <v>0</v>
      </c>
      <c r="BM455" s="462">
        <f t="shared" si="125"/>
        <v>0</v>
      </c>
      <c r="BN455" s="462">
        <f>IF(AND(AT455=1,AK455="E",AU455&gt;=0.75,AW455=1),HealthBY,IF(AND(AT455=1,AK455="E",AU455&gt;=0.75),HealthBY*P455,IF(AND(AT455=1,AK455="E",AU455&gt;=0.5,AW455=1),PTHealthBY,IF(AND(AT455=1,AK455="E",AU455&gt;=0.5),PTHealthBY*P455,0))))</f>
        <v>0</v>
      </c>
      <c r="BO455" s="462">
        <f>IF(AND(AT455=3,AK455="E",AV455&gt;=0.75,AW455=1),HealthBY,IF(AND(AT455=3,AK455="E",AV455&gt;=0.75),HealthBY*P455,IF(AND(AT455=3,AK455="E",AV455&gt;=0.5,AW455=1),PTHealthBY,IF(AND(AT455=3,AK455="E",AV455&gt;=0.5),PTHealthBY*P455,0))))</f>
        <v>0</v>
      </c>
      <c r="BP455" s="462">
        <f>IF(AND(AT455&lt;&gt;0,(AX455+BA455)&gt;=MAXSSDIBY),SSDIBY*MAXSSDIBY*P455,IF(AT455&lt;&gt;0,SSDIBY*W455,0))</f>
        <v>0</v>
      </c>
      <c r="BQ455" s="462">
        <f>IF(AT455&lt;&gt;0,SSHIBY*W455,0)</f>
        <v>0</v>
      </c>
      <c r="BR455" s="462">
        <f>IF(AND(AT455&lt;&gt;0,AN455&lt;&gt;"NE"),VLOOKUP(AN455,Retirement_Rates,4,FALSE)*W455,0)</f>
        <v>0</v>
      </c>
      <c r="BS455" s="462">
        <f>IF(AND(AT455&lt;&gt;0,AJ455&lt;&gt;"PF"),LifeBY*W455,0)</f>
        <v>0</v>
      </c>
      <c r="BT455" s="462">
        <f>IF(AND(AT455&lt;&gt;0,AM455="Y"),UIBY*W455,0)</f>
        <v>0</v>
      </c>
      <c r="BU455" s="462">
        <f>IF(AND(AT455&lt;&gt;0,N455&lt;&gt;"NR"),DHRBY*W455,0)</f>
        <v>0</v>
      </c>
      <c r="BV455" s="462">
        <f>IF(AT455&lt;&gt;0,WCBY*W455,0)</f>
        <v>0</v>
      </c>
      <c r="BW455" s="462">
        <f>IF(OR(AND(AT455&lt;&gt;0,AJ455&lt;&gt;"PF",AN455&lt;&gt;"NE",AG455&lt;&gt;"A"),AND(AL455="E",OR(AT455=1,AT455=3))),SickBY*W455,0)</f>
        <v>0</v>
      </c>
      <c r="BX455" s="462">
        <f t="shared" si="126"/>
        <v>0</v>
      </c>
      <c r="BY455" s="462">
        <f t="shared" si="127"/>
        <v>0</v>
      </c>
      <c r="BZ455" s="462">
        <f t="shared" si="128"/>
        <v>0</v>
      </c>
      <c r="CA455" s="462">
        <f t="shared" si="129"/>
        <v>0</v>
      </c>
      <c r="CB455" s="462">
        <f t="shared" si="130"/>
        <v>0</v>
      </c>
      <c r="CC455" s="462">
        <f>IF(AT455&lt;&gt;0,SSHICHG*Y455,0)</f>
        <v>0</v>
      </c>
      <c r="CD455" s="462">
        <f>IF(AND(AT455&lt;&gt;0,AN455&lt;&gt;"NE"),VLOOKUP(AN455,Retirement_Rates,5,FALSE)*Y455,0)</f>
        <v>0</v>
      </c>
      <c r="CE455" s="462">
        <f>IF(AND(AT455&lt;&gt;0,AJ455&lt;&gt;"PF"),LifeCHG*Y455,0)</f>
        <v>0</v>
      </c>
      <c r="CF455" s="462">
        <f>IF(AND(AT455&lt;&gt;0,AM455="Y"),UICHG*Y455,0)</f>
        <v>0</v>
      </c>
      <c r="CG455" s="462">
        <f>IF(AND(AT455&lt;&gt;0,N455&lt;&gt;"NR"),DHRCHG*Y455,0)</f>
        <v>0</v>
      </c>
      <c r="CH455" s="462">
        <f>IF(AT455&lt;&gt;0,WCCHG*Y455,0)</f>
        <v>0</v>
      </c>
      <c r="CI455" s="462">
        <f>IF(OR(AND(AT455&lt;&gt;0,AJ455&lt;&gt;"PF",AN455&lt;&gt;"NE",AG455&lt;&gt;"A"),AND(AL455="E",OR(AT455=1,AT455=3))),SickCHG*Y455,0)</f>
        <v>0</v>
      </c>
      <c r="CJ455" s="462">
        <f t="shared" si="131"/>
        <v>0</v>
      </c>
      <c r="CK455" s="462" t="str">
        <f t="shared" si="132"/>
        <v/>
      </c>
      <c r="CL455" s="462" t="str">
        <f t="shared" si="133"/>
        <v/>
      </c>
      <c r="CM455" s="462" t="str">
        <f t="shared" si="134"/>
        <v/>
      </c>
      <c r="CN455" s="462" t="str">
        <f t="shared" si="135"/>
        <v>0001-00</v>
      </c>
    </row>
    <row r="456" spans="1:92" ht="15" thickBot="1" x14ac:dyDescent="0.35">
      <c r="A456" s="376" t="s">
        <v>161</v>
      </c>
      <c r="B456" s="376" t="s">
        <v>162</v>
      </c>
      <c r="C456" s="376" t="s">
        <v>364</v>
      </c>
      <c r="D456" s="376" t="s">
        <v>365</v>
      </c>
      <c r="E456" s="376" t="s">
        <v>165</v>
      </c>
      <c r="F456" s="377" t="s">
        <v>166</v>
      </c>
      <c r="G456" s="376" t="s">
        <v>1131</v>
      </c>
      <c r="H456" s="378"/>
      <c r="I456" s="378"/>
      <c r="J456" s="376" t="s">
        <v>168</v>
      </c>
      <c r="K456" s="376" t="s">
        <v>366</v>
      </c>
      <c r="L456" s="376" t="s">
        <v>274</v>
      </c>
      <c r="M456" s="376" t="s">
        <v>170</v>
      </c>
      <c r="N456" s="376" t="s">
        <v>202</v>
      </c>
      <c r="O456" s="379">
        <v>1</v>
      </c>
      <c r="P456" s="460">
        <v>0</v>
      </c>
      <c r="Q456" s="460">
        <v>0</v>
      </c>
      <c r="R456" s="380">
        <v>80</v>
      </c>
      <c r="S456" s="460">
        <v>0</v>
      </c>
      <c r="T456" s="380">
        <v>1148.72</v>
      </c>
      <c r="U456" s="380">
        <v>0</v>
      </c>
      <c r="V456" s="380">
        <v>601.57000000000005</v>
      </c>
      <c r="W456" s="380">
        <v>0</v>
      </c>
      <c r="X456" s="380">
        <v>0</v>
      </c>
      <c r="Y456" s="380">
        <v>0</v>
      </c>
      <c r="Z456" s="380">
        <v>0</v>
      </c>
      <c r="AA456" s="376" t="s">
        <v>367</v>
      </c>
      <c r="AB456" s="376" t="s">
        <v>368</v>
      </c>
      <c r="AC456" s="376" t="s">
        <v>369</v>
      </c>
      <c r="AD456" s="376" t="s">
        <v>370</v>
      </c>
      <c r="AE456" s="376" t="s">
        <v>366</v>
      </c>
      <c r="AF456" s="376" t="s">
        <v>279</v>
      </c>
      <c r="AG456" s="376" t="s">
        <v>177</v>
      </c>
      <c r="AH456" s="381">
        <v>18.46</v>
      </c>
      <c r="AI456" s="379">
        <v>16594</v>
      </c>
      <c r="AJ456" s="376" t="s">
        <v>178</v>
      </c>
      <c r="AK456" s="376" t="s">
        <v>179</v>
      </c>
      <c r="AL456" s="376" t="s">
        <v>180</v>
      </c>
      <c r="AM456" s="376" t="s">
        <v>181</v>
      </c>
      <c r="AN456" s="376" t="s">
        <v>68</v>
      </c>
      <c r="AO456" s="379">
        <v>80</v>
      </c>
      <c r="AP456" s="460">
        <v>1</v>
      </c>
      <c r="AQ456" s="460">
        <v>0</v>
      </c>
      <c r="AR456" s="458" t="s">
        <v>182</v>
      </c>
      <c r="AS456" s="462">
        <f t="shared" si="119"/>
        <v>0</v>
      </c>
      <c r="AT456">
        <f t="shared" si="120"/>
        <v>0</v>
      </c>
      <c r="AU456" s="462" t="str">
        <f>IF(AT456=0,"",IF(AND(AT456=1,M456="F",SUMIF(C2:C698,C456,AS2:AS698)&lt;=1),SUMIF(C2:C698,C456,AS2:AS698),IF(AND(AT456=1,M456="F",SUMIF(C2:C698,C456,AS2:AS698)&gt;1),1,"")))</f>
        <v/>
      </c>
      <c r="AV456" s="462" t="str">
        <f>IF(AT456=0,"",IF(AND(AT456=3,M456="F",SUMIF(C2:C698,C456,AS2:AS698)&lt;=1),SUMIF(C2:C698,C456,AS2:AS698),IF(AND(AT456=3,M456="F",SUMIF(C2:C698,C456,AS2:AS698)&gt;1),1,"")))</f>
        <v/>
      </c>
      <c r="AW456" s="462">
        <f>SUMIF(C2:C698,C456,O2:O698)</f>
        <v>7</v>
      </c>
      <c r="AX456" s="462">
        <f>IF(AND(M456="F",AS456&lt;&gt;0),SUMIF(C2:C698,C456,W2:W698),0)</f>
        <v>0</v>
      </c>
      <c r="AY456" s="462" t="str">
        <f t="shared" si="121"/>
        <v/>
      </c>
      <c r="AZ456" s="462" t="str">
        <f t="shared" si="122"/>
        <v/>
      </c>
      <c r="BA456" s="462">
        <f t="shared" si="123"/>
        <v>0</v>
      </c>
      <c r="BB456" s="462">
        <f>IF(AND(AT456=1,AK456="E",AU456&gt;=0.75,AW456=1),Health,IF(AND(AT456=1,AK456="E",AU456&gt;=0.75),Health*P456,IF(AND(AT456=1,AK456="E",AU456&gt;=0.5,AW456=1),PTHealth,IF(AND(AT456=1,AK456="E",AU456&gt;=0.5),PTHealth*P456,0))))</f>
        <v>0</v>
      </c>
      <c r="BC456" s="462">
        <f>IF(AND(AT456=3,AK456="E",AV456&gt;=0.75,AW456=1),Health,IF(AND(AT456=3,AK456="E",AV456&gt;=0.75),Health*P456,IF(AND(AT456=3,AK456="E",AV456&gt;=0.5,AW456=1),PTHealth,IF(AND(AT456=3,AK456="E",AV456&gt;=0.5),PTHealth*P456,0))))</f>
        <v>0</v>
      </c>
      <c r="BD456" s="462">
        <f>IF(AND(AT456&lt;&gt;0,AX456&gt;=MAXSSDI),SSDI*MAXSSDI*P456,IF(AT456&lt;&gt;0,SSDI*W456,0))</f>
        <v>0</v>
      </c>
      <c r="BE456" s="462">
        <f>IF(AT456&lt;&gt;0,SSHI*W456,0)</f>
        <v>0</v>
      </c>
      <c r="BF456" s="462">
        <f>IF(AND(AT456&lt;&gt;0,AN456&lt;&gt;"NE"),VLOOKUP(AN456,Retirement_Rates,3,FALSE)*W456,0)</f>
        <v>0</v>
      </c>
      <c r="BG456" s="462">
        <f>IF(AND(AT456&lt;&gt;0,AJ456&lt;&gt;"PF"),Life*W456,0)</f>
        <v>0</v>
      </c>
      <c r="BH456" s="462">
        <f>IF(AND(AT456&lt;&gt;0,AM456="Y"),UI*W456,0)</f>
        <v>0</v>
      </c>
      <c r="BI456" s="462">
        <f>IF(AND(AT456&lt;&gt;0,N456&lt;&gt;"NR"),DHR*W456,0)</f>
        <v>0</v>
      </c>
      <c r="BJ456" s="462">
        <f>IF(AT456&lt;&gt;0,WC*W456,0)</f>
        <v>0</v>
      </c>
      <c r="BK456" s="462">
        <f>IF(OR(AND(AT456&lt;&gt;0,AJ456&lt;&gt;"PF",AN456&lt;&gt;"NE",AG456&lt;&gt;"A"),AND(AL456="E",OR(AT456=1,AT456=3))),Sick*W456,0)</f>
        <v>0</v>
      </c>
      <c r="BL456" s="462">
        <f t="shared" si="124"/>
        <v>0</v>
      </c>
      <c r="BM456" s="462">
        <f t="shared" si="125"/>
        <v>0</v>
      </c>
      <c r="BN456" s="462">
        <f>IF(AND(AT456=1,AK456="E",AU456&gt;=0.75,AW456=1),HealthBY,IF(AND(AT456=1,AK456="E",AU456&gt;=0.75),HealthBY*P456,IF(AND(AT456=1,AK456="E",AU456&gt;=0.5,AW456=1),PTHealthBY,IF(AND(AT456=1,AK456="E",AU456&gt;=0.5),PTHealthBY*P456,0))))</f>
        <v>0</v>
      </c>
      <c r="BO456" s="462">
        <f>IF(AND(AT456=3,AK456="E",AV456&gt;=0.75,AW456=1),HealthBY,IF(AND(AT456=3,AK456="E",AV456&gt;=0.75),HealthBY*P456,IF(AND(AT456=3,AK456="E",AV456&gt;=0.5,AW456=1),PTHealthBY,IF(AND(AT456=3,AK456="E",AV456&gt;=0.5),PTHealthBY*P456,0))))</f>
        <v>0</v>
      </c>
      <c r="BP456" s="462">
        <f>IF(AND(AT456&lt;&gt;0,(AX456+BA456)&gt;=MAXSSDIBY),SSDIBY*MAXSSDIBY*P456,IF(AT456&lt;&gt;0,SSDIBY*W456,0))</f>
        <v>0</v>
      </c>
      <c r="BQ456" s="462">
        <f>IF(AT456&lt;&gt;0,SSHIBY*W456,0)</f>
        <v>0</v>
      </c>
      <c r="BR456" s="462">
        <f>IF(AND(AT456&lt;&gt;0,AN456&lt;&gt;"NE"),VLOOKUP(AN456,Retirement_Rates,4,FALSE)*W456,0)</f>
        <v>0</v>
      </c>
      <c r="BS456" s="462">
        <f>IF(AND(AT456&lt;&gt;0,AJ456&lt;&gt;"PF"),LifeBY*W456,0)</f>
        <v>0</v>
      </c>
      <c r="BT456" s="462">
        <f>IF(AND(AT456&lt;&gt;0,AM456="Y"),UIBY*W456,0)</f>
        <v>0</v>
      </c>
      <c r="BU456" s="462">
        <f>IF(AND(AT456&lt;&gt;0,N456&lt;&gt;"NR"),DHRBY*W456,0)</f>
        <v>0</v>
      </c>
      <c r="BV456" s="462">
        <f>IF(AT456&lt;&gt;0,WCBY*W456,0)</f>
        <v>0</v>
      </c>
      <c r="BW456" s="462">
        <f>IF(OR(AND(AT456&lt;&gt;0,AJ456&lt;&gt;"PF",AN456&lt;&gt;"NE",AG456&lt;&gt;"A"),AND(AL456="E",OR(AT456=1,AT456=3))),SickBY*W456,0)</f>
        <v>0</v>
      </c>
      <c r="BX456" s="462">
        <f t="shared" si="126"/>
        <v>0</v>
      </c>
      <c r="BY456" s="462">
        <f t="shared" si="127"/>
        <v>0</v>
      </c>
      <c r="BZ456" s="462">
        <f t="shared" si="128"/>
        <v>0</v>
      </c>
      <c r="CA456" s="462">
        <f t="shared" si="129"/>
        <v>0</v>
      </c>
      <c r="CB456" s="462">
        <f t="shared" si="130"/>
        <v>0</v>
      </c>
      <c r="CC456" s="462">
        <f>IF(AT456&lt;&gt;0,SSHICHG*Y456,0)</f>
        <v>0</v>
      </c>
      <c r="CD456" s="462">
        <f>IF(AND(AT456&lt;&gt;0,AN456&lt;&gt;"NE"),VLOOKUP(AN456,Retirement_Rates,5,FALSE)*Y456,0)</f>
        <v>0</v>
      </c>
      <c r="CE456" s="462">
        <f>IF(AND(AT456&lt;&gt;0,AJ456&lt;&gt;"PF"),LifeCHG*Y456,0)</f>
        <v>0</v>
      </c>
      <c r="CF456" s="462">
        <f>IF(AND(AT456&lt;&gt;0,AM456="Y"),UICHG*Y456,0)</f>
        <v>0</v>
      </c>
      <c r="CG456" s="462">
        <f>IF(AND(AT456&lt;&gt;0,N456&lt;&gt;"NR"),DHRCHG*Y456,0)</f>
        <v>0</v>
      </c>
      <c r="CH456" s="462">
        <f>IF(AT456&lt;&gt;0,WCCHG*Y456,0)</f>
        <v>0</v>
      </c>
      <c r="CI456" s="462">
        <f>IF(OR(AND(AT456&lt;&gt;0,AJ456&lt;&gt;"PF",AN456&lt;&gt;"NE",AG456&lt;&gt;"A"),AND(AL456="E",OR(AT456=1,AT456=3))),SickCHG*Y456,0)</f>
        <v>0</v>
      </c>
      <c r="CJ456" s="462">
        <f t="shared" si="131"/>
        <v>0</v>
      </c>
      <c r="CK456" s="462" t="str">
        <f t="shared" si="132"/>
        <v/>
      </c>
      <c r="CL456" s="462" t="str">
        <f t="shared" si="133"/>
        <v/>
      </c>
      <c r="CM456" s="462" t="str">
        <f t="shared" si="134"/>
        <v/>
      </c>
      <c r="CN456" s="462" t="str">
        <f t="shared" si="135"/>
        <v>0001-00</v>
      </c>
    </row>
    <row r="457" spans="1:92" ht="15" thickBot="1" x14ac:dyDescent="0.35">
      <c r="A457" s="376" t="s">
        <v>161</v>
      </c>
      <c r="B457" s="376" t="s">
        <v>162</v>
      </c>
      <c r="C457" s="376" t="s">
        <v>398</v>
      </c>
      <c r="D457" s="376" t="s">
        <v>365</v>
      </c>
      <c r="E457" s="376" t="s">
        <v>535</v>
      </c>
      <c r="F457" s="382" t="s">
        <v>1133</v>
      </c>
      <c r="G457" s="376" t="s">
        <v>1131</v>
      </c>
      <c r="H457" s="378"/>
      <c r="I457" s="378"/>
      <c r="J457" s="376" t="s">
        <v>168</v>
      </c>
      <c r="K457" s="376" t="s">
        <v>366</v>
      </c>
      <c r="L457" s="376" t="s">
        <v>274</v>
      </c>
      <c r="M457" s="376" t="s">
        <v>170</v>
      </c>
      <c r="N457" s="376" t="s">
        <v>202</v>
      </c>
      <c r="O457" s="379">
        <v>1</v>
      </c>
      <c r="P457" s="460">
        <v>0</v>
      </c>
      <c r="Q457" s="460">
        <v>0</v>
      </c>
      <c r="R457" s="380">
        <v>80</v>
      </c>
      <c r="S457" s="460">
        <v>0</v>
      </c>
      <c r="T457" s="380">
        <v>50.68</v>
      </c>
      <c r="U457" s="380">
        <v>0</v>
      </c>
      <c r="V457" s="380">
        <v>35.090000000000003</v>
      </c>
      <c r="W457" s="380">
        <v>0</v>
      </c>
      <c r="X457" s="380">
        <v>0</v>
      </c>
      <c r="Y457" s="380">
        <v>0</v>
      </c>
      <c r="Z457" s="380">
        <v>0</v>
      </c>
      <c r="AA457" s="376" t="s">
        <v>399</v>
      </c>
      <c r="AB457" s="376" t="s">
        <v>400</v>
      </c>
      <c r="AC457" s="376" t="s">
        <v>319</v>
      </c>
      <c r="AD457" s="376" t="s">
        <v>401</v>
      </c>
      <c r="AE457" s="376" t="s">
        <v>366</v>
      </c>
      <c r="AF457" s="376" t="s">
        <v>279</v>
      </c>
      <c r="AG457" s="376" t="s">
        <v>177</v>
      </c>
      <c r="AH457" s="381">
        <v>18.77</v>
      </c>
      <c r="AI457" s="381">
        <v>35305.5</v>
      </c>
      <c r="AJ457" s="376" t="s">
        <v>313</v>
      </c>
      <c r="AK457" s="376" t="s">
        <v>179</v>
      </c>
      <c r="AL457" s="376" t="s">
        <v>180</v>
      </c>
      <c r="AM457" s="376" t="s">
        <v>181</v>
      </c>
      <c r="AN457" s="376" t="s">
        <v>68</v>
      </c>
      <c r="AO457" s="379">
        <v>72</v>
      </c>
      <c r="AP457" s="460">
        <v>1</v>
      </c>
      <c r="AQ457" s="460">
        <v>0</v>
      </c>
      <c r="AR457" s="458" t="s">
        <v>182</v>
      </c>
      <c r="AS457" s="462">
        <f t="shared" si="119"/>
        <v>0</v>
      </c>
      <c r="AT457">
        <f t="shared" si="120"/>
        <v>0</v>
      </c>
      <c r="AU457" s="462" t="str">
        <f>IF(AT457=0,"",IF(AND(AT457=1,M457="F",SUMIF(C2:C698,C457,AS2:AS698)&lt;=1),SUMIF(C2:C698,C457,AS2:AS698),IF(AND(AT457=1,M457="F",SUMIF(C2:C698,C457,AS2:AS698)&gt;1),1,"")))</f>
        <v/>
      </c>
      <c r="AV457" s="462" t="str">
        <f>IF(AT457=0,"",IF(AND(AT457=3,M457="F",SUMIF(C2:C698,C457,AS2:AS698)&lt;=1),SUMIF(C2:C698,C457,AS2:AS698),IF(AND(AT457=3,M457="F",SUMIF(C2:C698,C457,AS2:AS698)&gt;1),1,"")))</f>
        <v/>
      </c>
      <c r="AW457" s="462">
        <f>SUMIF(C2:C698,C457,O2:O698)</f>
        <v>5</v>
      </c>
      <c r="AX457" s="462">
        <f>IF(AND(M457="F",AS457&lt;&gt;0),SUMIF(C2:C698,C457,W2:W698),0)</f>
        <v>0</v>
      </c>
      <c r="AY457" s="462" t="str">
        <f t="shared" si="121"/>
        <v/>
      </c>
      <c r="AZ457" s="462" t="str">
        <f t="shared" si="122"/>
        <v/>
      </c>
      <c r="BA457" s="462">
        <f t="shared" si="123"/>
        <v>0</v>
      </c>
      <c r="BB457" s="462">
        <f>IF(AND(AT457=1,AK457="E",AU457&gt;=0.75,AW457=1),Health,IF(AND(AT457=1,AK457="E",AU457&gt;=0.75),Health*P457,IF(AND(AT457=1,AK457="E",AU457&gt;=0.5,AW457=1),PTHealth,IF(AND(AT457=1,AK457="E",AU457&gt;=0.5),PTHealth*P457,0))))</f>
        <v>0</v>
      </c>
      <c r="BC457" s="462">
        <f>IF(AND(AT457=3,AK457="E",AV457&gt;=0.75,AW457=1),Health,IF(AND(AT457=3,AK457="E",AV457&gt;=0.75),Health*P457,IF(AND(AT457=3,AK457="E",AV457&gt;=0.5,AW457=1),PTHealth,IF(AND(AT457=3,AK457="E",AV457&gt;=0.5),PTHealth*P457,0))))</f>
        <v>0</v>
      </c>
      <c r="BD457" s="462">
        <f>IF(AND(AT457&lt;&gt;0,AX457&gt;=MAXSSDI),SSDI*MAXSSDI*P457,IF(AT457&lt;&gt;0,SSDI*W457,0))</f>
        <v>0</v>
      </c>
      <c r="BE457" s="462">
        <f>IF(AT457&lt;&gt;0,SSHI*W457,0)</f>
        <v>0</v>
      </c>
      <c r="BF457" s="462">
        <f>IF(AND(AT457&lt;&gt;0,AN457&lt;&gt;"NE"),VLOOKUP(AN457,Retirement_Rates,3,FALSE)*W457,0)</f>
        <v>0</v>
      </c>
      <c r="BG457" s="462">
        <f>IF(AND(AT457&lt;&gt;0,AJ457&lt;&gt;"PF"),Life*W457,0)</f>
        <v>0</v>
      </c>
      <c r="BH457" s="462">
        <f>IF(AND(AT457&lt;&gt;0,AM457="Y"),UI*W457,0)</f>
        <v>0</v>
      </c>
      <c r="BI457" s="462">
        <f>IF(AND(AT457&lt;&gt;0,N457&lt;&gt;"NR"),DHR*W457,0)</f>
        <v>0</v>
      </c>
      <c r="BJ457" s="462">
        <f>IF(AT457&lt;&gt;0,WC*W457,0)</f>
        <v>0</v>
      </c>
      <c r="BK457" s="462">
        <f>IF(OR(AND(AT457&lt;&gt;0,AJ457&lt;&gt;"PF",AN457&lt;&gt;"NE",AG457&lt;&gt;"A"),AND(AL457="E",OR(AT457=1,AT457=3))),Sick*W457,0)</f>
        <v>0</v>
      </c>
      <c r="BL457" s="462">
        <f t="shared" si="124"/>
        <v>0</v>
      </c>
      <c r="BM457" s="462">
        <f t="shared" si="125"/>
        <v>0</v>
      </c>
      <c r="BN457" s="462">
        <f>IF(AND(AT457=1,AK457="E",AU457&gt;=0.75,AW457=1),HealthBY,IF(AND(AT457=1,AK457="E",AU457&gt;=0.75),HealthBY*P457,IF(AND(AT457=1,AK457="E",AU457&gt;=0.5,AW457=1),PTHealthBY,IF(AND(AT457=1,AK457="E",AU457&gt;=0.5),PTHealthBY*P457,0))))</f>
        <v>0</v>
      </c>
      <c r="BO457" s="462">
        <f>IF(AND(AT457=3,AK457="E",AV457&gt;=0.75,AW457=1),HealthBY,IF(AND(AT457=3,AK457="E",AV457&gt;=0.75),HealthBY*P457,IF(AND(AT457=3,AK457="E",AV457&gt;=0.5,AW457=1),PTHealthBY,IF(AND(AT457=3,AK457="E",AV457&gt;=0.5),PTHealthBY*P457,0))))</f>
        <v>0</v>
      </c>
      <c r="BP457" s="462">
        <f>IF(AND(AT457&lt;&gt;0,(AX457+BA457)&gt;=MAXSSDIBY),SSDIBY*MAXSSDIBY*P457,IF(AT457&lt;&gt;0,SSDIBY*W457,0))</f>
        <v>0</v>
      </c>
      <c r="BQ457" s="462">
        <f>IF(AT457&lt;&gt;0,SSHIBY*W457,0)</f>
        <v>0</v>
      </c>
      <c r="BR457" s="462">
        <f>IF(AND(AT457&lt;&gt;0,AN457&lt;&gt;"NE"),VLOOKUP(AN457,Retirement_Rates,4,FALSE)*W457,0)</f>
        <v>0</v>
      </c>
      <c r="BS457" s="462">
        <f>IF(AND(AT457&lt;&gt;0,AJ457&lt;&gt;"PF"),LifeBY*W457,0)</f>
        <v>0</v>
      </c>
      <c r="BT457" s="462">
        <f>IF(AND(AT457&lt;&gt;0,AM457="Y"),UIBY*W457,0)</f>
        <v>0</v>
      </c>
      <c r="BU457" s="462">
        <f>IF(AND(AT457&lt;&gt;0,N457&lt;&gt;"NR"),DHRBY*W457,0)</f>
        <v>0</v>
      </c>
      <c r="BV457" s="462">
        <f>IF(AT457&lt;&gt;0,WCBY*W457,0)</f>
        <v>0</v>
      </c>
      <c r="BW457" s="462">
        <f>IF(OR(AND(AT457&lt;&gt;0,AJ457&lt;&gt;"PF",AN457&lt;&gt;"NE",AG457&lt;&gt;"A"),AND(AL457="E",OR(AT457=1,AT457=3))),SickBY*W457,0)</f>
        <v>0</v>
      </c>
      <c r="BX457" s="462">
        <f t="shared" si="126"/>
        <v>0</v>
      </c>
      <c r="BY457" s="462">
        <f t="shared" si="127"/>
        <v>0</v>
      </c>
      <c r="BZ457" s="462">
        <f t="shared" si="128"/>
        <v>0</v>
      </c>
      <c r="CA457" s="462">
        <f t="shared" si="129"/>
        <v>0</v>
      </c>
      <c r="CB457" s="462">
        <f t="shared" si="130"/>
        <v>0</v>
      </c>
      <c r="CC457" s="462">
        <f>IF(AT457&lt;&gt;0,SSHICHG*Y457,0)</f>
        <v>0</v>
      </c>
      <c r="CD457" s="462">
        <f>IF(AND(AT457&lt;&gt;0,AN457&lt;&gt;"NE"),VLOOKUP(AN457,Retirement_Rates,5,FALSE)*Y457,0)</f>
        <v>0</v>
      </c>
      <c r="CE457" s="462">
        <f>IF(AND(AT457&lt;&gt;0,AJ457&lt;&gt;"PF"),LifeCHG*Y457,0)</f>
        <v>0</v>
      </c>
      <c r="CF457" s="462">
        <f>IF(AND(AT457&lt;&gt;0,AM457="Y"),UICHG*Y457,0)</f>
        <v>0</v>
      </c>
      <c r="CG457" s="462">
        <f>IF(AND(AT457&lt;&gt;0,N457&lt;&gt;"NR"),DHRCHG*Y457,0)</f>
        <v>0</v>
      </c>
      <c r="CH457" s="462">
        <f>IF(AT457&lt;&gt;0,WCCHG*Y457,0)</f>
        <v>0</v>
      </c>
      <c r="CI457" s="462">
        <f>IF(OR(AND(AT457&lt;&gt;0,AJ457&lt;&gt;"PF",AN457&lt;&gt;"NE",AG457&lt;&gt;"A"),AND(AL457="E",OR(AT457=1,AT457=3))),SickCHG*Y457,0)</f>
        <v>0</v>
      </c>
      <c r="CJ457" s="462">
        <f t="shared" si="131"/>
        <v>0</v>
      </c>
      <c r="CK457" s="462" t="str">
        <f t="shared" si="132"/>
        <v/>
      </c>
      <c r="CL457" s="462" t="str">
        <f t="shared" si="133"/>
        <v/>
      </c>
      <c r="CM457" s="462" t="str">
        <f t="shared" si="134"/>
        <v/>
      </c>
      <c r="CN457" s="462" t="str">
        <f t="shared" si="135"/>
        <v>0332-03</v>
      </c>
    </row>
    <row r="458" spans="1:92" ht="15" thickBot="1" x14ac:dyDescent="0.35">
      <c r="A458" s="376" t="s">
        <v>161</v>
      </c>
      <c r="B458" s="376" t="s">
        <v>162</v>
      </c>
      <c r="C458" s="376" t="s">
        <v>450</v>
      </c>
      <c r="D458" s="376" t="s">
        <v>272</v>
      </c>
      <c r="E458" s="376" t="s">
        <v>535</v>
      </c>
      <c r="F458" s="382" t="s">
        <v>1133</v>
      </c>
      <c r="G458" s="376" t="s">
        <v>1131</v>
      </c>
      <c r="H458" s="378"/>
      <c r="I458" s="378"/>
      <c r="J458" s="376" t="s">
        <v>185</v>
      </c>
      <c r="K458" s="376" t="s">
        <v>273</v>
      </c>
      <c r="L458" s="376" t="s">
        <v>274</v>
      </c>
      <c r="M458" s="376" t="s">
        <v>170</v>
      </c>
      <c r="N458" s="376" t="s">
        <v>202</v>
      </c>
      <c r="O458" s="379">
        <v>1</v>
      </c>
      <c r="P458" s="460">
        <v>0</v>
      </c>
      <c r="Q458" s="460">
        <v>0</v>
      </c>
      <c r="R458" s="380">
        <v>80</v>
      </c>
      <c r="S458" s="460">
        <v>0</v>
      </c>
      <c r="T458" s="380">
        <v>103.04</v>
      </c>
      <c r="U458" s="380">
        <v>0</v>
      </c>
      <c r="V458" s="380">
        <v>45.46</v>
      </c>
      <c r="W458" s="380">
        <v>0</v>
      </c>
      <c r="X458" s="380">
        <v>0</v>
      </c>
      <c r="Y458" s="380">
        <v>0</v>
      </c>
      <c r="Z458" s="380">
        <v>0</v>
      </c>
      <c r="AA458" s="376" t="s">
        <v>451</v>
      </c>
      <c r="AB458" s="376" t="s">
        <v>452</v>
      </c>
      <c r="AC458" s="376" t="s">
        <v>453</v>
      </c>
      <c r="AD458" s="376" t="s">
        <v>370</v>
      </c>
      <c r="AE458" s="376" t="s">
        <v>273</v>
      </c>
      <c r="AF458" s="376" t="s">
        <v>279</v>
      </c>
      <c r="AG458" s="376" t="s">
        <v>177</v>
      </c>
      <c r="AH458" s="381">
        <v>27.38</v>
      </c>
      <c r="AI458" s="381">
        <v>100037.7</v>
      </c>
      <c r="AJ458" s="376" t="s">
        <v>178</v>
      </c>
      <c r="AK458" s="376" t="s">
        <v>179</v>
      </c>
      <c r="AL458" s="376" t="s">
        <v>180</v>
      </c>
      <c r="AM458" s="376" t="s">
        <v>181</v>
      </c>
      <c r="AN458" s="376" t="s">
        <v>68</v>
      </c>
      <c r="AO458" s="379">
        <v>80</v>
      </c>
      <c r="AP458" s="460">
        <v>1</v>
      </c>
      <c r="AQ458" s="460">
        <v>0</v>
      </c>
      <c r="AR458" s="458" t="s">
        <v>182</v>
      </c>
      <c r="AS458" s="462">
        <f t="shared" si="119"/>
        <v>0</v>
      </c>
      <c r="AT458">
        <f t="shared" si="120"/>
        <v>0</v>
      </c>
      <c r="AU458" s="462" t="str">
        <f>IF(AT458=0,"",IF(AND(AT458=1,M458="F",SUMIF(C2:C698,C458,AS2:AS698)&lt;=1),SUMIF(C2:C698,C458,AS2:AS698),IF(AND(AT458=1,M458="F",SUMIF(C2:C698,C458,AS2:AS698)&gt;1),1,"")))</f>
        <v/>
      </c>
      <c r="AV458" s="462" t="str">
        <f>IF(AT458=0,"",IF(AND(AT458=3,M458="F",SUMIF(C2:C698,C458,AS2:AS698)&lt;=1),SUMIF(C2:C698,C458,AS2:AS698),IF(AND(AT458=3,M458="F",SUMIF(C2:C698,C458,AS2:AS698)&gt;1),1,"")))</f>
        <v/>
      </c>
      <c r="AW458" s="462">
        <f>SUMIF(C2:C698,C458,O2:O698)</f>
        <v>6</v>
      </c>
      <c r="AX458" s="462">
        <f>IF(AND(M458="F",AS458&lt;&gt;0),SUMIF(C2:C698,C458,W2:W698),0)</f>
        <v>0</v>
      </c>
      <c r="AY458" s="462" t="str">
        <f t="shared" si="121"/>
        <v/>
      </c>
      <c r="AZ458" s="462" t="str">
        <f t="shared" si="122"/>
        <v/>
      </c>
      <c r="BA458" s="462">
        <f t="shared" si="123"/>
        <v>0</v>
      </c>
      <c r="BB458" s="462">
        <f>IF(AND(AT458=1,AK458="E",AU458&gt;=0.75,AW458=1),Health,IF(AND(AT458=1,AK458="E",AU458&gt;=0.75),Health*P458,IF(AND(AT458=1,AK458="E",AU458&gt;=0.5,AW458=1),PTHealth,IF(AND(AT458=1,AK458="E",AU458&gt;=0.5),PTHealth*P458,0))))</f>
        <v>0</v>
      </c>
      <c r="BC458" s="462">
        <f>IF(AND(AT458=3,AK458="E",AV458&gt;=0.75,AW458=1),Health,IF(AND(AT458=3,AK458="E",AV458&gt;=0.75),Health*P458,IF(AND(AT458=3,AK458="E",AV458&gt;=0.5,AW458=1),PTHealth,IF(AND(AT458=3,AK458="E",AV458&gt;=0.5),PTHealth*P458,0))))</f>
        <v>0</v>
      </c>
      <c r="BD458" s="462">
        <f>IF(AND(AT458&lt;&gt;0,AX458&gt;=MAXSSDI),SSDI*MAXSSDI*P458,IF(AT458&lt;&gt;0,SSDI*W458,0))</f>
        <v>0</v>
      </c>
      <c r="BE458" s="462">
        <f>IF(AT458&lt;&gt;0,SSHI*W458,0)</f>
        <v>0</v>
      </c>
      <c r="BF458" s="462">
        <f>IF(AND(AT458&lt;&gt;0,AN458&lt;&gt;"NE"),VLOOKUP(AN458,Retirement_Rates,3,FALSE)*W458,0)</f>
        <v>0</v>
      </c>
      <c r="BG458" s="462">
        <f>IF(AND(AT458&lt;&gt;0,AJ458&lt;&gt;"PF"),Life*W458,0)</f>
        <v>0</v>
      </c>
      <c r="BH458" s="462">
        <f>IF(AND(AT458&lt;&gt;0,AM458="Y"),UI*W458,0)</f>
        <v>0</v>
      </c>
      <c r="BI458" s="462">
        <f>IF(AND(AT458&lt;&gt;0,N458&lt;&gt;"NR"),DHR*W458,0)</f>
        <v>0</v>
      </c>
      <c r="BJ458" s="462">
        <f>IF(AT458&lt;&gt;0,WC*W458,0)</f>
        <v>0</v>
      </c>
      <c r="BK458" s="462">
        <f>IF(OR(AND(AT458&lt;&gt;0,AJ458&lt;&gt;"PF",AN458&lt;&gt;"NE",AG458&lt;&gt;"A"),AND(AL458="E",OR(AT458=1,AT458=3))),Sick*W458,0)</f>
        <v>0</v>
      </c>
      <c r="BL458" s="462">
        <f t="shared" si="124"/>
        <v>0</v>
      </c>
      <c r="BM458" s="462">
        <f t="shared" si="125"/>
        <v>0</v>
      </c>
      <c r="BN458" s="462">
        <f>IF(AND(AT458=1,AK458="E",AU458&gt;=0.75,AW458=1),HealthBY,IF(AND(AT458=1,AK458="E",AU458&gt;=0.75),HealthBY*P458,IF(AND(AT458=1,AK458="E",AU458&gt;=0.5,AW458=1),PTHealthBY,IF(AND(AT458=1,AK458="E",AU458&gt;=0.5),PTHealthBY*P458,0))))</f>
        <v>0</v>
      </c>
      <c r="BO458" s="462">
        <f>IF(AND(AT458=3,AK458="E",AV458&gt;=0.75,AW458=1),HealthBY,IF(AND(AT458=3,AK458="E",AV458&gt;=0.75),HealthBY*P458,IF(AND(AT458=3,AK458="E",AV458&gt;=0.5,AW458=1),PTHealthBY,IF(AND(AT458=3,AK458="E",AV458&gt;=0.5),PTHealthBY*P458,0))))</f>
        <v>0</v>
      </c>
      <c r="BP458" s="462">
        <f>IF(AND(AT458&lt;&gt;0,(AX458+BA458)&gt;=MAXSSDIBY),SSDIBY*MAXSSDIBY*P458,IF(AT458&lt;&gt;0,SSDIBY*W458,0))</f>
        <v>0</v>
      </c>
      <c r="BQ458" s="462">
        <f>IF(AT458&lt;&gt;0,SSHIBY*W458,0)</f>
        <v>0</v>
      </c>
      <c r="BR458" s="462">
        <f>IF(AND(AT458&lt;&gt;0,AN458&lt;&gt;"NE"),VLOOKUP(AN458,Retirement_Rates,4,FALSE)*W458,0)</f>
        <v>0</v>
      </c>
      <c r="BS458" s="462">
        <f>IF(AND(AT458&lt;&gt;0,AJ458&lt;&gt;"PF"),LifeBY*W458,0)</f>
        <v>0</v>
      </c>
      <c r="BT458" s="462">
        <f>IF(AND(AT458&lt;&gt;0,AM458="Y"),UIBY*W458,0)</f>
        <v>0</v>
      </c>
      <c r="BU458" s="462">
        <f>IF(AND(AT458&lt;&gt;0,N458&lt;&gt;"NR"),DHRBY*W458,0)</f>
        <v>0</v>
      </c>
      <c r="BV458" s="462">
        <f>IF(AT458&lt;&gt;0,WCBY*W458,0)</f>
        <v>0</v>
      </c>
      <c r="BW458" s="462">
        <f>IF(OR(AND(AT458&lt;&gt;0,AJ458&lt;&gt;"PF",AN458&lt;&gt;"NE",AG458&lt;&gt;"A"),AND(AL458="E",OR(AT458=1,AT458=3))),SickBY*W458,0)</f>
        <v>0</v>
      </c>
      <c r="BX458" s="462">
        <f t="shared" si="126"/>
        <v>0</v>
      </c>
      <c r="BY458" s="462">
        <f t="shared" si="127"/>
        <v>0</v>
      </c>
      <c r="BZ458" s="462">
        <f t="shared" si="128"/>
        <v>0</v>
      </c>
      <c r="CA458" s="462">
        <f t="shared" si="129"/>
        <v>0</v>
      </c>
      <c r="CB458" s="462">
        <f t="shared" si="130"/>
        <v>0</v>
      </c>
      <c r="CC458" s="462">
        <f>IF(AT458&lt;&gt;0,SSHICHG*Y458,0)</f>
        <v>0</v>
      </c>
      <c r="CD458" s="462">
        <f>IF(AND(AT458&lt;&gt;0,AN458&lt;&gt;"NE"),VLOOKUP(AN458,Retirement_Rates,5,FALSE)*Y458,0)</f>
        <v>0</v>
      </c>
      <c r="CE458" s="462">
        <f>IF(AND(AT458&lt;&gt;0,AJ458&lt;&gt;"PF"),LifeCHG*Y458,0)</f>
        <v>0</v>
      </c>
      <c r="CF458" s="462">
        <f>IF(AND(AT458&lt;&gt;0,AM458="Y"),UICHG*Y458,0)</f>
        <v>0</v>
      </c>
      <c r="CG458" s="462">
        <f>IF(AND(AT458&lt;&gt;0,N458&lt;&gt;"NR"),DHRCHG*Y458,0)</f>
        <v>0</v>
      </c>
      <c r="CH458" s="462">
        <f>IF(AT458&lt;&gt;0,WCCHG*Y458,0)</f>
        <v>0</v>
      </c>
      <c r="CI458" s="462">
        <f>IF(OR(AND(AT458&lt;&gt;0,AJ458&lt;&gt;"PF",AN458&lt;&gt;"NE",AG458&lt;&gt;"A"),AND(AL458="E",OR(AT458=1,AT458=3))),SickCHG*Y458,0)</f>
        <v>0</v>
      </c>
      <c r="CJ458" s="462">
        <f t="shared" si="131"/>
        <v>0</v>
      </c>
      <c r="CK458" s="462" t="str">
        <f t="shared" si="132"/>
        <v/>
      </c>
      <c r="CL458" s="462" t="str">
        <f t="shared" si="133"/>
        <v/>
      </c>
      <c r="CM458" s="462" t="str">
        <f t="shared" si="134"/>
        <v/>
      </c>
      <c r="CN458" s="462" t="str">
        <f t="shared" si="135"/>
        <v>0332-03</v>
      </c>
    </row>
    <row r="459" spans="1:92" ht="15" thickBot="1" x14ac:dyDescent="0.35">
      <c r="A459" s="376" t="s">
        <v>161</v>
      </c>
      <c r="B459" s="376" t="s">
        <v>162</v>
      </c>
      <c r="C459" s="376" t="s">
        <v>456</v>
      </c>
      <c r="D459" s="376" t="s">
        <v>457</v>
      </c>
      <c r="E459" s="376" t="s">
        <v>535</v>
      </c>
      <c r="F459" s="382" t="s">
        <v>1133</v>
      </c>
      <c r="G459" s="376" t="s">
        <v>1131</v>
      </c>
      <c r="H459" s="378"/>
      <c r="I459" s="378"/>
      <c r="J459" s="376" t="s">
        <v>168</v>
      </c>
      <c r="K459" s="376" t="s">
        <v>458</v>
      </c>
      <c r="L459" s="376" t="s">
        <v>177</v>
      </c>
      <c r="M459" s="376" t="s">
        <v>170</v>
      </c>
      <c r="N459" s="376" t="s">
        <v>202</v>
      </c>
      <c r="O459" s="379">
        <v>1</v>
      </c>
      <c r="P459" s="460">
        <v>0</v>
      </c>
      <c r="Q459" s="460">
        <v>0</v>
      </c>
      <c r="R459" s="380">
        <v>80</v>
      </c>
      <c r="S459" s="460">
        <v>0</v>
      </c>
      <c r="T459" s="380">
        <v>13.95</v>
      </c>
      <c r="U459" s="380">
        <v>0</v>
      </c>
      <c r="V459" s="380">
        <v>8.08</v>
      </c>
      <c r="W459" s="380">
        <v>0</v>
      </c>
      <c r="X459" s="380">
        <v>0</v>
      </c>
      <c r="Y459" s="380">
        <v>0</v>
      </c>
      <c r="Z459" s="380">
        <v>0</v>
      </c>
      <c r="AA459" s="376" t="s">
        <v>459</v>
      </c>
      <c r="AB459" s="376" t="s">
        <v>460</v>
      </c>
      <c r="AC459" s="376" t="s">
        <v>461</v>
      </c>
      <c r="AD459" s="376" t="s">
        <v>462</v>
      </c>
      <c r="AE459" s="376" t="s">
        <v>458</v>
      </c>
      <c r="AF459" s="376" t="s">
        <v>436</v>
      </c>
      <c r="AG459" s="376" t="s">
        <v>177</v>
      </c>
      <c r="AH459" s="381">
        <v>15.5</v>
      </c>
      <c r="AI459" s="379">
        <v>2588</v>
      </c>
      <c r="AJ459" s="376" t="s">
        <v>178</v>
      </c>
      <c r="AK459" s="376" t="s">
        <v>179</v>
      </c>
      <c r="AL459" s="376" t="s">
        <v>180</v>
      </c>
      <c r="AM459" s="376" t="s">
        <v>181</v>
      </c>
      <c r="AN459" s="376" t="s">
        <v>68</v>
      </c>
      <c r="AO459" s="379">
        <v>80</v>
      </c>
      <c r="AP459" s="460">
        <v>1</v>
      </c>
      <c r="AQ459" s="460">
        <v>0</v>
      </c>
      <c r="AR459" s="458" t="s">
        <v>182</v>
      </c>
      <c r="AS459" s="462">
        <f t="shared" si="119"/>
        <v>0</v>
      </c>
      <c r="AT459">
        <f t="shared" si="120"/>
        <v>0</v>
      </c>
      <c r="AU459" s="462" t="str">
        <f>IF(AT459=0,"",IF(AND(AT459=1,M459="F",SUMIF(C2:C698,C459,AS2:AS698)&lt;=1),SUMIF(C2:C698,C459,AS2:AS698),IF(AND(AT459=1,M459="F",SUMIF(C2:C698,C459,AS2:AS698)&gt;1),1,"")))</f>
        <v/>
      </c>
      <c r="AV459" s="462" t="str">
        <f>IF(AT459=0,"",IF(AND(AT459=3,M459="F",SUMIF(C2:C698,C459,AS2:AS698)&lt;=1),SUMIF(C2:C698,C459,AS2:AS698),IF(AND(AT459=3,M459="F",SUMIF(C2:C698,C459,AS2:AS698)&gt;1),1,"")))</f>
        <v/>
      </c>
      <c r="AW459" s="462">
        <f>SUMIF(C2:C698,C459,O2:O698)</f>
        <v>5</v>
      </c>
      <c r="AX459" s="462">
        <f>IF(AND(M459="F",AS459&lt;&gt;0),SUMIF(C2:C698,C459,W2:W698),0)</f>
        <v>0</v>
      </c>
      <c r="AY459" s="462" t="str">
        <f t="shared" si="121"/>
        <v/>
      </c>
      <c r="AZ459" s="462" t="str">
        <f t="shared" si="122"/>
        <v/>
      </c>
      <c r="BA459" s="462">
        <f t="shared" si="123"/>
        <v>0</v>
      </c>
      <c r="BB459" s="462">
        <f>IF(AND(AT459=1,AK459="E",AU459&gt;=0.75,AW459=1),Health,IF(AND(AT459=1,AK459="E",AU459&gt;=0.75),Health*P459,IF(AND(AT459=1,AK459="E",AU459&gt;=0.5,AW459=1),PTHealth,IF(AND(AT459=1,AK459="E",AU459&gt;=0.5),PTHealth*P459,0))))</f>
        <v>0</v>
      </c>
      <c r="BC459" s="462">
        <f>IF(AND(AT459=3,AK459="E",AV459&gt;=0.75,AW459=1),Health,IF(AND(AT459=3,AK459="E",AV459&gt;=0.75),Health*P459,IF(AND(AT459=3,AK459="E",AV459&gt;=0.5,AW459=1),PTHealth,IF(AND(AT459=3,AK459="E",AV459&gt;=0.5),PTHealth*P459,0))))</f>
        <v>0</v>
      </c>
      <c r="BD459" s="462">
        <f>IF(AND(AT459&lt;&gt;0,AX459&gt;=MAXSSDI),SSDI*MAXSSDI*P459,IF(AT459&lt;&gt;0,SSDI*W459,0))</f>
        <v>0</v>
      </c>
      <c r="BE459" s="462">
        <f>IF(AT459&lt;&gt;0,SSHI*W459,0)</f>
        <v>0</v>
      </c>
      <c r="BF459" s="462">
        <f>IF(AND(AT459&lt;&gt;0,AN459&lt;&gt;"NE"),VLOOKUP(AN459,Retirement_Rates,3,FALSE)*W459,0)</f>
        <v>0</v>
      </c>
      <c r="BG459" s="462">
        <f>IF(AND(AT459&lt;&gt;0,AJ459&lt;&gt;"PF"),Life*W459,0)</f>
        <v>0</v>
      </c>
      <c r="BH459" s="462">
        <f>IF(AND(AT459&lt;&gt;0,AM459="Y"),UI*W459,0)</f>
        <v>0</v>
      </c>
      <c r="BI459" s="462">
        <f>IF(AND(AT459&lt;&gt;0,N459&lt;&gt;"NR"),DHR*W459,0)</f>
        <v>0</v>
      </c>
      <c r="BJ459" s="462">
        <f>IF(AT459&lt;&gt;0,WC*W459,0)</f>
        <v>0</v>
      </c>
      <c r="BK459" s="462">
        <f>IF(OR(AND(AT459&lt;&gt;0,AJ459&lt;&gt;"PF",AN459&lt;&gt;"NE",AG459&lt;&gt;"A"),AND(AL459="E",OR(AT459=1,AT459=3))),Sick*W459,0)</f>
        <v>0</v>
      </c>
      <c r="BL459" s="462">
        <f t="shared" si="124"/>
        <v>0</v>
      </c>
      <c r="BM459" s="462">
        <f t="shared" si="125"/>
        <v>0</v>
      </c>
      <c r="BN459" s="462">
        <f>IF(AND(AT459=1,AK459="E",AU459&gt;=0.75,AW459=1),HealthBY,IF(AND(AT459=1,AK459="E",AU459&gt;=0.75),HealthBY*P459,IF(AND(AT459=1,AK459="E",AU459&gt;=0.5,AW459=1),PTHealthBY,IF(AND(AT459=1,AK459="E",AU459&gt;=0.5),PTHealthBY*P459,0))))</f>
        <v>0</v>
      </c>
      <c r="BO459" s="462">
        <f>IF(AND(AT459=3,AK459="E",AV459&gt;=0.75,AW459=1),HealthBY,IF(AND(AT459=3,AK459="E",AV459&gt;=0.75),HealthBY*P459,IF(AND(AT459=3,AK459="E",AV459&gt;=0.5,AW459=1),PTHealthBY,IF(AND(AT459=3,AK459="E",AV459&gt;=0.5),PTHealthBY*P459,0))))</f>
        <v>0</v>
      </c>
      <c r="BP459" s="462">
        <f>IF(AND(AT459&lt;&gt;0,(AX459+BA459)&gt;=MAXSSDIBY),SSDIBY*MAXSSDIBY*P459,IF(AT459&lt;&gt;0,SSDIBY*W459,0))</f>
        <v>0</v>
      </c>
      <c r="BQ459" s="462">
        <f>IF(AT459&lt;&gt;0,SSHIBY*W459,0)</f>
        <v>0</v>
      </c>
      <c r="BR459" s="462">
        <f>IF(AND(AT459&lt;&gt;0,AN459&lt;&gt;"NE"),VLOOKUP(AN459,Retirement_Rates,4,FALSE)*W459,0)</f>
        <v>0</v>
      </c>
      <c r="BS459" s="462">
        <f>IF(AND(AT459&lt;&gt;0,AJ459&lt;&gt;"PF"),LifeBY*W459,0)</f>
        <v>0</v>
      </c>
      <c r="BT459" s="462">
        <f>IF(AND(AT459&lt;&gt;0,AM459="Y"),UIBY*W459,0)</f>
        <v>0</v>
      </c>
      <c r="BU459" s="462">
        <f>IF(AND(AT459&lt;&gt;0,N459&lt;&gt;"NR"),DHRBY*W459,0)</f>
        <v>0</v>
      </c>
      <c r="BV459" s="462">
        <f>IF(AT459&lt;&gt;0,WCBY*W459,0)</f>
        <v>0</v>
      </c>
      <c r="BW459" s="462">
        <f>IF(OR(AND(AT459&lt;&gt;0,AJ459&lt;&gt;"PF",AN459&lt;&gt;"NE",AG459&lt;&gt;"A"),AND(AL459="E",OR(AT459=1,AT459=3))),SickBY*W459,0)</f>
        <v>0</v>
      </c>
      <c r="BX459" s="462">
        <f t="shared" si="126"/>
        <v>0</v>
      </c>
      <c r="BY459" s="462">
        <f t="shared" si="127"/>
        <v>0</v>
      </c>
      <c r="BZ459" s="462">
        <f t="shared" si="128"/>
        <v>0</v>
      </c>
      <c r="CA459" s="462">
        <f t="shared" si="129"/>
        <v>0</v>
      </c>
      <c r="CB459" s="462">
        <f t="shared" si="130"/>
        <v>0</v>
      </c>
      <c r="CC459" s="462">
        <f>IF(AT459&lt;&gt;0,SSHICHG*Y459,0)</f>
        <v>0</v>
      </c>
      <c r="CD459" s="462">
        <f>IF(AND(AT459&lt;&gt;0,AN459&lt;&gt;"NE"),VLOOKUP(AN459,Retirement_Rates,5,FALSE)*Y459,0)</f>
        <v>0</v>
      </c>
      <c r="CE459" s="462">
        <f>IF(AND(AT459&lt;&gt;0,AJ459&lt;&gt;"PF"),LifeCHG*Y459,0)</f>
        <v>0</v>
      </c>
      <c r="CF459" s="462">
        <f>IF(AND(AT459&lt;&gt;0,AM459="Y"),UICHG*Y459,0)</f>
        <v>0</v>
      </c>
      <c r="CG459" s="462">
        <f>IF(AND(AT459&lt;&gt;0,N459&lt;&gt;"NR"),DHRCHG*Y459,0)</f>
        <v>0</v>
      </c>
      <c r="CH459" s="462">
        <f>IF(AT459&lt;&gt;0,WCCHG*Y459,0)</f>
        <v>0</v>
      </c>
      <c r="CI459" s="462">
        <f>IF(OR(AND(AT459&lt;&gt;0,AJ459&lt;&gt;"PF",AN459&lt;&gt;"NE",AG459&lt;&gt;"A"),AND(AL459="E",OR(AT459=1,AT459=3))),SickCHG*Y459,0)</f>
        <v>0</v>
      </c>
      <c r="CJ459" s="462">
        <f t="shared" si="131"/>
        <v>0</v>
      </c>
      <c r="CK459" s="462" t="str">
        <f t="shared" si="132"/>
        <v/>
      </c>
      <c r="CL459" s="462" t="str">
        <f t="shared" si="133"/>
        <v/>
      </c>
      <c r="CM459" s="462" t="str">
        <f t="shared" si="134"/>
        <v/>
      </c>
      <c r="CN459" s="462" t="str">
        <f t="shared" si="135"/>
        <v>0332-03</v>
      </c>
    </row>
    <row r="460" spans="1:92" ht="15" thickBot="1" x14ac:dyDescent="0.35">
      <c r="A460" s="376" t="s">
        <v>161</v>
      </c>
      <c r="B460" s="376" t="s">
        <v>162</v>
      </c>
      <c r="C460" s="376" t="s">
        <v>364</v>
      </c>
      <c r="D460" s="376" t="s">
        <v>365</v>
      </c>
      <c r="E460" s="376" t="s">
        <v>535</v>
      </c>
      <c r="F460" s="382" t="s">
        <v>1133</v>
      </c>
      <c r="G460" s="376" t="s">
        <v>1131</v>
      </c>
      <c r="H460" s="378"/>
      <c r="I460" s="378"/>
      <c r="J460" s="376" t="s">
        <v>168</v>
      </c>
      <c r="K460" s="376" t="s">
        <v>366</v>
      </c>
      <c r="L460" s="376" t="s">
        <v>274</v>
      </c>
      <c r="M460" s="376" t="s">
        <v>170</v>
      </c>
      <c r="N460" s="376" t="s">
        <v>202</v>
      </c>
      <c r="O460" s="379">
        <v>1</v>
      </c>
      <c r="P460" s="460">
        <v>0</v>
      </c>
      <c r="Q460" s="460">
        <v>0</v>
      </c>
      <c r="R460" s="380">
        <v>80</v>
      </c>
      <c r="S460" s="460">
        <v>0</v>
      </c>
      <c r="T460" s="380">
        <v>61.85</v>
      </c>
      <c r="U460" s="380">
        <v>0</v>
      </c>
      <c r="V460" s="380">
        <v>33.35</v>
      </c>
      <c r="W460" s="380">
        <v>0</v>
      </c>
      <c r="X460" s="380">
        <v>0</v>
      </c>
      <c r="Y460" s="380">
        <v>0</v>
      </c>
      <c r="Z460" s="380">
        <v>0</v>
      </c>
      <c r="AA460" s="376" t="s">
        <v>367</v>
      </c>
      <c r="AB460" s="376" t="s">
        <v>368</v>
      </c>
      <c r="AC460" s="376" t="s">
        <v>369</v>
      </c>
      <c r="AD460" s="376" t="s">
        <v>370</v>
      </c>
      <c r="AE460" s="376" t="s">
        <v>366</v>
      </c>
      <c r="AF460" s="376" t="s">
        <v>279</v>
      </c>
      <c r="AG460" s="376" t="s">
        <v>177</v>
      </c>
      <c r="AH460" s="381">
        <v>18.46</v>
      </c>
      <c r="AI460" s="379">
        <v>16594</v>
      </c>
      <c r="AJ460" s="376" t="s">
        <v>178</v>
      </c>
      <c r="AK460" s="376" t="s">
        <v>179</v>
      </c>
      <c r="AL460" s="376" t="s">
        <v>180</v>
      </c>
      <c r="AM460" s="376" t="s">
        <v>181</v>
      </c>
      <c r="AN460" s="376" t="s">
        <v>68</v>
      </c>
      <c r="AO460" s="379">
        <v>80</v>
      </c>
      <c r="AP460" s="460">
        <v>1</v>
      </c>
      <c r="AQ460" s="460">
        <v>0</v>
      </c>
      <c r="AR460" s="458" t="s">
        <v>182</v>
      </c>
      <c r="AS460" s="462">
        <f t="shared" si="119"/>
        <v>0</v>
      </c>
      <c r="AT460">
        <f t="shared" si="120"/>
        <v>0</v>
      </c>
      <c r="AU460" s="462" t="str">
        <f>IF(AT460=0,"",IF(AND(AT460=1,M460="F",SUMIF(C2:C698,C460,AS2:AS698)&lt;=1),SUMIF(C2:C698,C460,AS2:AS698),IF(AND(AT460=1,M460="F",SUMIF(C2:C698,C460,AS2:AS698)&gt;1),1,"")))</f>
        <v/>
      </c>
      <c r="AV460" s="462" t="str">
        <f>IF(AT460=0,"",IF(AND(AT460=3,M460="F",SUMIF(C2:C698,C460,AS2:AS698)&lt;=1),SUMIF(C2:C698,C460,AS2:AS698),IF(AND(AT460=3,M460="F",SUMIF(C2:C698,C460,AS2:AS698)&gt;1),1,"")))</f>
        <v/>
      </c>
      <c r="AW460" s="462">
        <f>SUMIF(C2:C698,C460,O2:O698)</f>
        <v>7</v>
      </c>
      <c r="AX460" s="462">
        <f>IF(AND(M460="F",AS460&lt;&gt;0),SUMIF(C2:C698,C460,W2:W698),0)</f>
        <v>0</v>
      </c>
      <c r="AY460" s="462" t="str">
        <f t="shared" si="121"/>
        <v/>
      </c>
      <c r="AZ460" s="462" t="str">
        <f t="shared" si="122"/>
        <v/>
      </c>
      <c r="BA460" s="462">
        <f t="shared" si="123"/>
        <v>0</v>
      </c>
      <c r="BB460" s="462">
        <f>IF(AND(AT460=1,AK460="E",AU460&gt;=0.75,AW460=1),Health,IF(AND(AT460=1,AK460="E",AU460&gt;=0.75),Health*P460,IF(AND(AT460=1,AK460="E",AU460&gt;=0.5,AW460=1),PTHealth,IF(AND(AT460=1,AK460="E",AU460&gt;=0.5),PTHealth*P460,0))))</f>
        <v>0</v>
      </c>
      <c r="BC460" s="462">
        <f>IF(AND(AT460=3,AK460="E",AV460&gt;=0.75,AW460=1),Health,IF(AND(AT460=3,AK460="E",AV460&gt;=0.75),Health*P460,IF(AND(AT460=3,AK460="E",AV460&gt;=0.5,AW460=1),PTHealth,IF(AND(AT460=3,AK460="E",AV460&gt;=0.5),PTHealth*P460,0))))</f>
        <v>0</v>
      </c>
      <c r="BD460" s="462">
        <f>IF(AND(AT460&lt;&gt;0,AX460&gt;=MAXSSDI),SSDI*MAXSSDI*P460,IF(AT460&lt;&gt;0,SSDI*W460,0))</f>
        <v>0</v>
      </c>
      <c r="BE460" s="462">
        <f>IF(AT460&lt;&gt;0,SSHI*W460,0)</f>
        <v>0</v>
      </c>
      <c r="BF460" s="462">
        <f>IF(AND(AT460&lt;&gt;0,AN460&lt;&gt;"NE"),VLOOKUP(AN460,Retirement_Rates,3,FALSE)*W460,0)</f>
        <v>0</v>
      </c>
      <c r="BG460" s="462">
        <f>IF(AND(AT460&lt;&gt;0,AJ460&lt;&gt;"PF"),Life*W460,0)</f>
        <v>0</v>
      </c>
      <c r="BH460" s="462">
        <f>IF(AND(AT460&lt;&gt;0,AM460="Y"),UI*W460,0)</f>
        <v>0</v>
      </c>
      <c r="BI460" s="462">
        <f>IF(AND(AT460&lt;&gt;0,N460&lt;&gt;"NR"),DHR*W460,0)</f>
        <v>0</v>
      </c>
      <c r="BJ460" s="462">
        <f>IF(AT460&lt;&gt;0,WC*W460,0)</f>
        <v>0</v>
      </c>
      <c r="BK460" s="462">
        <f>IF(OR(AND(AT460&lt;&gt;0,AJ460&lt;&gt;"PF",AN460&lt;&gt;"NE",AG460&lt;&gt;"A"),AND(AL460="E",OR(AT460=1,AT460=3))),Sick*W460,0)</f>
        <v>0</v>
      </c>
      <c r="BL460" s="462">
        <f t="shared" si="124"/>
        <v>0</v>
      </c>
      <c r="BM460" s="462">
        <f t="shared" si="125"/>
        <v>0</v>
      </c>
      <c r="BN460" s="462">
        <f>IF(AND(AT460=1,AK460="E",AU460&gt;=0.75,AW460=1),HealthBY,IF(AND(AT460=1,AK460="E",AU460&gt;=0.75),HealthBY*P460,IF(AND(AT460=1,AK460="E",AU460&gt;=0.5,AW460=1),PTHealthBY,IF(AND(AT460=1,AK460="E",AU460&gt;=0.5),PTHealthBY*P460,0))))</f>
        <v>0</v>
      </c>
      <c r="BO460" s="462">
        <f>IF(AND(AT460=3,AK460="E",AV460&gt;=0.75,AW460=1),HealthBY,IF(AND(AT460=3,AK460="E",AV460&gt;=0.75),HealthBY*P460,IF(AND(AT460=3,AK460="E",AV460&gt;=0.5,AW460=1),PTHealthBY,IF(AND(AT460=3,AK460="E",AV460&gt;=0.5),PTHealthBY*P460,0))))</f>
        <v>0</v>
      </c>
      <c r="BP460" s="462">
        <f>IF(AND(AT460&lt;&gt;0,(AX460+BA460)&gt;=MAXSSDIBY),SSDIBY*MAXSSDIBY*P460,IF(AT460&lt;&gt;0,SSDIBY*W460,0))</f>
        <v>0</v>
      </c>
      <c r="BQ460" s="462">
        <f>IF(AT460&lt;&gt;0,SSHIBY*W460,0)</f>
        <v>0</v>
      </c>
      <c r="BR460" s="462">
        <f>IF(AND(AT460&lt;&gt;0,AN460&lt;&gt;"NE"),VLOOKUP(AN460,Retirement_Rates,4,FALSE)*W460,0)</f>
        <v>0</v>
      </c>
      <c r="BS460" s="462">
        <f>IF(AND(AT460&lt;&gt;0,AJ460&lt;&gt;"PF"),LifeBY*W460,0)</f>
        <v>0</v>
      </c>
      <c r="BT460" s="462">
        <f>IF(AND(AT460&lt;&gt;0,AM460="Y"),UIBY*W460,0)</f>
        <v>0</v>
      </c>
      <c r="BU460" s="462">
        <f>IF(AND(AT460&lt;&gt;0,N460&lt;&gt;"NR"),DHRBY*W460,0)</f>
        <v>0</v>
      </c>
      <c r="BV460" s="462">
        <f>IF(AT460&lt;&gt;0,WCBY*W460,0)</f>
        <v>0</v>
      </c>
      <c r="BW460" s="462">
        <f>IF(OR(AND(AT460&lt;&gt;0,AJ460&lt;&gt;"PF",AN460&lt;&gt;"NE",AG460&lt;&gt;"A"),AND(AL460="E",OR(AT460=1,AT460=3))),SickBY*W460,0)</f>
        <v>0</v>
      </c>
      <c r="BX460" s="462">
        <f t="shared" si="126"/>
        <v>0</v>
      </c>
      <c r="BY460" s="462">
        <f t="shared" si="127"/>
        <v>0</v>
      </c>
      <c r="BZ460" s="462">
        <f t="shared" si="128"/>
        <v>0</v>
      </c>
      <c r="CA460" s="462">
        <f t="shared" si="129"/>
        <v>0</v>
      </c>
      <c r="CB460" s="462">
        <f t="shared" si="130"/>
        <v>0</v>
      </c>
      <c r="CC460" s="462">
        <f>IF(AT460&lt;&gt;0,SSHICHG*Y460,0)</f>
        <v>0</v>
      </c>
      <c r="CD460" s="462">
        <f>IF(AND(AT460&lt;&gt;0,AN460&lt;&gt;"NE"),VLOOKUP(AN460,Retirement_Rates,5,FALSE)*Y460,0)</f>
        <v>0</v>
      </c>
      <c r="CE460" s="462">
        <f>IF(AND(AT460&lt;&gt;0,AJ460&lt;&gt;"PF"),LifeCHG*Y460,0)</f>
        <v>0</v>
      </c>
      <c r="CF460" s="462">
        <f>IF(AND(AT460&lt;&gt;0,AM460="Y"),UICHG*Y460,0)</f>
        <v>0</v>
      </c>
      <c r="CG460" s="462">
        <f>IF(AND(AT460&lt;&gt;0,N460&lt;&gt;"NR"),DHRCHG*Y460,0)</f>
        <v>0</v>
      </c>
      <c r="CH460" s="462">
        <f>IF(AT460&lt;&gt;0,WCCHG*Y460,0)</f>
        <v>0</v>
      </c>
      <c r="CI460" s="462">
        <f>IF(OR(AND(AT460&lt;&gt;0,AJ460&lt;&gt;"PF",AN460&lt;&gt;"NE",AG460&lt;&gt;"A"),AND(AL460="E",OR(AT460=1,AT460=3))),SickCHG*Y460,0)</f>
        <v>0</v>
      </c>
      <c r="CJ460" s="462">
        <f t="shared" si="131"/>
        <v>0</v>
      </c>
      <c r="CK460" s="462" t="str">
        <f t="shared" si="132"/>
        <v/>
      </c>
      <c r="CL460" s="462" t="str">
        <f t="shared" si="133"/>
        <v/>
      </c>
      <c r="CM460" s="462" t="str">
        <f t="shared" si="134"/>
        <v/>
      </c>
      <c r="CN460" s="462" t="str">
        <f t="shared" si="135"/>
        <v>0332-03</v>
      </c>
    </row>
    <row r="461" spans="1:92" ht="15" thickBot="1" x14ac:dyDescent="0.35">
      <c r="A461" s="376" t="s">
        <v>161</v>
      </c>
      <c r="B461" s="376" t="s">
        <v>162</v>
      </c>
      <c r="C461" s="376" t="s">
        <v>1134</v>
      </c>
      <c r="D461" s="376" t="s">
        <v>287</v>
      </c>
      <c r="E461" s="376" t="s">
        <v>535</v>
      </c>
      <c r="F461" s="382" t="s">
        <v>1133</v>
      </c>
      <c r="G461" s="376" t="s">
        <v>1131</v>
      </c>
      <c r="H461" s="378"/>
      <c r="I461" s="378"/>
      <c r="J461" s="376" t="s">
        <v>168</v>
      </c>
      <c r="K461" s="376" t="s">
        <v>290</v>
      </c>
      <c r="L461" s="376" t="s">
        <v>166</v>
      </c>
      <c r="M461" s="376" t="s">
        <v>201</v>
      </c>
      <c r="N461" s="376" t="s">
        <v>291</v>
      </c>
      <c r="O461" s="379">
        <v>0</v>
      </c>
      <c r="P461" s="460">
        <v>1</v>
      </c>
      <c r="Q461" s="460">
        <v>0</v>
      </c>
      <c r="R461" s="380">
        <v>0</v>
      </c>
      <c r="S461" s="460">
        <v>0</v>
      </c>
      <c r="T461" s="380">
        <v>0</v>
      </c>
      <c r="U461" s="380">
        <v>0</v>
      </c>
      <c r="V461" s="380">
        <v>0</v>
      </c>
      <c r="W461" s="380">
        <v>0</v>
      </c>
      <c r="X461" s="380">
        <v>0</v>
      </c>
      <c r="Y461" s="380">
        <v>0</v>
      </c>
      <c r="Z461" s="380">
        <v>0</v>
      </c>
      <c r="AA461" s="378"/>
      <c r="AB461" s="376" t="s">
        <v>45</v>
      </c>
      <c r="AC461" s="376" t="s">
        <v>45</v>
      </c>
      <c r="AD461" s="378"/>
      <c r="AE461" s="378"/>
      <c r="AF461" s="378"/>
      <c r="AG461" s="378"/>
      <c r="AH461" s="379">
        <v>0</v>
      </c>
      <c r="AI461" s="379">
        <v>0</v>
      </c>
      <c r="AJ461" s="378"/>
      <c r="AK461" s="378"/>
      <c r="AL461" s="376" t="s">
        <v>180</v>
      </c>
      <c r="AM461" s="378"/>
      <c r="AN461" s="378"/>
      <c r="AO461" s="379">
        <v>0</v>
      </c>
      <c r="AP461" s="460">
        <v>0</v>
      </c>
      <c r="AQ461" s="460">
        <v>0</v>
      </c>
      <c r="AR461" s="459"/>
      <c r="AS461" s="462">
        <f t="shared" si="119"/>
        <v>0</v>
      </c>
      <c r="AT461">
        <f t="shared" si="120"/>
        <v>0</v>
      </c>
      <c r="AU461" s="462" t="str">
        <f>IF(AT461=0,"",IF(AND(AT461=1,M461="F",SUMIF(C2:C698,C461,AS2:AS698)&lt;=1),SUMIF(C2:C698,C461,AS2:AS698),IF(AND(AT461=1,M461="F",SUMIF(C2:C698,C461,AS2:AS698)&gt;1),1,"")))</f>
        <v/>
      </c>
      <c r="AV461" s="462" t="str">
        <f>IF(AT461=0,"",IF(AND(AT461=3,M461="F",SUMIF(C2:C698,C461,AS2:AS698)&lt;=1),SUMIF(C2:C698,C461,AS2:AS698),IF(AND(AT461=3,M461="F",SUMIF(C2:C698,C461,AS2:AS698)&gt;1),1,"")))</f>
        <v/>
      </c>
      <c r="AW461" s="462">
        <f>SUMIF(C2:C698,C461,O2:O698)</f>
        <v>0</v>
      </c>
      <c r="AX461" s="462">
        <f>IF(AND(M461="F",AS461&lt;&gt;0),SUMIF(C2:C698,C461,W2:W698),0)</f>
        <v>0</v>
      </c>
      <c r="AY461" s="462" t="str">
        <f t="shared" si="121"/>
        <v/>
      </c>
      <c r="AZ461" s="462" t="str">
        <f t="shared" si="122"/>
        <v/>
      </c>
      <c r="BA461" s="462">
        <f t="shared" si="123"/>
        <v>0</v>
      </c>
      <c r="BB461" s="462">
        <f>IF(AND(AT461=1,AK461="E",AU461&gt;=0.75,AW461=1),Health,IF(AND(AT461=1,AK461="E",AU461&gt;=0.75),Health*P461,IF(AND(AT461=1,AK461="E",AU461&gt;=0.5,AW461=1),PTHealth,IF(AND(AT461=1,AK461="E",AU461&gt;=0.5),PTHealth*P461,0))))</f>
        <v>0</v>
      </c>
      <c r="BC461" s="462">
        <f>IF(AND(AT461=3,AK461="E",AV461&gt;=0.75,AW461=1),Health,IF(AND(AT461=3,AK461="E",AV461&gt;=0.75),Health*P461,IF(AND(AT461=3,AK461="E",AV461&gt;=0.5,AW461=1),PTHealth,IF(AND(AT461=3,AK461="E",AV461&gt;=0.5),PTHealth*P461,0))))</f>
        <v>0</v>
      </c>
      <c r="BD461" s="462">
        <f>IF(AND(AT461&lt;&gt;0,AX461&gt;=MAXSSDI),SSDI*MAXSSDI*P461,IF(AT461&lt;&gt;0,SSDI*W461,0))</f>
        <v>0</v>
      </c>
      <c r="BE461" s="462">
        <f>IF(AT461&lt;&gt;0,SSHI*W461,0)</f>
        <v>0</v>
      </c>
      <c r="BF461" s="462">
        <f>IF(AND(AT461&lt;&gt;0,AN461&lt;&gt;"NE"),VLOOKUP(AN461,Retirement_Rates,3,FALSE)*W461,0)</f>
        <v>0</v>
      </c>
      <c r="BG461" s="462">
        <f>IF(AND(AT461&lt;&gt;0,AJ461&lt;&gt;"PF"),Life*W461,0)</f>
        <v>0</v>
      </c>
      <c r="BH461" s="462">
        <f>IF(AND(AT461&lt;&gt;0,AM461="Y"),UI*W461,0)</f>
        <v>0</v>
      </c>
      <c r="BI461" s="462">
        <f>IF(AND(AT461&lt;&gt;0,N461&lt;&gt;"NR"),DHR*W461,0)</f>
        <v>0</v>
      </c>
      <c r="BJ461" s="462">
        <f>IF(AT461&lt;&gt;0,WC*W461,0)</f>
        <v>0</v>
      </c>
      <c r="BK461" s="462">
        <f>IF(OR(AND(AT461&lt;&gt;0,AJ461&lt;&gt;"PF",AN461&lt;&gt;"NE",AG461&lt;&gt;"A"),AND(AL461="E",OR(AT461=1,AT461=3))),Sick*W461,0)</f>
        <v>0</v>
      </c>
      <c r="BL461" s="462">
        <f t="shared" si="124"/>
        <v>0</v>
      </c>
      <c r="BM461" s="462">
        <f t="shared" si="125"/>
        <v>0</v>
      </c>
      <c r="BN461" s="462">
        <f>IF(AND(AT461=1,AK461="E",AU461&gt;=0.75,AW461=1),HealthBY,IF(AND(AT461=1,AK461="E",AU461&gt;=0.75),HealthBY*P461,IF(AND(AT461=1,AK461="E",AU461&gt;=0.5,AW461=1),PTHealthBY,IF(AND(AT461=1,AK461="E",AU461&gt;=0.5),PTHealthBY*P461,0))))</f>
        <v>0</v>
      </c>
      <c r="BO461" s="462">
        <f>IF(AND(AT461=3,AK461="E",AV461&gt;=0.75,AW461=1),HealthBY,IF(AND(AT461=3,AK461="E",AV461&gt;=0.75),HealthBY*P461,IF(AND(AT461=3,AK461="E",AV461&gt;=0.5,AW461=1),PTHealthBY,IF(AND(AT461=3,AK461="E",AV461&gt;=0.5),PTHealthBY*P461,0))))</f>
        <v>0</v>
      </c>
      <c r="BP461" s="462">
        <f>IF(AND(AT461&lt;&gt;0,(AX461+BA461)&gt;=MAXSSDIBY),SSDIBY*MAXSSDIBY*P461,IF(AT461&lt;&gt;0,SSDIBY*W461,0))</f>
        <v>0</v>
      </c>
      <c r="BQ461" s="462">
        <f>IF(AT461&lt;&gt;0,SSHIBY*W461,0)</f>
        <v>0</v>
      </c>
      <c r="BR461" s="462">
        <f>IF(AND(AT461&lt;&gt;0,AN461&lt;&gt;"NE"),VLOOKUP(AN461,Retirement_Rates,4,FALSE)*W461,0)</f>
        <v>0</v>
      </c>
      <c r="BS461" s="462">
        <f>IF(AND(AT461&lt;&gt;0,AJ461&lt;&gt;"PF"),LifeBY*W461,0)</f>
        <v>0</v>
      </c>
      <c r="BT461" s="462">
        <f>IF(AND(AT461&lt;&gt;0,AM461="Y"),UIBY*W461,0)</f>
        <v>0</v>
      </c>
      <c r="BU461" s="462">
        <f>IF(AND(AT461&lt;&gt;0,N461&lt;&gt;"NR"),DHRBY*W461,0)</f>
        <v>0</v>
      </c>
      <c r="BV461" s="462">
        <f>IF(AT461&lt;&gt;0,WCBY*W461,0)</f>
        <v>0</v>
      </c>
      <c r="BW461" s="462">
        <f>IF(OR(AND(AT461&lt;&gt;0,AJ461&lt;&gt;"PF",AN461&lt;&gt;"NE",AG461&lt;&gt;"A"),AND(AL461="E",OR(AT461=1,AT461=3))),SickBY*W461,0)</f>
        <v>0</v>
      </c>
      <c r="BX461" s="462">
        <f t="shared" si="126"/>
        <v>0</v>
      </c>
      <c r="BY461" s="462">
        <f t="shared" si="127"/>
        <v>0</v>
      </c>
      <c r="BZ461" s="462">
        <f t="shared" si="128"/>
        <v>0</v>
      </c>
      <c r="CA461" s="462">
        <f t="shared" si="129"/>
        <v>0</v>
      </c>
      <c r="CB461" s="462">
        <f t="shared" si="130"/>
        <v>0</v>
      </c>
      <c r="CC461" s="462">
        <f>IF(AT461&lt;&gt;0,SSHICHG*Y461,0)</f>
        <v>0</v>
      </c>
      <c r="CD461" s="462">
        <f>IF(AND(AT461&lt;&gt;0,AN461&lt;&gt;"NE"),VLOOKUP(AN461,Retirement_Rates,5,FALSE)*Y461,0)</f>
        <v>0</v>
      </c>
      <c r="CE461" s="462">
        <f>IF(AND(AT461&lt;&gt;0,AJ461&lt;&gt;"PF"),LifeCHG*Y461,0)</f>
        <v>0</v>
      </c>
      <c r="CF461" s="462">
        <f>IF(AND(AT461&lt;&gt;0,AM461="Y"),UICHG*Y461,0)</f>
        <v>0</v>
      </c>
      <c r="CG461" s="462">
        <f>IF(AND(AT461&lt;&gt;0,N461&lt;&gt;"NR"),DHRCHG*Y461,0)</f>
        <v>0</v>
      </c>
      <c r="CH461" s="462">
        <f>IF(AT461&lt;&gt;0,WCCHG*Y461,0)</f>
        <v>0</v>
      </c>
      <c r="CI461" s="462">
        <f>IF(OR(AND(AT461&lt;&gt;0,AJ461&lt;&gt;"PF",AN461&lt;&gt;"NE",AG461&lt;&gt;"A"),AND(AL461="E",OR(AT461=1,AT461=3))),SickCHG*Y461,0)</f>
        <v>0</v>
      </c>
      <c r="CJ461" s="462">
        <f t="shared" si="131"/>
        <v>0</v>
      </c>
      <c r="CK461" s="462" t="str">
        <f t="shared" si="132"/>
        <v/>
      </c>
      <c r="CL461" s="462">
        <f t="shared" si="133"/>
        <v>0</v>
      </c>
      <c r="CM461" s="462">
        <f t="shared" si="134"/>
        <v>0</v>
      </c>
      <c r="CN461" s="462" t="str">
        <f t="shared" si="135"/>
        <v>0332-03</v>
      </c>
    </row>
    <row r="462" spans="1:92" ht="15" thickBot="1" x14ac:dyDescent="0.35">
      <c r="A462" s="376" t="s">
        <v>161</v>
      </c>
      <c r="B462" s="376" t="s">
        <v>162</v>
      </c>
      <c r="C462" s="376" t="s">
        <v>849</v>
      </c>
      <c r="D462" s="376" t="s">
        <v>362</v>
      </c>
      <c r="E462" s="376" t="s">
        <v>1135</v>
      </c>
      <c r="F462" s="377" t="s">
        <v>166</v>
      </c>
      <c r="G462" s="376" t="s">
        <v>1136</v>
      </c>
      <c r="H462" s="378"/>
      <c r="I462" s="378"/>
      <c r="J462" s="376" t="s">
        <v>782</v>
      </c>
      <c r="K462" s="376" t="s">
        <v>363</v>
      </c>
      <c r="L462" s="376" t="s">
        <v>200</v>
      </c>
      <c r="M462" s="376" t="s">
        <v>170</v>
      </c>
      <c r="N462" s="376" t="s">
        <v>202</v>
      </c>
      <c r="O462" s="379">
        <v>1</v>
      </c>
      <c r="P462" s="460">
        <v>0</v>
      </c>
      <c r="Q462" s="460">
        <v>0</v>
      </c>
      <c r="R462" s="380">
        <v>80</v>
      </c>
      <c r="S462" s="460">
        <v>0</v>
      </c>
      <c r="T462" s="380">
        <v>4521.68</v>
      </c>
      <c r="U462" s="380">
        <v>0</v>
      </c>
      <c r="V462" s="380">
        <v>2221.4499999999998</v>
      </c>
      <c r="W462" s="380">
        <v>0</v>
      </c>
      <c r="X462" s="380">
        <v>0</v>
      </c>
      <c r="Y462" s="380">
        <v>0</v>
      </c>
      <c r="Z462" s="380">
        <v>0</v>
      </c>
      <c r="AA462" s="376" t="s">
        <v>850</v>
      </c>
      <c r="AB462" s="376" t="s">
        <v>851</v>
      </c>
      <c r="AC462" s="376" t="s">
        <v>529</v>
      </c>
      <c r="AD462" s="376" t="s">
        <v>278</v>
      </c>
      <c r="AE462" s="376" t="s">
        <v>363</v>
      </c>
      <c r="AF462" s="376" t="s">
        <v>210</v>
      </c>
      <c r="AG462" s="376" t="s">
        <v>177</v>
      </c>
      <c r="AH462" s="381">
        <v>22.5</v>
      </c>
      <c r="AI462" s="381">
        <v>13789.6</v>
      </c>
      <c r="AJ462" s="376" t="s">
        <v>178</v>
      </c>
      <c r="AK462" s="376" t="s">
        <v>179</v>
      </c>
      <c r="AL462" s="376" t="s">
        <v>180</v>
      </c>
      <c r="AM462" s="376" t="s">
        <v>181</v>
      </c>
      <c r="AN462" s="376" t="s">
        <v>68</v>
      </c>
      <c r="AO462" s="379">
        <v>80</v>
      </c>
      <c r="AP462" s="460">
        <v>1</v>
      </c>
      <c r="AQ462" s="460">
        <v>0</v>
      </c>
      <c r="AR462" s="458" t="s">
        <v>182</v>
      </c>
      <c r="AS462" s="462">
        <f t="shared" si="119"/>
        <v>0</v>
      </c>
      <c r="AT462">
        <f t="shared" si="120"/>
        <v>0</v>
      </c>
      <c r="AU462" s="462" t="str">
        <f>IF(AT462=0,"",IF(AND(AT462=1,M462="F",SUMIF(C2:C698,C462,AS2:AS698)&lt;=1),SUMIF(C2:C698,C462,AS2:AS698),IF(AND(AT462=1,M462="F",SUMIF(C2:C698,C462,AS2:AS698)&gt;1),1,"")))</f>
        <v/>
      </c>
      <c r="AV462" s="462" t="str">
        <f>IF(AT462=0,"",IF(AND(AT462=3,M462="F",SUMIF(C2:C698,C462,AS2:AS698)&lt;=1),SUMIF(C2:C698,C462,AS2:AS698),IF(AND(AT462=3,M462="F",SUMIF(C2:C698,C462,AS2:AS698)&gt;1),1,"")))</f>
        <v/>
      </c>
      <c r="AW462" s="462">
        <f>SUMIF(C2:C698,C462,O2:O698)</f>
        <v>7</v>
      </c>
      <c r="AX462" s="462">
        <f>IF(AND(M462="F",AS462&lt;&gt;0),SUMIF(C2:C698,C462,W2:W698),0)</f>
        <v>0</v>
      </c>
      <c r="AY462" s="462" t="str">
        <f t="shared" si="121"/>
        <v/>
      </c>
      <c r="AZ462" s="462" t="str">
        <f t="shared" si="122"/>
        <v/>
      </c>
      <c r="BA462" s="462">
        <f t="shared" si="123"/>
        <v>0</v>
      </c>
      <c r="BB462" s="462">
        <f>IF(AND(AT462=1,AK462="E",AU462&gt;=0.75,AW462=1),Health,IF(AND(AT462=1,AK462="E",AU462&gt;=0.75),Health*P462,IF(AND(AT462=1,AK462="E",AU462&gt;=0.5,AW462=1),PTHealth,IF(AND(AT462=1,AK462="E",AU462&gt;=0.5),PTHealth*P462,0))))</f>
        <v>0</v>
      </c>
      <c r="BC462" s="462">
        <f>IF(AND(AT462=3,AK462="E",AV462&gt;=0.75,AW462=1),Health,IF(AND(AT462=3,AK462="E",AV462&gt;=0.75),Health*P462,IF(AND(AT462=3,AK462="E",AV462&gt;=0.5,AW462=1),PTHealth,IF(AND(AT462=3,AK462="E",AV462&gt;=0.5),PTHealth*P462,0))))</f>
        <v>0</v>
      </c>
      <c r="BD462" s="462">
        <f>IF(AND(AT462&lt;&gt;0,AX462&gt;=MAXSSDI),SSDI*MAXSSDI*P462,IF(AT462&lt;&gt;0,SSDI*W462,0))</f>
        <v>0</v>
      </c>
      <c r="BE462" s="462">
        <f>IF(AT462&lt;&gt;0,SSHI*W462,0)</f>
        <v>0</v>
      </c>
      <c r="BF462" s="462">
        <f>IF(AND(AT462&lt;&gt;0,AN462&lt;&gt;"NE"),VLOOKUP(AN462,Retirement_Rates,3,FALSE)*W462,0)</f>
        <v>0</v>
      </c>
      <c r="BG462" s="462">
        <f>IF(AND(AT462&lt;&gt;0,AJ462&lt;&gt;"PF"),Life*W462,0)</f>
        <v>0</v>
      </c>
      <c r="BH462" s="462">
        <f>IF(AND(AT462&lt;&gt;0,AM462="Y"),UI*W462,0)</f>
        <v>0</v>
      </c>
      <c r="BI462" s="462">
        <f>IF(AND(AT462&lt;&gt;0,N462&lt;&gt;"NR"),DHR*W462,0)</f>
        <v>0</v>
      </c>
      <c r="BJ462" s="462">
        <f>IF(AT462&lt;&gt;0,WC*W462,0)</f>
        <v>0</v>
      </c>
      <c r="BK462" s="462">
        <f>IF(OR(AND(AT462&lt;&gt;0,AJ462&lt;&gt;"PF",AN462&lt;&gt;"NE",AG462&lt;&gt;"A"),AND(AL462="E",OR(AT462=1,AT462=3))),Sick*W462,0)</f>
        <v>0</v>
      </c>
      <c r="BL462" s="462">
        <f t="shared" si="124"/>
        <v>0</v>
      </c>
      <c r="BM462" s="462">
        <f t="shared" si="125"/>
        <v>0</v>
      </c>
      <c r="BN462" s="462">
        <f>IF(AND(AT462=1,AK462="E",AU462&gt;=0.75,AW462=1),HealthBY,IF(AND(AT462=1,AK462="E",AU462&gt;=0.75),HealthBY*P462,IF(AND(AT462=1,AK462="E",AU462&gt;=0.5,AW462=1),PTHealthBY,IF(AND(AT462=1,AK462="E",AU462&gt;=0.5),PTHealthBY*P462,0))))</f>
        <v>0</v>
      </c>
      <c r="BO462" s="462">
        <f>IF(AND(AT462=3,AK462="E",AV462&gt;=0.75,AW462=1),HealthBY,IF(AND(AT462=3,AK462="E",AV462&gt;=0.75),HealthBY*P462,IF(AND(AT462=3,AK462="E",AV462&gt;=0.5,AW462=1),PTHealthBY,IF(AND(AT462=3,AK462="E",AV462&gt;=0.5),PTHealthBY*P462,0))))</f>
        <v>0</v>
      </c>
      <c r="BP462" s="462">
        <f>IF(AND(AT462&lt;&gt;0,(AX462+BA462)&gt;=MAXSSDIBY),SSDIBY*MAXSSDIBY*P462,IF(AT462&lt;&gt;0,SSDIBY*W462,0))</f>
        <v>0</v>
      </c>
      <c r="BQ462" s="462">
        <f>IF(AT462&lt;&gt;0,SSHIBY*W462,0)</f>
        <v>0</v>
      </c>
      <c r="BR462" s="462">
        <f>IF(AND(AT462&lt;&gt;0,AN462&lt;&gt;"NE"),VLOOKUP(AN462,Retirement_Rates,4,FALSE)*W462,0)</f>
        <v>0</v>
      </c>
      <c r="BS462" s="462">
        <f>IF(AND(AT462&lt;&gt;0,AJ462&lt;&gt;"PF"),LifeBY*W462,0)</f>
        <v>0</v>
      </c>
      <c r="BT462" s="462">
        <f>IF(AND(AT462&lt;&gt;0,AM462="Y"),UIBY*W462,0)</f>
        <v>0</v>
      </c>
      <c r="BU462" s="462">
        <f>IF(AND(AT462&lt;&gt;0,N462&lt;&gt;"NR"),DHRBY*W462,0)</f>
        <v>0</v>
      </c>
      <c r="BV462" s="462">
        <f>IF(AT462&lt;&gt;0,WCBY*W462,0)</f>
        <v>0</v>
      </c>
      <c r="BW462" s="462">
        <f>IF(OR(AND(AT462&lt;&gt;0,AJ462&lt;&gt;"PF",AN462&lt;&gt;"NE",AG462&lt;&gt;"A"),AND(AL462="E",OR(AT462=1,AT462=3))),SickBY*W462,0)</f>
        <v>0</v>
      </c>
      <c r="BX462" s="462">
        <f t="shared" si="126"/>
        <v>0</v>
      </c>
      <c r="BY462" s="462">
        <f t="shared" si="127"/>
        <v>0</v>
      </c>
      <c r="BZ462" s="462">
        <f t="shared" si="128"/>
        <v>0</v>
      </c>
      <c r="CA462" s="462">
        <f t="shared" si="129"/>
        <v>0</v>
      </c>
      <c r="CB462" s="462">
        <f t="shared" si="130"/>
        <v>0</v>
      </c>
      <c r="CC462" s="462">
        <f>IF(AT462&lt;&gt;0,SSHICHG*Y462,0)</f>
        <v>0</v>
      </c>
      <c r="CD462" s="462">
        <f>IF(AND(AT462&lt;&gt;0,AN462&lt;&gt;"NE"),VLOOKUP(AN462,Retirement_Rates,5,FALSE)*Y462,0)</f>
        <v>0</v>
      </c>
      <c r="CE462" s="462">
        <f>IF(AND(AT462&lt;&gt;0,AJ462&lt;&gt;"PF"),LifeCHG*Y462,0)</f>
        <v>0</v>
      </c>
      <c r="CF462" s="462">
        <f>IF(AND(AT462&lt;&gt;0,AM462="Y"),UICHG*Y462,0)</f>
        <v>0</v>
      </c>
      <c r="CG462" s="462">
        <f>IF(AND(AT462&lt;&gt;0,N462&lt;&gt;"NR"),DHRCHG*Y462,0)</f>
        <v>0</v>
      </c>
      <c r="CH462" s="462">
        <f>IF(AT462&lt;&gt;0,WCCHG*Y462,0)</f>
        <v>0</v>
      </c>
      <c r="CI462" s="462">
        <f>IF(OR(AND(AT462&lt;&gt;0,AJ462&lt;&gt;"PF",AN462&lt;&gt;"NE",AG462&lt;&gt;"A"),AND(AL462="E",OR(AT462=1,AT462=3))),SickCHG*Y462,0)</f>
        <v>0</v>
      </c>
      <c r="CJ462" s="462">
        <f t="shared" si="131"/>
        <v>0</v>
      </c>
      <c r="CK462" s="462" t="str">
        <f t="shared" si="132"/>
        <v/>
      </c>
      <c r="CL462" s="462" t="str">
        <f t="shared" si="133"/>
        <v/>
      </c>
      <c r="CM462" s="462" t="str">
        <f t="shared" si="134"/>
        <v/>
      </c>
      <c r="CN462" s="462" t="str">
        <f t="shared" si="135"/>
        <v>0331-00</v>
      </c>
    </row>
    <row r="463" spans="1:92" ht="15" thickBot="1" x14ac:dyDescent="0.35">
      <c r="A463" s="376" t="s">
        <v>161</v>
      </c>
      <c r="B463" s="376" t="s">
        <v>162</v>
      </c>
      <c r="C463" s="376" t="s">
        <v>711</v>
      </c>
      <c r="D463" s="376" t="s">
        <v>250</v>
      </c>
      <c r="E463" s="376" t="s">
        <v>1135</v>
      </c>
      <c r="F463" s="377" t="s">
        <v>166</v>
      </c>
      <c r="G463" s="376" t="s">
        <v>1136</v>
      </c>
      <c r="H463" s="378"/>
      <c r="I463" s="378"/>
      <c r="J463" s="376" t="s">
        <v>185</v>
      </c>
      <c r="K463" s="376" t="s">
        <v>407</v>
      </c>
      <c r="L463" s="376" t="s">
        <v>247</v>
      </c>
      <c r="M463" s="376" t="s">
        <v>170</v>
      </c>
      <c r="N463" s="376" t="s">
        <v>202</v>
      </c>
      <c r="O463" s="379">
        <v>1</v>
      </c>
      <c r="P463" s="460">
        <v>0</v>
      </c>
      <c r="Q463" s="460">
        <v>0</v>
      </c>
      <c r="R463" s="380">
        <v>80</v>
      </c>
      <c r="S463" s="460">
        <v>0</v>
      </c>
      <c r="T463" s="380">
        <v>50216.04</v>
      </c>
      <c r="U463" s="380">
        <v>0</v>
      </c>
      <c r="V463" s="380">
        <v>18053.64</v>
      </c>
      <c r="W463" s="380">
        <v>0</v>
      </c>
      <c r="X463" s="380">
        <v>0</v>
      </c>
      <c r="Y463" s="380">
        <v>0</v>
      </c>
      <c r="Z463" s="380">
        <v>0</v>
      </c>
      <c r="AA463" s="376" t="s">
        <v>712</v>
      </c>
      <c r="AB463" s="376" t="s">
        <v>713</v>
      </c>
      <c r="AC463" s="376" t="s">
        <v>714</v>
      </c>
      <c r="AD463" s="376" t="s">
        <v>278</v>
      </c>
      <c r="AE463" s="376" t="s">
        <v>407</v>
      </c>
      <c r="AF463" s="376" t="s">
        <v>299</v>
      </c>
      <c r="AG463" s="376" t="s">
        <v>177</v>
      </c>
      <c r="AH463" s="381">
        <v>28.16</v>
      </c>
      <c r="AI463" s="381">
        <v>4619.7</v>
      </c>
      <c r="AJ463" s="376" t="s">
        <v>178</v>
      </c>
      <c r="AK463" s="376" t="s">
        <v>179</v>
      </c>
      <c r="AL463" s="376" t="s">
        <v>180</v>
      </c>
      <c r="AM463" s="376" t="s">
        <v>181</v>
      </c>
      <c r="AN463" s="376" t="s">
        <v>68</v>
      </c>
      <c r="AO463" s="379">
        <v>80</v>
      </c>
      <c r="AP463" s="460">
        <v>1</v>
      </c>
      <c r="AQ463" s="460">
        <v>0</v>
      </c>
      <c r="AR463" s="458" t="s">
        <v>182</v>
      </c>
      <c r="AS463" s="462">
        <f t="shared" si="119"/>
        <v>0</v>
      </c>
      <c r="AT463">
        <f t="shared" si="120"/>
        <v>0</v>
      </c>
      <c r="AU463" s="462" t="str">
        <f>IF(AT463=0,"",IF(AND(AT463=1,M463="F",SUMIF(C2:C698,C463,AS2:AS698)&lt;=1),SUMIF(C2:C698,C463,AS2:AS698),IF(AND(AT463=1,M463="F",SUMIF(C2:C698,C463,AS2:AS698)&gt;1),1,"")))</f>
        <v/>
      </c>
      <c r="AV463" s="462" t="str">
        <f>IF(AT463=0,"",IF(AND(AT463=3,M463="F",SUMIF(C2:C698,C463,AS2:AS698)&lt;=1),SUMIF(C2:C698,C463,AS2:AS698),IF(AND(AT463=3,M463="F",SUMIF(C2:C698,C463,AS2:AS698)&gt;1),1,"")))</f>
        <v/>
      </c>
      <c r="AW463" s="462">
        <f>SUMIF(C2:C698,C463,O2:O698)</f>
        <v>4</v>
      </c>
      <c r="AX463" s="462">
        <f>IF(AND(M463="F",AS463&lt;&gt;0),SUMIF(C2:C698,C463,W2:W698),0)</f>
        <v>0</v>
      </c>
      <c r="AY463" s="462" t="str">
        <f t="shared" si="121"/>
        <v/>
      </c>
      <c r="AZ463" s="462" t="str">
        <f t="shared" si="122"/>
        <v/>
      </c>
      <c r="BA463" s="462">
        <f t="shared" si="123"/>
        <v>0</v>
      </c>
      <c r="BB463" s="462">
        <f>IF(AND(AT463=1,AK463="E",AU463&gt;=0.75,AW463=1),Health,IF(AND(AT463=1,AK463="E",AU463&gt;=0.75),Health*P463,IF(AND(AT463=1,AK463="E",AU463&gt;=0.5,AW463=1),PTHealth,IF(AND(AT463=1,AK463="E",AU463&gt;=0.5),PTHealth*P463,0))))</f>
        <v>0</v>
      </c>
      <c r="BC463" s="462">
        <f>IF(AND(AT463=3,AK463="E",AV463&gt;=0.75,AW463=1),Health,IF(AND(AT463=3,AK463="E",AV463&gt;=0.75),Health*P463,IF(AND(AT463=3,AK463="E",AV463&gt;=0.5,AW463=1),PTHealth,IF(AND(AT463=3,AK463="E",AV463&gt;=0.5),PTHealth*P463,0))))</f>
        <v>0</v>
      </c>
      <c r="BD463" s="462">
        <f>IF(AND(AT463&lt;&gt;0,AX463&gt;=MAXSSDI),SSDI*MAXSSDI*P463,IF(AT463&lt;&gt;0,SSDI*W463,0))</f>
        <v>0</v>
      </c>
      <c r="BE463" s="462">
        <f>IF(AT463&lt;&gt;0,SSHI*W463,0)</f>
        <v>0</v>
      </c>
      <c r="BF463" s="462">
        <f>IF(AND(AT463&lt;&gt;0,AN463&lt;&gt;"NE"),VLOOKUP(AN463,Retirement_Rates,3,FALSE)*W463,0)</f>
        <v>0</v>
      </c>
      <c r="BG463" s="462">
        <f>IF(AND(AT463&lt;&gt;0,AJ463&lt;&gt;"PF"),Life*W463,0)</f>
        <v>0</v>
      </c>
      <c r="BH463" s="462">
        <f>IF(AND(AT463&lt;&gt;0,AM463="Y"),UI*W463,0)</f>
        <v>0</v>
      </c>
      <c r="BI463" s="462">
        <f>IF(AND(AT463&lt;&gt;0,N463&lt;&gt;"NR"),DHR*W463,0)</f>
        <v>0</v>
      </c>
      <c r="BJ463" s="462">
        <f>IF(AT463&lt;&gt;0,WC*W463,0)</f>
        <v>0</v>
      </c>
      <c r="BK463" s="462">
        <f>IF(OR(AND(AT463&lt;&gt;0,AJ463&lt;&gt;"PF",AN463&lt;&gt;"NE",AG463&lt;&gt;"A"),AND(AL463="E",OR(AT463=1,AT463=3))),Sick*W463,0)</f>
        <v>0</v>
      </c>
      <c r="BL463" s="462">
        <f t="shared" si="124"/>
        <v>0</v>
      </c>
      <c r="BM463" s="462">
        <f t="shared" si="125"/>
        <v>0</v>
      </c>
      <c r="BN463" s="462">
        <f>IF(AND(AT463=1,AK463="E",AU463&gt;=0.75,AW463=1),HealthBY,IF(AND(AT463=1,AK463="E",AU463&gt;=0.75),HealthBY*P463,IF(AND(AT463=1,AK463="E",AU463&gt;=0.5,AW463=1),PTHealthBY,IF(AND(AT463=1,AK463="E",AU463&gt;=0.5),PTHealthBY*P463,0))))</f>
        <v>0</v>
      </c>
      <c r="BO463" s="462">
        <f>IF(AND(AT463=3,AK463="E",AV463&gt;=0.75,AW463=1),HealthBY,IF(AND(AT463=3,AK463="E",AV463&gt;=0.75),HealthBY*P463,IF(AND(AT463=3,AK463="E",AV463&gt;=0.5,AW463=1),PTHealthBY,IF(AND(AT463=3,AK463="E",AV463&gt;=0.5),PTHealthBY*P463,0))))</f>
        <v>0</v>
      </c>
      <c r="BP463" s="462">
        <f>IF(AND(AT463&lt;&gt;0,(AX463+BA463)&gt;=MAXSSDIBY),SSDIBY*MAXSSDIBY*P463,IF(AT463&lt;&gt;0,SSDIBY*W463,0))</f>
        <v>0</v>
      </c>
      <c r="BQ463" s="462">
        <f>IF(AT463&lt;&gt;0,SSHIBY*W463,0)</f>
        <v>0</v>
      </c>
      <c r="BR463" s="462">
        <f>IF(AND(AT463&lt;&gt;0,AN463&lt;&gt;"NE"),VLOOKUP(AN463,Retirement_Rates,4,FALSE)*W463,0)</f>
        <v>0</v>
      </c>
      <c r="BS463" s="462">
        <f>IF(AND(AT463&lt;&gt;0,AJ463&lt;&gt;"PF"),LifeBY*W463,0)</f>
        <v>0</v>
      </c>
      <c r="BT463" s="462">
        <f>IF(AND(AT463&lt;&gt;0,AM463="Y"),UIBY*W463,0)</f>
        <v>0</v>
      </c>
      <c r="BU463" s="462">
        <f>IF(AND(AT463&lt;&gt;0,N463&lt;&gt;"NR"),DHRBY*W463,0)</f>
        <v>0</v>
      </c>
      <c r="BV463" s="462">
        <f>IF(AT463&lt;&gt;0,WCBY*W463,0)</f>
        <v>0</v>
      </c>
      <c r="BW463" s="462">
        <f>IF(OR(AND(AT463&lt;&gt;0,AJ463&lt;&gt;"PF",AN463&lt;&gt;"NE",AG463&lt;&gt;"A"),AND(AL463="E",OR(AT463=1,AT463=3))),SickBY*W463,0)</f>
        <v>0</v>
      </c>
      <c r="BX463" s="462">
        <f t="shared" si="126"/>
        <v>0</v>
      </c>
      <c r="BY463" s="462">
        <f t="shared" si="127"/>
        <v>0</v>
      </c>
      <c r="BZ463" s="462">
        <f t="shared" si="128"/>
        <v>0</v>
      </c>
      <c r="CA463" s="462">
        <f t="shared" si="129"/>
        <v>0</v>
      </c>
      <c r="CB463" s="462">
        <f t="shared" si="130"/>
        <v>0</v>
      </c>
      <c r="CC463" s="462">
        <f>IF(AT463&lt;&gt;0,SSHICHG*Y463,0)</f>
        <v>0</v>
      </c>
      <c r="CD463" s="462">
        <f>IF(AND(AT463&lt;&gt;0,AN463&lt;&gt;"NE"),VLOOKUP(AN463,Retirement_Rates,5,FALSE)*Y463,0)</f>
        <v>0</v>
      </c>
      <c r="CE463" s="462">
        <f>IF(AND(AT463&lt;&gt;0,AJ463&lt;&gt;"PF"),LifeCHG*Y463,0)</f>
        <v>0</v>
      </c>
      <c r="CF463" s="462">
        <f>IF(AND(AT463&lt;&gt;0,AM463="Y"),UICHG*Y463,0)</f>
        <v>0</v>
      </c>
      <c r="CG463" s="462">
        <f>IF(AND(AT463&lt;&gt;0,N463&lt;&gt;"NR"),DHRCHG*Y463,0)</f>
        <v>0</v>
      </c>
      <c r="CH463" s="462">
        <f>IF(AT463&lt;&gt;0,WCCHG*Y463,0)</f>
        <v>0</v>
      </c>
      <c r="CI463" s="462">
        <f>IF(OR(AND(AT463&lt;&gt;0,AJ463&lt;&gt;"PF",AN463&lt;&gt;"NE",AG463&lt;&gt;"A"),AND(AL463="E",OR(AT463=1,AT463=3))),SickCHG*Y463,0)</f>
        <v>0</v>
      </c>
      <c r="CJ463" s="462">
        <f t="shared" si="131"/>
        <v>0</v>
      </c>
      <c r="CK463" s="462" t="str">
        <f t="shared" si="132"/>
        <v/>
      </c>
      <c r="CL463" s="462" t="str">
        <f t="shared" si="133"/>
        <v/>
      </c>
      <c r="CM463" s="462" t="str">
        <f t="shared" si="134"/>
        <v/>
      </c>
      <c r="CN463" s="462" t="str">
        <f t="shared" si="135"/>
        <v>0331-00</v>
      </c>
    </row>
    <row r="464" spans="1:92" ht="15" thickBot="1" x14ac:dyDescent="0.35">
      <c r="A464" s="376" t="s">
        <v>161</v>
      </c>
      <c r="B464" s="376" t="s">
        <v>162</v>
      </c>
      <c r="C464" s="376" t="s">
        <v>876</v>
      </c>
      <c r="D464" s="376" t="s">
        <v>362</v>
      </c>
      <c r="E464" s="376" t="s">
        <v>1135</v>
      </c>
      <c r="F464" s="377" t="s">
        <v>166</v>
      </c>
      <c r="G464" s="376" t="s">
        <v>1136</v>
      </c>
      <c r="H464" s="378"/>
      <c r="I464" s="378"/>
      <c r="J464" s="376" t="s">
        <v>877</v>
      </c>
      <c r="K464" s="376" t="s">
        <v>363</v>
      </c>
      <c r="L464" s="376" t="s">
        <v>200</v>
      </c>
      <c r="M464" s="376" t="s">
        <v>170</v>
      </c>
      <c r="N464" s="376" t="s">
        <v>202</v>
      </c>
      <c r="O464" s="379">
        <v>1</v>
      </c>
      <c r="P464" s="460">
        <v>0</v>
      </c>
      <c r="Q464" s="460">
        <v>0</v>
      </c>
      <c r="R464" s="380">
        <v>80</v>
      </c>
      <c r="S464" s="460">
        <v>0</v>
      </c>
      <c r="T464" s="380">
        <v>2622.66</v>
      </c>
      <c r="U464" s="380">
        <v>0</v>
      </c>
      <c r="V464" s="380">
        <v>1238.95</v>
      </c>
      <c r="W464" s="380">
        <v>0</v>
      </c>
      <c r="X464" s="380">
        <v>0</v>
      </c>
      <c r="Y464" s="380">
        <v>0</v>
      </c>
      <c r="Z464" s="380">
        <v>0</v>
      </c>
      <c r="AA464" s="376" t="s">
        <v>878</v>
      </c>
      <c r="AB464" s="376" t="s">
        <v>879</v>
      </c>
      <c r="AC464" s="376" t="s">
        <v>880</v>
      </c>
      <c r="AD464" s="376" t="s">
        <v>881</v>
      </c>
      <c r="AE464" s="376" t="s">
        <v>363</v>
      </c>
      <c r="AF464" s="376" t="s">
        <v>210</v>
      </c>
      <c r="AG464" s="376" t="s">
        <v>177</v>
      </c>
      <c r="AH464" s="381">
        <v>24.41</v>
      </c>
      <c r="AI464" s="379">
        <v>38438</v>
      </c>
      <c r="AJ464" s="376" t="s">
        <v>178</v>
      </c>
      <c r="AK464" s="376" t="s">
        <v>179</v>
      </c>
      <c r="AL464" s="376" t="s">
        <v>180</v>
      </c>
      <c r="AM464" s="376" t="s">
        <v>181</v>
      </c>
      <c r="AN464" s="376" t="s">
        <v>68</v>
      </c>
      <c r="AO464" s="379">
        <v>80</v>
      </c>
      <c r="AP464" s="460">
        <v>1</v>
      </c>
      <c r="AQ464" s="460">
        <v>0</v>
      </c>
      <c r="AR464" s="458" t="s">
        <v>182</v>
      </c>
      <c r="AS464" s="462">
        <f t="shared" si="119"/>
        <v>0</v>
      </c>
      <c r="AT464">
        <f t="shared" si="120"/>
        <v>0</v>
      </c>
      <c r="AU464" s="462" t="str">
        <f>IF(AT464=0,"",IF(AND(AT464=1,M464="F",SUMIF(C2:C698,C464,AS2:AS698)&lt;=1),SUMIF(C2:C698,C464,AS2:AS698),IF(AND(AT464=1,M464="F",SUMIF(C2:C698,C464,AS2:AS698)&gt;1),1,"")))</f>
        <v/>
      </c>
      <c r="AV464" s="462" t="str">
        <f>IF(AT464=0,"",IF(AND(AT464=3,M464="F",SUMIF(C2:C698,C464,AS2:AS698)&lt;=1),SUMIF(C2:C698,C464,AS2:AS698),IF(AND(AT464=3,M464="F",SUMIF(C2:C698,C464,AS2:AS698)&gt;1),1,"")))</f>
        <v/>
      </c>
      <c r="AW464" s="462">
        <f>SUMIF(C2:C698,C464,O2:O698)</f>
        <v>8</v>
      </c>
      <c r="AX464" s="462">
        <f>IF(AND(M464="F",AS464&lt;&gt;0),SUMIF(C2:C698,C464,W2:W698),0)</f>
        <v>0</v>
      </c>
      <c r="AY464" s="462" t="str">
        <f t="shared" si="121"/>
        <v/>
      </c>
      <c r="AZ464" s="462" t="str">
        <f t="shared" si="122"/>
        <v/>
      </c>
      <c r="BA464" s="462">
        <f t="shared" si="123"/>
        <v>0</v>
      </c>
      <c r="BB464" s="462">
        <f>IF(AND(AT464=1,AK464="E",AU464&gt;=0.75,AW464=1),Health,IF(AND(AT464=1,AK464="E",AU464&gt;=0.75),Health*P464,IF(AND(AT464=1,AK464="E",AU464&gt;=0.5,AW464=1),PTHealth,IF(AND(AT464=1,AK464="E",AU464&gt;=0.5),PTHealth*P464,0))))</f>
        <v>0</v>
      </c>
      <c r="BC464" s="462">
        <f>IF(AND(AT464=3,AK464="E",AV464&gt;=0.75,AW464=1),Health,IF(AND(AT464=3,AK464="E",AV464&gt;=0.75),Health*P464,IF(AND(AT464=3,AK464="E",AV464&gt;=0.5,AW464=1),PTHealth,IF(AND(AT464=3,AK464="E",AV464&gt;=0.5),PTHealth*P464,0))))</f>
        <v>0</v>
      </c>
      <c r="BD464" s="462">
        <f>IF(AND(AT464&lt;&gt;0,AX464&gt;=MAXSSDI),SSDI*MAXSSDI*P464,IF(AT464&lt;&gt;0,SSDI*W464,0))</f>
        <v>0</v>
      </c>
      <c r="BE464" s="462">
        <f>IF(AT464&lt;&gt;0,SSHI*W464,0)</f>
        <v>0</v>
      </c>
      <c r="BF464" s="462">
        <f>IF(AND(AT464&lt;&gt;0,AN464&lt;&gt;"NE"),VLOOKUP(AN464,Retirement_Rates,3,FALSE)*W464,0)</f>
        <v>0</v>
      </c>
      <c r="BG464" s="462">
        <f>IF(AND(AT464&lt;&gt;0,AJ464&lt;&gt;"PF"),Life*W464,0)</f>
        <v>0</v>
      </c>
      <c r="BH464" s="462">
        <f>IF(AND(AT464&lt;&gt;0,AM464="Y"),UI*W464,0)</f>
        <v>0</v>
      </c>
      <c r="BI464" s="462">
        <f>IF(AND(AT464&lt;&gt;0,N464&lt;&gt;"NR"),DHR*W464,0)</f>
        <v>0</v>
      </c>
      <c r="BJ464" s="462">
        <f>IF(AT464&lt;&gt;0,WC*W464,0)</f>
        <v>0</v>
      </c>
      <c r="BK464" s="462">
        <f>IF(OR(AND(AT464&lt;&gt;0,AJ464&lt;&gt;"PF",AN464&lt;&gt;"NE",AG464&lt;&gt;"A"),AND(AL464="E",OR(AT464=1,AT464=3))),Sick*W464,0)</f>
        <v>0</v>
      </c>
      <c r="BL464" s="462">
        <f t="shared" si="124"/>
        <v>0</v>
      </c>
      <c r="BM464" s="462">
        <f t="shared" si="125"/>
        <v>0</v>
      </c>
      <c r="BN464" s="462">
        <f>IF(AND(AT464=1,AK464="E",AU464&gt;=0.75,AW464=1),HealthBY,IF(AND(AT464=1,AK464="E",AU464&gt;=0.75),HealthBY*P464,IF(AND(AT464=1,AK464="E",AU464&gt;=0.5,AW464=1),PTHealthBY,IF(AND(AT464=1,AK464="E",AU464&gt;=0.5),PTHealthBY*P464,0))))</f>
        <v>0</v>
      </c>
      <c r="BO464" s="462">
        <f>IF(AND(AT464=3,AK464="E",AV464&gt;=0.75,AW464=1),HealthBY,IF(AND(AT464=3,AK464="E",AV464&gt;=0.75),HealthBY*P464,IF(AND(AT464=3,AK464="E",AV464&gt;=0.5,AW464=1),PTHealthBY,IF(AND(AT464=3,AK464="E",AV464&gt;=0.5),PTHealthBY*P464,0))))</f>
        <v>0</v>
      </c>
      <c r="BP464" s="462">
        <f>IF(AND(AT464&lt;&gt;0,(AX464+BA464)&gt;=MAXSSDIBY),SSDIBY*MAXSSDIBY*P464,IF(AT464&lt;&gt;0,SSDIBY*W464,0))</f>
        <v>0</v>
      </c>
      <c r="BQ464" s="462">
        <f>IF(AT464&lt;&gt;0,SSHIBY*W464,0)</f>
        <v>0</v>
      </c>
      <c r="BR464" s="462">
        <f>IF(AND(AT464&lt;&gt;0,AN464&lt;&gt;"NE"),VLOOKUP(AN464,Retirement_Rates,4,FALSE)*W464,0)</f>
        <v>0</v>
      </c>
      <c r="BS464" s="462">
        <f>IF(AND(AT464&lt;&gt;0,AJ464&lt;&gt;"PF"),LifeBY*W464,0)</f>
        <v>0</v>
      </c>
      <c r="BT464" s="462">
        <f>IF(AND(AT464&lt;&gt;0,AM464="Y"),UIBY*W464,0)</f>
        <v>0</v>
      </c>
      <c r="BU464" s="462">
        <f>IF(AND(AT464&lt;&gt;0,N464&lt;&gt;"NR"),DHRBY*W464,0)</f>
        <v>0</v>
      </c>
      <c r="BV464" s="462">
        <f>IF(AT464&lt;&gt;0,WCBY*W464,0)</f>
        <v>0</v>
      </c>
      <c r="BW464" s="462">
        <f>IF(OR(AND(AT464&lt;&gt;0,AJ464&lt;&gt;"PF",AN464&lt;&gt;"NE",AG464&lt;&gt;"A"),AND(AL464="E",OR(AT464=1,AT464=3))),SickBY*W464,0)</f>
        <v>0</v>
      </c>
      <c r="BX464" s="462">
        <f t="shared" si="126"/>
        <v>0</v>
      </c>
      <c r="BY464" s="462">
        <f t="shared" si="127"/>
        <v>0</v>
      </c>
      <c r="BZ464" s="462">
        <f t="shared" si="128"/>
        <v>0</v>
      </c>
      <c r="CA464" s="462">
        <f t="shared" si="129"/>
        <v>0</v>
      </c>
      <c r="CB464" s="462">
        <f t="shared" si="130"/>
        <v>0</v>
      </c>
      <c r="CC464" s="462">
        <f>IF(AT464&lt;&gt;0,SSHICHG*Y464,0)</f>
        <v>0</v>
      </c>
      <c r="CD464" s="462">
        <f>IF(AND(AT464&lt;&gt;0,AN464&lt;&gt;"NE"),VLOOKUP(AN464,Retirement_Rates,5,FALSE)*Y464,0)</f>
        <v>0</v>
      </c>
      <c r="CE464" s="462">
        <f>IF(AND(AT464&lt;&gt;0,AJ464&lt;&gt;"PF"),LifeCHG*Y464,0)</f>
        <v>0</v>
      </c>
      <c r="CF464" s="462">
        <f>IF(AND(AT464&lt;&gt;0,AM464="Y"),UICHG*Y464,0)</f>
        <v>0</v>
      </c>
      <c r="CG464" s="462">
        <f>IF(AND(AT464&lt;&gt;0,N464&lt;&gt;"NR"),DHRCHG*Y464,0)</f>
        <v>0</v>
      </c>
      <c r="CH464" s="462">
        <f>IF(AT464&lt;&gt;0,WCCHG*Y464,0)</f>
        <v>0</v>
      </c>
      <c r="CI464" s="462">
        <f>IF(OR(AND(AT464&lt;&gt;0,AJ464&lt;&gt;"PF",AN464&lt;&gt;"NE",AG464&lt;&gt;"A"),AND(AL464="E",OR(AT464=1,AT464=3))),SickCHG*Y464,0)</f>
        <v>0</v>
      </c>
      <c r="CJ464" s="462">
        <f t="shared" si="131"/>
        <v>0</v>
      </c>
      <c r="CK464" s="462" t="str">
        <f t="shared" si="132"/>
        <v/>
      </c>
      <c r="CL464" s="462" t="str">
        <f t="shared" si="133"/>
        <v/>
      </c>
      <c r="CM464" s="462" t="str">
        <f t="shared" si="134"/>
        <v/>
      </c>
      <c r="CN464" s="462" t="str">
        <f t="shared" si="135"/>
        <v>0331-00</v>
      </c>
    </row>
    <row r="465" spans="1:92" ht="15" thickBot="1" x14ac:dyDescent="0.35">
      <c r="A465" s="376" t="s">
        <v>161</v>
      </c>
      <c r="B465" s="376" t="s">
        <v>162</v>
      </c>
      <c r="C465" s="376" t="s">
        <v>883</v>
      </c>
      <c r="D465" s="376" t="s">
        <v>365</v>
      </c>
      <c r="E465" s="376" t="s">
        <v>1135</v>
      </c>
      <c r="F465" s="377" t="s">
        <v>166</v>
      </c>
      <c r="G465" s="376" t="s">
        <v>1136</v>
      </c>
      <c r="H465" s="378"/>
      <c r="I465" s="378"/>
      <c r="J465" s="376" t="s">
        <v>768</v>
      </c>
      <c r="K465" s="376" t="s">
        <v>366</v>
      </c>
      <c r="L465" s="376" t="s">
        <v>274</v>
      </c>
      <c r="M465" s="376" t="s">
        <v>170</v>
      </c>
      <c r="N465" s="376" t="s">
        <v>202</v>
      </c>
      <c r="O465" s="379">
        <v>1</v>
      </c>
      <c r="P465" s="460">
        <v>0</v>
      </c>
      <c r="Q465" s="460">
        <v>0</v>
      </c>
      <c r="R465" s="380">
        <v>80</v>
      </c>
      <c r="S465" s="460">
        <v>0</v>
      </c>
      <c r="T465" s="380">
        <v>17.7</v>
      </c>
      <c r="U465" s="380">
        <v>0</v>
      </c>
      <c r="V465" s="380">
        <v>9.49</v>
      </c>
      <c r="W465" s="380">
        <v>0</v>
      </c>
      <c r="X465" s="380">
        <v>0</v>
      </c>
      <c r="Y465" s="380">
        <v>0</v>
      </c>
      <c r="Z465" s="380">
        <v>0</v>
      </c>
      <c r="AA465" s="376" t="s">
        <v>884</v>
      </c>
      <c r="AB465" s="376" t="s">
        <v>885</v>
      </c>
      <c r="AC465" s="376" t="s">
        <v>886</v>
      </c>
      <c r="AD465" s="376" t="s">
        <v>225</v>
      </c>
      <c r="AE465" s="376" t="s">
        <v>366</v>
      </c>
      <c r="AF465" s="376" t="s">
        <v>279</v>
      </c>
      <c r="AG465" s="376" t="s">
        <v>177</v>
      </c>
      <c r="AH465" s="381">
        <v>18.46</v>
      </c>
      <c r="AI465" s="381">
        <v>27087.200000000001</v>
      </c>
      <c r="AJ465" s="376" t="s">
        <v>178</v>
      </c>
      <c r="AK465" s="376" t="s">
        <v>179</v>
      </c>
      <c r="AL465" s="376" t="s">
        <v>180</v>
      </c>
      <c r="AM465" s="376" t="s">
        <v>181</v>
      </c>
      <c r="AN465" s="376" t="s">
        <v>68</v>
      </c>
      <c r="AO465" s="379">
        <v>80</v>
      </c>
      <c r="AP465" s="460">
        <v>1</v>
      </c>
      <c r="AQ465" s="460">
        <v>0</v>
      </c>
      <c r="AR465" s="458" t="s">
        <v>182</v>
      </c>
      <c r="AS465" s="462">
        <f t="shared" si="119"/>
        <v>0</v>
      </c>
      <c r="AT465">
        <f t="shared" si="120"/>
        <v>0</v>
      </c>
      <c r="AU465" s="462" t="str">
        <f>IF(AT465=0,"",IF(AND(AT465=1,M465="F",SUMIF(C2:C698,C465,AS2:AS698)&lt;=1),SUMIF(C2:C698,C465,AS2:AS698),IF(AND(AT465=1,M465="F",SUMIF(C2:C698,C465,AS2:AS698)&gt;1),1,"")))</f>
        <v/>
      </c>
      <c r="AV465" s="462" t="str">
        <f>IF(AT465=0,"",IF(AND(AT465=3,M465="F",SUMIF(C2:C698,C465,AS2:AS698)&lt;=1),SUMIF(C2:C698,C465,AS2:AS698),IF(AND(AT465=3,M465="F",SUMIF(C2:C698,C465,AS2:AS698)&gt;1),1,"")))</f>
        <v/>
      </c>
      <c r="AW465" s="462">
        <f>SUMIF(C2:C698,C465,O2:O698)</f>
        <v>4</v>
      </c>
      <c r="AX465" s="462">
        <f>IF(AND(M465="F",AS465&lt;&gt;0),SUMIF(C2:C698,C465,W2:W698),0)</f>
        <v>0</v>
      </c>
      <c r="AY465" s="462" t="str">
        <f t="shared" si="121"/>
        <v/>
      </c>
      <c r="AZ465" s="462" t="str">
        <f t="shared" si="122"/>
        <v/>
      </c>
      <c r="BA465" s="462">
        <f t="shared" si="123"/>
        <v>0</v>
      </c>
      <c r="BB465" s="462">
        <f>IF(AND(AT465=1,AK465="E",AU465&gt;=0.75,AW465=1),Health,IF(AND(AT465=1,AK465="E",AU465&gt;=0.75),Health*P465,IF(AND(AT465=1,AK465="E",AU465&gt;=0.5,AW465=1),PTHealth,IF(AND(AT465=1,AK465="E",AU465&gt;=0.5),PTHealth*P465,0))))</f>
        <v>0</v>
      </c>
      <c r="BC465" s="462">
        <f>IF(AND(AT465=3,AK465="E",AV465&gt;=0.75,AW465=1),Health,IF(AND(AT465=3,AK465="E",AV465&gt;=0.75),Health*P465,IF(AND(AT465=3,AK465="E",AV465&gt;=0.5,AW465=1),PTHealth,IF(AND(AT465=3,AK465="E",AV465&gt;=0.5),PTHealth*P465,0))))</f>
        <v>0</v>
      </c>
      <c r="BD465" s="462">
        <f>IF(AND(AT465&lt;&gt;0,AX465&gt;=MAXSSDI),SSDI*MAXSSDI*P465,IF(AT465&lt;&gt;0,SSDI*W465,0))</f>
        <v>0</v>
      </c>
      <c r="BE465" s="462">
        <f>IF(AT465&lt;&gt;0,SSHI*W465,0)</f>
        <v>0</v>
      </c>
      <c r="BF465" s="462">
        <f>IF(AND(AT465&lt;&gt;0,AN465&lt;&gt;"NE"),VLOOKUP(AN465,Retirement_Rates,3,FALSE)*W465,0)</f>
        <v>0</v>
      </c>
      <c r="BG465" s="462">
        <f>IF(AND(AT465&lt;&gt;0,AJ465&lt;&gt;"PF"),Life*W465,0)</f>
        <v>0</v>
      </c>
      <c r="BH465" s="462">
        <f>IF(AND(AT465&lt;&gt;0,AM465="Y"),UI*W465,0)</f>
        <v>0</v>
      </c>
      <c r="BI465" s="462">
        <f>IF(AND(AT465&lt;&gt;0,N465&lt;&gt;"NR"),DHR*W465,0)</f>
        <v>0</v>
      </c>
      <c r="BJ465" s="462">
        <f>IF(AT465&lt;&gt;0,WC*W465,0)</f>
        <v>0</v>
      </c>
      <c r="BK465" s="462">
        <f>IF(OR(AND(AT465&lt;&gt;0,AJ465&lt;&gt;"PF",AN465&lt;&gt;"NE",AG465&lt;&gt;"A"),AND(AL465="E",OR(AT465=1,AT465=3))),Sick*W465,0)</f>
        <v>0</v>
      </c>
      <c r="BL465" s="462">
        <f t="shared" si="124"/>
        <v>0</v>
      </c>
      <c r="BM465" s="462">
        <f t="shared" si="125"/>
        <v>0</v>
      </c>
      <c r="BN465" s="462">
        <f>IF(AND(AT465=1,AK465="E",AU465&gt;=0.75,AW465=1),HealthBY,IF(AND(AT465=1,AK465="E",AU465&gt;=0.75),HealthBY*P465,IF(AND(AT465=1,AK465="E",AU465&gt;=0.5,AW465=1),PTHealthBY,IF(AND(AT465=1,AK465="E",AU465&gt;=0.5),PTHealthBY*P465,0))))</f>
        <v>0</v>
      </c>
      <c r="BO465" s="462">
        <f>IF(AND(AT465=3,AK465="E",AV465&gt;=0.75,AW465=1),HealthBY,IF(AND(AT465=3,AK465="E",AV465&gt;=0.75),HealthBY*P465,IF(AND(AT465=3,AK465="E",AV465&gt;=0.5,AW465=1),PTHealthBY,IF(AND(AT465=3,AK465="E",AV465&gt;=0.5),PTHealthBY*P465,0))))</f>
        <v>0</v>
      </c>
      <c r="BP465" s="462">
        <f>IF(AND(AT465&lt;&gt;0,(AX465+BA465)&gt;=MAXSSDIBY),SSDIBY*MAXSSDIBY*P465,IF(AT465&lt;&gt;0,SSDIBY*W465,0))</f>
        <v>0</v>
      </c>
      <c r="BQ465" s="462">
        <f>IF(AT465&lt;&gt;0,SSHIBY*W465,0)</f>
        <v>0</v>
      </c>
      <c r="BR465" s="462">
        <f>IF(AND(AT465&lt;&gt;0,AN465&lt;&gt;"NE"),VLOOKUP(AN465,Retirement_Rates,4,FALSE)*W465,0)</f>
        <v>0</v>
      </c>
      <c r="BS465" s="462">
        <f>IF(AND(AT465&lt;&gt;0,AJ465&lt;&gt;"PF"),LifeBY*W465,0)</f>
        <v>0</v>
      </c>
      <c r="BT465" s="462">
        <f>IF(AND(AT465&lt;&gt;0,AM465="Y"),UIBY*W465,0)</f>
        <v>0</v>
      </c>
      <c r="BU465" s="462">
        <f>IF(AND(AT465&lt;&gt;0,N465&lt;&gt;"NR"),DHRBY*W465,0)</f>
        <v>0</v>
      </c>
      <c r="BV465" s="462">
        <f>IF(AT465&lt;&gt;0,WCBY*W465,0)</f>
        <v>0</v>
      </c>
      <c r="BW465" s="462">
        <f>IF(OR(AND(AT465&lt;&gt;0,AJ465&lt;&gt;"PF",AN465&lt;&gt;"NE",AG465&lt;&gt;"A"),AND(AL465="E",OR(AT465=1,AT465=3))),SickBY*W465,0)</f>
        <v>0</v>
      </c>
      <c r="BX465" s="462">
        <f t="shared" si="126"/>
        <v>0</v>
      </c>
      <c r="BY465" s="462">
        <f t="shared" si="127"/>
        <v>0</v>
      </c>
      <c r="BZ465" s="462">
        <f t="shared" si="128"/>
        <v>0</v>
      </c>
      <c r="CA465" s="462">
        <f t="shared" si="129"/>
        <v>0</v>
      </c>
      <c r="CB465" s="462">
        <f t="shared" si="130"/>
        <v>0</v>
      </c>
      <c r="CC465" s="462">
        <f>IF(AT465&lt;&gt;0,SSHICHG*Y465,0)</f>
        <v>0</v>
      </c>
      <c r="CD465" s="462">
        <f>IF(AND(AT465&lt;&gt;0,AN465&lt;&gt;"NE"),VLOOKUP(AN465,Retirement_Rates,5,FALSE)*Y465,0)</f>
        <v>0</v>
      </c>
      <c r="CE465" s="462">
        <f>IF(AND(AT465&lt;&gt;0,AJ465&lt;&gt;"PF"),LifeCHG*Y465,0)</f>
        <v>0</v>
      </c>
      <c r="CF465" s="462">
        <f>IF(AND(AT465&lt;&gt;0,AM465="Y"),UICHG*Y465,0)</f>
        <v>0</v>
      </c>
      <c r="CG465" s="462">
        <f>IF(AND(AT465&lt;&gt;0,N465&lt;&gt;"NR"),DHRCHG*Y465,0)</f>
        <v>0</v>
      </c>
      <c r="CH465" s="462">
        <f>IF(AT465&lt;&gt;0,WCCHG*Y465,0)</f>
        <v>0</v>
      </c>
      <c r="CI465" s="462">
        <f>IF(OR(AND(AT465&lt;&gt;0,AJ465&lt;&gt;"PF",AN465&lt;&gt;"NE",AG465&lt;&gt;"A"),AND(AL465="E",OR(AT465=1,AT465=3))),SickCHG*Y465,0)</f>
        <v>0</v>
      </c>
      <c r="CJ465" s="462">
        <f t="shared" si="131"/>
        <v>0</v>
      </c>
      <c r="CK465" s="462" t="str">
        <f t="shared" si="132"/>
        <v/>
      </c>
      <c r="CL465" s="462" t="str">
        <f t="shared" si="133"/>
        <v/>
      </c>
      <c r="CM465" s="462" t="str">
        <f t="shared" si="134"/>
        <v/>
      </c>
      <c r="CN465" s="462" t="str">
        <f t="shared" si="135"/>
        <v>0331-00</v>
      </c>
    </row>
    <row r="466" spans="1:92" ht="15" thickBot="1" x14ac:dyDescent="0.35">
      <c r="A466" s="376" t="s">
        <v>161</v>
      </c>
      <c r="B466" s="376" t="s">
        <v>162</v>
      </c>
      <c r="C466" s="376" t="s">
        <v>889</v>
      </c>
      <c r="D466" s="376" t="s">
        <v>362</v>
      </c>
      <c r="E466" s="376" t="s">
        <v>1135</v>
      </c>
      <c r="F466" s="377" t="s">
        <v>166</v>
      </c>
      <c r="G466" s="376" t="s">
        <v>1136</v>
      </c>
      <c r="H466" s="378"/>
      <c r="I466" s="378"/>
      <c r="J466" s="376" t="s">
        <v>768</v>
      </c>
      <c r="K466" s="376" t="s">
        <v>363</v>
      </c>
      <c r="L466" s="376" t="s">
        <v>200</v>
      </c>
      <c r="M466" s="376" t="s">
        <v>170</v>
      </c>
      <c r="N466" s="376" t="s">
        <v>202</v>
      </c>
      <c r="O466" s="379">
        <v>1</v>
      </c>
      <c r="P466" s="460">
        <v>0</v>
      </c>
      <c r="Q466" s="460">
        <v>0</v>
      </c>
      <c r="R466" s="380">
        <v>80</v>
      </c>
      <c r="S466" s="460">
        <v>0</v>
      </c>
      <c r="T466" s="380">
        <v>2803.56</v>
      </c>
      <c r="U466" s="380">
        <v>0</v>
      </c>
      <c r="V466" s="380">
        <v>1328.83</v>
      </c>
      <c r="W466" s="380">
        <v>0</v>
      </c>
      <c r="X466" s="380">
        <v>0</v>
      </c>
      <c r="Y466" s="380">
        <v>0</v>
      </c>
      <c r="Z466" s="380">
        <v>0</v>
      </c>
      <c r="AA466" s="376" t="s">
        <v>890</v>
      </c>
      <c r="AB466" s="376" t="s">
        <v>891</v>
      </c>
      <c r="AC466" s="376" t="s">
        <v>892</v>
      </c>
      <c r="AD466" s="376" t="s">
        <v>179</v>
      </c>
      <c r="AE466" s="376" t="s">
        <v>363</v>
      </c>
      <c r="AF466" s="376" t="s">
        <v>210</v>
      </c>
      <c r="AG466" s="376" t="s">
        <v>177</v>
      </c>
      <c r="AH466" s="381">
        <v>22.5</v>
      </c>
      <c r="AI466" s="379">
        <v>13048</v>
      </c>
      <c r="AJ466" s="376" t="s">
        <v>178</v>
      </c>
      <c r="AK466" s="376" t="s">
        <v>179</v>
      </c>
      <c r="AL466" s="376" t="s">
        <v>180</v>
      </c>
      <c r="AM466" s="376" t="s">
        <v>181</v>
      </c>
      <c r="AN466" s="376" t="s">
        <v>68</v>
      </c>
      <c r="AO466" s="379">
        <v>80</v>
      </c>
      <c r="AP466" s="460">
        <v>1</v>
      </c>
      <c r="AQ466" s="460">
        <v>0</v>
      </c>
      <c r="AR466" s="458" t="s">
        <v>182</v>
      </c>
      <c r="AS466" s="462">
        <f t="shared" si="119"/>
        <v>0</v>
      </c>
      <c r="AT466">
        <f t="shared" si="120"/>
        <v>0</v>
      </c>
      <c r="AU466" s="462" t="str">
        <f>IF(AT466=0,"",IF(AND(AT466=1,M466="F",SUMIF(C2:C698,C466,AS2:AS698)&lt;=1),SUMIF(C2:C698,C466,AS2:AS698),IF(AND(AT466=1,M466="F",SUMIF(C2:C698,C466,AS2:AS698)&gt;1),1,"")))</f>
        <v/>
      </c>
      <c r="AV466" s="462" t="str">
        <f>IF(AT466=0,"",IF(AND(AT466=3,M466="F",SUMIF(C2:C698,C466,AS2:AS698)&lt;=1),SUMIF(C2:C698,C466,AS2:AS698),IF(AND(AT466=3,M466="F",SUMIF(C2:C698,C466,AS2:AS698)&gt;1),1,"")))</f>
        <v/>
      </c>
      <c r="AW466" s="462">
        <f>SUMIF(C2:C698,C466,O2:O698)</f>
        <v>7</v>
      </c>
      <c r="AX466" s="462">
        <f>IF(AND(M466="F",AS466&lt;&gt;0),SUMIF(C2:C698,C466,W2:W698),0)</f>
        <v>0</v>
      </c>
      <c r="AY466" s="462" t="str">
        <f t="shared" si="121"/>
        <v/>
      </c>
      <c r="AZ466" s="462" t="str">
        <f t="shared" si="122"/>
        <v/>
      </c>
      <c r="BA466" s="462">
        <f t="shared" si="123"/>
        <v>0</v>
      </c>
      <c r="BB466" s="462">
        <f>IF(AND(AT466=1,AK466="E",AU466&gt;=0.75,AW466=1),Health,IF(AND(AT466=1,AK466="E",AU466&gt;=0.75),Health*P466,IF(AND(AT466=1,AK466="E",AU466&gt;=0.5,AW466=1),PTHealth,IF(AND(AT466=1,AK466="E",AU466&gt;=0.5),PTHealth*P466,0))))</f>
        <v>0</v>
      </c>
      <c r="BC466" s="462">
        <f>IF(AND(AT466=3,AK466="E",AV466&gt;=0.75,AW466=1),Health,IF(AND(AT466=3,AK466="E",AV466&gt;=0.75),Health*P466,IF(AND(AT466=3,AK466="E",AV466&gt;=0.5,AW466=1),PTHealth,IF(AND(AT466=3,AK466="E",AV466&gt;=0.5),PTHealth*P466,0))))</f>
        <v>0</v>
      </c>
      <c r="BD466" s="462">
        <f>IF(AND(AT466&lt;&gt;0,AX466&gt;=MAXSSDI),SSDI*MAXSSDI*P466,IF(AT466&lt;&gt;0,SSDI*W466,0))</f>
        <v>0</v>
      </c>
      <c r="BE466" s="462">
        <f>IF(AT466&lt;&gt;0,SSHI*W466,0)</f>
        <v>0</v>
      </c>
      <c r="BF466" s="462">
        <f>IF(AND(AT466&lt;&gt;0,AN466&lt;&gt;"NE"),VLOOKUP(AN466,Retirement_Rates,3,FALSE)*W466,0)</f>
        <v>0</v>
      </c>
      <c r="BG466" s="462">
        <f>IF(AND(AT466&lt;&gt;0,AJ466&lt;&gt;"PF"),Life*W466,0)</f>
        <v>0</v>
      </c>
      <c r="BH466" s="462">
        <f>IF(AND(AT466&lt;&gt;0,AM466="Y"),UI*W466,0)</f>
        <v>0</v>
      </c>
      <c r="BI466" s="462">
        <f>IF(AND(AT466&lt;&gt;0,N466&lt;&gt;"NR"),DHR*W466,0)</f>
        <v>0</v>
      </c>
      <c r="BJ466" s="462">
        <f>IF(AT466&lt;&gt;0,WC*W466,0)</f>
        <v>0</v>
      </c>
      <c r="BK466" s="462">
        <f>IF(OR(AND(AT466&lt;&gt;0,AJ466&lt;&gt;"PF",AN466&lt;&gt;"NE",AG466&lt;&gt;"A"),AND(AL466="E",OR(AT466=1,AT466=3))),Sick*W466,0)</f>
        <v>0</v>
      </c>
      <c r="BL466" s="462">
        <f t="shared" si="124"/>
        <v>0</v>
      </c>
      <c r="BM466" s="462">
        <f t="shared" si="125"/>
        <v>0</v>
      </c>
      <c r="BN466" s="462">
        <f>IF(AND(AT466=1,AK466="E",AU466&gt;=0.75,AW466=1),HealthBY,IF(AND(AT466=1,AK466="E",AU466&gt;=0.75),HealthBY*P466,IF(AND(AT466=1,AK466="E",AU466&gt;=0.5,AW466=1),PTHealthBY,IF(AND(AT466=1,AK466="E",AU466&gt;=0.5),PTHealthBY*P466,0))))</f>
        <v>0</v>
      </c>
      <c r="BO466" s="462">
        <f>IF(AND(AT466=3,AK466="E",AV466&gt;=0.75,AW466=1),HealthBY,IF(AND(AT466=3,AK466="E",AV466&gt;=0.75),HealthBY*P466,IF(AND(AT466=3,AK466="E",AV466&gt;=0.5,AW466=1),PTHealthBY,IF(AND(AT466=3,AK466="E",AV466&gt;=0.5),PTHealthBY*P466,0))))</f>
        <v>0</v>
      </c>
      <c r="BP466" s="462">
        <f>IF(AND(AT466&lt;&gt;0,(AX466+BA466)&gt;=MAXSSDIBY),SSDIBY*MAXSSDIBY*P466,IF(AT466&lt;&gt;0,SSDIBY*W466,0))</f>
        <v>0</v>
      </c>
      <c r="BQ466" s="462">
        <f>IF(AT466&lt;&gt;0,SSHIBY*W466,0)</f>
        <v>0</v>
      </c>
      <c r="BR466" s="462">
        <f>IF(AND(AT466&lt;&gt;0,AN466&lt;&gt;"NE"),VLOOKUP(AN466,Retirement_Rates,4,FALSE)*W466,0)</f>
        <v>0</v>
      </c>
      <c r="BS466" s="462">
        <f>IF(AND(AT466&lt;&gt;0,AJ466&lt;&gt;"PF"),LifeBY*W466,0)</f>
        <v>0</v>
      </c>
      <c r="BT466" s="462">
        <f>IF(AND(AT466&lt;&gt;0,AM466="Y"),UIBY*W466,0)</f>
        <v>0</v>
      </c>
      <c r="BU466" s="462">
        <f>IF(AND(AT466&lt;&gt;0,N466&lt;&gt;"NR"),DHRBY*W466,0)</f>
        <v>0</v>
      </c>
      <c r="BV466" s="462">
        <f>IF(AT466&lt;&gt;0,WCBY*W466,0)</f>
        <v>0</v>
      </c>
      <c r="BW466" s="462">
        <f>IF(OR(AND(AT466&lt;&gt;0,AJ466&lt;&gt;"PF",AN466&lt;&gt;"NE",AG466&lt;&gt;"A"),AND(AL466="E",OR(AT466=1,AT466=3))),SickBY*W466,0)</f>
        <v>0</v>
      </c>
      <c r="BX466" s="462">
        <f t="shared" si="126"/>
        <v>0</v>
      </c>
      <c r="BY466" s="462">
        <f t="shared" si="127"/>
        <v>0</v>
      </c>
      <c r="BZ466" s="462">
        <f t="shared" si="128"/>
        <v>0</v>
      </c>
      <c r="CA466" s="462">
        <f t="shared" si="129"/>
        <v>0</v>
      </c>
      <c r="CB466" s="462">
        <f t="shared" si="130"/>
        <v>0</v>
      </c>
      <c r="CC466" s="462">
        <f>IF(AT466&lt;&gt;0,SSHICHG*Y466,0)</f>
        <v>0</v>
      </c>
      <c r="CD466" s="462">
        <f>IF(AND(AT466&lt;&gt;0,AN466&lt;&gt;"NE"),VLOOKUP(AN466,Retirement_Rates,5,FALSE)*Y466,0)</f>
        <v>0</v>
      </c>
      <c r="CE466" s="462">
        <f>IF(AND(AT466&lt;&gt;0,AJ466&lt;&gt;"PF"),LifeCHG*Y466,0)</f>
        <v>0</v>
      </c>
      <c r="CF466" s="462">
        <f>IF(AND(AT466&lt;&gt;0,AM466="Y"),UICHG*Y466,0)</f>
        <v>0</v>
      </c>
      <c r="CG466" s="462">
        <f>IF(AND(AT466&lt;&gt;0,N466&lt;&gt;"NR"),DHRCHG*Y466,0)</f>
        <v>0</v>
      </c>
      <c r="CH466" s="462">
        <f>IF(AT466&lt;&gt;0,WCCHG*Y466,0)</f>
        <v>0</v>
      </c>
      <c r="CI466" s="462">
        <f>IF(OR(AND(AT466&lt;&gt;0,AJ466&lt;&gt;"PF",AN466&lt;&gt;"NE",AG466&lt;&gt;"A"),AND(AL466="E",OR(AT466=1,AT466=3))),SickCHG*Y466,0)</f>
        <v>0</v>
      </c>
      <c r="CJ466" s="462">
        <f t="shared" si="131"/>
        <v>0</v>
      </c>
      <c r="CK466" s="462" t="str">
        <f t="shared" si="132"/>
        <v/>
      </c>
      <c r="CL466" s="462" t="str">
        <f t="shared" si="133"/>
        <v/>
      </c>
      <c r="CM466" s="462" t="str">
        <f t="shared" si="134"/>
        <v/>
      </c>
      <c r="CN466" s="462" t="str">
        <f t="shared" si="135"/>
        <v>0331-00</v>
      </c>
    </row>
    <row r="467" spans="1:92" ht="15" thickBot="1" x14ac:dyDescent="0.35">
      <c r="A467" s="376" t="s">
        <v>161</v>
      </c>
      <c r="B467" s="376" t="s">
        <v>162</v>
      </c>
      <c r="C467" s="376" t="s">
        <v>894</v>
      </c>
      <c r="D467" s="376" t="s">
        <v>895</v>
      </c>
      <c r="E467" s="376" t="s">
        <v>1135</v>
      </c>
      <c r="F467" s="377" t="s">
        <v>166</v>
      </c>
      <c r="G467" s="376" t="s">
        <v>1136</v>
      </c>
      <c r="H467" s="378"/>
      <c r="I467" s="378"/>
      <c r="J467" s="376" t="s">
        <v>168</v>
      </c>
      <c r="K467" s="376" t="s">
        <v>896</v>
      </c>
      <c r="L467" s="376" t="s">
        <v>224</v>
      </c>
      <c r="M467" s="376" t="s">
        <v>170</v>
      </c>
      <c r="N467" s="376" t="s">
        <v>202</v>
      </c>
      <c r="O467" s="379">
        <v>1</v>
      </c>
      <c r="P467" s="460">
        <v>0</v>
      </c>
      <c r="Q467" s="460">
        <v>0</v>
      </c>
      <c r="R467" s="380">
        <v>80</v>
      </c>
      <c r="S467" s="460">
        <v>0</v>
      </c>
      <c r="T467" s="380">
        <v>6121.13</v>
      </c>
      <c r="U467" s="380">
        <v>0</v>
      </c>
      <c r="V467" s="380">
        <v>2722.44</v>
      </c>
      <c r="W467" s="380">
        <v>0</v>
      </c>
      <c r="X467" s="380">
        <v>0</v>
      </c>
      <c r="Y467" s="380">
        <v>0</v>
      </c>
      <c r="Z467" s="380">
        <v>0</v>
      </c>
      <c r="AA467" s="376" t="s">
        <v>897</v>
      </c>
      <c r="AB467" s="376" t="s">
        <v>898</v>
      </c>
      <c r="AC467" s="376" t="s">
        <v>899</v>
      </c>
      <c r="AD467" s="376" t="s">
        <v>591</v>
      </c>
      <c r="AE467" s="376" t="s">
        <v>896</v>
      </c>
      <c r="AF467" s="376" t="s">
        <v>232</v>
      </c>
      <c r="AG467" s="376" t="s">
        <v>177</v>
      </c>
      <c r="AH467" s="381">
        <v>25.69</v>
      </c>
      <c r="AI467" s="379">
        <v>45119</v>
      </c>
      <c r="AJ467" s="376" t="s">
        <v>178</v>
      </c>
      <c r="AK467" s="376" t="s">
        <v>179</v>
      </c>
      <c r="AL467" s="376" t="s">
        <v>180</v>
      </c>
      <c r="AM467" s="376" t="s">
        <v>181</v>
      </c>
      <c r="AN467" s="376" t="s">
        <v>68</v>
      </c>
      <c r="AO467" s="379">
        <v>80</v>
      </c>
      <c r="AP467" s="460">
        <v>1</v>
      </c>
      <c r="AQ467" s="460">
        <v>0</v>
      </c>
      <c r="AR467" s="458" t="s">
        <v>182</v>
      </c>
      <c r="AS467" s="462">
        <f t="shared" si="119"/>
        <v>0</v>
      </c>
      <c r="AT467">
        <f t="shared" si="120"/>
        <v>0</v>
      </c>
      <c r="AU467" s="462" t="str">
        <f>IF(AT467=0,"",IF(AND(AT467=1,M467="F",SUMIF(C2:C698,C467,AS2:AS698)&lt;=1),SUMIF(C2:C698,C467,AS2:AS698),IF(AND(AT467=1,M467="F",SUMIF(C2:C698,C467,AS2:AS698)&gt;1),1,"")))</f>
        <v/>
      </c>
      <c r="AV467" s="462" t="str">
        <f>IF(AT467=0,"",IF(AND(AT467=3,M467="F",SUMIF(C2:C698,C467,AS2:AS698)&lt;=1),SUMIF(C2:C698,C467,AS2:AS698),IF(AND(AT467=3,M467="F",SUMIF(C2:C698,C467,AS2:AS698)&gt;1),1,"")))</f>
        <v/>
      </c>
      <c r="AW467" s="462">
        <f>SUMIF(C2:C698,C467,O2:O698)</f>
        <v>3</v>
      </c>
      <c r="AX467" s="462">
        <f>IF(AND(M467="F",AS467&lt;&gt;0),SUMIF(C2:C698,C467,W2:W698),0)</f>
        <v>0</v>
      </c>
      <c r="AY467" s="462" t="str">
        <f t="shared" si="121"/>
        <v/>
      </c>
      <c r="AZ467" s="462" t="str">
        <f t="shared" si="122"/>
        <v/>
      </c>
      <c r="BA467" s="462">
        <f t="shared" si="123"/>
        <v>0</v>
      </c>
      <c r="BB467" s="462">
        <f>IF(AND(AT467=1,AK467="E",AU467&gt;=0.75,AW467=1),Health,IF(AND(AT467=1,AK467="E",AU467&gt;=0.75),Health*P467,IF(AND(AT467=1,AK467="E",AU467&gt;=0.5,AW467=1),PTHealth,IF(AND(AT467=1,AK467="E",AU467&gt;=0.5),PTHealth*P467,0))))</f>
        <v>0</v>
      </c>
      <c r="BC467" s="462">
        <f>IF(AND(AT467=3,AK467="E",AV467&gt;=0.75,AW467=1),Health,IF(AND(AT467=3,AK467="E",AV467&gt;=0.75),Health*P467,IF(AND(AT467=3,AK467="E",AV467&gt;=0.5,AW467=1),PTHealth,IF(AND(AT467=3,AK467="E",AV467&gt;=0.5),PTHealth*P467,0))))</f>
        <v>0</v>
      </c>
      <c r="BD467" s="462">
        <f>IF(AND(AT467&lt;&gt;0,AX467&gt;=MAXSSDI),SSDI*MAXSSDI*P467,IF(AT467&lt;&gt;0,SSDI*W467,0))</f>
        <v>0</v>
      </c>
      <c r="BE467" s="462">
        <f>IF(AT467&lt;&gt;0,SSHI*W467,0)</f>
        <v>0</v>
      </c>
      <c r="BF467" s="462">
        <f>IF(AND(AT467&lt;&gt;0,AN467&lt;&gt;"NE"),VLOOKUP(AN467,Retirement_Rates,3,FALSE)*W467,0)</f>
        <v>0</v>
      </c>
      <c r="BG467" s="462">
        <f>IF(AND(AT467&lt;&gt;0,AJ467&lt;&gt;"PF"),Life*W467,0)</f>
        <v>0</v>
      </c>
      <c r="BH467" s="462">
        <f>IF(AND(AT467&lt;&gt;0,AM467="Y"),UI*W467,0)</f>
        <v>0</v>
      </c>
      <c r="BI467" s="462">
        <f>IF(AND(AT467&lt;&gt;0,N467&lt;&gt;"NR"),DHR*W467,0)</f>
        <v>0</v>
      </c>
      <c r="BJ467" s="462">
        <f>IF(AT467&lt;&gt;0,WC*W467,0)</f>
        <v>0</v>
      </c>
      <c r="BK467" s="462">
        <f>IF(OR(AND(AT467&lt;&gt;0,AJ467&lt;&gt;"PF",AN467&lt;&gt;"NE",AG467&lt;&gt;"A"),AND(AL467="E",OR(AT467=1,AT467=3))),Sick*W467,0)</f>
        <v>0</v>
      </c>
      <c r="BL467" s="462">
        <f t="shared" si="124"/>
        <v>0</v>
      </c>
      <c r="BM467" s="462">
        <f t="shared" si="125"/>
        <v>0</v>
      </c>
      <c r="BN467" s="462">
        <f>IF(AND(AT467=1,AK467="E",AU467&gt;=0.75,AW467=1),HealthBY,IF(AND(AT467=1,AK467="E",AU467&gt;=0.75),HealthBY*P467,IF(AND(AT467=1,AK467="E",AU467&gt;=0.5,AW467=1),PTHealthBY,IF(AND(AT467=1,AK467="E",AU467&gt;=0.5),PTHealthBY*P467,0))))</f>
        <v>0</v>
      </c>
      <c r="BO467" s="462">
        <f>IF(AND(AT467=3,AK467="E",AV467&gt;=0.75,AW467=1),HealthBY,IF(AND(AT467=3,AK467="E",AV467&gt;=0.75),HealthBY*P467,IF(AND(AT467=3,AK467="E",AV467&gt;=0.5,AW467=1),PTHealthBY,IF(AND(AT467=3,AK467="E",AV467&gt;=0.5),PTHealthBY*P467,0))))</f>
        <v>0</v>
      </c>
      <c r="BP467" s="462">
        <f>IF(AND(AT467&lt;&gt;0,(AX467+BA467)&gt;=MAXSSDIBY),SSDIBY*MAXSSDIBY*P467,IF(AT467&lt;&gt;0,SSDIBY*W467,0))</f>
        <v>0</v>
      </c>
      <c r="BQ467" s="462">
        <f>IF(AT467&lt;&gt;0,SSHIBY*W467,0)</f>
        <v>0</v>
      </c>
      <c r="BR467" s="462">
        <f>IF(AND(AT467&lt;&gt;0,AN467&lt;&gt;"NE"),VLOOKUP(AN467,Retirement_Rates,4,FALSE)*W467,0)</f>
        <v>0</v>
      </c>
      <c r="BS467" s="462">
        <f>IF(AND(AT467&lt;&gt;0,AJ467&lt;&gt;"PF"),LifeBY*W467,0)</f>
        <v>0</v>
      </c>
      <c r="BT467" s="462">
        <f>IF(AND(AT467&lt;&gt;0,AM467="Y"),UIBY*W467,0)</f>
        <v>0</v>
      </c>
      <c r="BU467" s="462">
        <f>IF(AND(AT467&lt;&gt;0,N467&lt;&gt;"NR"),DHRBY*W467,0)</f>
        <v>0</v>
      </c>
      <c r="BV467" s="462">
        <f>IF(AT467&lt;&gt;0,WCBY*W467,0)</f>
        <v>0</v>
      </c>
      <c r="BW467" s="462">
        <f>IF(OR(AND(AT467&lt;&gt;0,AJ467&lt;&gt;"PF",AN467&lt;&gt;"NE",AG467&lt;&gt;"A"),AND(AL467="E",OR(AT467=1,AT467=3))),SickBY*W467,0)</f>
        <v>0</v>
      </c>
      <c r="BX467" s="462">
        <f t="shared" si="126"/>
        <v>0</v>
      </c>
      <c r="BY467" s="462">
        <f t="shared" si="127"/>
        <v>0</v>
      </c>
      <c r="BZ467" s="462">
        <f t="shared" si="128"/>
        <v>0</v>
      </c>
      <c r="CA467" s="462">
        <f t="shared" si="129"/>
        <v>0</v>
      </c>
      <c r="CB467" s="462">
        <f t="shared" si="130"/>
        <v>0</v>
      </c>
      <c r="CC467" s="462">
        <f>IF(AT467&lt;&gt;0,SSHICHG*Y467,0)</f>
        <v>0</v>
      </c>
      <c r="CD467" s="462">
        <f>IF(AND(AT467&lt;&gt;0,AN467&lt;&gt;"NE"),VLOOKUP(AN467,Retirement_Rates,5,FALSE)*Y467,0)</f>
        <v>0</v>
      </c>
      <c r="CE467" s="462">
        <f>IF(AND(AT467&lt;&gt;0,AJ467&lt;&gt;"PF"),LifeCHG*Y467,0)</f>
        <v>0</v>
      </c>
      <c r="CF467" s="462">
        <f>IF(AND(AT467&lt;&gt;0,AM467="Y"),UICHG*Y467,0)</f>
        <v>0</v>
      </c>
      <c r="CG467" s="462">
        <f>IF(AND(AT467&lt;&gt;0,N467&lt;&gt;"NR"),DHRCHG*Y467,0)</f>
        <v>0</v>
      </c>
      <c r="CH467" s="462">
        <f>IF(AT467&lt;&gt;0,WCCHG*Y467,0)</f>
        <v>0</v>
      </c>
      <c r="CI467" s="462">
        <f>IF(OR(AND(AT467&lt;&gt;0,AJ467&lt;&gt;"PF",AN467&lt;&gt;"NE",AG467&lt;&gt;"A"),AND(AL467="E",OR(AT467=1,AT467=3))),SickCHG*Y467,0)</f>
        <v>0</v>
      </c>
      <c r="CJ467" s="462">
        <f t="shared" si="131"/>
        <v>0</v>
      </c>
      <c r="CK467" s="462" t="str">
        <f t="shared" si="132"/>
        <v/>
      </c>
      <c r="CL467" s="462" t="str">
        <f t="shared" si="133"/>
        <v/>
      </c>
      <c r="CM467" s="462" t="str">
        <f t="shared" si="134"/>
        <v/>
      </c>
      <c r="CN467" s="462" t="str">
        <f t="shared" si="135"/>
        <v>0331-00</v>
      </c>
    </row>
    <row r="468" spans="1:92" ht="15" thickBot="1" x14ac:dyDescent="0.35">
      <c r="A468" s="376" t="s">
        <v>161</v>
      </c>
      <c r="B468" s="376" t="s">
        <v>162</v>
      </c>
      <c r="C468" s="376" t="s">
        <v>915</v>
      </c>
      <c r="D468" s="376" t="s">
        <v>250</v>
      </c>
      <c r="E468" s="376" t="s">
        <v>1135</v>
      </c>
      <c r="F468" s="377" t="s">
        <v>166</v>
      </c>
      <c r="G468" s="376" t="s">
        <v>1136</v>
      </c>
      <c r="H468" s="378"/>
      <c r="I468" s="378"/>
      <c r="J468" s="376" t="s">
        <v>168</v>
      </c>
      <c r="K468" s="376" t="s">
        <v>407</v>
      </c>
      <c r="L468" s="376" t="s">
        <v>247</v>
      </c>
      <c r="M468" s="376" t="s">
        <v>170</v>
      </c>
      <c r="N468" s="376" t="s">
        <v>202</v>
      </c>
      <c r="O468" s="379">
        <v>1</v>
      </c>
      <c r="P468" s="460">
        <v>0</v>
      </c>
      <c r="Q468" s="460">
        <v>0</v>
      </c>
      <c r="R468" s="380">
        <v>80</v>
      </c>
      <c r="S468" s="460">
        <v>0</v>
      </c>
      <c r="T468" s="380">
        <v>1911.51</v>
      </c>
      <c r="U468" s="380">
        <v>0</v>
      </c>
      <c r="V468" s="380">
        <v>794.87</v>
      </c>
      <c r="W468" s="380">
        <v>0</v>
      </c>
      <c r="X468" s="380">
        <v>0</v>
      </c>
      <c r="Y468" s="380">
        <v>0</v>
      </c>
      <c r="Z468" s="380">
        <v>0</v>
      </c>
      <c r="AA468" s="376" t="s">
        <v>916</v>
      </c>
      <c r="AB468" s="376" t="s">
        <v>917</v>
      </c>
      <c r="AC468" s="376" t="s">
        <v>918</v>
      </c>
      <c r="AD468" s="376" t="s">
        <v>220</v>
      </c>
      <c r="AE468" s="376" t="s">
        <v>407</v>
      </c>
      <c r="AF468" s="376" t="s">
        <v>299</v>
      </c>
      <c r="AG468" s="376" t="s">
        <v>177</v>
      </c>
      <c r="AH468" s="381">
        <v>29.76</v>
      </c>
      <c r="AI468" s="379">
        <v>8161</v>
      </c>
      <c r="AJ468" s="376" t="s">
        <v>178</v>
      </c>
      <c r="AK468" s="376" t="s">
        <v>179</v>
      </c>
      <c r="AL468" s="376" t="s">
        <v>180</v>
      </c>
      <c r="AM468" s="376" t="s">
        <v>181</v>
      </c>
      <c r="AN468" s="376" t="s">
        <v>68</v>
      </c>
      <c r="AO468" s="379">
        <v>80</v>
      </c>
      <c r="AP468" s="460">
        <v>1</v>
      </c>
      <c r="AQ468" s="460">
        <v>0</v>
      </c>
      <c r="AR468" s="458" t="s">
        <v>182</v>
      </c>
      <c r="AS468" s="462">
        <f t="shared" si="119"/>
        <v>0</v>
      </c>
      <c r="AT468">
        <f t="shared" si="120"/>
        <v>0</v>
      </c>
      <c r="AU468" s="462" t="str">
        <f>IF(AT468=0,"",IF(AND(AT468=1,M468="F",SUMIF(C2:C698,C468,AS2:AS698)&lt;=1),SUMIF(C2:C698,C468,AS2:AS698),IF(AND(AT468=1,M468="F",SUMIF(C2:C698,C468,AS2:AS698)&gt;1),1,"")))</f>
        <v/>
      </c>
      <c r="AV468" s="462" t="str">
        <f>IF(AT468=0,"",IF(AND(AT468=3,M468="F",SUMIF(C2:C698,C468,AS2:AS698)&lt;=1),SUMIF(C2:C698,C468,AS2:AS698),IF(AND(AT468=3,M468="F",SUMIF(C2:C698,C468,AS2:AS698)&gt;1),1,"")))</f>
        <v/>
      </c>
      <c r="AW468" s="462">
        <f>SUMIF(C2:C698,C468,O2:O698)</f>
        <v>3</v>
      </c>
      <c r="AX468" s="462">
        <f>IF(AND(M468="F",AS468&lt;&gt;0),SUMIF(C2:C698,C468,W2:W698),0)</f>
        <v>0</v>
      </c>
      <c r="AY468" s="462" t="str">
        <f t="shared" si="121"/>
        <v/>
      </c>
      <c r="AZ468" s="462" t="str">
        <f t="shared" si="122"/>
        <v/>
      </c>
      <c r="BA468" s="462">
        <f t="shared" si="123"/>
        <v>0</v>
      </c>
      <c r="BB468" s="462">
        <f>IF(AND(AT468=1,AK468="E",AU468&gt;=0.75,AW468=1),Health,IF(AND(AT468=1,AK468="E",AU468&gt;=0.75),Health*P468,IF(AND(AT468=1,AK468="E",AU468&gt;=0.5,AW468=1),PTHealth,IF(AND(AT468=1,AK468="E",AU468&gt;=0.5),PTHealth*P468,0))))</f>
        <v>0</v>
      </c>
      <c r="BC468" s="462">
        <f>IF(AND(AT468=3,AK468="E",AV468&gt;=0.75,AW468=1),Health,IF(AND(AT468=3,AK468="E",AV468&gt;=0.75),Health*P468,IF(AND(AT468=3,AK468="E",AV468&gt;=0.5,AW468=1),PTHealth,IF(AND(AT468=3,AK468="E",AV468&gt;=0.5),PTHealth*P468,0))))</f>
        <v>0</v>
      </c>
      <c r="BD468" s="462">
        <f>IF(AND(AT468&lt;&gt;0,AX468&gt;=MAXSSDI),SSDI*MAXSSDI*P468,IF(AT468&lt;&gt;0,SSDI*W468,0))</f>
        <v>0</v>
      </c>
      <c r="BE468" s="462">
        <f>IF(AT468&lt;&gt;0,SSHI*W468,0)</f>
        <v>0</v>
      </c>
      <c r="BF468" s="462">
        <f>IF(AND(AT468&lt;&gt;0,AN468&lt;&gt;"NE"),VLOOKUP(AN468,Retirement_Rates,3,FALSE)*W468,0)</f>
        <v>0</v>
      </c>
      <c r="BG468" s="462">
        <f>IF(AND(AT468&lt;&gt;0,AJ468&lt;&gt;"PF"),Life*W468,0)</f>
        <v>0</v>
      </c>
      <c r="BH468" s="462">
        <f>IF(AND(AT468&lt;&gt;0,AM468="Y"),UI*W468,0)</f>
        <v>0</v>
      </c>
      <c r="BI468" s="462">
        <f>IF(AND(AT468&lt;&gt;0,N468&lt;&gt;"NR"),DHR*W468,0)</f>
        <v>0</v>
      </c>
      <c r="BJ468" s="462">
        <f>IF(AT468&lt;&gt;0,WC*W468,0)</f>
        <v>0</v>
      </c>
      <c r="BK468" s="462">
        <f>IF(OR(AND(AT468&lt;&gt;0,AJ468&lt;&gt;"PF",AN468&lt;&gt;"NE",AG468&lt;&gt;"A"),AND(AL468="E",OR(AT468=1,AT468=3))),Sick*W468,0)</f>
        <v>0</v>
      </c>
      <c r="BL468" s="462">
        <f t="shared" si="124"/>
        <v>0</v>
      </c>
      <c r="BM468" s="462">
        <f t="shared" si="125"/>
        <v>0</v>
      </c>
      <c r="BN468" s="462">
        <f>IF(AND(AT468=1,AK468="E",AU468&gt;=0.75,AW468=1),HealthBY,IF(AND(AT468=1,AK468="E",AU468&gt;=0.75),HealthBY*P468,IF(AND(AT468=1,AK468="E",AU468&gt;=0.5,AW468=1),PTHealthBY,IF(AND(AT468=1,AK468="E",AU468&gt;=0.5),PTHealthBY*P468,0))))</f>
        <v>0</v>
      </c>
      <c r="BO468" s="462">
        <f>IF(AND(AT468=3,AK468="E",AV468&gt;=0.75,AW468=1),HealthBY,IF(AND(AT468=3,AK468="E",AV468&gt;=0.75),HealthBY*P468,IF(AND(AT468=3,AK468="E",AV468&gt;=0.5,AW468=1),PTHealthBY,IF(AND(AT468=3,AK468="E",AV468&gt;=0.5),PTHealthBY*P468,0))))</f>
        <v>0</v>
      </c>
      <c r="BP468" s="462">
        <f>IF(AND(AT468&lt;&gt;0,(AX468+BA468)&gt;=MAXSSDIBY),SSDIBY*MAXSSDIBY*P468,IF(AT468&lt;&gt;0,SSDIBY*W468,0))</f>
        <v>0</v>
      </c>
      <c r="BQ468" s="462">
        <f>IF(AT468&lt;&gt;0,SSHIBY*W468,0)</f>
        <v>0</v>
      </c>
      <c r="BR468" s="462">
        <f>IF(AND(AT468&lt;&gt;0,AN468&lt;&gt;"NE"),VLOOKUP(AN468,Retirement_Rates,4,FALSE)*W468,0)</f>
        <v>0</v>
      </c>
      <c r="BS468" s="462">
        <f>IF(AND(AT468&lt;&gt;0,AJ468&lt;&gt;"PF"),LifeBY*W468,0)</f>
        <v>0</v>
      </c>
      <c r="BT468" s="462">
        <f>IF(AND(AT468&lt;&gt;0,AM468="Y"),UIBY*W468,0)</f>
        <v>0</v>
      </c>
      <c r="BU468" s="462">
        <f>IF(AND(AT468&lt;&gt;0,N468&lt;&gt;"NR"),DHRBY*W468,0)</f>
        <v>0</v>
      </c>
      <c r="BV468" s="462">
        <f>IF(AT468&lt;&gt;0,WCBY*W468,0)</f>
        <v>0</v>
      </c>
      <c r="BW468" s="462">
        <f>IF(OR(AND(AT468&lt;&gt;0,AJ468&lt;&gt;"PF",AN468&lt;&gt;"NE",AG468&lt;&gt;"A"),AND(AL468="E",OR(AT468=1,AT468=3))),SickBY*W468,0)</f>
        <v>0</v>
      </c>
      <c r="BX468" s="462">
        <f t="shared" si="126"/>
        <v>0</v>
      </c>
      <c r="BY468" s="462">
        <f t="shared" si="127"/>
        <v>0</v>
      </c>
      <c r="BZ468" s="462">
        <f t="shared" si="128"/>
        <v>0</v>
      </c>
      <c r="CA468" s="462">
        <f t="shared" si="129"/>
        <v>0</v>
      </c>
      <c r="CB468" s="462">
        <f t="shared" si="130"/>
        <v>0</v>
      </c>
      <c r="CC468" s="462">
        <f>IF(AT468&lt;&gt;0,SSHICHG*Y468,0)</f>
        <v>0</v>
      </c>
      <c r="CD468" s="462">
        <f>IF(AND(AT468&lt;&gt;0,AN468&lt;&gt;"NE"),VLOOKUP(AN468,Retirement_Rates,5,FALSE)*Y468,0)</f>
        <v>0</v>
      </c>
      <c r="CE468" s="462">
        <f>IF(AND(AT468&lt;&gt;0,AJ468&lt;&gt;"PF"),LifeCHG*Y468,0)</f>
        <v>0</v>
      </c>
      <c r="CF468" s="462">
        <f>IF(AND(AT468&lt;&gt;0,AM468="Y"),UICHG*Y468,0)</f>
        <v>0</v>
      </c>
      <c r="CG468" s="462">
        <f>IF(AND(AT468&lt;&gt;0,N468&lt;&gt;"NR"),DHRCHG*Y468,0)</f>
        <v>0</v>
      </c>
      <c r="CH468" s="462">
        <f>IF(AT468&lt;&gt;0,WCCHG*Y468,0)</f>
        <v>0</v>
      </c>
      <c r="CI468" s="462">
        <f>IF(OR(AND(AT468&lt;&gt;0,AJ468&lt;&gt;"PF",AN468&lt;&gt;"NE",AG468&lt;&gt;"A"),AND(AL468="E",OR(AT468=1,AT468=3))),SickCHG*Y468,0)</f>
        <v>0</v>
      </c>
      <c r="CJ468" s="462">
        <f t="shared" si="131"/>
        <v>0</v>
      </c>
      <c r="CK468" s="462" t="str">
        <f t="shared" si="132"/>
        <v/>
      </c>
      <c r="CL468" s="462" t="str">
        <f t="shared" si="133"/>
        <v/>
      </c>
      <c r="CM468" s="462" t="str">
        <f t="shared" si="134"/>
        <v/>
      </c>
      <c r="CN468" s="462" t="str">
        <f t="shared" si="135"/>
        <v>0331-00</v>
      </c>
    </row>
    <row r="469" spans="1:92" ht="15" thickBot="1" x14ac:dyDescent="0.35">
      <c r="A469" s="376" t="s">
        <v>161</v>
      </c>
      <c r="B469" s="376" t="s">
        <v>162</v>
      </c>
      <c r="C469" s="376" t="s">
        <v>920</v>
      </c>
      <c r="D469" s="376" t="s">
        <v>362</v>
      </c>
      <c r="E469" s="376" t="s">
        <v>1135</v>
      </c>
      <c r="F469" s="377" t="s">
        <v>166</v>
      </c>
      <c r="G469" s="376" t="s">
        <v>1136</v>
      </c>
      <c r="H469" s="378"/>
      <c r="I469" s="378"/>
      <c r="J469" s="376" t="s">
        <v>877</v>
      </c>
      <c r="K469" s="376" t="s">
        <v>363</v>
      </c>
      <c r="L469" s="376" t="s">
        <v>200</v>
      </c>
      <c r="M469" s="376" t="s">
        <v>170</v>
      </c>
      <c r="N469" s="376" t="s">
        <v>202</v>
      </c>
      <c r="O469" s="379">
        <v>1</v>
      </c>
      <c r="P469" s="460">
        <v>0</v>
      </c>
      <c r="Q469" s="460">
        <v>0</v>
      </c>
      <c r="R469" s="380">
        <v>80</v>
      </c>
      <c r="S469" s="460">
        <v>0</v>
      </c>
      <c r="T469" s="380">
        <v>7699.05</v>
      </c>
      <c r="U469" s="380">
        <v>0</v>
      </c>
      <c r="V469" s="380">
        <v>3809.86</v>
      </c>
      <c r="W469" s="380">
        <v>0</v>
      </c>
      <c r="X469" s="380">
        <v>0</v>
      </c>
      <c r="Y469" s="380">
        <v>0</v>
      </c>
      <c r="Z469" s="380">
        <v>0</v>
      </c>
      <c r="AA469" s="376" t="s">
        <v>921</v>
      </c>
      <c r="AB469" s="376" t="s">
        <v>922</v>
      </c>
      <c r="AC469" s="376" t="s">
        <v>486</v>
      </c>
      <c r="AD469" s="376" t="s">
        <v>278</v>
      </c>
      <c r="AE469" s="376" t="s">
        <v>363</v>
      </c>
      <c r="AF469" s="376" t="s">
        <v>210</v>
      </c>
      <c r="AG469" s="376" t="s">
        <v>177</v>
      </c>
      <c r="AH469" s="381">
        <v>22.5</v>
      </c>
      <c r="AI469" s="379">
        <v>6896</v>
      </c>
      <c r="AJ469" s="376" t="s">
        <v>178</v>
      </c>
      <c r="AK469" s="376" t="s">
        <v>179</v>
      </c>
      <c r="AL469" s="376" t="s">
        <v>180</v>
      </c>
      <c r="AM469" s="376" t="s">
        <v>181</v>
      </c>
      <c r="AN469" s="376" t="s">
        <v>68</v>
      </c>
      <c r="AO469" s="379">
        <v>80</v>
      </c>
      <c r="AP469" s="460">
        <v>1</v>
      </c>
      <c r="AQ469" s="460">
        <v>0</v>
      </c>
      <c r="AR469" s="458" t="s">
        <v>182</v>
      </c>
      <c r="AS469" s="462">
        <f t="shared" si="119"/>
        <v>0</v>
      </c>
      <c r="AT469">
        <f t="shared" si="120"/>
        <v>0</v>
      </c>
      <c r="AU469" s="462" t="str">
        <f>IF(AT469=0,"",IF(AND(AT469=1,M469="F",SUMIF(C2:C698,C469,AS2:AS698)&lt;=1),SUMIF(C2:C698,C469,AS2:AS698),IF(AND(AT469=1,M469="F",SUMIF(C2:C698,C469,AS2:AS698)&gt;1),1,"")))</f>
        <v/>
      </c>
      <c r="AV469" s="462" t="str">
        <f>IF(AT469=0,"",IF(AND(AT469=3,M469="F",SUMIF(C2:C698,C469,AS2:AS698)&lt;=1),SUMIF(C2:C698,C469,AS2:AS698),IF(AND(AT469=3,M469="F",SUMIF(C2:C698,C469,AS2:AS698)&gt;1),1,"")))</f>
        <v/>
      </c>
      <c r="AW469" s="462">
        <f>SUMIF(C2:C698,C469,O2:O698)</f>
        <v>6</v>
      </c>
      <c r="AX469" s="462">
        <f>IF(AND(M469="F",AS469&lt;&gt;0),SUMIF(C2:C698,C469,W2:W698),0)</f>
        <v>0</v>
      </c>
      <c r="AY469" s="462" t="str">
        <f t="shared" si="121"/>
        <v/>
      </c>
      <c r="AZ469" s="462" t="str">
        <f t="shared" si="122"/>
        <v/>
      </c>
      <c r="BA469" s="462">
        <f t="shared" si="123"/>
        <v>0</v>
      </c>
      <c r="BB469" s="462">
        <f>IF(AND(AT469=1,AK469="E",AU469&gt;=0.75,AW469=1),Health,IF(AND(AT469=1,AK469="E",AU469&gt;=0.75),Health*P469,IF(AND(AT469=1,AK469="E",AU469&gt;=0.5,AW469=1),PTHealth,IF(AND(AT469=1,AK469="E",AU469&gt;=0.5),PTHealth*P469,0))))</f>
        <v>0</v>
      </c>
      <c r="BC469" s="462">
        <f>IF(AND(AT469=3,AK469="E",AV469&gt;=0.75,AW469=1),Health,IF(AND(AT469=3,AK469="E",AV469&gt;=0.75),Health*P469,IF(AND(AT469=3,AK469="E",AV469&gt;=0.5,AW469=1),PTHealth,IF(AND(AT469=3,AK469="E",AV469&gt;=0.5),PTHealth*P469,0))))</f>
        <v>0</v>
      </c>
      <c r="BD469" s="462">
        <f>IF(AND(AT469&lt;&gt;0,AX469&gt;=MAXSSDI),SSDI*MAXSSDI*P469,IF(AT469&lt;&gt;0,SSDI*W469,0))</f>
        <v>0</v>
      </c>
      <c r="BE469" s="462">
        <f>IF(AT469&lt;&gt;0,SSHI*W469,0)</f>
        <v>0</v>
      </c>
      <c r="BF469" s="462">
        <f>IF(AND(AT469&lt;&gt;0,AN469&lt;&gt;"NE"),VLOOKUP(AN469,Retirement_Rates,3,FALSE)*W469,0)</f>
        <v>0</v>
      </c>
      <c r="BG469" s="462">
        <f>IF(AND(AT469&lt;&gt;0,AJ469&lt;&gt;"PF"),Life*W469,0)</f>
        <v>0</v>
      </c>
      <c r="BH469" s="462">
        <f>IF(AND(AT469&lt;&gt;0,AM469="Y"),UI*W469,0)</f>
        <v>0</v>
      </c>
      <c r="BI469" s="462">
        <f>IF(AND(AT469&lt;&gt;0,N469&lt;&gt;"NR"),DHR*W469,0)</f>
        <v>0</v>
      </c>
      <c r="BJ469" s="462">
        <f>IF(AT469&lt;&gt;0,WC*W469,0)</f>
        <v>0</v>
      </c>
      <c r="BK469" s="462">
        <f>IF(OR(AND(AT469&lt;&gt;0,AJ469&lt;&gt;"PF",AN469&lt;&gt;"NE",AG469&lt;&gt;"A"),AND(AL469="E",OR(AT469=1,AT469=3))),Sick*W469,0)</f>
        <v>0</v>
      </c>
      <c r="BL469" s="462">
        <f t="shared" si="124"/>
        <v>0</v>
      </c>
      <c r="BM469" s="462">
        <f t="shared" si="125"/>
        <v>0</v>
      </c>
      <c r="BN469" s="462">
        <f>IF(AND(AT469=1,AK469="E",AU469&gt;=0.75,AW469=1),HealthBY,IF(AND(AT469=1,AK469="E",AU469&gt;=0.75),HealthBY*P469,IF(AND(AT469=1,AK469="E",AU469&gt;=0.5,AW469=1),PTHealthBY,IF(AND(AT469=1,AK469="E",AU469&gt;=0.5),PTHealthBY*P469,0))))</f>
        <v>0</v>
      </c>
      <c r="BO469" s="462">
        <f>IF(AND(AT469=3,AK469="E",AV469&gt;=0.75,AW469=1),HealthBY,IF(AND(AT469=3,AK469="E",AV469&gt;=0.75),HealthBY*P469,IF(AND(AT469=3,AK469="E",AV469&gt;=0.5,AW469=1),PTHealthBY,IF(AND(AT469=3,AK469="E",AV469&gt;=0.5),PTHealthBY*P469,0))))</f>
        <v>0</v>
      </c>
      <c r="BP469" s="462">
        <f>IF(AND(AT469&lt;&gt;0,(AX469+BA469)&gt;=MAXSSDIBY),SSDIBY*MAXSSDIBY*P469,IF(AT469&lt;&gt;0,SSDIBY*W469,0))</f>
        <v>0</v>
      </c>
      <c r="BQ469" s="462">
        <f>IF(AT469&lt;&gt;0,SSHIBY*W469,0)</f>
        <v>0</v>
      </c>
      <c r="BR469" s="462">
        <f>IF(AND(AT469&lt;&gt;0,AN469&lt;&gt;"NE"),VLOOKUP(AN469,Retirement_Rates,4,FALSE)*W469,0)</f>
        <v>0</v>
      </c>
      <c r="BS469" s="462">
        <f>IF(AND(AT469&lt;&gt;0,AJ469&lt;&gt;"PF"),LifeBY*W469,0)</f>
        <v>0</v>
      </c>
      <c r="BT469" s="462">
        <f>IF(AND(AT469&lt;&gt;0,AM469="Y"),UIBY*W469,0)</f>
        <v>0</v>
      </c>
      <c r="BU469" s="462">
        <f>IF(AND(AT469&lt;&gt;0,N469&lt;&gt;"NR"),DHRBY*W469,0)</f>
        <v>0</v>
      </c>
      <c r="BV469" s="462">
        <f>IF(AT469&lt;&gt;0,WCBY*W469,0)</f>
        <v>0</v>
      </c>
      <c r="BW469" s="462">
        <f>IF(OR(AND(AT469&lt;&gt;0,AJ469&lt;&gt;"PF",AN469&lt;&gt;"NE",AG469&lt;&gt;"A"),AND(AL469="E",OR(AT469=1,AT469=3))),SickBY*W469,0)</f>
        <v>0</v>
      </c>
      <c r="BX469" s="462">
        <f t="shared" si="126"/>
        <v>0</v>
      </c>
      <c r="BY469" s="462">
        <f t="shared" si="127"/>
        <v>0</v>
      </c>
      <c r="BZ469" s="462">
        <f t="shared" si="128"/>
        <v>0</v>
      </c>
      <c r="CA469" s="462">
        <f t="shared" si="129"/>
        <v>0</v>
      </c>
      <c r="CB469" s="462">
        <f t="shared" si="130"/>
        <v>0</v>
      </c>
      <c r="CC469" s="462">
        <f>IF(AT469&lt;&gt;0,SSHICHG*Y469,0)</f>
        <v>0</v>
      </c>
      <c r="CD469" s="462">
        <f>IF(AND(AT469&lt;&gt;0,AN469&lt;&gt;"NE"),VLOOKUP(AN469,Retirement_Rates,5,FALSE)*Y469,0)</f>
        <v>0</v>
      </c>
      <c r="CE469" s="462">
        <f>IF(AND(AT469&lt;&gt;0,AJ469&lt;&gt;"PF"),LifeCHG*Y469,0)</f>
        <v>0</v>
      </c>
      <c r="CF469" s="462">
        <f>IF(AND(AT469&lt;&gt;0,AM469="Y"),UICHG*Y469,0)</f>
        <v>0</v>
      </c>
      <c r="CG469" s="462">
        <f>IF(AND(AT469&lt;&gt;0,N469&lt;&gt;"NR"),DHRCHG*Y469,0)</f>
        <v>0</v>
      </c>
      <c r="CH469" s="462">
        <f>IF(AT469&lt;&gt;0,WCCHG*Y469,0)</f>
        <v>0</v>
      </c>
      <c r="CI469" s="462">
        <f>IF(OR(AND(AT469&lt;&gt;0,AJ469&lt;&gt;"PF",AN469&lt;&gt;"NE",AG469&lt;&gt;"A"),AND(AL469="E",OR(AT469=1,AT469=3))),SickCHG*Y469,0)</f>
        <v>0</v>
      </c>
      <c r="CJ469" s="462">
        <f t="shared" si="131"/>
        <v>0</v>
      </c>
      <c r="CK469" s="462" t="str">
        <f t="shared" si="132"/>
        <v/>
      </c>
      <c r="CL469" s="462" t="str">
        <f t="shared" si="133"/>
        <v/>
      </c>
      <c r="CM469" s="462" t="str">
        <f t="shared" si="134"/>
        <v/>
      </c>
      <c r="CN469" s="462" t="str">
        <f t="shared" si="135"/>
        <v>0331-00</v>
      </c>
    </row>
    <row r="470" spans="1:92" ht="15" thickBot="1" x14ac:dyDescent="0.35">
      <c r="A470" s="376" t="s">
        <v>161</v>
      </c>
      <c r="B470" s="376" t="s">
        <v>162</v>
      </c>
      <c r="C470" s="376" t="s">
        <v>923</v>
      </c>
      <c r="D470" s="376" t="s">
        <v>362</v>
      </c>
      <c r="E470" s="376" t="s">
        <v>1135</v>
      </c>
      <c r="F470" s="377" t="s">
        <v>166</v>
      </c>
      <c r="G470" s="376" t="s">
        <v>1136</v>
      </c>
      <c r="H470" s="378"/>
      <c r="I470" s="378"/>
      <c r="J470" s="376" t="s">
        <v>168</v>
      </c>
      <c r="K470" s="376" t="s">
        <v>363</v>
      </c>
      <c r="L470" s="376" t="s">
        <v>200</v>
      </c>
      <c r="M470" s="376" t="s">
        <v>170</v>
      </c>
      <c r="N470" s="376" t="s">
        <v>202</v>
      </c>
      <c r="O470" s="379">
        <v>1</v>
      </c>
      <c r="P470" s="460">
        <v>0</v>
      </c>
      <c r="Q470" s="460">
        <v>0</v>
      </c>
      <c r="R470" s="380">
        <v>80</v>
      </c>
      <c r="S470" s="460">
        <v>0</v>
      </c>
      <c r="T470" s="380">
        <v>1945.83</v>
      </c>
      <c r="U470" s="380">
        <v>0</v>
      </c>
      <c r="V470" s="380">
        <v>928.63</v>
      </c>
      <c r="W470" s="380">
        <v>0</v>
      </c>
      <c r="X470" s="380">
        <v>0</v>
      </c>
      <c r="Y470" s="380">
        <v>0</v>
      </c>
      <c r="Z470" s="380">
        <v>0</v>
      </c>
      <c r="AA470" s="376" t="s">
        <v>924</v>
      </c>
      <c r="AB470" s="376" t="s">
        <v>925</v>
      </c>
      <c r="AC470" s="376" t="s">
        <v>926</v>
      </c>
      <c r="AD470" s="376" t="s">
        <v>177</v>
      </c>
      <c r="AE470" s="376" t="s">
        <v>363</v>
      </c>
      <c r="AF470" s="376" t="s">
        <v>210</v>
      </c>
      <c r="AG470" s="376" t="s">
        <v>177</v>
      </c>
      <c r="AH470" s="381">
        <v>22.5</v>
      </c>
      <c r="AI470" s="381">
        <v>13298.5</v>
      </c>
      <c r="AJ470" s="376" t="s">
        <v>178</v>
      </c>
      <c r="AK470" s="376" t="s">
        <v>179</v>
      </c>
      <c r="AL470" s="376" t="s">
        <v>180</v>
      </c>
      <c r="AM470" s="376" t="s">
        <v>181</v>
      </c>
      <c r="AN470" s="376" t="s">
        <v>68</v>
      </c>
      <c r="AO470" s="379">
        <v>80</v>
      </c>
      <c r="AP470" s="460">
        <v>1</v>
      </c>
      <c r="AQ470" s="460">
        <v>0</v>
      </c>
      <c r="AR470" s="458" t="s">
        <v>182</v>
      </c>
      <c r="AS470" s="462">
        <f t="shared" si="119"/>
        <v>0</v>
      </c>
      <c r="AT470">
        <f t="shared" si="120"/>
        <v>0</v>
      </c>
      <c r="AU470" s="462" t="str">
        <f>IF(AT470=0,"",IF(AND(AT470=1,M470="F",SUMIF(C2:C698,C470,AS2:AS698)&lt;=1),SUMIF(C2:C698,C470,AS2:AS698),IF(AND(AT470=1,M470="F",SUMIF(C2:C698,C470,AS2:AS698)&gt;1),1,"")))</f>
        <v/>
      </c>
      <c r="AV470" s="462" t="str">
        <f>IF(AT470=0,"",IF(AND(AT470=3,M470="F",SUMIF(C2:C698,C470,AS2:AS698)&lt;=1),SUMIF(C2:C698,C470,AS2:AS698),IF(AND(AT470=3,M470="F",SUMIF(C2:C698,C470,AS2:AS698)&gt;1),1,"")))</f>
        <v/>
      </c>
      <c r="AW470" s="462">
        <f>SUMIF(C2:C698,C470,O2:O698)</f>
        <v>9</v>
      </c>
      <c r="AX470" s="462">
        <f>IF(AND(M470="F",AS470&lt;&gt;0),SUMIF(C2:C698,C470,W2:W698),0)</f>
        <v>0</v>
      </c>
      <c r="AY470" s="462" t="str">
        <f t="shared" si="121"/>
        <v/>
      </c>
      <c r="AZ470" s="462" t="str">
        <f t="shared" si="122"/>
        <v/>
      </c>
      <c r="BA470" s="462">
        <f t="shared" si="123"/>
        <v>0</v>
      </c>
      <c r="BB470" s="462">
        <f>IF(AND(AT470=1,AK470="E",AU470&gt;=0.75,AW470=1),Health,IF(AND(AT470=1,AK470="E",AU470&gt;=0.75),Health*P470,IF(AND(AT470=1,AK470="E",AU470&gt;=0.5,AW470=1),PTHealth,IF(AND(AT470=1,AK470="E",AU470&gt;=0.5),PTHealth*P470,0))))</f>
        <v>0</v>
      </c>
      <c r="BC470" s="462">
        <f>IF(AND(AT470=3,AK470="E",AV470&gt;=0.75,AW470=1),Health,IF(AND(AT470=3,AK470="E",AV470&gt;=0.75),Health*P470,IF(AND(AT470=3,AK470="E",AV470&gt;=0.5,AW470=1),PTHealth,IF(AND(AT470=3,AK470="E",AV470&gt;=0.5),PTHealth*P470,0))))</f>
        <v>0</v>
      </c>
      <c r="BD470" s="462">
        <f>IF(AND(AT470&lt;&gt;0,AX470&gt;=MAXSSDI),SSDI*MAXSSDI*P470,IF(AT470&lt;&gt;0,SSDI*W470,0))</f>
        <v>0</v>
      </c>
      <c r="BE470" s="462">
        <f>IF(AT470&lt;&gt;0,SSHI*W470,0)</f>
        <v>0</v>
      </c>
      <c r="BF470" s="462">
        <f>IF(AND(AT470&lt;&gt;0,AN470&lt;&gt;"NE"),VLOOKUP(AN470,Retirement_Rates,3,FALSE)*W470,0)</f>
        <v>0</v>
      </c>
      <c r="BG470" s="462">
        <f>IF(AND(AT470&lt;&gt;0,AJ470&lt;&gt;"PF"),Life*W470,0)</f>
        <v>0</v>
      </c>
      <c r="BH470" s="462">
        <f>IF(AND(AT470&lt;&gt;0,AM470="Y"),UI*W470,0)</f>
        <v>0</v>
      </c>
      <c r="BI470" s="462">
        <f>IF(AND(AT470&lt;&gt;0,N470&lt;&gt;"NR"),DHR*W470,0)</f>
        <v>0</v>
      </c>
      <c r="BJ470" s="462">
        <f>IF(AT470&lt;&gt;0,WC*W470,0)</f>
        <v>0</v>
      </c>
      <c r="BK470" s="462">
        <f>IF(OR(AND(AT470&lt;&gt;0,AJ470&lt;&gt;"PF",AN470&lt;&gt;"NE",AG470&lt;&gt;"A"),AND(AL470="E",OR(AT470=1,AT470=3))),Sick*W470,0)</f>
        <v>0</v>
      </c>
      <c r="BL470" s="462">
        <f t="shared" si="124"/>
        <v>0</v>
      </c>
      <c r="BM470" s="462">
        <f t="shared" si="125"/>
        <v>0</v>
      </c>
      <c r="BN470" s="462">
        <f>IF(AND(AT470=1,AK470="E",AU470&gt;=0.75,AW470=1),HealthBY,IF(AND(AT470=1,AK470="E",AU470&gt;=0.75),HealthBY*P470,IF(AND(AT470=1,AK470="E",AU470&gt;=0.5,AW470=1),PTHealthBY,IF(AND(AT470=1,AK470="E",AU470&gt;=0.5),PTHealthBY*P470,0))))</f>
        <v>0</v>
      </c>
      <c r="BO470" s="462">
        <f>IF(AND(AT470=3,AK470="E",AV470&gt;=0.75,AW470=1),HealthBY,IF(AND(AT470=3,AK470="E",AV470&gt;=0.75),HealthBY*P470,IF(AND(AT470=3,AK470="E",AV470&gt;=0.5,AW470=1),PTHealthBY,IF(AND(AT470=3,AK470="E",AV470&gt;=0.5),PTHealthBY*P470,0))))</f>
        <v>0</v>
      </c>
      <c r="BP470" s="462">
        <f>IF(AND(AT470&lt;&gt;0,(AX470+BA470)&gt;=MAXSSDIBY),SSDIBY*MAXSSDIBY*P470,IF(AT470&lt;&gt;0,SSDIBY*W470,0))</f>
        <v>0</v>
      </c>
      <c r="BQ470" s="462">
        <f>IF(AT470&lt;&gt;0,SSHIBY*W470,0)</f>
        <v>0</v>
      </c>
      <c r="BR470" s="462">
        <f>IF(AND(AT470&lt;&gt;0,AN470&lt;&gt;"NE"),VLOOKUP(AN470,Retirement_Rates,4,FALSE)*W470,0)</f>
        <v>0</v>
      </c>
      <c r="BS470" s="462">
        <f>IF(AND(AT470&lt;&gt;0,AJ470&lt;&gt;"PF"),LifeBY*W470,0)</f>
        <v>0</v>
      </c>
      <c r="BT470" s="462">
        <f>IF(AND(AT470&lt;&gt;0,AM470="Y"),UIBY*W470,0)</f>
        <v>0</v>
      </c>
      <c r="BU470" s="462">
        <f>IF(AND(AT470&lt;&gt;0,N470&lt;&gt;"NR"),DHRBY*W470,0)</f>
        <v>0</v>
      </c>
      <c r="BV470" s="462">
        <f>IF(AT470&lt;&gt;0,WCBY*W470,0)</f>
        <v>0</v>
      </c>
      <c r="BW470" s="462">
        <f>IF(OR(AND(AT470&lt;&gt;0,AJ470&lt;&gt;"PF",AN470&lt;&gt;"NE",AG470&lt;&gt;"A"),AND(AL470="E",OR(AT470=1,AT470=3))),SickBY*W470,0)</f>
        <v>0</v>
      </c>
      <c r="BX470" s="462">
        <f t="shared" si="126"/>
        <v>0</v>
      </c>
      <c r="BY470" s="462">
        <f t="shared" si="127"/>
        <v>0</v>
      </c>
      <c r="BZ470" s="462">
        <f t="shared" si="128"/>
        <v>0</v>
      </c>
      <c r="CA470" s="462">
        <f t="shared" si="129"/>
        <v>0</v>
      </c>
      <c r="CB470" s="462">
        <f t="shared" si="130"/>
        <v>0</v>
      </c>
      <c r="CC470" s="462">
        <f>IF(AT470&lt;&gt;0,SSHICHG*Y470,0)</f>
        <v>0</v>
      </c>
      <c r="CD470" s="462">
        <f>IF(AND(AT470&lt;&gt;0,AN470&lt;&gt;"NE"),VLOOKUP(AN470,Retirement_Rates,5,FALSE)*Y470,0)</f>
        <v>0</v>
      </c>
      <c r="CE470" s="462">
        <f>IF(AND(AT470&lt;&gt;0,AJ470&lt;&gt;"PF"),LifeCHG*Y470,0)</f>
        <v>0</v>
      </c>
      <c r="CF470" s="462">
        <f>IF(AND(AT470&lt;&gt;0,AM470="Y"),UICHG*Y470,0)</f>
        <v>0</v>
      </c>
      <c r="CG470" s="462">
        <f>IF(AND(AT470&lt;&gt;0,N470&lt;&gt;"NR"),DHRCHG*Y470,0)</f>
        <v>0</v>
      </c>
      <c r="CH470" s="462">
        <f>IF(AT470&lt;&gt;0,WCCHG*Y470,0)</f>
        <v>0</v>
      </c>
      <c r="CI470" s="462">
        <f>IF(OR(AND(AT470&lt;&gt;0,AJ470&lt;&gt;"PF",AN470&lt;&gt;"NE",AG470&lt;&gt;"A"),AND(AL470="E",OR(AT470=1,AT470=3))),SickCHG*Y470,0)</f>
        <v>0</v>
      </c>
      <c r="CJ470" s="462">
        <f t="shared" si="131"/>
        <v>0</v>
      </c>
      <c r="CK470" s="462" t="str">
        <f t="shared" si="132"/>
        <v/>
      </c>
      <c r="CL470" s="462" t="str">
        <f t="shared" si="133"/>
        <v/>
      </c>
      <c r="CM470" s="462" t="str">
        <f t="shared" si="134"/>
        <v/>
      </c>
      <c r="CN470" s="462" t="str">
        <f t="shared" si="135"/>
        <v>0331-00</v>
      </c>
    </row>
    <row r="471" spans="1:92" ht="15" thickBot="1" x14ac:dyDescent="0.35">
      <c r="A471" s="376" t="s">
        <v>161</v>
      </c>
      <c r="B471" s="376" t="s">
        <v>162</v>
      </c>
      <c r="C471" s="376" t="s">
        <v>928</v>
      </c>
      <c r="D471" s="376" t="s">
        <v>362</v>
      </c>
      <c r="E471" s="376" t="s">
        <v>1135</v>
      </c>
      <c r="F471" s="377" t="s">
        <v>166</v>
      </c>
      <c r="G471" s="376" t="s">
        <v>1136</v>
      </c>
      <c r="H471" s="378"/>
      <c r="I471" s="378"/>
      <c r="J471" s="376" t="s">
        <v>782</v>
      </c>
      <c r="K471" s="376" t="s">
        <v>363</v>
      </c>
      <c r="L471" s="376" t="s">
        <v>200</v>
      </c>
      <c r="M471" s="376" t="s">
        <v>170</v>
      </c>
      <c r="N471" s="376" t="s">
        <v>202</v>
      </c>
      <c r="O471" s="379">
        <v>1</v>
      </c>
      <c r="P471" s="460">
        <v>0</v>
      </c>
      <c r="Q471" s="460">
        <v>0</v>
      </c>
      <c r="R471" s="380">
        <v>80</v>
      </c>
      <c r="S471" s="460">
        <v>0</v>
      </c>
      <c r="T471" s="380">
        <v>2889</v>
      </c>
      <c r="U471" s="380">
        <v>0</v>
      </c>
      <c r="V471" s="380">
        <v>1448.42</v>
      </c>
      <c r="W471" s="380">
        <v>0</v>
      </c>
      <c r="X471" s="380">
        <v>0</v>
      </c>
      <c r="Y471" s="380">
        <v>0</v>
      </c>
      <c r="Z471" s="380">
        <v>0</v>
      </c>
      <c r="AA471" s="376" t="s">
        <v>929</v>
      </c>
      <c r="AB471" s="376" t="s">
        <v>409</v>
      </c>
      <c r="AC471" s="376" t="s">
        <v>930</v>
      </c>
      <c r="AD471" s="376" t="s">
        <v>177</v>
      </c>
      <c r="AE471" s="376" t="s">
        <v>363</v>
      </c>
      <c r="AF471" s="376" t="s">
        <v>210</v>
      </c>
      <c r="AG471" s="376" t="s">
        <v>177</v>
      </c>
      <c r="AH471" s="381">
        <v>22.5</v>
      </c>
      <c r="AI471" s="379">
        <v>960</v>
      </c>
      <c r="AJ471" s="376" t="s">
        <v>178</v>
      </c>
      <c r="AK471" s="376" t="s">
        <v>179</v>
      </c>
      <c r="AL471" s="376" t="s">
        <v>180</v>
      </c>
      <c r="AM471" s="376" t="s">
        <v>181</v>
      </c>
      <c r="AN471" s="376" t="s">
        <v>68</v>
      </c>
      <c r="AO471" s="379">
        <v>80</v>
      </c>
      <c r="AP471" s="460">
        <v>1</v>
      </c>
      <c r="AQ471" s="460">
        <v>0</v>
      </c>
      <c r="AR471" s="458" t="s">
        <v>182</v>
      </c>
      <c r="AS471" s="462">
        <f t="shared" si="119"/>
        <v>0</v>
      </c>
      <c r="AT471">
        <f t="shared" si="120"/>
        <v>0</v>
      </c>
      <c r="AU471" s="462" t="str">
        <f>IF(AT471=0,"",IF(AND(AT471=1,M471="F",SUMIF(C2:C698,C471,AS2:AS698)&lt;=1),SUMIF(C2:C698,C471,AS2:AS698),IF(AND(AT471=1,M471="F",SUMIF(C2:C698,C471,AS2:AS698)&gt;1),1,"")))</f>
        <v/>
      </c>
      <c r="AV471" s="462" t="str">
        <f>IF(AT471=0,"",IF(AND(AT471=3,M471="F",SUMIF(C2:C698,C471,AS2:AS698)&lt;=1),SUMIF(C2:C698,C471,AS2:AS698),IF(AND(AT471=3,M471="F",SUMIF(C2:C698,C471,AS2:AS698)&gt;1),1,"")))</f>
        <v/>
      </c>
      <c r="AW471" s="462">
        <f>SUMIF(C2:C698,C471,O2:O698)</f>
        <v>6</v>
      </c>
      <c r="AX471" s="462">
        <f>IF(AND(M471="F",AS471&lt;&gt;0),SUMIF(C2:C698,C471,W2:W698),0)</f>
        <v>0</v>
      </c>
      <c r="AY471" s="462" t="str">
        <f t="shared" si="121"/>
        <v/>
      </c>
      <c r="AZ471" s="462" t="str">
        <f t="shared" si="122"/>
        <v/>
      </c>
      <c r="BA471" s="462">
        <f t="shared" si="123"/>
        <v>0</v>
      </c>
      <c r="BB471" s="462">
        <f>IF(AND(AT471=1,AK471="E",AU471&gt;=0.75,AW471=1),Health,IF(AND(AT471=1,AK471="E",AU471&gt;=0.75),Health*P471,IF(AND(AT471=1,AK471="E",AU471&gt;=0.5,AW471=1),PTHealth,IF(AND(AT471=1,AK471="E",AU471&gt;=0.5),PTHealth*P471,0))))</f>
        <v>0</v>
      </c>
      <c r="BC471" s="462">
        <f>IF(AND(AT471=3,AK471="E",AV471&gt;=0.75,AW471=1),Health,IF(AND(AT471=3,AK471="E",AV471&gt;=0.75),Health*P471,IF(AND(AT471=3,AK471="E",AV471&gt;=0.5,AW471=1),PTHealth,IF(AND(AT471=3,AK471="E",AV471&gt;=0.5),PTHealth*P471,0))))</f>
        <v>0</v>
      </c>
      <c r="BD471" s="462">
        <f>IF(AND(AT471&lt;&gt;0,AX471&gt;=MAXSSDI),SSDI*MAXSSDI*P471,IF(AT471&lt;&gt;0,SSDI*W471,0))</f>
        <v>0</v>
      </c>
      <c r="BE471" s="462">
        <f>IF(AT471&lt;&gt;0,SSHI*W471,0)</f>
        <v>0</v>
      </c>
      <c r="BF471" s="462">
        <f>IF(AND(AT471&lt;&gt;0,AN471&lt;&gt;"NE"),VLOOKUP(AN471,Retirement_Rates,3,FALSE)*W471,0)</f>
        <v>0</v>
      </c>
      <c r="BG471" s="462">
        <f>IF(AND(AT471&lt;&gt;0,AJ471&lt;&gt;"PF"),Life*W471,0)</f>
        <v>0</v>
      </c>
      <c r="BH471" s="462">
        <f>IF(AND(AT471&lt;&gt;0,AM471="Y"),UI*W471,0)</f>
        <v>0</v>
      </c>
      <c r="BI471" s="462">
        <f>IF(AND(AT471&lt;&gt;0,N471&lt;&gt;"NR"),DHR*W471,0)</f>
        <v>0</v>
      </c>
      <c r="BJ471" s="462">
        <f>IF(AT471&lt;&gt;0,WC*W471,0)</f>
        <v>0</v>
      </c>
      <c r="BK471" s="462">
        <f>IF(OR(AND(AT471&lt;&gt;0,AJ471&lt;&gt;"PF",AN471&lt;&gt;"NE",AG471&lt;&gt;"A"),AND(AL471="E",OR(AT471=1,AT471=3))),Sick*W471,0)</f>
        <v>0</v>
      </c>
      <c r="BL471" s="462">
        <f t="shared" si="124"/>
        <v>0</v>
      </c>
      <c r="BM471" s="462">
        <f t="shared" si="125"/>
        <v>0</v>
      </c>
      <c r="BN471" s="462">
        <f>IF(AND(AT471=1,AK471="E",AU471&gt;=0.75,AW471=1),HealthBY,IF(AND(AT471=1,AK471="E",AU471&gt;=0.75),HealthBY*P471,IF(AND(AT471=1,AK471="E",AU471&gt;=0.5,AW471=1),PTHealthBY,IF(AND(AT471=1,AK471="E",AU471&gt;=0.5),PTHealthBY*P471,0))))</f>
        <v>0</v>
      </c>
      <c r="BO471" s="462">
        <f>IF(AND(AT471=3,AK471="E",AV471&gt;=0.75,AW471=1),HealthBY,IF(AND(AT471=3,AK471="E",AV471&gt;=0.75),HealthBY*P471,IF(AND(AT471=3,AK471="E",AV471&gt;=0.5,AW471=1),PTHealthBY,IF(AND(AT471=3,AK471="E",AV471&gt;=0.5),PTHealthBY*P471,0))))</f>
        <v>0</v>
      </c>
      <c r="BP471" s="462">
        <f>IF(AND(AT471&lt;&gt;0,(AX471+BA471)&gt;=MAXSSDIBY),SSDIBY*MAXSSDIBY*P471,IF(AT471&lt;&gt;0,SSDIBY*W471,0))</f>
        <v>0</v>
      </c>
      <c r="BQ471" s="462">
        <f>IF(AT471&lt;&gt;0,SSHIBY*W471,0)</f>
        <v>0</v>
      </c>
      <c r="BR471" s="462">
        <f>IF(AND(AT471&lt;&gt;0,AN471&lt;&gt;"NE"),VLOOKUP(AN471,Retirement_Rates,4,FALSE)*W471,0)</f>
        <v>0</v>
      </c>
      <c r="BS471" s="462">
        <f>IF(AND(AT471&lt;&gt;0,AJ471&lt;&gt;"PF"),LifeBY*W471,0)</f>
        <v>0</v>
      </c>
      <c r="BT471" s="462">
        <f>IF(AND(AT471&lt;&gt;0,AM471="Y"),UIBY*W471,0)</f>
        <v>0</v>
      </c>
      <c r="BU471" s="462">
        <f>IF(AND(AT471&lt;&gt;0,N471&lt;&gt;"NR"),DHRBY*W471,0)</f>
        <v>0</v>
      </c>
      <c r="BV471" s="462">
        <f>IF(AT471&lt;&gt;0,WCBY*W471,0)</f>
        <v>0</v>
      </c>
      <c r="BW471" s="462">
        <f>IF(OR(AND(AT471&lt;&gt;0,AJ471&lt;&gt;"PF",AN471&lt;&gt;"NE",AG471&lt;&gt;"A"),AND(AL471="E",OR(AT471=1,AT471=3))),SickBY*W471,0)</f>
        <v>0</v>
      </c>
      <c r="BX471" s="462">
        <f t="shared" si="126"/>
        <v>0</v>
      </c>
      <c r="BY471" s="462">
        <f t="shared" si="127"/>
        <v>0</v>
      </c>
      <c r="BZ471" s="462">
        <f t="shared" si="128"/>
        <v>0</v>
      </c>
      <c r="CA471" s="462">
        <f t="shared" si="129"/>
        <v>0</v>
      </c>
      <c r="CB471" s="462">
        <f t="shared" si="130"/>
        <v>0</v>
      </c>
      <c r="CC471" s="462">
        <f>IF(AT471&lt;&gt;0,SSHICHG*Y471,0)</f>
        <v>0</v>
      </c>
      <c r="CD471" s="462">
        <f>IF(AND(AT471&lt;&gt;0,AN471&lt;&gt;"NE"),VLOOKUP(AN471,Retirement_Rates,5,FALSE)*Y471,0)</f>
        <v>0</v>
      </c>
      <c r="CE471" s="462">
        <f>IF(AND(AT471&lt;&gt;0,AJ471&lt;&gt;"PF"),LifeCHG*Y471,0)</f>
        <v>0</v>
      </c>
      <c r="CF471" s="462">
        <f>IF(AND(AT471&lt;&gt;0,AM471="Y"),UICHG*Y471,0)</f>
        <v>0</v>
      </c>
      <c r="CG471" s="462">
        <f>IF(AND(AT471&lt;&gt;0,N471&lt;&gt;"NR"),DHRCHG*Y471,0)</f>
        <v>0</v>
      </c>
      <c r="CH471" s="462">
        <f>IF(AT471&lt;&gt;0,WCCHG*Y471,0)</f>
        <v>0</v>
      </c>
      <c r="CI471" s="462">
        <f>IF(OR(AND(AT471&lt;&gt;0,AJ471&lt;&gt;"PF",AN471&lt;&gt;"NE",AG471&lt;&gt;"A"),AND(AL471="E",OR(AT471=1,AT471=3))),SickCHG*Y471,0)</f>
        <v>0</v>
      </c>
      <c r="CJ471" s="462">
        <f t="shared" si="131"/>
        <v>0</v>
      </c>
      <c r="CK471" s="462" t="str">
        <f t="shared" si="132"/>
        <v/>
      </c>
      <c r="CL471" s="462" t="str">
        <f t="shared" si="133"/>
        <v/>
      </c>
      <c r="CM471" s="462" t="str">
        <f t="shared" si="134"/>
        <v/>
      </c>
      <c r="CN471" s="462" t="str">
        <f t="shared" si="135"/>
        <v>0331-00</v>
      </c>
    </row>
    <row r="472" spans="1:92" ht="15" thickBot="1" x14ac:dyDescent="0.35">
      <c r="A472" s="376" t="s">
        <v>161</v>
      </c>
      <c r="B472" s="376" t="s">
        <v>162</v>
      </c>
      <c r="C472" s="376" t="s">
        <v>872</v>
      </c>
      <c r="D472" s="376" t="s">
        <v>362</v>
      </c>
      <c r="E472" s="376" t="s">
        <v>1135</v>
      </c>
      <c r="F472" s="377" t="s">
        <v>166</v>
      </c>
      <c r="G472" s="376" t="s">
        <v>1136</v>
      </c>
      <c r="H472" s="378"/>
      <c r="I472" s="378"/>
      <c r="J472" s="376" t="s">
        <v>168</v>
      </c>
      <c r="K472" s="376" t="s">
        <v>363</v>
      </c>
      <c r="L472" s="376" t="s">
        <v>200</v>
      </c>
      <c r="M472" s="376" t="s">
        <v>201</v>
      </c>
      <c r="N472" s="376" t="s">
        <v>202</v>
      </c>
      <c r="O472" s="379">
        <v>0</v>
      </c>
      <c r="P472" s="460">
        <v>0</v>
      </c>
      <c r="Q472" s="460">
        <v>0</v>
      </c>
      <c r="R472" s="380">
        <v>80</v>
      </c>
      <c r="S472" s="460">
        <v>0</v>
      </c>
      <c r="T472" s="380">
        <v>1595.37</v>
      </c>
      <c r="U472" s="380">
        <v>0</v>
      </c>
      <c r="V472" s="380">
        <v>768.52</v>
      </c>
      <c r="W472" s="380">
        <v>0</v>
      </c>
      <c r="X472" s="380">
        <v>0</v>
      </c>
      <c r="Y472" s="380">
        <v>0</v>
      </c>
      <c r="Z472" s="380">
        <v>0</v>
      </c>
      <c r="AA472" s="378"/>
      <c r="AB472" s="376" t="s">
        <v>45</v>
      </c>
      <c r="AC472" s="376" t="s">
        <v>45</v>
      </c>
      <c r="AD472" s="378"/>
      <c r="AE472" s="378"/>
      <c r="AF472" s="378"/>
      <c r="AG472" s="378"/>
      <c r="AH472" s="379">
        <v>0</v>
      </c>
      <c r="AI472" s="379">
        <v>0</v>
      </c>
      <c r="AJ472" s="378"/>
      <c r="AK472" s="378"/>
      <c r="AL472" s="376" t="s">
        <v>180</v>
      </c>
      <c r="AM472" s="378"/>
      <c r="AN472" s="378"/>
      <c r="AO472" s="379">
        <v>0</v>
      </c>
      <c r="AP472" s="460">
        <v>0</v>
      </c>
      <c r="AQ472" s="460">
        <v>0</v>
      </c>
      <c r="AR472" s="459"/>
      <c r="AS472" s="462">
        <f t="shared" si="119"/>
        <v>0</v>
      </c>
      <c r="AT472">
        <f t="shared" si="120"/>
        <v>0</v>
      </c>
      <c r="AU472" s="462" t="str">
        <f>IF(AT472=0,"",IF(AND(AT472=1,M472="F",SUMIF(C2:C698,C472,AS2:AS698)&lt;=1),SUMIF(C2:C698,C472,AS2:AS698),IF(AND(AT472=1,M472="F",SUMIF(C2:C698,C472,AS2:AS698)&gt;1),1,"")))</f>
        <v/>
      </c>
      <c r="AV472" s="462" t="str">
        <f>IF(AT472=0,"",IF(AND(AT472=3,M472="F",SUMIF(C2:C698,C472,AS2:AS698)&lt;=1),SUMIF(C2:C698,C472,AS2:AS698),IF(AND(AT472=3,M472="F",SUMIF(C2:C698,C472,AS2:AS698)&gt;1),1,"")))</f>
        <v/>
      </c>
      <c r="AW472" s="462">
        <f>SUMIF(C2:C698,C472,O2:O698)</f>
        <v>0</v>
      </c>
      <c r="AX472" s="462">
        <f>IF(AND(M472="F",AS472&lt;&gt;0),SUMIF(C2:C698,C472,W2:W698),0)</f>
        <v>0</v>
      </c>
      <c r="AY472" s="462" t="str">
        <f t="shared" si="121"/>
        <v/>
      </c>
      <c r="AZ472" s="462" t="str">
        <f t="shared" si="122"/>
        <v/>
      </c>
      <c r="BA472" s="462">
        <f t="shared" si="123"/>
        <v>0</v>
      </c>
      <c r="BB472" s="462">
        <f>IF(AND(AT472=1,AK472="E",AU472&gt;=0.75,AW472=1),Health,IF(AND(AT472=1,AK472="E",AU472&gt;=0.75),Health*P472,IF(AND(AT472=1,AK472="E",AU472&gt;=0.5,AW472=1),PTHealth,IF(AND(AT472=1,AK472="E",AU472&gt;=0.5),PTHealth*P472,0))))</f>
        <v>0</v>
      </c>
      <c r="BC472" s="462">
        <f>IF(AND(AT472=3,AK472="E",AV472&gt;=0.75,AW472=1),Health,IF(AND(AT472=3,AK472="E",AV472&gt;=0.75),Health*P472,IF(AND(AT472=3,AK472="E",AV472&gt;=0.5,AW472=1),PTHealth,IF(AND(AT472=3,AK472="E",AV472&gt;=0.5),PTHealth*P472,0))))</f>
        <v>0</v>
      </c>
      <c r="BD472" s="462">
        <f>IF(AND(AT472&lt;&gt;0,AX472&gt;=MAXSSDI),SSDI*MAXSSDI*P472,IF(AT472&lt;&gt;0,SSDI*W472,0))</f>
        <v>0</v>
      </c>
      <c r="BE472" s="462">
        <f>IF(AT472&lt;&gt;0,SSHI*W472,0)</f>
        <v>0</v>
      </c>
      <c r="BF472" s="462">
        <f>IF(AND(AT472&lt;&gt;0,AN472&lt;&gt;"NE"),VLOOKUP(AN472,Retirement_Rates,3,FALSE)*W472,0)</f>
        <v>0</v>
      </c>
      <c r="BG472" s="462">
        <f>IF(AND(AT472&lt;&gt;0,AJ472&lt;&gt;"PF"),Life*W472,0)</f>
        <v>0</v>
      </c>
      <c r="BH472" s="462">
        <f>IF(AND(AT472&lt;&gt;0,AM472="Y"),UI*W472,0)</f>
        <v>0</v>
      </c>
      <c r="BI472" s="462">
        <f>IF(AND(AT472&lt;&gt;0,N472&lt;&gt;"NR"),DHR*W472,0)</f>
        <v>0</v>
      </c>
      <c r="BJ472" s="462">
        <f>IF(AT472&lt;&gt;0,WC*W472,0)</f>
        <v>0</v>
      </c>
      <c r="BK472" s="462">
        <f>IF(OR(AND(AT472&lt;&gt;0,AJ472&lt;&gt;"PF",AN472&lt;&gt;"NE",AG472&lt;&gt;"A"),AND(AL472="E",OR(AT472=1,AT472=3))),Sick*W472,0)</f>
        <v>0</v>
      </c>
      <c r="BL472" s="462">
        <f t="shared" si="124"/>
        <v>0</v>
      </c>
      <c r="BM472" s="462">
        <f t="shared" si="125"/>
        <v>0</v>
      </c>
      <c r="BN472" s="462">
        <f>IF(AND(AT472=1,AK472="E",AU472&gt;=0.75,AW472=1),HealthBY,IF(AND(AT472=1,AK472="E",AU472&gt;=0.75),HealthBY*P472,IF(AND(AT472=1,AK472="E",AU472&gt;=0.5,AW472=1),PTHealthBY,IF(AND(AT472=1,AK472="E",AU472&gt;=0.5),PTHealthBY*P472,0))))</f>
        <v>0</v>
      </c>
      <c r="BO472" s="462">
        <f>IF(AND(AT472=3,AK472="E",AV472&gt;=0.75,AW472=1),HealthBY,IF(AND(AT472=3,AK472="E",AV472&gt;=0.75),HealthBY*P472,IF(AND(AT472=3,AK472="E",AV472&gt;=0.5,AW472=1),PTHealthBY,IF(AND(AT472=3,AK472="E",AV472&gt;=0.5),PTHealthBY*P472,0))))</f>
        <v>0</v>
      </c>
      <c r="BP472" s="462">
        <f>IF(AND(AT472&lt;&gt;0,(AX472+BA472)&gt;=MAXSSDIBY),SSDIBY*MAXSSDIBY*P472,IF(AT472&lt;&gt;0,SSDIBY*W472,0))</f>
        <v>0</v>
      </c>
      <c r="BQ472" s="462">
        <f>IF(AT472&lt;&gt;0,SSHIBY*W472,0)</f>
        <v>0</v>
      </c>
      <c r="BR472" s="462">
        <f>IF(AND(AT472&lt;&gt;0,AN472&lt;&gt;"NE"),VLOOKUP(AN472,Retirement_Rates,4,FALSE)*W472,0)</f>
        <v>0</v>
      </c>
      <c r="BS472" s="462">
        <f>IF(AND(AT472&lt;&gt;0,AJ472&lt;&gt;"PF"),LifeBY*W472,0)</f>
        <v>0</v>
      </c>
      <c r="BT472" s="462">
        <f>IF(AND(AT472&lt;&gt;0,AM472="Y"),UIBY*W472,0)</f>
        <v>0</v>
      </c>
      <c r="BU472" s="462">
        <f>IF(AND(AT472&lt;&gt;0,N472&lt;&gt;"NR"),DHRBY*W472,0)</f>
        <v>0</v>
      </c>
      <c r="BV472" s="462">
        <f>IF(AT472&lt;&gt;0,WCBY*W472,0)</f>
        <v>0</v>
      </c>
      <c r="BW472" s="462">
        <f>IF(OR(AND(AT472&lt;&gt;0,AJ472&lt;&gt;"PF",AN472&lt;&gt;"NE",AG472&lt;&gt;"A"),AND(AL472="E",OR(AT472=1,AT472=3))),SickBY*W472,0)</f>
        <v>0</v>
      </c>
      <c r="BX472" s="462">
        <f t="shared" si="126"/>
        <v>0</v>
      </c>
      <c r="BY472" s="462">
        <f t="shared" si="127"/>
        <v>0</v>
      </c>
      <c r="BZ472" s="462">
        <f t="shared" si="128"/>
        <v>0</v>
      </c>
      <c r="CA472" s="462">
        <f t="shared" si="129"/>
        <v>0</v>
      </c>
      <c r="CB472" s="462">
        <f t="shared" si="130"/>
        <v>0</v>
      </c>
      <c r="CC472" s="462">
        <f>IF(AT472&lt;&gt;0,SSHICHG*Y472,0)</f>
        <v>0</v>
      </c>
      <c r="CD472" s="462">
        <f>IF(AND(AT472&lt;&gt;0,AN472&lt;&gt;"NE"),VLOOKUP(AN472,Retirement_Rates,5,FALSE)*Y472,0)</f>
        <v>0</v>
      </c>
      <c r="CE472" s="462">
        <f>IF(AND(AT472&lt;&gt;0,AJ472&lt;&gt;"PF"),LifeCHG*Y472,0)</f>
        <v>0</v>
      </c>
      <c r="CF472" s="462">
        <f>IF(AND(AT472&lt;&gt;0,AM472="Y"),UICHG*Y472,0)</f>
        <v>0</v>
      </c>
      <c r="CG472" s="462">
        <f>IF(AND(AT472&lt;&gt;0,N472&lt;&gt;"NR"),DHRCHG*Y472,0)</f>
        <v>0</v>
      </c>
      <c r="CH472" s="462">
        <f>IF(AT472&lt;&gt;0,WCCHG*Y472,0)</f>
        <v>0</v>
      </c>
      <c r="CI472" s="462">
        <f>IF(OR(AND(AT472&lt;&gt;0,AJ472&lt;&gt;"PF",AN472&lt;&gt;"NE",AG472&lt;&gt;"A"),AND(AL472="E",OR(AT472=1,AT472=3))),SickCHG*Y472,0)</f>
        <v>0</v>
      </c>
      <c r="CJ472" s="462">
        <f t="shared" si="131"/>
        <v>0</v>
      </c>
      <c r="CK472" s="462" t="str">
        <f t="shared" si="132"/>
        <v/>
      </c>
      <c r="CL472" s="462" t="str">
        <f t="shared" si="133"/>
        <v/>
      </c>
      <c r="CM472" s="462" t="str">
        <f t="shared" si="134"/>
        <v/>
      </c>
      <c r="CN472" s="462" t="str">
        <f t="shared" si="135"/>
        <v>0331-00</v>
      </c>
    </row>
    <row r="473" spans="1:92" ht="15" thickBot="1" x14ac:dyDescent="0.35">
      <c r="A473" s="376" t="s">
        <v>161</v>
      </c>
      <c r="B473" s="376" t="s">
        <v>162</v>
      </c>
      <c r="C473" s="376" t="s">
        <v>767</v>
      </c>
      <c r="D473" s="376" t="s">
        <v>362</v>
      </c>
      <c r="E473" s="376" t="s">
        <v>1135</v>
      </c>
      <c r="F473" s="377" t="s">
        <v>166</v>
      </c>
      <c r="G473" s="376" t="s">
        <v>1136</v>
      </c>
      <c r="H473" s="378"/>
      <c r="I473" s="378"/>
      <c r="J473" s="376" t="s">
        <v>768</v>
      </c>
      <c r="K473" s="376" t="s">
        <v>363</v>
      </c>
      <c r="L473" s="376" t="s">
        <v>200</v>
      </c>
      <c r="M473" s="376" t="s">
        <v>170</v>
      </c>
      <c r="N473" s="376" t="s">
        <v>202</v>
      </c>
      <c r="O473" s="379">
        <v>1</v>
      </c>
      <c r="P473" s="460">
        <v>0</v>
      </c>
      <c r="Q473" s="460">
        <v>0</v>
      </c>
      <c r="R473" s="380">
        <v>80</v>
      </c>
      <c r="S473" s="460">
        <v>0</v>
      </c>
      <c r="T473" s="380">
        <v>3574.37</v>
      </c>
      <c r="U473" s="380">
        <v>0</v>
      </c>
      <c r="V473" s="380">
        <v>1683.48</v>
      </c>
      <c r="W473" s="380">
        <v>0</v>
      </c>
      <c r="X473" s="380">
        <v>0</v>
      </c>
      <c r="Y473" s="380">
        <v>0</v>
      </c>
      <c r="Z473" s="380">
        <v>0</v>
      </c>
      <c r="AA473" s="376" t="s">
        <v>769</v>
      </c>
      <c r="AB473" s="376" t="s">
        <v>770</v>
      </c>
      <c r="AC473" s="376" t="s">
        <v>771</v>
      </c>
      <c r="AD473" s="376" t="s">
        <v>278</v>
      </c>
      <c r="AE473" s="376" t="s">
        <v>363</v>
      </c>
      <c r="AF473" s="376" t="s">
        <v>210</v>
      </c>
      <c r="AG473" s="376" t="s">
        <v>177</v>
      </c>
      <c r="AH473" s="381">
        <v>24.17</v>
      </c>
      <c r="AI473" s="379">
        <v>25188</v>
      </c>
      <c r="AJ473" s="376" t="s">
        <v>178</v>
      </c>
      <c r="AK473" s="376" t="s">
        <v>179</v>
      </c>
      <c r="AL473" s="376" t="s">
        <v>180</v>
      </c>
      <c r="AM473" s="376" t="s">
        <v>181</v>
      </c>
      <c r="AN473" s="376" t="s">
        <v>68</v>
      </c>
      <c r="AO473" s="379">
        <v>80</v>
      </c>
      <c r="AP473" s="460">
        <v>1</v>
      </c>
      <c r="AQ473" s="460">
        <v>0</v>
      </c>
      <c r="AR473" s="458" t="s">
        <v>182</v>
      </c>
      <c r="AS473" s="462">
        <f t="shared" si="119"/>
        <v>0</v>
      </c>
      <c r="AT473">
        <f t="shared" si="120"/>
        <v>0</v>
      </c>
      <c r="AU473" s="462" t="str">
        <f>IF(AT473=0,"",IF(AND(AT473=1,M473="F",SUMIF(C2:C698,C473,AS2:AS698)&lt;=1),SUMIF(C2:C698,C473,AS2:AS698),IF(AND(AT473=1,M473="F",SUMIF(C2:C698,C473,AS2:AS698)&gt;1),1,"")))</f>
        <v/>
      </c>
      <c r="AV473" s="462" t="str">
        <f>IF(AT473=0,"",IF(AND(AT473=3,M473="F",SUMIF(C2:C698,C473,AS2:AS698)&lt;=1),SUMIF(C2:C698,C473,AS2:AS698),IF(AND(AT473=3,M473="F",SUMIF(C2:C698,C473,AS2:AS698)&gt;1),1,"")))</f>
        <v/>
      </c>
      <c r="AW473" s="462">
        <f>SUMIF(C2:C698,C473,O2:O698)</f>
        <v>7</v>
      </c>
      <c r="AX473" s="462">
        <f>IF(AND(M473="F",AS473&lt;&gt;0),SUMIF(C2:C698,C473,W2:W698),0)</f>
        <v>0</v>
      </c>
      <c r="AY473" s="462" t="str">
        <f t="shared" si="121"/>
        <v/>
      </c>
      <c r="AZ473" s="462" t="str">
        <f t="shared" si="122"/>
        <v/>
      </c>
      <c r="BA473" s="462">
        <f t="shared" si="123"/>
        <v>0</v>
      </c>
      <c r="BB473" s="462">
        <f>IF(AND(AT473=1,AK473="E",AU473&gt;=0.75,AW473=1),Health,IF(AND(AT473=1,AK473="E",AU473&gt;=0.75),Health*P473,IF(AND(AT473=1,AK473="E",AU473&gt;=0.5,AW473=1),PTHealth,IF(AND(AT473=1,AK473="E",AU473&gt;=0.5),PTHealth*P473,0))))</f>
        <v>0</v>
      </c>
      <c r="BC473" s="462">
        <f>IF(AND(AT473=3,AK473="E",AV473&gt;=0.75,AW473=1),Health,IF(AND(AT473=3,AK473="E",AV473&gt;=0.75),Health*P473,IF(AND(AT473=3,AK473="E",AV473&gt;=0.5,AW473=1),PTHealth,IF(AND(AT473=3,AK473="E",AV473&gt;=0.5),PTHealth*P473,0))))</f>
        <v>0</v>
      </c>
      <c r="BD473" s="462">
        <f>IF(AND(AT473&lt;&gt;0,AX473&gt;=MAXSSDI),SSDI*MAXSSDI*P473,IF(AT473&lt;&gt;0,SSDI*W473,0))</f>
        <v>0</v>
      </c>
      <c r="BE473" s="462">
        <f>IF(AT473&lt;&gt;0,SSHI*W473,0)</f>
        <v>0</v>
      </c>
      <c r="BF473" s="462">
        <f>IF(AND(AT473&lt;&gt;0,AN473&lt;&gt;"NE"),VLOOKUP(AN473,Retirement_Rates,3,FALSE)*W473,0)</f>
        <v>0</v>
      </c>
      <c r="BG473" s="462">
        <f>IF(AND(AT473&lt;&gt;0,AJ473&lt;&gt;"PF"),Life*W473,0)</f>
        <v>0</v>
      </c>
      <c r="BH473" s="462">
        <f>IF(AND(AT473&lt;&gt;0,AM473="Y"),UI*W473,0)</f>
        <v>0</v>
      </c>
      <c r="BI473" s="462">
        <f>IF(AND(AT473&lt;&gt;0,N473&lt;&gt;"NR"),DHR*W473,0)</f>
        <v>0</v>
      </c>
      <c r="BJ473" s="462">
        <f>IF(AT473&lt;&gt;0,WC*W473,0)</f>
        <v>0</v>
      </c>
      <c r="BK473" s="462">
        <f>IF(OR(AND(AT473&lt;&gt;0,AJ473&lt;&gt;"PF",AN473&lt;&gt;"NE",AG473&lt;&gt;"A"),AND(AL473="E",OR(AT473=1,AT473=3))),Sick*W473,0)</f>
        <v>0</v>
      </c>
      <c r="BL473" s="462">
        <f t="shared" si="124"/>
        <v>0</v>
      </c>
      <c r="BM473" s="462">
        <f t="shared" si="125"/>
        <v>0</v>
      </c>
      <c r="BN473" s="462">
        <f>IF(AND(AT473=1,AK473="E",AU473&gt;=0.75,AW473=1),HealthBY,IF(AND(AT473=1,AK473="E",AU473&gt;=0.75),HealthBY*P473,IF(AND(AT473=1,AK473="E",AU473&gt;=0.5,AW473=1),PTHealthBY,IF(AND(AT473=1,AK473="E",AU473&gt;=0.5),PTHealthBY*P473,0))))</f>
        <v>0</v>
      </c>
      <c r="BO473" s="462">
        <f>IF(AND(AT473=3,AK473="E",AV473&gt;=0.75,AW473=1),HealthBY,IF(AND(AT473=3,AK473="E",AV473&gt;=0.75),HealthBY*P473,IF(AND(AT473=3,AK473="E",AV473&gt;=0.5,AW473=1),PTHealthBY,IF(AND(AT473=3,AK473="E",AV473&gt;=0.5),PTHealthBY*P473,0))))</f>
        <v>0</v>
      </c>
      <c r="BP473" s="462">
        <f>IF(AND(AT473&lt;&gt;0,(AX473+BA473)&gt;=MAXSSDIBY),SSDIBY*MAXSSDIBY*P473,IF(AT473&lt;&gt;0,SSDIBY*W473,0))</f>
        <v>0</v>
      </c>
      <c r="BQ473" s="462">
        <f>IF(AT473&lt;&gt;0,SSHIBY*W473,0)</f>
        <v>0</v>
      </c>
      <c r="BR473" s="462">
        <f>IF(AND(AT473&lt;&gt;0,AN473&lt;&gt;"NE"),VLOOKUP(AN473,Retirement_Rates,4,FALSE)*W473,0)</f>
        <v>0</v>
      </c>
      <c r="BS473" s="462">
        <f>IF(AND(AT473&lt;&gt;0,AJ473&lt;&gt;"PF"),LifeBY*W473,0)</f>
        <v>0</v>
      </c>
      <c r="BT473" s="462">
        <f>IF(AND(AT473&lt;&gt;0,AM473="Y"),UIBY*W473,0)</f>
        <v>0</v>
      </c>
      <c r="BU473" s="462">
        <f>IF(AND(AT473&lt;&gt;0,N473&lt;&gt;"NR"),DHRBY*W473,0)</f>
        <v>0</v>
      </c>
      <c r="BV473" s="462">
        <f>IF(AT473&lt;&gt;0,WCBY*W473,0)</f>
        <v>0</v>
      </c>
      <c r="BW473" s="462">
        <f>IF(OR(AND(AT473&lt;&gt;0,AJ473&lt;&gt;"PF",AN473&lt;&gt;"NE",AG473&lt;&gt;"A"),AND(AL473="E",OR(AT473=1,AT473=3))),SickBY*W473,0)</f>
        <v>0</v>
      </c>
      <c r="BX473" s="462">
        <f t="shared" si="126"/>
        <v>0</v>
      </c>
      <c r="BY473" s="462">
        <f t="shared" si="127"/>
        <v>0</v>
      </c>
      <c r="BZ473" s="462">
        <f t="shared" si="128"/>
        <v>0</v>
      </c>
      <c r="CA473" s="462">
        <f t="shared" si="129"/>
        <v>0</v>
      </c>
      <c r="CB473" s="462">
        <f t="shared" si="130"/>
        <v>0</v>
      </c>
      <c r="CC473" s="462">
        <f>IF(AT473&lt;&gt;0,SSHICHG*Y473,0)</f>
        <v>0</v>
      </c>
      <c r="CD473" s="462">
        <f>IF(AND(AT473&lt;&gt;0,AN473&lt;&gt;"NE"),VLOOKUP(AN473,Retirement_Rates,5,FALSE)*Y473,0)</f>
        <v>0</v>
      </c>
      <c r="CE473" s="462">
        <f>IF(AND(AT473&lt;&gt;0,AJ473&lt;&gt;"PF"),LifeCHG*Y473,0)</f>
        <v>0</v>
      </c>
      <c r="CF473" s="462">
        <f>IF(AND(AT473&lt;&gt;0,AM473="Y"),UICHG*Y473,0)</f>
        <v>0</v>
      </c>
      <c r="CG473" s="462">
        <f>IF(AND(AT473&lt;&gt;0,N473&lt;&gt;"NR"),DHRCHG*Y473,0)</f>
        <v>0</v>
      </c>
      <c r="CH473" s="462">
        <f>IF(AT473&lt;&gt;0,WCCHG*Y473,0)</f>
        <v>0</v>
      </c>
      <c r="CI473" s="462">
        <f>IF(OR(AND(AT473&lt;&gt;0,AJ473&lt;&gt;"PF",AN473&lt;&gt;"NE",AG473&lt;&gt;"A"),AND(AL473="E",OR(AT473=1,AT473=3))),SickCHG*Y473,0)</f>
        <v>0</v>
      </c>
      <c r="CJ473" s="462">
        <f t="shared" si="131"/>
        <v>0</v>
      </c>
      <c r="CK473" s="462" t="str">
        <f t="shared" si="132"/>
        <v/>
      </c>
      <c r="CL473" s="462" t="str">
        <f t="shared" si="133"/>
        <v/>
      </c>
      <c r="CM473" s="462" t="str">
        <f t="shared" si="134"/>
        <v/>
      </c>
      <c r="CN473" s="462" t="str">
        <f t="shared" si="135"/>
        <v>0331-00</v>
      </c>
    </row>
    <row r="474" spans="1:92" ht="15" thickBot="1" x14ac:dyDescent="0.35">
      <c r="A474" s="376" t="s">
        <v>161</v>
      </c>
      <c r="B474" s="376" t="s">
        <v>162</v>
      </c>
      <c r="C474" s="376" t="s">
        <v>860</v>
      </c>
      <c r="D474" s="376" t="s">
        <v>861</v>
      </c>
      <c r="E474" s="376" t="s">
        <v>1135</v>
      </c>
      <c r="F474" s="377" t="s">
        <v>166</v>
      </c>
      <c r="G474" s="376" t="s">
        <v>1136</v>
      </c>
      <c r="H474" s="378"/>
      <c r="I474" s="378"/>
      <c r="J474" s="376" t="s">
        <v>168</v>
      </c>
      <c r="K474" s="376" t="s">
        <v>862</v>
      </c>
      <c r="L474" s="376" t="s">
        <v>274</v>
      </c>
      <c r="M474" s="376" t="s">
        <v>201</v>
      </c>
      <c r="N474" s="376" t="s">
        <v>202</v>
      </c>
      <c r="O474" s="379">
        <v>0</v>
      </c>
      <c r="P474" s="460">
        <v>0</v>
      </c>
      <c r="Q474" s="460">
        <v>0</v>
      </c>
      <c r="R474" s="380">
        <v>80</v>
      </c>
      <c r="S474" s="460">
        <v>0</v>
      </c>
      <c r="T474" s="380">
        <v>318.25</v>
      </c>
      <c r="U474" s="380">
        <v>0</v>
      </c>
      <c r="V474" s="380">
        <v>152.07</v>
      </c>
      <c r="W474" s="380">
        <v>0</v>
      </c>
      <c r="X474" s="380">
        <v>0</v>
      </c>
      <c r="Y474" s="380">
        <v>0</v>
      </c>
      <c r="Z474" s="380">
        <v>0</v>
      </c>
      <c r="AA474" s="378"/>
      <c r="AB474" s="376" t="s">
        <v>45</v>
      </c>
      <c r="AC474" s="376" t="s">
        <v>45</v>
      </c>
      <c r="AD474" s="378"/>
      <c r="AE474" s="378"/>
      <c r="AF474" s="378"/>
      <c r="AG474" s="378"/>
      <c r="AH474" s="379">
        <v>0</v>
      </c>
      <c r="AI474" s="379">
        <v>0</v>
      </c>
      <c r="AJ474" s="378"/>
      <c r="AK474" s="378"/>
      <c r="AL474" s="376" t="s">
        <v>180</v>
      </c>
      <c r="AM474" s="378"/>
      <c r="AN474" s="378"/>
      <c r="AO474" s="379">
        <v>0</v>
      </c>
      <c r="AP474" s="460">
        <v>0</v>
      </c>
      <c r="AQ474" s="460">
        <v>0</v>
      </c>
      <c r="AR474" s="459"/>
      <c r="AS474" s="462">
        <f t="shared" si="119"/>
        <v>0</v>
      </c>
      <c r="AT474">
        <f t="shared" si="120"/>
        <v>0</v>
      </c>
      <c r="AU474" s="462" t="str">
        <f>IF(AT474=0,"",IF(AND(AT474=1,M474="F",SUMIF(C2:C698,C474,AS2:AS698)&lt;=1),SUMIF(C2:C698,C474,AS2:AS698),IF(AND(AT474=1,M474="F",SUMIF(C2:C698,C474,AS2:AS698)&gt;1),1,"")))</f>
        <v/>
      </c>
      <c r="AV474" s="462" t="str">
        <f>IF(AT474=0,"",IF(AND(AT474=3,M474="F",SUMIF(C2:C698,C474,AS2:AS698)&lt;=1),SUMIF(C2:C698,C474,AS2:AS698),IF(AND(AT474=3,M474="F",SUMIF(C2:C698,C474,AS2:AS698)&gt;1),1,"")))</f>
        <v/>
      </c>
      <c r="AW474" s="462">
        <f>SUMIF(C2:C698,C474,O2:O698)</f>
        <v>0</v>
      </c>
      <c r="AX474" s="462">
        <f>IF(AND(M474="F",AS474&lt;&gt;0),SUMIF(C2:C698,C474,W2:W698),0)</f>
        <v>0</v>
      </c>
      <c r="AY474" s="462" t="str">
        <f t="shared" si="121"/>
        <v/>
      </c>
      <c r="AZ474" s="462" t="str">
        <f t="shared" si="122"/>
        <v/>
      </c>
      <c r="BA474" s="462">
        <f t="shared" si="123"/>
        <v>0</v>
      </c>
      <c r="BB474" s="462">
        <f>IF(AND(AT474=1,AK474="E",AU474&gt;=0.75,AW474=1),Health,IF(AND(AT474=1,AK474="E",AU474&gt;=0.75),Health*P474,IF(AND(AT474=1,AK474="E",AU474&gt;=0.5,AW474=1),PTHealth,IF(AND(AT474=1,AK474="E",AU474&gt;=0.5),PTHealth*P474,0))))</f>
        <v>0</v>
      </c>
      <c r="BC474" s="462">
        <f>IF(AND(AT474=3,AK474="E",AV474&gt;=0.75,AW474=1),Health,IF(AND(AT474=3,AK474="E",AV474&gt;=0.75),Health*P474,IF(AND(AT474=3,AK474="E",AV474&gt;=0.5,AW474=1),PTHealth,IF(AND(AT474=3,AK474="E",AV474&gt;=0.5),PTHealth*P474,0))))</f>
        <v>0</v>
      </c>
      <c r="BD474" s="462">
        <f>IF(AND(AT474&lt;&gt;0,AX474&gt;=MAXSSDI),SSDI*MAXSSDI*P474,IF(AT474&lt;&gt;0,SSDI*W474,0))</f>
        <v>0</v>
      </c>
      <c r="BE474" s="462">
        <f>IF(AT474&lt;&gt;0,SSHI*W474,0)</f>
        <v>0</v>
      </c>
      <c r="BF474" s="462">
        <f>IF(AND(AT474&lt;&gt;0,AN474&lt;&gt;"NE"),VLOOKUP(AN474,Retirement_Rates,3,FALSE)*W474,0)</f>
        <v>0</v>
      </c>
      <c r="BG474" s="462">
        <f>IF(AND(AT474&lt;&gt;0,AJ474&lt;&gt;"PF"),Life*W474,0)</f>
        <v>0</v>
      </c>
      <c r="BH474" s="462">
        <f>IF(AND(AT474&lt;&gt;0,AM474="Y"),UI*W474,0)</f>
        <v>0</v>
      </c>
      <c r="BI474" s="462">
        <f>IF(AND(AT474&lt;&gt;0,N474&lt;&gt;"NR"),DHR*W474,0)</f>
        <v>0</v>
      </c>
      <c r="BJ474" s="462">
        <f>IF(AT474&lt;&gt;0,WC*W474,0)</f>
        <v>0</v>
      </c>
      <c r="BK474" s="462">
        <f>IF(OR(AND(AT474&lt;&gt;0,AJ474&lt;&gt;"PF",AN474&lt;&gt;"NE",AG474&lt;&gt;"A"),AND(AL474="E",OR(AT474=1,AT474=3))),Sick*W474,0)</f>
        <v>0</v>
      </c>
      <c r="BL474" s="462">
        <f t="shared" si="124"/>
        <v>0</v>
      </c>
      <c r="BM474" s="462">
        <f t="shared" si="125"/>
        <v>0</v>
      </c>
      <c r="BN474" s="462">
        <f>IF(AND(AT474=1,AK474="E",AU474&gt;=0.75,AW474=1),HealthBY,IF(AND(AT474=1,AK474="E",AU474&gt;=0.75),HealthBY*P474,IF(AND(AT474=1,AK474="E",AU474&gt;=0.5,AW474=1),PTHealthBY,IF(AND(AT474=1,AK474="E",AU474&gt;=0.5),PTHealthBY*P474,0))))</f>
        <v>0</v>
      </c>
      <c r="BO474" s="462">
        <f>IF(AND(AT474=3,AK474="E",AV474&gt;=0.75,AW474=1),HealthBY,IF(AND(AT474=3,AK474="E",AV474&gt;=0.75),HealthBY*P474,IF(AND(AT474=3,AK474="E",AV474&gt;=0.5,AW474=1),PTHealthBY,IF(AND(AT474=3,AK474="E",AV474&gt;=0.5),PTHealthBY*P474,0))))</f>
        <v>0</v>
      </c>
      <c r="BP474" s="462">
        <f>IF(AND(AT474&lt;&gt;0,(AX474+BA474)&gt;=MAXSSDIBY),SSDIBY*MAXSSDIBY*P474,IF(AT474&lt;&gt;0,SSDIBY*W474,0))</f>
        <v>0</v>
      </c>
      <c r="BQ474" s="462">
        <f>IF(AT474&lt;&gt;0,SSHIBY*W474,0)</f>
        <v>0</v>
      </c>
      <c r="BR474" s="462">
        <f>IF(AND(AT474&lt;&gt;0,AN474&lt;&gt;"NE"),VLOOKUP(AN474,Retirement_Rates,4,FALSE)*W474,0)</f>
        <v>0</v>
      </c>
      <c r="BS474" s="462">
        <f>IF(AND(AT474&lt;&gt;0,AJ474&lt;&gt;"PF"),LifeBY*W474,0)</f>
        <v>0</v>
      </c>
      <c r="BT474" s="462">
        <f>IF(AND(AT474&lt;&gt;0,AM474="Y"),UIBY*W474,0)</f>
        <v>0</v>
      </c>
      <c r="BU474" s="462">
        <f>IF(AND(AT474&lt;&gt;0,N474&lt;&gt;"NR"),DHRBY*W474,0)</f>
        <v>0</v>
      </c>
      <c r="BV474" s="462">
        <f>IF(AT474&lt;&gt;0,WCBY*W474,0)</f>
        <v>0</v>
      </c>
      <c r="BW474" s="462">
        <f>IF(OR(AND(AT474&lt;&gt;0,AJ474&lt;&gt;"PF",AN474&lt;&gt;"NE",AG474&lt;&gt;"A"),AND(AL474="E",OR(AT474=1,AT474=3))),SickBY*W474,0)</f>
        <v>0</v>
      </c>
      <c r="BX474" s="462">
        <f t="shared" si="126"/>
        <v>0</v>
      </c>
      <c r="BY474" s="462">
        <f t="shared" si="127"/>
        <v>0</v>
      </c>
      <c r="BZ474" s="462">
        <f t="shared" si="128"/>
        <v>0</v>
      </c>
      <c r="CA474" s="462">
        <f t="shared" si="129"/>
        <v>0</v>
      </c>
      <c r="CB474" s="462">
        <f t="shared" si="130"/>
        <v>0</v>
      </c>
      <c r="CC474" s="462">
        <f>IF(AT474&lt;&gt;0,SSHICHG*Y474,0)</f>
        <v>0</v>
      </c>
      <c r="CD474" s="462">
        <f>IF(AND(AT474&lt;&gt;0,AN474&lt;&gt;"NE"),VLOOKUP(AN474,Retirement_Rates,5,FALSE)*Y474,0)</f>
        <v>0</v>
      </c>
      <c r="CE474" s="462">
        <f>IF(AND(AT474&lt;&gt;0,AJ474&lt;&gt;"PF"),LifeCHG*Y474,0)</f>
        <v>0</v>
      </c>
      <c r="CF474" s="462">
        <f>IF(AND(AT474&lt;&gt;0,AM474="Y"),UICHG*Y474,0)</f>
        <v>0</v>
      </c>
      <c r="CG474" s="462">
        <f>IF(AND(AT474&lt;&gt;0,N474&lt;&gt;"NR"),DHRCHG*Y474,0)</f>
        <v>0</v>
      </c>
      <c r="CH474" s="462">
        <f>IF(AT474&lt;&gt;0,WCCHG*Y474,0)</f>
        <v>0</v>
      </c>
      <c r="CI474" s="462">
        <f>IF(OR(AND(AT474&lt;&gt;0,AJ474&lt;&gt;"PF",AN474&lt;&gt;"NE",AG474&lt;&gt;"A"),AND(AL474="E",OR(AT474=1,AT474=3))),SickCHG*Y474,0)</f>
        <v>0</v>
      </c>
      <c r="CJ474" s="462">
        <f t="shared" si="131"/>
        <v>0</v>
      </c>
      <c r="CK474" s="462" t="str">
        <f t="shared" si="132"/>
        <v/>
      </c>
      <c r="CL474" s="462" t="str">
        <f t="shared" si="133"/>
        <v/>
      </c>
      <c r="CM474" s="462" t="str">
        <f t="shared" si="134"/>
        <v/>
      </c>
      <c r="CN474" s="462" t="str">
        <f t="shared" si="135"/>
        <v>0331-00</v>
      </c>
    </row>
    <row r="475" spans="1:92" ht="15" thickBot="1" x14ac:dyDescent="0.35">
      <c r="A475" s="376" t="s">
        <v>161</v>
      </c>
      <c r="B475" s="376" t="s">
        <v>162</v>
      </c>
      <c r="C475" s="376" t="s">
        <v>772</v>
      </c>
      <c r="D475" s="376" t="s">
        <v>362</v>
      </c>
      <c r="E475" s="376" t="s">
        <v>1135</v>
      </c>
      <c r="F475" s="377" t="s">
        <v>166</v>
      </c>
      <c r="G475" s="376" t="s">
        <v>1136</v>
      </c>
      <c r="H475" s="378"/>
      <c r="I475" s="378"/>
      <c r="J475" s="376" t="s">
        <v>547</v>
      </c>
      <c r="K475" s="376" t="s">
        <v>363</v>
      </c>
      <c r="L475" s="376" t="s">
        <v>200</v>
      </c>
      <c r="M475" s="376" t="s">
        <v>170</v>
      </c>
      <c r="N475" s="376" t="s">
        <v>202</v>
      </c>
      <c r="O475" s="379">
        <v>1</v>
      </c>
      <c r="P475" s="460">
        <v>0</v>
      </c>
      <c r="Q475" s="460">
        <v>0</v>
      </c>
      <c r="R475" s="380">
        <v>80</v>
      </c>
      <c r="S475" s="460">
        <v>0</v>
      </c>
      <c r="T475" s="380">
        <v>4507.47</v>
      </c>
      <c r="U475" s="380">
        <v>0</v>
      </c>
      <c r="V475" s="380">
        <v>2237.17</v>
      </c>
      <c r="W475" s="380">
        <v>0</v>
      </c>
      <c r="X475" s="380">
        <v>0</v>
      </c>
      <c r="Y475" s="380">
        <v>0</v>
      </c>
      <c r="Z475" s="380">
        <v>0</v>
      </c>
      <c r="AA475" s="376" t="s">
        <v>773</v>
      </c>
      <c r="AB475" s="376" t="s">
        <v>774</v>
      </c>
      <c r="AC475" s="376" t="s">
        <v>690</v>
      </c>
      <c r="AD475" s="376" t="s">
        <v>225</v>
      </c>
      <c r="AE475" s="376" t="s">
        <v>363</v>
      </c>
      <c r="AF475" s="376" t="s">
        <v>210</v>
      </c>
      <c r="AG475" s="376" t="s">
        <v>177</v>
      </c>
      <c r="AH475" s="381">
        <v>22.5</v>
      </c>
      <c r="AI475" s="379">
        <v>9056</v>
      </c>
      <c r="AJ475" s="376" t="s">
        <v>178</v>
      </c>
      <c r="AK475" s="376" t="s">
        <v>179</v>
      </c>
      <c r="AL475" s="376" t="s">
        <v>180</v>
      </c>
      <c r="AM475" s="376" t="s">
        <v>181</v>
      </c>
      <c r="AN475" s="376" t="s">
        <v>68</v>
      </c>
      <c r="AO475" s="379">
        <v>80</v>
      </c>
      <c r="AP475" s="460">
        <v>1</v>
      </c>
      <c r="AQ475" s="460">
        <v>0</v>
      </c>
      <c r="AR475" s="458" t="s">
        <v>182</v>
      </c>
      <c r="AS475" s="462">
        <f t="shared" si="119"/>
        <v>0</v>
      </c>
      <c r="AT475">
        <f t="shared" si="120"/>
        <v>0</v>
      </c>
      <c r="AU475" s="462" t="str">
        <f>IF(AT475=0,"",IF(AND(AT475=1,M475="F",SUMIF(C2:C698,C475,AS2:AS698)&lt;=1),SUMIF(C2:C698,C475,AS2:AS698),IF(AND(AT475=1,M475="F",SUMIF(C2:C698,C475,AS2:AS698)&gt;1),1,"")))</f>
        <v/>
      </c>
      <c r="AV475" s="462" t="str">
        <f>IF(AT475=0,"",IF(AND(AT475=3,M475="F",SUMIF(C2:C698,C475,AS2:AS698)&lt;=1),SUMIF(C2:C698,C475,AS2:AS698),IF(AND(AT475=3,M475="F",SUMIF(C2:C698,C475,AS2:AS698)&gt;1),1,"")))</f>
        <v/>
      </c>
      <c r="AW475" s="462">
        <f>SUMIF(C2:C698,C475,O2:O698)</f>
        <v>7</v>
      </c>
      <c r="AX475" s="462">
        <f>IF(AND(M475="F",AS475&lt;&gt;0),SUMIF(C2:C698,C475,W2:W698),0)</f>
        <v>0</v>
      </c>
      <c r="AY475" s="462" t="str">
        <f t="shared" si="121"/>
        <v/>
      </c>
      <c r="AZ475" s="462" t="str">
        <f t="shared" si="122"/>
        <v/>
      </c>
      <c r="BA475" s="462">
        <f t="shared" si="123"/>
        <v>0</v>
      </c>
      <c r="BB475" s="462">
        <f>IF(AND(AT475=1,AK475="E",AU475&gt;=0.75,AW475=1),Health,IF(AND(AT475=1,AK475="E",AU475&gt;=0.75),Health*P475,IF(AND(AT475=1,AK475="E",AU475&gt;=0.5,AW475=1),PTHealth,IF(AND(AT475=1,AK475="E",AU475&gt;=0.5),PTHealth*P475,0))))</f>
        <v>0</v>
      </c>
      <c r="BC475" s="462">
        <f>IF(AND(AT475=3,AK475="E",AV475&gt;=0.75,AW475=1),Health,IF(AND(AT475=3,AK475="E",AV475&gt;=0.75),Health*P475,IF(AND(AT475=3,AK475="E",AV475&gt;=0.5,AW475=1),PTHealth,IF(AND(AT475=3,AK475="E",AV475&gt;=0.5),PTHealth*P475,0))))</f>
        <v>0</v>
      </c>
      <c r="BD475" s="462">
        <f>IF(AND(AT475&lt;&gt;0,AX475&gt;=MAXSSDI),SSDI*MAXSSDI*P475,IF(AT475&lt;&gt;0,SSDI*W475,0))</f>
        <v>0</v>
      </c>
      <c r="BE475" s="462">
        <f>IF(AT475&lt;&gt;0,SSHI*W475,0)</f>
        <v>0</v>
      </c>
      <c r="BF475" s="462">
        <f>IF(AND(AT475&lt;&gt;0,AN475&lt;&gt;"NE"),VLOOKUP(AN475,Retirement_Rates,3,FALSE)*W475,0)</f>
        <v>0</v>
      </c>
      <c r="BG475" s="462">
        <f>IF(AND(AT475&lt;&gt;0,AJ475&lt;&gt;"PF"),Life*W475,0)</f>
        <v>0</v>
      </c>
      <c r="BH475" s="462">
        <f>IF(AND(AT475&lt;&gt;0,AM475="Y"),UI*W475,0)</f>
        <v>0</v>
      </c>
      <c r="BI475" s="462">
        <f>IF(AND(AT475&lt;&gt;0,N475&lt;&gt;"NR"),DHR*W475,0)</f>
        <v>0</v>
      </c>
      <c r="BJ475" s="462">
        <f>IF(AT475&lt;&gt;0,WC*W475,0)</f>
        <v>0</v>
      </c>
      <c r="BK475" s="462">
        <f>IF(OR(AND(AT475&lt;&gt;0,AJ475&lt;&gt;"PF",AN475&lt;&gt;"NE",AG475&lt;&gt;"A"),AND(AL475="E",OR(AT475=1,AT475=3))),Sick*W475,0)</f>
        <v>0</v>
      </c>
      <c r="BL475" s="462">
        <f t="shared" si="124"/>
        <v>0</v>
      </c>
      <c r="BM475" s="462">
        <f t="shared" si="125"/>
        <v>0</v>
      </c>
      <c r="BN475" s="462">
        <f>IF(AND(AT475=1,AK475="E",AU475&gt;=0.75,AW475=1),HealthBY,IF(AND(AT475=1,AK475="E",AU475&gt;=0.75),HealthBY*P475,IF(AND(AT475=1,AK475="E",AU475&gt;=0.5,AW475=1),PTHealthBY,IF(AND(AT475=1,AK475="E",AU475&gt;=0.5),PTHealthBY*P475,0))))</f>
        <v>0</v>
      </c>
      <c r="BO475" s="462">
        <f>IF(AND(AT475=3,AK475="E",AV475&gt;=0.75,AW475=1),HealthBY,IF(AND(AT475=3,AK475="E",AV475&gt;=0.75),HealthBY*P475,IF(AND(AT475=3,AK475="E",AV475&gt;=0.5,AW475=1),PTHealthBY,IF(AND(AT475=3,AK475="E",AV475&gt;=0.5),PTHealthBY*P475,0))))</f>
        <v>0</v>
      </c>
      <c r="BP475" s="462">
        <f>IF(AND(AT475&lt;&gt;0,(AX475+BA475)&gt;=MAXSSDIBY),SSDIBY*MAXSSDIBY*P475,IF(AT475&lt;&gt;0,SSDIBY*W475,0))</f>
        <v>0</v>
      </c>
      <c r="BQ475" s="462">
        <f>IF(AT475&lt;&gt;0,SSHIBY*W475,0)</f>
        <v>0</v>
      </c>
      <c r="BR475" s="462">
        <f>IF(AND(AT475&lt;&gt;0,AN475&lt;&gt;"NE"),VLOOKUP(AN475,Retirement_Rates,4,FALSE)*W475,0)</f>
        <v>0</v>
      </c>
      <c r="BS475" s="462">
        <f>IF(AND(AT475&lt;&gt;0,AJ475&lt;&gt;"PF"),LifeBY*W475,0)</f>
        <v>0</v>
      </c>
      <c r="BT475" s="462">
        <f>IF(AND(AT475&lt;&gt;0,AM475="Y"),UIBY*W475,0)</f>
        <v>0</v>
      </c>
      <c r="BU475" s="462">
        <f>IF(AND(AT475&lt;&gt;0,N475&lt;&gt;"NR"),DHRBY*W475,0)</f>
        <v>0</v>
      </c>
      <c r="BV475" s="462">
        <f>IF(AT475&lt;&gt;0,WCBY*W475,0)</f>
        <v>0</v>
      </c>
      <c r="BW475" s="462">
        <f>IF(OR(AND(AT475&lt;&gt;0,AJ475&lt;&gt;"PF",AN475&lt;&gt;"NE",AG475&lt;&gt;"A"),AND(AL475="E",OR(AT475=1,AT475=3))),SickBY*W475,0)</f>
        <v>0</v>
      </c>
      <c r="BX475" s="462">
        <f t="shared" si="126"/>
        <v>0</v>
      </c>
      <c r="BY475" s="462">
        <f t="shared" si="127"/>
        <v>0</v>
      </c>
      <c r="BZ475" s="462">
        <f t="shared" si="128"/>
        <v>0</v>
      </c>
      <c r="CA475" s="462">
        <f t="shared" si="129"/>
        <v>0</v>
      </c>
      <c r="CB475" s="462">
        <f t="shared" si="130"/>
        <v>0</v>
      </c>
      <c r="CC475" s="462">
        <f>IF(AT475&lt;&gt;0,SSHICHG*Y475,0)</f>
        <v>0</v>
      </c>
      <c r="CD475" s="462">
        <f>IF(AND(AT475&lt;&gt;0,AN475&lt;&gt;"NE"),VLOOKUP(AN475,Retirement_Rates,5,FALSE)*Y475,0)</f>
        <v>0</v>
      </c>
      <c r="CE475" s="462">
        <f>IF(AND(AT475&lt;&gt;0,AJ475&lt;&gt;"PF"),LifeCHG*Y475,0)</f>
        <v>0</v>
      </c>
      <c r="CF475" s="462">
        <f>IF(AND(AT475&lt;&gt;0,AM475="Y"),UICHG*Y475,0)</f>
        <v>0</v>
      </c>
      <c r="CG475" s="462">
        <f>IF(AND(AT475&lt;&gt;0,N475&lt;&gt;"NR"),DHRCHG*Y475,0)</f>
        <v>0</v>
      </c>
      <c r="CH475" s="462">
        <f>IF(AT475&lt;&gt;0,WCCHG*Y475,0)</f>
        <v>0</v>
      </c>
      <c r="CI475" s="462">
        <f>IF(OR(AND(AT475&lt;&gt;0,AJ475&lt;&gt;"PF",AN475&lt;&gt;"NE",AG475&lt;&gt;"A"),AND(AL475="E",OR(AT475=1,AT475=3))),SickCHG*Y475,0)</f>
        <v>0</v>
      </c>
      <c r="CJ475" s="462">
        <f t="shared" si="131"/>
        <v>0</v>
      </c>
      <c r="CK475" s="462" t="str">
        <f t="shared" si="132"/>
        <v/>
      </c>
      <c r="CL475" s="462" t="str">
        <f t="shared" si="133"/>
        <v/>
      </c>
      <c r="CM475" s="462" t="str">
        <f t="shared" si="134"/>
        <v/>
      </c>
      <c r="CN475" s="462" t="str">
        <f t="shared" si="135"/>
        <v>0331-00</v>
      </c>
    </row>
    <row r="476" spans="1:92" ht="15" thickBot="1" x14ac:dyDescent="0.35">
      <c r="A476" s="376" t="s">
        <v>161</v>
      </c>
      <c r="B476" s="376" t="s">
        <v>162</v>
      </c>
      <c r="C476" s="376" t="s">
        <v>775</v>
      </c>
      <c r="D476" s="376" t="s">
        <v>776</v>
      </c>
      <c r="E476" s="376" t="s">
        <v>1135</v>
      </c>
      <c r="F476" s="377" t="s">
        <v>166</v>
      </c>
      <c r="G476" s="376" t="s">
        <v>1136</v>
      </c>
      <c r="H476" s="378"/>
      <c r="I476" s="378"/>
      <c r="J476" s="376" t="s">
        <v>185</v>
      </c>
      <c r="K476" s="376" t="s">
        <v>777</v>
      </c>
      <c r="L476" s="376" t="s">
        <v>247</v>
      </c>
      <c r="M476" s="376" t="s">
        <v>170</v>
      </c>
      <c r="N476" s="376" t="s">
        <v>202</v>
      </c>
      <c r="O476" s="379">
        <v>1</v>
      </c>
      <c r="P476" s="460">
        <v>0</v>
      </c>
      <c r="Q476" s="460">
        <v>0</v>
      </c>
      <c r="R476" s="380">
        <v>80</v>
      </c>
      <c r="S476" s="460">
        <v>0</v>
      </c>
      <c r="T476" s="380">
        <v>1301.29</v>
      </c>
      <c r="U476" s="380">
        <v>0</v>
      </c>
      <c r="V476" s="380">
        <v>520.41999999999996</v>
      </c>
      <c r="W476" s="380">
        <v>0</v>
      </c>
      <c r="X476" s="380">
        <v>0</v>
      </c>
      <c r="Y476" s="380">
        <v>0</v>
      </c>
      <c r="Z476" s="380">
        <v>0</v>
      </c>
      <c r="AA476" s="376" t="s">
        <v>778</v>
      </c>
      <c r="AB476" s="376" t="s">
        <v>779</v>
      </c>
      <c r="AC476" s="376" t="s">
        <v>780</v>
      </c>
      <c r="AD476" s="376" t="s">
        <v>215</v>
      </c>
      <c r="AE476" s="376" t="s">
        <v>777</v>
      </c>
      <c r="AF476" s="376" t="s">
        <v>299</v>
      </c>
      <c r="AG476" s="376" t="s">
        <v>177</v>
      </c>
      <c r="AH476" s="381">
        <v>31.29</v>
      </c>
      <c r="AI476" s="379">
        <v>3512</v>
      </c>
      <c r="AJ476" s="376" t="s">
        <v>178</v>
      </c>
      <c r="AK476" s="376" t="s">
        <v>179</v>
      </c>
      <c r="AL476" s="376" t="s">
        <v>180</v>
      </c>
      <c r="AM476" s="376" t="s">
        <v>181</v>
      </c>
      <c r="AN476" s="376" t="s">
        <v>68</v>
      </c>
      <c r="AO476" s="379">
        <v>80</v>
      </c>
      <c r="AP476" s="460">
        <v>1</v>
      </c>
      <c r="AQ476" s="460">
        <v>0</v>
      </c>
      <c r="AR476" s="458" t="s">
        <v>182</v>
      </c>
      <c r="AS476" s="462">
        <f t="shared" si="119"/>
        <v>0</v>
      </c>
      <c r="AT476">
        <f t="shared" si="120"/>
        <v>0</v>
      </c>
      <c r="AU476" s="462" t="str">
        <f>IF(AT476=0,"",IF(AND(AT476=1,M476="F",SUMIF(C2:C698,C476,AS2:AS698)&lt;=1),SUMIF(C2:C698,C476,AS2:AS698),IF(AND(AT476=1,M476="F",SUMIF(C2:C698,C476,AS2:AS698)&gt;1),1,"")))</f>
        <v/>
      </c>
      <c r="AV476" s="462" t="str">
        <f>IF(AT476=0,"",IF(AND(AT476=3,M476="F",SUMIF(C2:C698,C476,AS2:AS698)&lt;=1),SUMIF(C2:C698,C476,AS2:AS698),IF(AND(AT476=3,M476="F",SUMIF(C2:C698,C476,AS2:AS698)&gt;1),1,"")))</f>
        <v/>
      </c>
      <c r="AW476" s="462">
        <f>SUMIF(C2:C698,C476,O2:O698)</f>
        <v>3</v>
      </c>
      <c r="AX476" s="462">
        <f>IF(AND(M476="F",AS476&lt;&gt;0),SUMIF(C2:C698,C476,W2:W698),0)</f>
        <v>0</v>
      </c>
      <c r="AY476" s="462" t="str">
        <f t="shared" si="121"/>
        <v/>
      </c>
      <c r="AZ476" s="462" t="str">
        <f t="shared" si="122"/>
        <v/>
      </c>
      <c r="BA476" s="462">
        <f t="shared" si="123"/>
        <v>0</v>
      </c>
      <c r="BB476" s="462">
        <f>IF(AND(AT476=1,AK476="E",AU476&gt;=0.75,AW476=1),Health,IF(AND(AT476=1,AK476="E",AU476&gt;=0.75),Health*P476,IF(AND(AT476=1,AK476="E",AU476&gt;=0.5,AW476=1),PTHealth,IF(AND(AT476=1,AK476="E",AU476&gt;=0.5),PTHealth*P476,0))))</f>
        <v>0</v>
      </c>
      <c r="BC476" s="462">
        <f>IF(AND(AT476=3,AK476="E",AV476&gt;=0.75,AW476=1),Health,IF(AND(AT476=3,AK476="E",AV476&gt;=0.75),Health*P476,IF(AND(AT476=3,AK476="E",AV476&gt;=0.5,AW476=1),PTHealth,IF(AND(AT476=3,AK476="E",AV476&gt;=0.5),PTHealth*P476,0))))</f>
        <v>0</v>
      </c>
      <c r="BD476" s="462">
        <f>IF(AND(AT476&lt;&gt;0,AX476&gt;=MAXSSDI),SSDI*MAXSSDI*P476,IF(AT476&lt;&gt;0,SSDI*W476,0))</f>
        <v>0</v>
      </c>
      <c r="BE476" s="462">
        <f>IF(AT476&lt;&gt;0,SSHI*W476,0)</f>
        <v>0</v>
      </c>
      <c r="BF476" s="462">
        <f>IF(AND(AT476&lt;&gt;0,AN476&lt;&gt;"NE"),VLOOKUP(AN476,Retirement_Rates,3,FALSE)*W476,0)</f>
        <v>0</v>
      </c>
      <c r="BG476" s="462">
        <f>IF(AND(AT476&lt;&gt;0,AJ476&lt;&gt;"PF"),Life*W476,0)</f>
        <v>0</v>
      </c>
      <c r="BH476" s="462">
        <f>IF(AND(AT476&lt;&gt;0,AM476="Y"),UI*W476,0)</f>
        <v>0</v>
      </c>
      <c r="BI476" s="462">
        <f>IF(AND(AT476&lt;&gt;0,N476&lt;&gt;"NR"),DHR*W476,0)</f>
        <v>0</v>
      </c>
      <c r="BJ476" s="462">
        <f>IF(AT476&lt;&gt;0,WC*W476,0)</f>
        <v>0</v>
      </c>
      <c r="BK476" s="462">
        <f>IF(OR(AND(AT476&lt;&gt;0,AJ476&lt;&gt;"PF",AN476&lt;&gt;"NE",AG476&lt;&gt;"A"),AND(AL476="E",OR(AT476=1,AT476=3))),Sick*W476,0)</f>
        <v>0</v>
      </c>
      <c r="BL476" s="462">
        <f t="shared" si="124"/>
        <v>0</v>
      </c>
      <c r="BM476" s="462">
        <f t="shared" si="125"/>
        <v>0</v>
      </c>
      <c r="BN476" s="462">
        <f>IF(AND(AT476=1,AK476="E",AU476&gt;=0.75,AW476=1),HealthBY,IF(AND(AT476=1,AK476="E",AU476&gt;=0.75),HealthBY*P476,IF(AND(AT476=1,AK476="E",AU476&gt;=0.5,AW476=1),PTHealthBY,IF(AND(AT476=1,AK476="E",AU476&gt;=0.5),PTHealthBY*P476,0))))</f>
        <v>0</v>
      </c>
      <c r="BO476" s="462">
        <f>IF(AND(AT476=3,AK476="E",AV476&gt;=0.75,AW476=1),HealthBY,IF(AND(AT476=3,AK476="E",AV476&gt;=0.75),HealthBY*P476,IF(AND(AT476=3,AK476="E",AV476&gt;=0.5,AW476=1),PTHealthBY,IF(AND(AT476=3,AK476="E",AV476&gt;=0.5),PTHealthBY*P476,0))))</f>
        <v>0</v>
      </c>
      <c r="BP476" s="462">
        <f>IF(AND(AT476&lt;&gt;0,(AX476+BA476)&gt;=MAXSSDIBY),SSDIBY*MAXSSDIBY*P476,IF(AT476&lt;&gt;0,SSDIBY*W476,0))</f>
        <v>0</v>
      </c>
      <c r="BQ476" s="462">
        <f>IF(AT476&lt;&gt;0,SSHIBY*W476,0)</f>
        <v>0</v>
      </c>
      <c r="BR476" s="462">
        <f>IF(AND(AT476&lt;&gt;0,AN476&lt;&gt;"NE"),VLOOKUP(AN476,Retirement_Rates,4,FALSE)*W476,0)</f>
        <v>0</v>
      </c>
      <c r="BS476" s="462">
        <f>IF(AND(AT476&lt;&gt;0,AJ476&lt;&gt;"PF"),LifeBY*W476,0)</f>
        <v>0</v>
      </c>
      <c r="BT476" s="462">
        <f>IF(AND(AT476&lt;&gt;0,AM476="Y"),UIBY*W476,0)</f>
        <v>0</v>
      </c>
      <c r="BU476" s="462">
        <f>IF(AND(AT476&lt;&gt;0,N476&lt;&gt;"NR"),DHRBY*W476,0)</f>
        <v>0</v>
      </c>
      <c r="BV476" s="462">
        <f>IF(AT476&lt;&gt;0,WCBY*W476,0)</f>
        <v>0</v>
      </c>
      <c r="BW476" s="462">
        <f>IF(OR(AND(AT476&lt;&gt;0,AJ476&lt;&gt;"PF",AN476&lt;&gt;"NE",AG476&lt;&gt;"A"),AND(AL476="E",OR(AT476=1,AT476=3))),SickBY*W476,0)</f>
        <v>0</v>
      </c>
      <c r="BX476" s="462">
        <f t="shared" si="126"/>
        <v>0</v>
      </c>
      <c r="BY476" s="462">
        <f t="shared" si="127"/>
        <v>0</v>
      </c>
      <c r="BZ476" s="462">
        <f t="shared" si="128"/>
        <v>0</v>
      </c>
      <c r="CA476" s="462">
        <f t="shared" si="129"/>
        <v>0</v>
      </c>
      <c r="CB476" s="462">
        <f t="shared" si="130"/>
        <v>0</v>
      </c>
      <c r="CC476" s="462">
        <f>IF(AT476&lt;&gt;0,SSHICHG*Y476,0)</f>
        <v>0</v>
      </c>
      <c r="CD476" s="462">
        <f>IF(AND(AT476&lt;&gt;0,AN476&lt;&gt;"NE"),VLOOKUP(AN476,Retirement_Rates,5,FALSE)*Y476,0)</f>
        <v>0</v>
      </c>
      <c r="CE476" s="462">
        <f>IF(AND(AT476&lt;&gt;0,AJ476&lt;&gt;"PF"),LifeCHG*Y476,0)</f>
        <v>0</v>
      </c>
      <c r="CF476" s="462">
        <f>IF(AND(AT476&lt;&gt;0,AM476="Y"),UICHG*Y476,0)</f>
        <v>0</v>
      </c>
      <c r="CG476" s="462">
        <f>IF(AND(AT476&lt;&gt;0,N476&lt;&gt;"NR"),DHRCHG*Y476,0)</f>
        <v>0</v>
      </c>
      <c r="CH476" s="462">
        <f>IF(AT476&lt;&gt;0,WCCHG*Y476,0)</f>
        <v>0</v>
      </c>
      <c r="CI476" s="462">
        <f>IF(OR(AND(AT476&lt;&gt;0,AJ476&lt;&gt;"PF",AN476&lt;&gt;"NE",AG476&lt;&gt;"A"),AND(AL476="E",OR(AT476=1,AT476=3))),SickCHG*Y476,0)</f>
        <v>0</v>
      </c>
      <c r="CJ476" s="462">
        <f t="shared" si="131"/>
        <v>0</v>
      </c>
      <c r="CK476" s="462" t="str">
        <f t="shared" si="132"/>
        <v/>
      </c>
      <c r="CL476" s="462" t="str">
        <f t="shared" si="133"/>
        <v/>
      </c>
      <c r="CM476" s="462" t="str">
        <f t="shared" si="134"/>
        <v/>
      </c>
      <c r="CN476" s="462" t="str">
        <f t="shared" si="135"/>
        <v>0331-00</v>
      </c>
    </row>
    <row r="477" spans="1:92" ht="15" thickBot="1" x14ac:dyDescent="0.35">
      <c r="A477" s="376" t="s">
        <v>161</v>
      </c>
      <c r="B477" s="376" t="s">
        <v>162</v>
      </c>
      <c r="C477" s="376" t="s">
        <v>781</v>
      </c>
      <c r="D477" s="376" t="s">
        <v>362</v>
      </c>
      <c r="E477" s="376" t="s">
        <v>1135</v>
      </c>
      <c r="F477" s="377" t="s">
        <v>166</v>
      </c>
      <c r="G477" s="376" t="s">
        <v>1136</v>
      </c>
      <c r="H477" s="378"/>
      <c r="I477" s="378"/>
      <c r="J477" s="376" t="s">
        <v>782</v>
      </c>
      <c r="K477" s="376" t="s">
        <v>363</v>
      </c>
      <c r="L477" s="376" t="s">
        <v>200</v>
      </c>
      <c r="M477" s="376" t="s">
        <v>170</v>
      </c>
      <c r="N477" s="376" t="s">
        <v>202</v>
      </c>
      <c r="O477" s="379">
        <v>1</v>
      </c>
      <c r="P477" s="460">
        <v>0</v>
      </c>
      <c r="Q477" s="460">
        <v>0</v>
      </c>
      <c r="R477" s="380">
        <v>80</v>
      </c>
      <c r="S477" s="460">
        <v>0</v>
      </c>
      <c r="T477" s="380">
        <v>5865.75</v>
      </c>
      <c r="U477" s="380">
        <v>0</v>
      </c>
      <c r="V477" s="380">
        <v>2934.8</v>
      </c>
      <c r="W477" s="380">
        <v>0</v>
      </c>
      <c r="X477" s="380">
        <v>0</v>
      </c>
      <c r="Y477" s="380">
        <v>0</v>
      </c>
      <c r="Z477" s="380">
        <v>0</v>
      </c>
      <c r="AA477" s="376" t="s">
        <v>783</v>
      </c>
      <c r="AB477" s="376" t="s">
        <v>784</v>
      </c>
      <c r="AC477" s="376" t="s">
        <v>690</v>
      </c>
      <c r="AD477" s="376" t="s">
        <v>215</v>
      </c>
      <c r="AE477" s="376" t="s">
        <v>363</v>
      </c>
      <c r="AF477" s="376" t="s">
        <v>210</v>
      </c>
      <c r="AG477" s="376" t="s">
        <v>177</v>
      </c>
      <c r="AH477" s="381">
        <v>22.5</v>
      </c>
      <c r="AI477" s="379">
        <v>3768</v>
      </c>
      <c r="AJ477" s="376" t="s">
        <v>178</v>
      </c>
      <c r="AK477" s="376" t="s">
        <v>179</v>
      </c>
      <c r="AL477" s="376" t="s">
        <v>180</v>
      </c>
      <c r="AM477" s="376" t="s">
        <v>181</v>
      </c>
      <c r="AN477" s="376" t="s">
        <v>68</v>
      </c>
      <c r="AO477" s="379">
        <v>80</v>
      </c>
      <c r="AP477" s="460">
        <v>1</v>
      </c>
      <c r="AQ477" s="460">
        <v>0</v>
      </c>
      <c r="AR477" s="458" t="s">
        <v>182</v>
      </c>
      <c r="AS477" s="462">
        <f t="shared" si="119"/>
        <v>0</v>
      </c>
      <c r="AT477">
        <f t="shared" si="120"/>
        <v>0</v>
      </c>
      <c r="AU477" s="462" t="str">
        <f>IF(AT477=0,"",IF(AND(AT477=1,M477="F",SUMIF(C2:C698,C477,AS2:AS698)&lt;=1),SUMIF(C2:C698,C477,AS2:AS698),IF(AND(AT477=1,M477="F",SUMIF(C2:C698,C477,AS2:AS698)&gt;1),1,"")))</f>
        <v/>
      </c>
      <c r="AV477" s="462" t="str">
        <f>IF(AT477=0,"",IF(AND(AT477=3,M477="F",SUMIF(C2:C698,C477,AS2:AS698)&lt;=1),SUMIF(C2:C698,C477,AS2:AS698),IF(AND(AT477=3,M477="F",SUMIF(C2:C698,C477,AS2:AS698)&gt;1),1,"")))</f>
        <v/>
      </c>
      <c r="AW477" s="462">
        <f>SUMIF(C2:C698,C477,O2:O698)</f>
        <v>7</v>
      </c>
      <c r="AX477" s="462">
        <f>IF(AND(M477="F",AS477&lt;&gt;0),SUMIF(C2:C698,C477,W2:W698),0)</f>
        <v>0</v>
      </c>
      <c r="AY477" s="462" t="str">
        <f t="shared" si="121"/>
        <v/>
      </c>
      <c r="AZ477" s="462" t="str">
        <f t="shared" si="122"/>
        <v/>
      </c>
      <c r="BA477" s="462">
        <f t="shared" si="123"/>
        <v>0</v>
      </c>
      <c r="BB477" s="462">
        <f>IF(AND(AT477=1,AK477="E",AU477&gt;=0.75,AW477=1),Health,IF(AND(AT477=1,AK477="E",AU477&gt;=0.75),Health*P477,IF(AND(AT477=1,AK477="E",AU477&gt;=0.5,AW477=1),PTHealth,IF(AND(AT477=1,AK477="E",AU477&gt;=0.5),PTHealth*P477,0))))</f>
        <v>0</v>
      </c>
      <c r="BC477" s="462">
        <f>IF(AND(AT477=3,AK477="E",AV477&gt;=0.75,AW477=1),Health,IF(AND(AT477=3,AK477="E",AV477&gt;=0.75),Health*P477,IF(AND(AT477=3,AK477="E",AV477&gt;=0.5,AW477=1),PTHealth,IF(AND(AT477=3,AK477="E",AV477&gt;=0.5),PTHealth*P477,0))))</f>
        <v>0</v>
      </c>
      <c r="BD477" s="462">
        <f>IF(AND(AT477&lt;&gt;0,AX477&gt;=MAXSSDI),SSDI*MAXSSDI*P477,IF(AT477&lt;&gt;0,SSDI*W477,0))</f>
        <v>0</v>
      </c>
      <c r="BE477" s="462">
        <f>IF(AT477&lt;&gt;0,SSHI*W477,0)</f>
        <v>0</v>
      </c>
      <c r="BF477" s="462">
        <f>IF(AND(AT477&lt;&gt;0,AN477&lt;&gt;"NE"),VLOOKUP(AN477,Retirement_Rates,3,FALSE)*W477,0)</f>
        <v>0</v>
      </c>
      <c r="BG477" s="462">
        <f>IF(AND(AT477&lt;&gt;0,AJ477&lt;&gt;"PF"),Life*W477,0)</f>
        <v>0</v>
      </c>
      <c r="BH477" s="462">
        <f>IF(AND(AT477&lt;&gt;0,AM477="Y"),UI*W477,0)</f>
        <v>0</v>
      </c>
      <c r="BI477" s="462">
        <f>IF(AND(AT477&lt;&gt;0,N477&lt;&gt;"NR"),DHR*W477,0)</f>
        <v>0</v>
      </c>
      <c r="BJ477" s="462">
        <f>IF(AT477&lt;&gt;0,WC*W477,0)</f>
        <v>0</v>
      </c>
      <c r="BK477" s="462">
        <f>IF(OR(AND(AT477&lt;&gt;0,AJ477&lt;&gt;"PF",AN477&lt;&gt;"NE",AG477&lt;&gt;"A"),AND(AL477="E",OR(AT477=1,AT477=3))),Sick*W477,0)</f>
        <v>0</v>
      </c>
      <c r="BL477" s="462">
        <f t="shared" si="124"/>
        <v>0</v>
      </c>
      <c r="BM477" s="462">
        <f t="shared" si="125"/>
        <v>0</v>
      </c>
      <c r="BN477" s="462">
        <f>IF(AND(AT477=1,AK477="E",AU477&gt;=0.75,AW477=1),HealthBY,IF(AND(AT477=1,AK477="E",AU477&gt;=0.75),HealthBY*P477,IF(AND(AT477=1,AK477="E",AU477&gt;=0.5,AW477=1),PTHealthBY,IF(AND(AT477=1,AK477="E",AU477&gt;=0.5),PTHealthBY*P477,0))))</f>
        <v>0</v>
      </c>
      <c r="BO477" s="462">
        <f>IF(AND(AT477=3,AK477="E",AV477&gt;=0.75,AW477=1),HealthBY,IF(AND(AT477=3,AK477="E",AV477&gt;=0.75),HealthBY*P477,IF(AND(AT477=3,AK477="E",AV477&gt;=0.5,AW477=1),PTHealthBY,IF(AND(AT477=3,AK477="E",AV477&gt;=0.5),PTHealthBY*P477,0))))</f>
        <v>0</v>
      </c>
      <c r="BP477" s="462">
        <f>IF(AND(AT477&lt;&gt;0,(AX477+BA477)&gt;=MAXSSDIBY),SSDIBY*MAXSSDIBY*P477,IF(AT477&lt;&gt;0,SSDIBY*W477,0))</f>
        <v>0</v>
      </c>
      <c r="BQ477" s="462">
        <f>IF(AT477&lt;&gt;0,SSHIBY*W477,0)</f>
        <v>0</v>
      </c>
      <c r="BR477" s="462">
        <f>IF(AND(AT477&lt;&gt;0,AN477&lt;&gt;"NE"),VLOOKUP(AN477,Retirement_Rates,4,FALSE)*W477,0)</f>
        <v>0</v>
      </c>
      <c r="BS477" s="462">
        <f>IF(AND(AT477&lt;&gt;0,AJ477&lt;&gt;"PF"),LifeBY*W477,0)</f>
        <v>0</v>
      </c>
      <c r="BT477" s="462">
        <f>IF(AND(AT477&lt;&gt;0,AM477="Y"),UIBY*W477,0)</f>
        <v>0</v>
      </c>
      <c r="BU477" s="462">
        <f>IF(AND(AT477&lt;&gt;0,N477&lt;&gt;"NR"),DHRBY*W477,0)</f>
        <v>0</v>
      </c>
      <c r="BV477" s="462">
        <f>IF(AT477&lt;&gt;0,WCBY*W477,0)</f>
        <v>0</v>
      </c>
      <c r="BW477" s="462">
        <f>IF(OR(AND(AT477&lt;&gt;0,AJ477&lt;&gt;"PF",AN477&lt;&gt;"NE",AG477&lt;&gt;"A"),AND(AL477="E",OR(AT477=1,AT477=3))),SickBY*W477,0)</f>
        <v>0</v>
      </c>
      <c r="BX477" s="462">
        <f t="shared" si="126"/>
        <v>0</v>
      </c>
      <c r="BY477" s="462">
        <f t="shared" si="127"/>
        <v>0</v>
      </c>
      <c r="BZ477" s="462">
        <f t="shared" si="128"/>
        <v>0</v>
      </c>
      <c r="CA477" s="462">
        <f t="shared" si="129"/>
        <v>0</v>
      </c>
      <c r="CB477" s="462">
        <f t="shared" si="130"/>
        <v>0</v>
      </c>
      <c r="CC477" s="462">
        <f>IF(AT477&lt;&gt;0,SSHICHG*Y477,0)</f>
        <v>0</v>
      </c>
      <c r="CD477" s="462">
        <f>IF(AND(AT477&lt;&gt;0,AN477&lt;&gt;"NE"),VLOOKUP(AN477,Retirement_Rates,5,FALSE)*Y477,0)</f>
        <v>0</v>
      </c>
      <c r="CE477" s="462">
        <f>IF(AND(AT477&lt;&gt;0,AJ477&lt;&gt;"PF"),LifeCHG*Y477,0)</f>
        <v>0</v>
      </c>
      <c r="CF477" s="462">
        <f>IF(AND(AT477&lt;&gt;0,AM477="Y"),UICHG*Y477,0)</f>
        <v>0</v>
      </c>
      <c r="CG477" s="462">
        <f>IF(AND(AT477&lt;&gt;0,N477&lt;&gt;"NR"),DHRCHG*Y477,0)</f>
        <v>0</v>
      </c>
      <c r="CH477" s="462">
        <f>IF(AT477&lt;&gt;0,WCCHG*Y477,0)</f>
        <v>0</v>
      </c>
      <c r="CI477" s="462">
        <f>IF(OR(AND(AT477&lt;&gt;0,AJ477&lt;&gt;"PF",AN477&lt;&gt;"NE",AG477&lt;&gt;"A"),AND(AL477="E",OR(AT477=1,AT477=3))),SickCHG*Y477,0)</f>
        <v>0</v>
      </c>
      <c r="CJ477" s="462">
        <f t="shared" si="131"/>
        <v>0</v>
      </c>
      <c r="CK477" s="462" t="str">
        <f t="shared" si="132"/>
        <v/>
      </c>
      <c r="CL477" s="462" t="str">
        <f t="shared" si="133"/>
        <v/>
      </c>
      <c r="CM477" s="462" t="str">
        <f t="shared" si="134"/>
        <v/>
      </c>
      <c r="CN477" s="462" t="str">
        <f t="shared" si="135"/>
        <v>0331-00</v>
      </c>
    </row>
    <row r="478" spans="1:92" ht="15" thickBot="1" x14ac:dyDescent="0.35">
      <c r="A478" s="376" t="s">
        <v>161</v>
      </c>
      <c r="B478" s="376" t="s">
        <v>162</v>
      </c>
      <c r="C478" s="376" t="s">
        <v>874</v>
      </c>
      <c r="D478" s="376" t="s">
        <v>761</v>
      </c>
      <c r="E478" s="376" t="s">
        <v>1135</v>
      </c>
      <c r="F478" s="377" t="s">
        <v>166</v>
      </c>
      <c r="G478" s="376" t="s">
        <v>1136</v>
      </c>
      <c r="H478" s="378"/>
      <c r="I478" s="378"/>
      <c r="J478" s="376" t="s">
        <v>168</v>
      </c>
      <c r="K478" s="376" t="s">
        <v>763</v>
      </c>
      <c r="L478" s="376" t="s">
        <v>166</v>
      </c>
      <c r="M478" s="376" t="s">
        <v>170</v>
      </c>
      <c r="N478" s="376" t="s">
        <v>291</v>
      </c>
      <c r="O478" s="379">
        <v>0</v>
      </c>
      <c r="P478" s="460">
        <v>0</v>
      </c>
      <c r="Q478" s="460">
        <v>0</v>
      </c>
      <c r="R478" s="380">
        <v>0</v>
      </c>
      <c r="S478" s="460">
        <v>0</v>
      </c>
      <c r="T478" s="380">
        <v>6136.35</v>
      </c>
      <c r="U478" s="380">
        <v>0</v>
      </c>
      <c r="V478" s="380">
        <v>3639.73</v>
      </c>
      <c r="W478" s="380">
        <v>0</v>
      </c>
      <c r="X478" s="380">
        <v>0</v>
      </c>
      <c r="Y478" s="380">
        <v>0</v>
      </c>
      <c r="Z478" s="380">
        <v>0</v>
      </c>
      <c r="AA478" s="378"/>
      <c r="AB478" s="376" t="s">
        <v>45</v>
      </c>
      <c r="AC478" s="376" t="s">
        <v>45</v>
      </c>
      <c r="AD478" s="378"/>
      <c r="AE478" s="378"/>
      <c r="AF478" s="378"/>
      <c r="AG478" s="378"/>
      <c r="AH478" s="379">
        <v>0</v>
      </c>
      <c r="AI478" s="379">
        <v>0</v>
      </c>
      <c r="AJ478" s="378"/>
      <c r="AK478" s="378"/>
      <c r="AL478" s="376" t="s">
        <v>180</v>
      </c>
      <c r="AM478" s="378"/>
      <c r="AN478" s="378"/>
      <c r="AO478" s="379">
        <v>0</v>
      </c>
      <c r="AP478" s="460">
        <v>0</v>
      </c>
      <c r="AQ478" s="460">
        <v>0</v>
      </c>
      <c r="AR478" s="459"/>
      <c r="AS478" s="462">
        <f t="shared" si="119"/>
        <v>0</v>
      </c>
      <c r="AT478">
        <f t="shared" si="120"/>
        <v>0</v>
      </c>
      <c r="AU478" s="462" t="str">
        <f>IF(AT478=0,"",IF(AND(AT478=1,M478="F",SUMIF(C2:C698,C478,AS2:AS698)&lt;=1),SUMIF(C2:C698,C478,AS2:AS698),IF(AND(AT478=1,M478="F",SUMIF(C2:C698,C478,AS2:AS698)&gt;1),1,"")))</f>
        <v/>
      </c>
      <c r="AV478" s="462" t="str">
        <f>IF(AT478=0,"",IF(AND(AT478=3,M478="F",SUMIF(C2:C698,C478,AS2:AS698)&lt;=1),SUMIF(C2:C698,C478,AS2:AS698),IF(AND(AT478=3,M478="F",SUMIF(C2:C698,C478,AS2:AS698)&gt;1),1,"")))</f>
        <v/>
      </c>
      <c r="AW478" s="462">
        <f>SUMIF(C2:C698,C478,O2:O698)</f>
        <v>0</v>
      </c>
      <c r="AX478" s="462">
        <f>IF(AND(M478="F",AS478&lt;&gt;0),SUMIF(C2:C698,C478,W2:W698),0)</f>
        <v>0</v>
      </c>
      <c r="AY478" s="462" t="str">
        <f t="shared" si="121"/>
        <v/>
      </c>
      <c r="AZ478" s="462" t="str">
        <f t="shared" si="122"/>
        <v/>
      </c>
      <c r="BA478" s="462">
        <f t="shared" si="123"/>
        <v>0</v>
      </c>
      <c r="BB478" s="462">
        <f>IF(AND(AT478=1,AK478="E",AU478&gt;=0.75,AW478=1),Health,IF(AND(AT478=1,AK478="E",AU478&gt;=0.75),Health*P478,IF(AND(AT478=1,AK478="E",AU478&gt;=0.5,AW478=1),PTHealth,IF(AND(AT478=1,AK478="E",AU478&gt;=0.5),PTHealth*P478,0))))</f>
        <v>0</v>
      </c>
      <c r="BC478" s="462">
        <f>IF(AND(AT478=3,AK478="E",AV478&gt;=0.75,AW478=1),Health,IF(AND(AT478=3,AK478="E",AV478&gt;=0.75),Health*P478,IF(AND(AT478=3,AK478="E",AV478&gt;=0.5,AW478=1),PTHealth,IF(AND(AT478=3,AK478="E",AV478&gt;=0.5),PTHealth*P478,0))))</f>
        <v>0</v>
      </c>
      <c r="BD478" s="462">
        <f>IF(AND(AT478&lt;&gt;0,AX478&gt;=MAXSSDI),SSDI*MAXSSDI*P478,IF(AT478&lt;&gt;0,SSDI*W478,0))</f>
        <v>0</v>
      </c>
      <c r="BE478" s="462">
        <f>IF(AT478&lt;&gt;0,SSHI*W478,0)</f>
        <v>0</v>
      </c>
      <c r="BF478" s="462">
        <f>IF(AND(AT478&lt;&gt;0,AN478&lt;&gt;"NE"),VLOOKUP(AN478,Retirement_Rates,3,FALSE)*W478,0)</f>
        <v>0</v>
      </c>
      <c r="BG478" s="462">
        <f>IF(AND(AT478&lt;&gt;0,AJ478&lt;&gt;"PF"),Life*W478,0)</f>
        <v>0</v>
      </c>
      <c r="BH478" s="462">
        <f>IF(AND(AT478&lt;&gt;0,AM478="Y"),UI*W478,0)</f>
        <v>0</v>
      </c>
      <c r="BI478" s="462">
        <f>IF(AND(AT478&lt;&gt;0,N478&lt;&gt;"NR"),DHR*W478,0)</f>
        <v>0</v>
      </c>
      <c r="BJ478" s="462">
        <f>IF(AT478&lt;&gt;0,WC*W478,0)</f>
        <v>0</v>
      </c>
      <c r="BK478" s="462">
        <f>IF(OR(AND(AT478&lt;&gt;0,AJ478&lt;&gt;"PF",AN478&lt;&gt;"NE",AG478&lt;&gt;"A"),AND(AL478="E",OR(AT478=1,AT478=3))),Sick*W478,0)</f>
        <v>0</v>
      </c>
      <c r="BL478" s="462">
        <f t="shared" si="124"/>
        <v>0</v>
      </c>
      <c r="BM478" s="462">
        <f t="shared" si="125"/>
        <v>0</v>
      </c>
      <c r="BN478" s="462">
        <f>IF(AND(AT478=1,AK478="E",AU478&gt;=0.75,AW478=1),HealthBY,IF(AND(AT478=1,AK478="E",AU478&gt;=0.75),HealthBY*P478,IF(AND(AT478=1,AK478="E",AU478&gt;=0.5,AW478=1),PTHealthBY,IF(AND(AT478=1,AK478="E",AU478&gt;=0.5),PTHealthBY*P478,0))))</f>
        <v>0</v>
      </c>
      <c r="BO478" s="462">
        <f>IF(AND(AT478=3,AK478="E",AV478&gt;=0.75,AW478=1),HealthBY,IF(AND(AT478=3,AK478="E",AV478&gt;=0.75),HealthBY*P478,IF(AND(AT478=3,AK478="E",AV478&gt;=0.5,AW478=1),PTHealthBY,IF(AND(AT478=3,AK478="E",AV478&gt;=0.5),PTHealthBY*P478,0))))</f>
        <v>0</v>
      </c>
      <c r="BP478" s="462">
        <f>IF(AND(AT478&lt;&gt;0,(AX478+BA478)&gt;=MAXSSDIBY),SSDIBY*MAXSSDIBY*P478,IF(AT478&lt;&gt;0,SSDIBY*W478,0))</f>
        <v>0</v>
      </c>
      <c r="BQ478" s="462">
        <f>IF(AT478&lt;&gt;0,SSHIBY*W478,0)</f>
        <v>0</v>
      </c>
      <c r="BR478" s="462">
        <f>IF(AND(AT478&lt;&gt;0,AN478&lt;&gt;"NE"),VLOOKUP(AN478,Retirement_Rates,4,FALSE)*W478,0)</f>
        <v>0</v>
      </c>
      <c r="BS478" s="462">
        <f>IF(AND(AT478&lt;&gt;0,AJ478&lt;&gt;"PF"),LifeBY*W478,0)</f>
        <v>0</v>
      </c>
      <c r="BT478" s="462">
        <f>IF(AND(AT478&lt;&gt;0,AM478="Y"),UIBY*W478,0)</f>
        <v>0</v>
      </c>
      <c r="BU478" s="462">
        <f>IF(AND(AT478&lt;&gt;0,N478&lt;&gt;"NR"),DHRBY*W478,0)</f>
        <v>0</v>
      </c>
      <c r="BV478" s="462">
        <f>IF(AT478&lt;&gt;0,WCBY*W478,0)</f>
        <v>0</v>
      </c>
      <c r="BW478" s="462">
        <f>IF(OR(AND(AT478&lt;&gt;0,AJ478&lt;&gt;"PF",AN478&lt;&gt;"NE",AG478&lt;&gt;"A"),AND(AL478="E",OR(AT478=1,AT478=3))),SickBY*W478,0)</f>
        <v>0</v>
      </c>
      <c r="BX478" s="462">
        <f t="shared" si="126"/>
        <v>0</v>
      </c>
      <c r="BY478" s="462">
        <f t="shared" si="127"/>
        <v>0</v>
      </c>
      <c r="BZ478" s="462">
        <f t="shared" si="128"/>
        <v>0</v>
      </c>
      <c r="CA478" s="462">
        <f t="shared" si="129"/>
        <v>0</v>
      </c>
      <c r="CB478" s="462">
        <f t="shared" si="130"/>
        <v>0</v>
      </c>
      <c r="CC478" s="462">
        <f>IF(AT478&lt;&gt;0,SSHICHG*Y478,0)</f>
        <v>0</v>
      </c>
      <c r="CD478" s="462">
        <f>IF(AND(AT478&lt;&gt;0,AN478&lt;&gt;"NE"),VLOOKUP(AN478,Retirement_Rates,5,FALSE)*Y478,0)</f>
        <v>0</v>
      </c>
      <c r="CE478" s="462">
        <f>IF(AND(AT478&lt;&gt;0,AJ478&lt;&gt;"PF"),LifeCHG*Y478,0)</f>
        <v>0</v>
      </c>
      <c r="CF478" s="462">
        <f>IF(AND(AT478&lt;&gt;0,AM478="Y"),UICHG*Y478,0)</f>
        <v>0</v>
      </c>
      <c r="CG478" s="462">
        <f>IF(AND(AT478&lt;&gt;0,N478&lt;&gt;"NR"),DHRCHG*Y478,0)</f>
        <v>0</v>
      </c>
      <c r="CH478" s="462">
        <f>IF(AT478&lt;&gt;0,WCCHG*Y478,0)</f>
        <v>0</v>
      </c>
      <c r="CI478" s="462">
        <f>IF(OR(AND(AT478&lt;&gt;0,AJ478&lt;&gt;"PF",AN478&lt;&gt;"NE",AG478&lt;&gt;"A"),AND(AL478="E",OR(AT478=1,AT478=3))),SickCHG*Y478,0)</f>
        <v>0</v>
      </c>
      <c r="CJ478" s="462">
        <f t="shared" si="131"/>
        <v>0</v>
      </c>
      <c r="CK478" s="462" t="str">
        <f t="shared" si="132"/>
        <v/>
      </c>
      <c r="CL478" s="462">
        <f t="shared" si="133"/>
        <v>6136.35</v>
      </c>
      <c r="CM478" s="462">
        <f t="shared" si="134"/>
        <v>3639.73</v>
      </c>
      <c r="CN478" s="462" t="str">
        <f t="shared" si="135"/>
        <v>0331-00</v>
      </c>
    </row>
    <row r="479" spans="1:92" ht="15" thickBot="1" x14ac:dyDescent="0.35">
      <c r="A479" s="376" t="s">
        <v>161</v>
      </c>
      <c r="B479" s="376" t="s">
        <v>162</v>
      </c>
      <c r="C479" s="376" t="s">
        <v>785</v>
      </c>
      <c r="D479" s="376" t="s">
        <v>250</v>
      </c>
      <c r="E479" s="376" t="s">
        <v>1135</v>
      </c>
      <c r="F479" s="377" t="s">
        <v>166</v>
      </c>
      <c r="G479" s="376" t="s">
        <v>1136</v>
      </c>
      <c r="H479" s="378"/>
      <c r="I479" s="378"/>
      <c r="J479" s="376" t="s">
        <v>768</v>
      </c>
      <c r="K479" s="376" t="s">
        <v>407</v>
      </c>
      <c r="L479" s="376" t="s">
        <v>247</v>
      </c>
      <c r="M479" s="376" t="s">
        <v>170</v>
      </c>
      <c r="N479" s="376" t="s">
        <v>202</v>
      </c>
      <c r="O479" s="379">
        <v>1</v>
      </c>
      <c r="P479" s="460">
        <v>0</v>
      </c>
      <c r="Q479" s="460">
        <v>0</v>
      </c>
      <c r="R479" s="380">
        <v>80</v>
      </c>
      <c r="S479" s="460">
        <v>0</v>
      </c>
      <c r="T479" s="380">
        <v>2419.06</v>
      </c>
      <c r="U479" s="380">
        <v>0</v>
      </c>
      <c r="V479" s="380">
        <v>992.3</v>
      </c>
      <c r="W479" s="380">
        <v>0</v>
      </c>
      <c r="X479" s="380">
        <v>0</v>
      </c>
      <c r="Y479" s="380">
        <v>0</v>
      </c>
      <c r="Z479" s="380">
        <v>0</v>
      </c>
      <c r="AA479" s="376" t="s">
        <v>786</v>
      </c>
      <c r="AB479" s="376" t="s">
        <v>787</v>
      </c>
      <c r="AC479" s="376" t="s">
        <v>788</v>
      </c>
      <c r="AD479" s="376" t="s">
        <v>325</v>
      </c>
      <c r="AE479" s="376" t="s">
        <v>407</v>
      </c>
      <c r="AF479" s="376" t="s">
        <v>299</v>
      </c>
      <c r="AG479" s="376" t="s">
        <v>177</v>
      </c>
      <c r="AH479" s="381">
        <v>30.18</v>
      </c>
      <c r="AI479" s="381">
        <v>73366.600000000006</v>
      </c>
      <c r="AJ479" s="376" t="s">
        <v>178</v>
      </c>
      <c r="AK479" s="376" t="s">
        <v>179</v>
      </c>
      <c r="AL479" s="376" t="s">
        <v>180</v>
      </c>
      <c r="AM479" s="376" t="s">
        <v>181</v>
      </c>
      <c r="AN479" s="376" t="s">
        <v>68</v>
      </c>
      <c r="AO479" s="379">
        <v>80</v>
      </c>
      <c r="AP479" s="460">
        <v>1</v>
      </c>
      <c r="AQ479" s="460">
        <v>0</v>
      </c>
      <c r="AR479" s="458" t="s">
        <v>182</v>
      </c>
      <c r="AS479" s="462">
        <f t="shared" si="119"/>
        <v>0</v>
      </c>
      <c r="AT479">
        <f t="shared" si="120"/>
        <v>0</v>
      </c>
      <c r="AU479" s="462" t="str">
        <f>IF(AT479=0,"",IF(AND(AT479=1,M479="F",SUMIF(C2:C698,C479,AS2:AS698)&lt;=1),SUMIF(C2:C698,C479,AS2:AS698),IF(AND(AT479=1,M479="F",SUMIF(C2:C698,C479,AS2:AS698)&gt;1),1,"")))</f>
        <v/>
      </c>
      <c r="AV479" s="462" t="str">
        <f>IF(AT479=0,"",IF(AND(AT479=3,M479="F",SUMIF(C2:C698,C479,AS2:AS698)&lt;=1),SUMIF(C2:C698,C479,AS2:AS698),IF(AND(AT479=3,M479="F",SUMIF(C2:C698,C479,AS2:AS698)&gt;1),1,"")))</f>
        <v/>
      </c>
      <c r="AW479" s="462">
        <f>SUMIF(C2:C698,C479,O2:O698)</f>
        <v>7</v>
      </c>
      <c r="AX479" s="462">
        <f>IF(AND(M479="F",AS479&lt;&gt;0),SUMIF(C2:C698,C479,W2:W698),0)</f>
        <v>0</v>
      </c>
      <c r="AY479" s="462" t="str">
        <f t="shared" si="121"/>
        <v/>
      </c>
      <c r="AZ479" s="462" t="str">
        <f t="shared" si="122"/>
        <v/>
      </c>
      <c r="BA479" s="462">
        <f t="shared" si="123"/>
        <v>0</v>
      </c>
      <c r="BB479" s="462">
        <f>IF(AND(AT479=1,AK479="E",AU479&gt;=0.75,AW479=1),Health,IF(AND(AT479=1,AK479="E",AU479&gt;=0.75),Health*P479,IF(AND(AT479=1,AK479="E",AU479&gt;=0.5,AW479=1),PTHealth,IF(AND(AT479=1,AK479="E",AU479&gt;=0.5),PTHealth*P479,0))))</f>
        <v>0</v>
      </c>
      <c r="BC479" s="462">
        <f>IF(AND(AT479=3,AK479="E",AV479&gt;=0.75,AW479=1),Health,IF(AND(AT479=3,AK479="E",AV479&gt;=0.75),Health*P479,IF(AND(AT479=3,AK479="E",AV479&gt;=0.5,AW479=1),PTHealth,IF(AND(AT479=3,AK479="E",AV479&gt;=0.5),PTHealth*P479,0))))</f>
        <v>0</v>
      </c>
      <c r="BD479" s="462">
        <f>IF(AND(AT479&lt;&gt;0,AX479&gt;=MAXSSDI),SSDI*MAXSSDI*P479,IF(AT479&lt;&gt;0,SSDI*W479,0))</f>
        <v>0</v>
      </c>
      <c r="BE479" s="462">
        <f>IF(AT479&lt;&gt;0,SSHI*W479,0)</f>
        <v>0</v>
      </c>
      <c r="BF479" s="462">
        <f>IF(AND(AT479&lt;&gt;0,AN479&lt;&gt;"NE"),VLOOKUP(AN479,Retirement_Rates,3,FALSE)*W479,0)</f>
        <v>0</v>
      </c>
      <c r="BG479" s="462">
        <f>IF(AND(AT479&lt;&gt;0,AJ479&lt;&gt;"PF"),Life*W479,0)</f>
        <v>0</v>
      </c>
      <c r="BH479" s="462">
        <f>IF(AND(AT479&lt;&gt;0,AM479="Y"),UI*W479,0)</f>
        <v>0</v>
      </c>
      <c r="BI479" s="462">
        <f>IF(AND(AT479&lt;&gt;0,N479&lt;&gt;"NR"),DHR*W479,0)</f>
        <v>0</v>
      </c>
      <c r="BJ479" s="462">
        <f>IF(AT479&lt;&gt;0,WC*W479,0)</f>
        <v>0</v>
      </c>
      <c r="BK479" s="462">
        <f>IF(OR(AND(AT479&lt;&gt;0,AJ479&lt;&gt;"PF",AN479&lt;&gt;"NE",AG479&lt;&gt;"A"),AND(AL479="E",OR(AT479=1,AT479=3))),Sick*W479,0)</f>
        <v>0</v>
      </c>
      <c r="BL479" s="462">
        <f t="shared" si="124"/>
        <v>0</v>
      </c>
      <c r="BM479" s="462">
        <f t="shared" si="125"/>
        <v>0</v>
      </c>
      <c r="BN479" s="462">
        <f>IF(AND(AT479=1,AK479="E",AU479&gt;=0.75,AW479=1),HealthBY,IF(AND(AT479=1,AK479="E",AU479&gt;=0.75),HealthBY*P479,IF(AND(AT479=1,AK479="E",AU479&gt;=0.5,AW479=1),PTHealthBY,IF(AND(AT479=1,AK479="E",AU479&gt;=0.5),PTHealthBY*P479,0))))</f>
        <v>0</v>
      </c>
      <c r="BO479" s="462">
        <f>IF(AND(AT479=3,AK479="E",AV479&gt;=0.75,AW479=1),HealthBY,IF(AND(AT479=3,AK479="E",AV479&gt;=0.75),HealthBY*P479,IF(AND(AT479=3,AK479="E",AV479&gt;=0.5,AW479=1),PTHealthBY,IF(AND(AT479=3,AK479="E",AV479&gt;=0.5),PTHealthBY*P479,0))))</f>
        <v>0</v>
      </c>
      <c r="BP479" s="462">
        <f>IF(AND(AT479&lt;&gt;0,(AX479+BA479)&gt;=MAXSSDIBY),SSDIBY*MAXSSDIBY*P479,IF(AT479&lt;&gt;0,SSDIBY*W479,0))</f>
        <v>0</v>
      </c>
      <c r="BQ479" s="462">
        <f>IF(AT479&lt;&gt;0,SSHIBY*W479,0)</f>
        <v>0</v>
      </c>
      <c r="BR479" s="462">
        <f>IF(AND(AT479&lt;&gt;0,AN479&lt;&gt;"NE"),VLOOKUP(AN479,Retirement_Rates,4,FALSE)*W479,0)</f>
        <v>0</v>
      </c>
      <c r="BS479" s="462">
        <f>IF(AND(AT479&lt;&gt;0,AJ479&lt;&gt;"PF"),LifeBY*W479,0)</f>
        <v>0</v>
      </c>
      <c r="BT479" s="462">
        <f>IF(AND(AT479&lt;&gt;0,AM479="Y"),UIBY*W479,0)</f>
        <v>0</v>
      </c>
      <c r="BU479" s="462">
        <f>IF(AND(AT479&lt;&gt;0,N479&lt;&gt;"NR"),DHRBY*W479,0)</f>
        <v>0</v>
      </c>
      <c r="BV479" s="462">
        <f>IF(AT479&lt;&gt;0,WCBY*W479,0)</f>
        <v>0</v>
      </c>
      <c r="BW479" s="462">
        <f>IF(OR(AND(AT479&lt;&gt;0,AJ479&lt;&gt;"PF",AN479&lt;&gt;"NE",AG479&lt;&gt;"A"),AND(AL479="E",OR(AT479=1,AT479=3))),SickBY*W479,0)</f>
        <v>0</v>
      </c>
      <c r="BX479" s="462">
        <f t="shared" si="126"/>
        <v>0</v>
      </c>
      <c r="BY479" s="462">
        <f t="shared" si="127"/>
        <v>0</v>
      </c>
      <c r="BZ479" s="462">
        <f t="shared" si="128"/>
        <v>0</v>
      </c>
      <c r="CA479" s="462">
        <f t="shared" si="129"/>
        <v>0</v>
      </c>
      <c r="CB479" s="462">
        <f t="shared" si="130"/>
        <v>0</v>
      </c>
      <c r="CC479" s="462">
        <f>IF(AT479&lt;&gt;0,SSHICHG*Y479,0)</f>
        <v>0</v>
      </c>
      <c r="CD479" s="462">
        <f>IF(AND(AT479&lt;&gt;0,AN479&lt;&gt;"NE"),VLOOKUP(AN479,Retirement_Rates,5,FALSE)*Y479,0)</f>
        <v>0</v>
      </c>
      <c r="CE479" s="462">
        <f>IF(AND(AT479&lt;&gt;0,AJ479&lt;&gt;"PF"),LifeCHG*Y479,0)</f>
        <v>0</v>
      </c>
      <c r="CF479" s="462">
        <f>IF(AND(AT479&lt;&gt;0,AM479="Y"),UICHG*Y479,0)</f>
        <v>0</v>
      </c>
      <c r="CG479" s="462">
        <f>IF(AND(AT479&lt;&gt;0,N479&lt;&gt;"NR"),DHRCHG*Y479,0)</f>
        <v>0</v>
      </c>
      <c r="CH479" s="462">
        <f>IF(AT479&lt;&gt;0,WCCHG*Y479,0)</f>
        <v>0</v>
      </c>
      <c r="CI479" s="462">
        <f>IF(OR(AND(AT479&lt;&gt;0,AJ479&lt;&gt;"PF",AN479&lt;&gt;"NE",AG479&lt;&gt;"A"),AND(AL479="E",OR(AT479=1,AT479=3))),SickCHG*Y479,0)</f>
        <v>0</v>
      </c>
      <c r="CJ479" s="462">
        <f t="shared" si="131"/>
        <v>0</v>
      </c>
      <c r="CK479" s="462" t="str">
        <f t="shared" si="132"/>
        <v/>
      </c>
      <c r="CL479" s="462" t="str">
        <f t="shared" si="133"/>
        <v/>
      </c>
      <c r="CM479" s="462" t="str">
        <f t="shared" si="134"/>
        <v/>
      </c>
      <c r="CN479" s="462" t="str">
        <f t="shared" si="135"/>
        <v>0331-00</v>
      </c>
    </row>
    <row r="480" spans="1:92" ht="15" thickBot="1" x14ac:dyDescent="0.35">
      <c r="A480" s="376" t="s">
        <v>161</v>
      </c>
      <c r="B480" s="376" t="s">
        <v>162</v>
      </c>
      <c r="C480" s="376" t="s">
        <v>1137</v>
      </c>
      <c r="D480" s="376" t="s">
        <v>761</v>
      </c>
      <c r="E480" s="376" t="s">
        <v>1135</v>
      </c>
      <c r="F480" s="377" t="s">
        <v>166</v>
      </c>
      <c r="G480" s="376" t="s">
        <v>1136</v>
      </c>
      <c r="H480" s="378"/>
      <c r="I480" s="378"/>
      <c r="J480" s="376" t="s">
        <v>168</v>
      </c>
      <c r="K480" s="376" t="s">
        <v>763</v>
      </c>
      <c r="L480" s="376" t="s">
        <v>166</v>
      </c>
      <c r="M480" s="376" t="s">
        <v>201</v>
      </c>
      <c r="N480" s="376" t="s">
        <v>291</v>
      </c>
      <c r="O480" s="379">
        <v>0</v>
      </c>
      <c r="P480" s="460">
        <v>1</v>
      </c>
      <c r="Q480" s="460">
        <v>0</v>
      </c>
      <c r="R480" s="380">
        <v>0</v>
      </c>
      <c r="S480" s="460">
        <v>0</v>
      </c>
      <c r="T480" s="380">
        <v>0</v>
      </c>
      <c r="U480" s="380">
        <v>0</v>
      </c>
      <c r="V480" s="380">
        <v>0</v>
      </c>
      <c r="W480" s="380">
        <v>0</v>
      </c>
      <c r="X480" s="380">
        <v>0</v>
      </c>
      <c r="Y480" s="380">
        <v>0</v>
      </c>
      <c r="Z480" s="380">
        <v>0</v>
      </c>
      <c r="AA480" s="378"/>
      <c r="AB480" s="376" t="s">
        <v>45</v>
      </c>
      <c r="AC480" s="376" t="s">
        <v>45</v>
      </c>
      <c r="AD480" s="378"/>
      <c r="AE480" s="378"/>
      <c r="AF480" s="378"/>
      <c r="AG480" s="378"/>
      <c r="AH480" s="379">
        <v>0</v>
      </c>
      <c r="AI480" s="379">
        <v>0</v>
      </c>
      <c r="AJ480" s="378"/>
      <c r="AK480" s="378"/>
      <c r="AL480" s="376" t="s">
        <v>180</v>
      </c>
      <c r="AM480" s="378"/>
      <c r="AN480" s="378"/>
      <c r="AO480" s="379">
        <v>0</v>
      </c>
      <c r="AP480" s="460">
        <v>0</v>
      </c>
      <c r="AQ480" s="460">
        <v>0</v>
      </c>
      <c r="AR480" s="459"/>
      <c r="AS480" s="462">
        <f t="shared" si="119"/>
        <v>0</v>
      </c>
      <c r="AT480">
        <f t="shared" si="120"/>
        <v>0</v>
      </c>
      <c r="AU480" s="462" t="str">
        <f>IF(AT480=0,"",IF(AND(AT480=1,M480="F",SUMIF(C2:C698,C480,AS2:AS698)&lt;=1),SUMIF(C2:C698,C480,AS2:AS698),IF(AND(AT480=1,M480="F",SUMIF(C2:C698,C480,AS2:AS698)&gt;1),1,"")))</f>
        <v/>
      </c>
      <c r="AV480" s="462" t="str">
        <f>IF(AT480=0,"",IF(AND(AT480=3,M480="F",SUMIF(C2:C698,C480,AS2:AS698)&lt;=1),SUMIF(C2:C698,C480,AS2:AS698),IF(AND(AT480=3,M480="F",SUMIF(C2:C698,C480,AS2:AS698)&gt;1),1,"")))</f>
        <v/>
      </c>
      <c r="AW480" s="462">
        <f>SUMIF(C2:C698,C480,O2:O698)</f>
        <v>0</v>
      </c>
      <c r="AX480" s="462">
        <f>IF(AND(M480="F",AS480&lt;&gt;0),SUMIF(C2:C698,C480,W2:W698),0)</f>
        <v>0</v>
      </c>
      <c r="AY480" s="462" t="str">
        <f t="shared" si="121"/>
        <v/>
      </c>
      <c r="AZ480" s="462" t="str">
        <f t="shared" si="122"/>
        <v/>
      </c>
      <c r="BA480" s="462">
        <f t="shared" si="123"/>
        <v>0</v>
      </c>
      <c r="BB480" s="462">
        <f>IF(AND(AT480=1,AK480="E",AU480&gt;=0.75,AW480=1),Health,IF(AND(AT480=1,AK480="E",AU480&gt;=0.75),Health*P480,IF(AND(AT480=1,AK480="E",AU480&gt;=0.5,AW480=1),PTHealth,IF(AND(AT480=1,AK480="E",AU480&gt;=0.5),PTHealth*P480,0))))</f>
        <v>0</v>
      </c>
      <c r="BC480" s="462">
        <f>IF(AND(AT480=3,AK480="E",AV480&gt;=0.75,AW480=1),Health,IF(AND(AT480=3,AK480="E",AV480&gt;=0.75),Health*P480,IF(AND(AT480=3,AK480="E",AV480&gt;=0.5,AW480=1),PTHealth,IF(AND(AT480=3,AK480="E",AV480&gt;=0.5),PTHealth*P480,0))))</f>
        <v>0</v>
      </c>
      <c r="BD480" s="462">
        <f>IF(AND(AT480&lt;&gt;0,AX480&gt;=MAXSSDI),SSDI*MAXSSDI*P480,IF(AT480&lt;&gt;0,SSDI*W480,0))</f>
        <v>0</v>
      </c>
      <c r="BE480" s="462">
        <f>IF(AT480&lt;&gt;0,SSHI*W480,0)</f>
        <v>0</v>
      </c>
      <c r="BF480" s="462">
        <f>IF(AND(AT480&lt;&gt;0,AN480&lt;&gt;"NE"),VLOOKUP(AN480,Retirement_Rates,3,FALSE)*W480,0)</f>
        <v>0</v>
      </c>
      <c r="BG480" s="462">
        <f>IF(AND(AT480&lt;&gt;0,AJ480&lt;&gt;"PF"),Life*W480,0)</f>
        <v>0</v>
      </c>
      <c r="BH480" s="462">
        <f>IF(AND(AT480&lt;&gt;0,AM480="Y"),UI*W480,0)</f>
        <v>0</v>
      </c>
      <c r="BI480" s="462">
        <f>IF(AND(AT480&lt;&gt;0,N480&lt;&gt;"NR"),DHR*W480,0)</f>
        <v>0</v>
      </c>
      <c r="BJ480" s="462">
        <f>IF(AT480&lt;&gt;0,WC*W480,0)</f>
        <v>0</v>
      </c>
      <c r="BK480" s="462">
        <f>IF(OR(AND(AT480&lt;&gt;0,AJ480&lt;&gt;"PF",AN480&lt;&gt;"NE",AG480&lt;&gt;"A"),AND(AL480="E",OR(AT480=1,AT480=3))),Sick*W480,0)</f>
        <v>0</v>
      </c>
      <c r="BL480" s="462">
        <f t="shared" si="124"/>
        <v>0</v>
      </c>
      <c r="BM480" s="462">
        <f t="shared" si="125"/>
        <v>0</v>
      </c>
      <c r="BN480" s="462">
        <f>IF(AND(AT480=1,AK480="E",AU480&gt;=0.75,AW480=1),HealthBY,IF(AND(AT480=1,AK480="E",AU480&gt;=0.75),HealthBY*P480,IF(AND(AT480=1,AK480="E",AU480&gt;=0.5,AW480=1),PTHealthBY,IF(AND(AT480=1,AK480="E",AU480&gt;=0.5),PTHealthBY*P480,0))))</f>
        <v>0</v>
      </c>
      <c r="BO480" s="462">
        <f>IF(AND(AT480=3,AK480="E",AV480&gt;=0.75,AW480=1),HealthBY,IF(AND(AT480=3,AK480="E",AV480&gt;=0.75),HealthBY*P480,IF(AND(AT480=3,AK480="E",AV480&gt;=0.5,AW480=1),PTHealthBY,IF(AND(AT480=3,AK480="E",AV480&gt;=0.5),PTHealthBY*P480,0))))</f>
        <v>0</v>
      </c>
      <c r="BP480" s="462">
        <f>IF(AND(AT480&lt;&gt;0,(AX480+BA480)&gt;=MAXSSDIBY),SSDIBY*MAXSSDIBY*P480,IF(AT480&lt;&gt;0,SSDIBY*W480,0))</f>
        <v>0</v>
      </c>
      <c r="BQ480" s="462">
        <f>IF(AT480&lt;&gt;0,SSHIBY*W480,0)</f>
        <v>0</v>
      </c>
      <c r="BR480" s="462">
        <f>IF(AND(AT480&lt;&gt;0,AN480&lt;&gt;"NE"),VLOOKUP(AN480,Retirement_Rates,4,FALSE)*W480,0)</f>
        <v>0</v>
      </c>
      <c r="BS480" s="462">
        <f>IF(AND(AT480&lt;&gt;0,AJ480&lt;&gt;"PF"),LifeBY*W480,0)</f>
        <v>0</v>
      </c>
      <c r="BT480" s="462">
        <f>IF(AND(AT480&lt;&gt;0,AM480="Y"),UIBY*W480,0)</f>
        <v>0</v>
      </c>
      <c r="BU480" s="462">
        <f>IF(AND(AT480&lt;&gt;0,N480&lt;&gt;"NR"),DHRBY*W480,0)</f>
        <v>0</v>
      </c>
      <c r="BV480" s="462">
        <f>IF(AT480&lt;&gt;0,WCBY*W480,0)</f>
        <v>0</v>
      </c>
      <c r="BW480" s="462">
        <f>IF(OR(AND(AT480&lt;&gt;0,AJ480&lt;&gt;"PF",AN480&lt;&gt;"NE",AG480&lt;&gt;"A"),AND(AL480="E",OR(AT480=1,AT480=3))),SickBY*W480,0)</f>
        <v>0</v>
      </c>
      <c r="BX480" s="462">
        <f t="shared" si="126"/>
        <v>0</v>
      </c>
      <c r="BY480" s="462">
        <f t="shared" si="127"/>
        <v>0</v>
      </c>
      <c r="BZ480" s="462">
        <f t="shared" si="128"/>
        <v>0</v>
      </c>
      <c r="CA480" s="462">
        <f t="shared" si="129"/>
        <v>0</v>
      </c>
      <c r="CB480" s="462">
        <f t="shared" si="130"/>
        <v>0</v>
      </c>
      <c r="CC480" s="462">
        <f>IF(AT480&lt;&gt;0,SSHICHG*Y480,0)</f>
        <v>0</v>
      </c>
      <c r="CD480" s="462">
        <f>IF(AND(AT480&lt;&gt;0,AN480&lt;&gt;"NE"),VLOOKUP(AN480,Retirement_Rates,5,FALSE)*Y480,0)</f>
        <v>0</v>
      </c>
      <c r="CE480" s="462">
        <f>IF(AND(AT480&lt;&gt;0,AJ480&lt;&gt;"PF"),LifeCHG*Y480,0)</f>
        <v>0</v>
      </c>
      <c r="CF480" s="462">
        <f>IF(AND(AT480&lt;&gt;0,AM480="Y"),UICHG*Y480,0)</f>
        <v>0</v>
      </c>
      <c r="CG480" s="462">
        <f>IF(AND(AT480&lt;&gt;0,N480&lt;&gt;"NR"),DHRCHG*Y480,0)</f>
        <v>0</v>
      </c>
      <c r="CH480" s="462">
        <f>IF(AT480&lt;&gt;0,WCCHG*Y480,0)</f>
        <v>0</v>
      </c>
      <c r="CI480" s="462">
        <f>IF(OR(AND(AT480&lt;&gt;0,AJ480&lt;&gt;"PF",AN480&lt;&gt;"NE",AG480&lt;&gt;"A"),AND(AL480="E",OR(AT480=1,AT480=3))),SickCHG*Y480,0)</f>
        <v>0</v>
      </c>
      <c r="CJ480" s="462">
        <f t="shared" si="131"/>
        <v>0</v>
      </c>
      <c r="CK480" s="462" t="str">
        <f t="shared" si="132"/>
        <v/>
      </c>
      <c r="CL480" s="462">
        <f t="shared" si="133"/>
        <v>0</v>
      </c>
      <c r="CM480" s="462">
        <f t="shared" si="134"/>
        <v>0</v>
      </c>
      <c r="CN480" s="462" t="str">
        <f t="shared" si="135"/>
        <v>0331-00</v>
      </c>
    </row>
    <row r="481" spans="1:92" ht="15" thickBot="1" x14ac:dyDescent="0.35">
      <c r="A481" s="376" t="s">
        <v>161</v>
      </c>
      <c r="B481" s="376" t="s">
        <v>162</v>
      </c>
      <c r="C481" s="376" t="s">
        <v>1138</v>
      </c>
      <c r="D481" s="376" t="s">
        <v>287</v>
      </c>
      <c r="E481" s="376" t="s">
        <v>1135</v>
      </c>
      <c r="F481" s="377" t="s">
        <v>166</v>
      </c>
      <c r="G481" s="376" t="s">
        <v>1136</v>
      </c>
      <c r="H481" s="378"/>
      <c r="I481" s="378"/>
      <c r="J481" s="376" t="s">
        <v>168</v>
      </c>
      <c r="K481" s="376" t="s">
        <v>290</v>
      </c>
      <c r="L481" s="376" t="s">
        <v>166</v>
      </c>
      <c r="M481" s="376" t="s">
        <v>201</v>
      </c>
      <c r="N481" s="376" t="s">
        <v>291</v>
      </c>
      <c r="O481" s="379">
        <v>0</v>
      </c>
      <c r="P481" s="460">
        <v>1</v>
      </c>
      <c r="Q481" s="460">
        <v>0</v>
      </c>
      <c r="R481" s="380">
        <v>0</v>
      </c>
      <c r="S481" s="460">
        <v>0</v>
      </c>
      <c r="T481" s="380">
        <v>0</v>
      </c>
      <c r="U481" s="380">
        <v>0</v>
      </c>
      <c r="V481" s="380">
        <v>0</v>
      </c>
      <c r="W481" s="380">
        <v>0</v>
      </c>
      <c r="X481" s="380">
        <v>0</v>
      </c>
      <c r="Y481" s="380">
        <v>0</v>
      </c>
      <c r="Z481" s="380">
        <v>0</v>
      </c>
      <c r="AA481" s="378"/>
      <c r="AB481" s="376" t="s">
        <v>45</v>
      </c>
      <c r="AC481" s="376" t="s">
        <v>45</v>
      </c>
      <c r="AD481" s="378"/>
      <c r="AE481" s="378"/>
      <c r="AF481" s="378"/>
      <c r="AG481" s="378"/>
      <c r="AH481" s="379">
        <v>0</v>
      </c>
      <c r="AI481" s="379">
        <v>0</v>
      </c>
      <c r="AJ481" s="378"/>
      <c r="AK481" s="378"/>
      <c r="AL481" s="376" t="s">
        <v>180</v>
      </c>
      <c r="AM481" s="378"/>
      <c r="AN481" s="378"/>
      <c r="AO481" s="379">
        <v>0</v>
      </c>
      <c r="AP481" s="460">
        <v>0</v>
      </c>
      <c r="AQ481" s="460">
        <v>0</v>
      </c>
      <c r="AR481" s="459"/>
      <c r="AS481" s="462">
        <f t="shared" si="119"/>
        <v>0</v>
      </c>
      <c r="AT481">
        <f t="shared" si="120"/>
        <v>0</v>
      </c>
      <c r="AU481" s="462" t="str">
        <f>IF(AT481=0,"",IF(AND(AT481=1,M481="F",SUMIF(C2:C698,C481,AS2:AS698)&lt;=1),SUMIF(C2:C698,C481,AS2:AS698),IF(AND(AT481=1,M481="F",SUMIF(C2:C698,C481,AS2:AS698)&gt;1),1,"")))</f>
        <v/>
      </c>
      <c r="AV481" s="462" t="str">
        <f>IF(AT481=0,"",IF(AND(AT481=3,M481="F",SUMIF(C2:C698,C481,AS2:AS698)&lt;=1),SUMIF(C2:C698,C481,AS2:AS698),IF(AND(AT481=3,M481="F",SUMIF(C2:C698,C481,AS2:AS698)&gt;1),1,"")))</f>
        <v/>
      </c>
      <c r="AW481" s="462">
        <f>SUMIF(C2:C698,C481,O2:O698)</f>
        <v>0</v>
      </c>
      <c r="AX481" s="462">
        <f>IF(AND(M481="F",AS481&lt;&gt;0),SUMIF(C2:C698,C481,W2:W698),0)</f>
        <v>0</v>
      </c>
      <c r="AY481" s="462" t="str">
        <f t="shared" si="121"/>
        <v/>
      </c>
      <c r="AZ481" s="462" t="str">
        <f t="shared" si="122"/>
        <v/>
      </c>
      <c r="BA481" s="462">
        <f t="shared" si="123"/>
        <v>0</v>
      </c>
      <c r="BB481" s="462">
        <f>IF(AND(AT481=1,AK481="E",AU481&gt;=0.75,AW481=1),Health,IF(AND(AT481=1,AK481="E",AU481&gt;=0.75),Health*P481,IF(AND(AT481=1,AK481="E",AU481&gt;=0.5,AW481=1),PTHealth,IF(AND(AT481=1,AK481="E",AU481&gt;=0.5),PTHealth*P481,0))))</f>
        <v>0</v>
      </c>
      <c r="BC481" s="462">
        <f>IF(AND(AT481=3,AK481="E",AV481&gt;=0.75,AW481=1),Health,IF(AND(AT481=3,AK481="E",AV481&gt;=0.75),Health*P481,IF(AND(AT481=3,AK481="E",AV481&gt;=0.5,AW481=1),PTHealth,IF(AND(AT481=3,AK481="E",AV481&gt;=0.5),PTHealth*P481,0))))</f>
        <v>0</v>
      </c>
      <c r="BD481" s="462">
        <f>IF(AND(AT481&lt;&gt;0,AX481&gt;=MAXSSDI),SSDI*MAXSSDI*P481,IF(AT481&lt;&gt;0,SSDI*W481,0))</f>
        <v>0</v>
      </c>
      <c r="BE481" s="462">
        <f>IF(AT481&lt;&gt;0,SSHI*W481,0)</f>
        <v>0</v>
      </c>
      <c r="BF481" s="462">
        <f>IF(AND(AT481&lt;&gt;0,AN481&lt;&gt;"NE"),VLOOKUP(AN481,Retirement_Rates,3,FALSE)*W481,0)</f>
        <v>0</v>
      </c>
      <c r="BG481" s="462">
        <f>IF(AND(AT481&lt;&gt;0,AJ481&lt;&gt;"PF"),Life*W481,0)</f>
        <v>0</v>
      </c>
      <c r="BH481" s="462">
        <f>IF(AND(AT481&lt;&gt;0,AM481="Y"),UI*W481,0)</f>
        <v>0</v>
      </c>
      <c r="BI481" s="462">
        <f>IF(AND(AT481&lt;&gt;0,N481&lt;&gt;"NR"),DHR*W481,0)</f>
        <v>0</v>
      </c>
      <c r="BJ481" s="462">
        <f>IF(AT481&lt;&gt;0,WC*W481,0)</f>
        <v>0</v>
      </c>
      <c r="BK481" s="462">
        <f>IF(OR(AND(AT481&lt;&gt;0,AJ481&lt;&gt;"PF",AN481&lt;&gt;"NE",AG481&lt;&gt;"A"),AND(AL481="E",OR(AT481=1,AT481=3))),Sick*W481,0)</f>
        <v>0</v>
      </c>
      <c r="BL481" s="462">
        <f t="shared" si="124"/>
        <v>0</v>
      </c>
      <c r="BM481" s="462">
        <f t="shared" si="125"/>
        <v>0</v>
      </c>
      <c r="BN481" s="462">
        <f>IF(AND(AT481=1,AK481="E",AU481&gt;=0.75,AW481=1),HealthBY,IF(AND(AT481=1,AK481="E",AU481&gt;=0.75),HealthBY*P481,IF(AND(AT481=1,AK481="E",AU481&gt;=0.5,AW481=1),PTHealthBY,IF(AND(AT481=1,AK481="E",AU481&gt;=0.5),PTHealthBY*P481,0))))</f>
        <v>0</v>
      </c>
      <c r="BO481" s="462">
        <f>IF(AND(AT481=3,AK481="E",AV481&gt;=0.75,AW481=1),HealthBY,IF(AND(AT481=3,AK481="E",AV481&gt;=0.75),HealthBY*P481,IF(AND(AT481=3,AK481="E",AV481&gt;=0.5,AW481=1),PTHealthBY,IF(AND(AT481=3,AK481="E",AV481&gt;=0.5),PTHealthBY*P481,0))))</f>
        <v>0</v>
      </c>
      <c r="BP481" s="462">
        <f>IF(AND(AT481&lt;&gt;0,(AX481+BA481)&gt;=MAXSSDIBY),SSDIBY*MAXSSDIBY*P481,IF(AT481&lt;&gt;0,SSDIBY*W481,0))</f>
        <v>0</v>
      </c>
      <c r="BQ481" s="462">
        <f>IF(AT481&lt;&gt;0,SSHIBY*W481,0)</f>
        <v>0</v>
      </c>
      <c r="BR481" s="462">
        <f>IF(AND(AT481&lt;&gt;0,AN481&lt;&gt;"NE"),VLOOKUP(AN481,Retirement_Rates,4,FALSE)*W481,0)</f>
        <v>0</v>
      </c>
      <c r="BS481" s="462">
        <f>IF(AND(AT481&lt;&gt;0,AJ481&lt;&gt;"PF"),LifeBY*W481,0)</f>
        <v>0</v>
      </c>
      <c r="BT481" s="462">
        <f>IF(AND(AT481&lt;&gt;0,AM481="Y"),UIBY*W481,0)</f>
        <v>0</v>
      </c>
      <c r="BU481" s="462">
        <f>IF(AND(AT481&lt;&gt;0,N481&lt;&gt;"NR"),DHRBY*W481,0)</f>
        <v>0</v>
      </c>
      <c r="BV481" s="462">
        <f>IF(AT481&lt;&gt;0,WCBY*W481,0)</f>
        <v>0</v>
      </c>
      <c r="BW481" s="462">
        <f>IF(OR(AND(AT481&lt;&gt;0,AJ481&lt;&gt;"PF",AN481&lt;&gt;"NE",AG481&lt;&gt;"A"),AND(AL481="E",OR(AT481=1,AT481=3))),SickBY*W481,0)</f>
        <v>0</v>
      </c>
      <c r="BX481" s="462">
        <f t="shared" si="126"/>
        <v>0</v>
      </c>
      <c r="BY481" s="462">
        <f t="shared" si="127"/>
        <v>0</v>
      </c>
      <c r="BZ481" s="462">
        <f t="shared" si="128"/>
        <v>0</v>
      </c>
      <c r="CA481" s="462">
        <f t="shared" si="129"/>
        <v>0</v>
      </c>
      <c r="CB481" s="462">
        <f t="shared" si="130"/>
        <v>0</v>
      </c>
      <c r="CC481" s="462">
        <f>IF(AT481&lt;&gt;0,SSHICHG*Y481,0)</f>
        <v>0</v>
      </c>
      <c r="CD481" s="462">
        <f>IF(AND(AT481&lt;&gt;0,AN481&lt;&gt;"NE"),VLOOKUP(AN481,Retirement_Rates,5,FALSE)*Y481,0)</f>
        <v>0</v>
      </c>
      <c r="CE481" s="462">
        <f>IF(AND(AT481&lt;&gt;0,AJ481&lt;&gt;"PF"),LifeCHG*Y481,0)</f>
        <v>0</v>
      </c>
      <c r="CF481" s="462">
        <f>IF(AND(AT481&lt;&gt;0,AM481="Y"),UICHG*Y481,0)</f>
        <v>0</v>
      </c>
      <c r="CG481" s="462">
        <f>IF(AND(AT481&lt;&gt;0,N481&lt;&gt;"NR"),DHRCHG*Y481,0)</f>
        <v>0</v>
      </c>
      <c r="CH481" s="462">
        <f>IF(AT481&lt;&gt;0,WCCHG*Y481,0)</f>
        <v>0</v>
      </c>
      <c r="CI481" s="462">
        <f>IF(OR(AND(AT481&lt;&gt;0,AJ481&lt;&gt;"PF",AN481&lt;&gt;"NE",AG481&lt;&gt;"A"),AND(AL481="E",OR(AT481=1,AT481=3))),SickCHG*Y481,0)</f>
        <v>0</v>
      </c>
      <c r="CJ481" s="462">
        <f t="shared" si="131"/>
        <v>0</v>
      </c>
      <c r="CK481" s="462" t="str">
        <f t="shared" si="132"/>
        <v/>
      </c>
      <c r="CL481" s="462">
        <f t="shared" si="133"/>
        <v>0</v>
      </c>
      <c r="CM481" s="462">
        <f t="shared" si="134"/>
        <v>0</v>
      </c>
      <c r="CN481" s="462" t="str">
        <f t="shared" si="135"/>
        <v>0331-00</v>
      </c>
    </row>
    <row r="482" spans="1:92" ht="15" thickBot="1" x14ac:dyDescent="0.35">
      <c r="A482" s="376" t="s">
        <v>161</v>
      </c>
      <c r="B482" s="376" t="s">
        <v>162</v>
      </c>
      <c r="C482" s="376" t="s">
        <v>927</v>
      </c>
      <c r="D482" s="376" t="s">
        <v>761</v>
      </c>
      <c r="E482" s="376" t="s">
        <v>1135</v>
      </c>
      <c r="F482" s="377" t="s">
        <v>166</v>
      </c>
      <c r="G482" s="376" t="s">
        <v>1136</v>
      </c>
      <c r="H482" s="378"/>
      <c r="I482" s="378"/>
      <c r="J482" s="376" t="s">
        <v>168</v>
      </c>
      <c r="K482" s="376" t="s">
        <v>763</v>
      </c>
      <c r="L482" s="376" t="s">
        <v>166</v>
      </c>
      <c r="M482" s="376" t="s">
        <v>170</v>
      </c>
      <c r="N482" s="376" t="s">
        <v>291</v>
      </c>
      <c r="O482" s="379">
        <v>0</v>
      </c>
      <c r="P482" s="460">
        <v>1</v>
      </c>
      <c r="Q482" s="460">
        <v>0</v>
      </c>
      <c r="R482" s="380">
        <v>0</v>
      </c>
      <c r="S482" s="460">
        <v>0</v>
      </c>
      <c r="T482" s="380">
        <v>9544.8799999999992</v>
      </c>
      <c r="U482" s="380">
        <v>0</v>
      </c>
      <c r="V482" s="380">
        <v>6280.35</v>
      </c>
      <c r="W482" s="380">
        <v>18984.990000000002</v>
      </c>
      <c r="X482" s="380">
        <v>12330.77</v>
      </c>
      <c r="Y482" s="380">
        <v>18984.990000000002</v>
      </c>
      <c r="Z482" s="380">
        <v>12330.77</v>
      </c>
      <c r="AA482" s="378"/>
      <c r="AB482" s="376" t="s">
        <v>45</v>
      </c>
      <c r="AC482" s="376" t="s">
        <v>45</v>
      </c>
      <c r="AD482" s="378"/>
      <c r="AE482" s="378"/>
      <c r="AF482" s="378"/>
      <c r="AG482" s="378"/>
      <c r="AH482" s="379">
        <v>0</v>
      </c>
      <c r="AI482" s="379">
        <v>0</v>
      </c>
      <c r="AJ482" s="378"/>
      <c r="AK482" s="378"/>
      <c r="AL482" s="376" t="s">
        <v>180</v>
      </c>
      <c r="AM482" s="378"/>
      <c r="AN482" s="378"/>
      <c r="AO482" s="379">
        <v>0</v>
      </c>
      <c r="AP482" s="460">
        <v>0</v>
      </c>
      <c r="AQ482" s="460">
        <v>0</v>
      </c>
      <c r="AR482" s="459"/>
      <c r="AS482" s="462">
        <f t="shared" si="119"/>
        <v>0</v>
      </c>
      <c r="AT482">
        <f t="shared" si="120"/>
        <v>0</v>
      </c>
      <c r="AU482" s="462" t="str">
        <f>IF(AT482=0,"",IF(AND(AT482=1,M482="F",SUMIF(C2:C698,C482,AS2:AS698)&lt;=1),SUMIF(C2:C698,C482,AS2:AS698),IF(AND(AT482=1,M482="F",SUMIF(C2:C698,C482,AS2:AS698)&gt;1),1,"")))</f>
        <v/>
      </c>
      <c r="AV482" s="462" t="str">
        <f>IF(AT482=0,"",IF(AND(AT482=3,M482="F",SUMIF(C2:C698,C482,AS2:AS698)&lt;=1),SUMIF(C2:C698,C482,AS2:AS698),IF(AND(AT482=3,M482="F",SUMIF(C2:C698,C482,AS2:AS698)&gt;1),1,"")))</f>
        <v/>
      </c>
      <c r="AW482" s="462">
        <f>SUMIF(C2:C698,C482,O2:O698)</f>
        <v>0</v>
      </c>
      <c r="AX482" s="462">
        <f>IF(AND(M482="F",AS482&lt;&gt;0),SUMIF(C2:C698,C482,W2:W698),0)</f>
        <v>0</v>
      </c>
      <c r="AY482" s="462" t="str">
        <f t="shared" si="121"/>
        <v/>
      </c>
      <c r="AZ482" s="462" t="str">
        <f t="shared" si="122"/>
        <v/>
      </c>
      <c r="BA482" s="462">
        <f t="shared" si="123"/>
        <v>0</v>
      </c>
      <c r="BB482" s="462">
        <f>IF(AND(AT482=1,AK482="E",AU482&gt;=0.75,AW482=1),Health,IF(AND(AT482=1,AK482="E",AU482&gt;=0.75),Health*P482,IF(AND(AT482=1,AK482="E",AU482&gt;=0.5,AW482=1),PTHealth,IF(AND(AT482=1,AK482="E",AU482&gt;=0.5),PTHealth*P482,0))))</f>
        <v>0</v>
      </c>
      <c r="BC482" s="462">
        <f>IF(AND(AT482=3,AK482="E",AV482&gt;=0.75,AW482=1),Health,IF(AND(AT482=3,AK482="E",AV482&gt;=0.75),Health*P482,IF(AND(AT482=3,AK482="E",AV482&gt;=0.5,AW482=1),PTHealth,IF(AND(AT482=3,AK482="E",AV482&gt;=0.5),PTHealth*P482,0))))</f>
        <v>0</v>
      </c>
      <c r="BD482" s="462">
        <f>IF(AND(AT482&lt;&gt;0,AX482&gt;=MAXSSDI),SSDI*MAXSSDI*P482,IF(AT482&lt;&gt;0,SSDI*W482,0))</f>
        <v>0</v>
      </c>
      <c r="BE482" s="462">
        <f>IF(AT482&lt;&gt;0,SSHI*W482,0)</f>
        <v>0</v>
      </c>
      <c r="BF482" s="462">
        <f>IF(AND(AT482&lt;&gt;0,AN482&lt;&gt;"NE"),VLOOKUP(AN482,Retirement_Rates,3,FALSE)*W482,0)</f>
        <v>0</v>
      </c>
      <c r="BG482" s="462">
        <f>IF(AND(AT482&lt;&gt;0,AJ482&lt;&gt;"PF"),Life*W482,0)</f>
        <v>0</v>
      </c>
      <c r="BH482" s="462">
        <f>IF(AND(AT482&lt;&gt;0,AM482="Y"),UI*W482,0)</f>
        <v>0</v>
      </c>
      <c r="BI482" s="462">
        <f>IF(AND(AT482&lt;&gt;0,N482&lt;&gt;"NR"),DHR*W482,0)</f>
        <v>0</v>
      </c>
      <c r="BJ482" s="462">
        <f>IF(AT482&lt;&gt;0,WC*W482,0)</f>
        <v>0</v>
      </c>
      <c r="BK482" s="462">
        <f>IF(OR(AND(AT482&lt;&gt;0,AJ482&lt;&gt;"PF",AN482&lt;&gt;"NE",AG482&lt;&gt;"A"),AND(AL482="E",OR(AT482=1,AT482=3))),Sick*W482,0)</f>
        <v>0</v>
      </c>
      <c r="BL482" s="462">
        <f t="shared" si="124"/>
        <v>0</v>
      </c>
      <c r="BM482" s="462">
        <f t="shared" si="125"/>
        <v>0</v>
      </c>
      <c r="BN482" s="462">
        <f>IF(AND(AT482=1,AK482="E",AU482&gt;=0.75,AW482=1),HealthBY,IF(AND(AT482=1,AK482="E",AU482&gt;=0.75),HealthBY*P482,IF(AND(AT482=1,AK482="E",AU482&gt;=0.5,AW482=1),PTHealthBY,IF(AND(AT482=1,AK482="E",AU482&gt;=0.5),PTHealthBY*P482,0))))</f>
        <v>0</v>
      </c>
      <c r="BO482" s="462">
        <f>IF(AND(AT482=3,AK482="E",AV482&gt;=0.75,AW482=1),HealthBY,IF(AND(AT482=3,AK482="E",AV482&gt;=0.75),HealthBY*P482,IF(AND(AT482=3,AK482="E",AV482&gt;=0.5,AW482=1),PTHealthBY,IF(AND(AT482=3,AK482="E",AV482&gt;=0.5),PTHealthBY*P482,0))))</f>
        <v>0</v>
      </c>
      <c r="BP482" s="462">
        <f>IF(AND(AT482&lt;&gt;0,(AX482+BA482)&gt;=MAXSSDIBY),SSDIBY*MAXSSDIBY*P482,IF(AT482&lt;&gt;0,SSDIBY*W482,0))</f>
        <v>0</v>
      </c>
      <c r="BQ482" s="462">
        <f>IF(AT482&lt;&gt;0,SSHIBY*W482,0)</f>
        <v>0</v>
      </c>
      <c r="BR482" s="462">
        <f>IF(AND(AT482&lt;&gt;0,AN482&lt;&gt;"NE"),VLOOKUP(AN482,Retirement_Rates,4,FALSE)*W482,0)</f>
        <v>0</v>
      </c>
      <c r="BS482" s="462">
        <f>IF(AND(AT482&lt;&gt;0,AJ482&lt;&gt;"PF"),LifeBY*W482,0)</f>
        <v>0</v>
      </c>
      <c r="BT482" s="462">
        <f>IF(AND(AT482&lt;&gt;0,AM482="Y"),UIBY*W482,0)</f>
        <v>0</v>
      </c>
      <c r="BU482" s="462">
        <f>IF(AND(AT482&lt;&gt;0,N482&lt;&gt;"NR"),DHRBY*W482,0)</f>
        <v>0</v>
      </c>
      <c r="BV482" s="462">
        <f>IF(AT482&lt;&gt;0,WCBY*W482,0)</f>
        <v>0</v>
      </c>
      <c r="BW482" s="462">
        <f>IF(OR(AND(AT482&lt;&gt;0,AJ482&lt;&gt;"PF",AN482&lt;&gt;"NE",AG482&lt;&gt;"A"),AND(AL482="E",OR(AT482=1,AT482=3))),SickBY*W482,0)</f>
        <v>0</v>
      </c>
      <c r="BX482" s="462">
        <f t="shared" si="126"/>
        <v>0</v>
      </c>
      <c r="BY482" s="462">
        <f t="shared" si="127"/>
        <v>0</v>
      </c>
      <c r="BZ482" s="462">
        <f t="shared" si="128"/>
        <v>0</v>
      </c>
      <c r="CA482" s="462">
        <f t="shared" si="129"/>
        <v>0</v>
      </c>
      <c r="CB482" s="462">
        <f t="shared" si="130"/>
        <v>0</v>
      </c>
      <c r="CC482" s="462">
        <f>IF(AT482&lt;&gt;0,SSHICHG*Y482,0)</f>
        <v>0</v>
      </c>
      <c r="CD482" s="462">
        <f>IF(AND(AT482&lt;&gt;0,AN482&lt;&gt;"NE"),VLOOKUP(AN482,Retirement_Rates,5,FALSE)*Y482,0)</f>
        <v>0</v>
      </c>
      <c r="CE482" s="462">
        <f>IF(AND(AT482&lt;&gt;0,AJ482&lt;&gt;"PF"),LifeCHG*Y482,0)</f>
        <v>0</v>
      </c>
      <c r="CF482" s="462">
        <f>IF(AND(AT482&lt;&gt;0,AM482="Y"),UICHG*Y482,0)</f>
        <v>0</v>
      </c>
      <c r="CG482" s="462">
        <f>IF(AND(AT482&lt;&gt;0,N482&lt;&gt;"NR"),DHRCHG*Y482,0)</f>
        <v>0</v>
      </c>
      <c r="CH482" s="462">
        <f>IF(AT482&lt;&gt;0,WCCHG*Y482,0)</f>
        <v>0</v>
      </c>
      <c r="CI482" s="462">
        <f>IF(OR(AND(AT482&lt;&gt;0,AJ482&lt;&gt;"PF",AN482&lt;&gt;"NE",AG482&lt;&gt;"A"),AND(AL482="E",OR(AT482=1,AT482=3))),SickCHG*Y482,0)</f>
        <v>0</v>
      </c>
      <c r="CJ482" s="462">
        <f t="shared" si="131"/>
        <v>0</v>
      </c>
      <c r="CK482" s="462" t="str">
        <f t="shared" si="132"/>
        <v/>
      </c>
      <c r="CL482" s="462">
        <f t="shared" si="133"/>
        <v>9544.8799999999992</v>
      </c>
      <c r="CM482" s="462">
        <f t="shared" si="134"/>
        <v>6280.35</v>
      </c>
      <c r="CN482" s="462" t="str">
        <f t="shared" si="135"/>
        <v>0331-00</v>
      </c>
    </row>
    <row r="483" spans="1:92" ht="15" thickBot="1" x14ac:dyDescent="0.35">
      <c r="A483" s="376" t="s">
        <v>161</v>
      </c>
      <c r="B483" s="376" t="s">
        <v>162</v>
      </c>
      <c r="C483" s="376" t="s">
        <v>1139</v>
      </c>
      <c r="D483" s="376" t="s">
        <v>761</v>
      </c>
      <c r="E483" s="376" t="s">
        <v>1135</v>
      </c>
      <c r="F483" s="377" t="s">
        <v>166</v>
      </c>
      <c r="G483" s="376" t="s">
        <v>1136</v>
      </c>
      <c r="H483" s="378"/>
      <c r="I483" s="378"/>
      <c r="J483" s="376" t="s">
        <v>168</v>
      </c>
      <c r="K483" s="376" t="s">
        <v>763</v>
      </c>
      <c r="L483" s="376" t="s">
        <v>166</v>
      </c>
      <c r="M483" s="376" t="s">
        <v>170</v>
      </c>
      <c r="N483" s="376" t="s">
        <v>291</v>
      </c>
      <c r="O483" s="379">
        <v>0</v>
      </c>
      <c r="P483" s="460">
        <v>1</v>
      </c>
      <c r="Q483" s="460">
        <v>0</v>
      </c>
      <c r="R483" s="380">
        <v>0</v>
      </c>
      <c r="S483" s="460">
        <v>0</v>
      </c>
      <c r="T483" s="380">
        <v>4114.1499999999996</v>
      </c>
      <c r="U483" s="380">
        <v>0</v>
      </c>
      <c r="V483" s="380">
        <v>2404.63</v>
      </c>
      <c r="W483" s="380">
        <v>4114.1499999999996</v>
      </c>
      <c r="X483" s="380">
        <v>2404.63</v>
      </c>
      <c r="Y483" s="380">
        <v>4114.1499999999996</v>
      </c>
      <c r="Z483" s="380">
        <v>2404.63</v>
      </c>
      <c r="AA483" s="378"/>
      <c r="AB483" s="376" t="s">
        <v>45</v>
      </c>
      <c r="AC483" s="376" t="s">
        <v>45</v>
      </c>
      <c r="AD483" s="378"/>
      <c r="AE483" s="378"/>
      <c r="AF483" s="378"/>
      <c r="AG483" s="378"/>
      <c r="AH483" s="379">
        <v>0</v>
      </c>
      <c r="AI483" s="379">
        <v>0</v>
      </c>
      <c r="AJ483" s="378"/>
      <c r="AK483" s="378"/>
      <c r="AL483" s="376" t="s">
        <v>180</v>
      </c>
      <c r="AM483" s="378"/>
      <c r="AN483" s="378"/>
      <c r="AO483" s="379">
        <v>0</v>
      </c>
      <c r="AP483" s="460">
        <v>0</v>
      </c>
      <c r="AQ483" s="460">
        <v>0</v>
      </c>
      <c r="AR483" s="459"/>
      <c r="AS483" s="462">
        <f t="shared" si="119"/>
        <v>0</v>
      </c>
      <c r="AT483">
        <f t="shared" si="120"/>
        <v>0</v>
      </c>
      <c r="AU483" s="462" t="str">
        <f>IF(AT483=0,"",IF(AND(AT483=1,M483="F",SUMIF(C2:C698,C483,AS2:AS698)&lt;=1),SUMIF(C2:C698,C483,AS2:AS698),IF(AND(AT483=1,M483="F",SUMIF(C2:C698,C483,AS2:AS698)&gt;1),1,"")))</f>
        <v/>
      </c>
      <c r="AV483" s="462" t="str">
        <f>IF(AT483=0,"",IF(AND(AT483=3,M483="F",SUMIF(C2:C698,C483,AS2:AS698)&lt;=1),SUMIF(C2:C698,C483,AS2:AS698),IF(AND(AT483=3,M483="F",SUMIF(C2:C698,C483,AS2:AS698)&gt;1),1,"")))</f>
        <v/>
      </c>
      <c r="AW483" s="462">
        <f>SUMIF(C2:C698,C483,O2:O698)</f>
        <v>0</v>
      </c>
      <c r="AX483" s="462">
        <f>IF(AND(M483="F",AS483&lt;&gt;0),SUMIF(C2:C698,C483,W2:W698),0)</f>
        <v>0</v>
      </c>
      <c r="AY483" s="462" t="str">
        <f t="shared" si="121"/>
        <v/>
      </c>
      <c r="AZ483" s="462" t="str">
        <f t="shared" si="122"/>
        <v/>
      </c>
      <c r="BA483" s="462">
        <f t="shared" si="123"/>
        <v>0</v>
      </c>
      <c r="BB483" s="462">
        <f>IF(AND(AT483=1,AK483="E",AU483&gt;=0.75,AW483=1),Health,IF(AND(AT483=1,AK483="E",AU483&gt;=0.75),Health*P483,IF(AND(AT483=1,AK483="E",AU483&gt;=0.5,AW483=1),PTHealth,IF(AND(AT483=1,AK483="E",AU483&gt;=0.5),PTHealth*P483,0))))</f>
        <v>0</v>
      </c>
      <c r="BC483" s="462">
        <f>IF(AND(AT483=3,AK483="E",AV483&gt;=0.75,AW483=1),Health,IF(AND(AT483=3,AK483="E",AV483&gt;=0.75),Health*P483,IF(AND(AT483=3,AK483="E",AV483&gt;=0.5,AW483=1),PTHealth,IF(AND(AT483=3,AK483="E",AV483&gt;=0.5),PTHealth*P483,0))))</f>
        <v>0</v>
      </c>
      <c r="BD483" s="462">
        <f>IF(AND(AT483&lt;&gt;0,AX483&gt;=MAXSSDI),SSDI*MAXSSDI*P483,IF(AT483&lt;&gt;0,SSDI*W483,0))</f>
        <v>0</v>
      </c>
      <c r="BE483" s="462">
        <f>IF(AT483&lt;&gt;0,SSHI*W483,0)</f>
        <v>0</v>
      </c>
      <c r="BF483" s="462">
        <f>IF(AND(AT483&lt;&gt;0,AN483&lt;&gt;"NE"),VLOOKUP(AN483,Retirement_Rates,3,FALSE)*W483,0)</f>
        <v>0</v>
      </c>
      <c r="BG483" s="462">
        <f>IF(AND(AT483&lt;&gt;0,AJ483&lt;&gt;"PF"),Life*W483,0)</f>
        <v>0</v>
      </c>
      <c r="BH483" s="462">
        <f>IF(AND(AT483&lt;&gt;0,AM483="Y"),UI*W483,0)</f>
        <v>0</v>
      </c>
      <c r="BI483" s="462">
        <f>IF(AND(AT483&lt;&gt;0,N483&lt;&gt;"NR"),DHR*W483,0)</f>
        <v>0</v>
      </c>
      <c r="BJ483" s="462">
        <f>IF(AT483&lt;&gt;0,WC*W483,0)</f>
        <v>0</v>
      </c>
      <c r="BK483" s="462">
        <f>IF(OR(AND(AT483&lt;&gt;0,AJ483&lt;&gt;"PF",AN483&lt;&gt;"NE",AG483&lt;&gt;"A"),AND(AL483="E",OR(AT483=1,AT483=3))),Sick*W483,0)</f>
        <v>0</v>
      </c>
      <c r="BL483" s="462">
        <f t="shared" si="124"/>
        <v>0</v>
      </c>
      <c r="BM483" s="462">
        <f t="shared" si="125"/>
        <v>0</v>
      </c>
      <c r="BN483" s="462">
        <f>IF(AND(AT483=1,AK483="E",AU483&gt;=0.75,AW483=1),HealthBY,IF(AND(AT483=1,AK483="E",AU483&gt;=0.75),HealthBY*P483,IF(AND(AT483=1,AK483="E",AU483&gt;=0.5,AW483=1),PTHealthBY,IF(AND(AT483=1,AK483="E",AU483&gt;=0.5),PTHealthBY*P483,0))))</f>
        <v>0</v>
      </c>
      <c r="BO483" s="462">
        <f>IF(AND(AT483=3,AK483="E",AV483&gt;=0.75,AW483=1),HealthBY,IF(AND(AT483=3,AK483="E",AV483&gt;=0.75),HealthBY*P483,IF(AND(AT483=3,AK483="E",AV483&gt;=0.5,AW483=1),PTHealthBY,IF(AND(AT483=3,AK483="E",AV483&gt;=0.5),PTHealthBY*P483,0))))</f>
        <v>0</v>
      </c>
      <c r="BP483" s="462">
        <f>IF(AND(AT483&lt;&gt;0,(AX483+BA483)&gt;=MAXSSDIBY),SSDIBY*MAXSSDIBY*P483,IF(AT483&lt;&gt;0,SSDIBY*W483,0))</f>
        <v>0</v>
      </c>
      <c r="BQ483" s="462">
        <f>IF(AT483&lt;&gt;0,SSHIBY*W483,0)</f>
        <v>0</v>
      </c>
      <c r="BR483" s="462">
        <f>IF(AND(AT483&lt;&gt;0,AN483&lt;&gt;"NE"),VLOOKUP(AN483,Retirement_Rates,4,FALSE)*W483,0)</f>
        <v>0</v>
      </c>
      <c r="BS483" s="462">
        <f>IF(AND(AT483&lt;&gt;0,AJ483&lt;&gt;"PF"),LifeBY*W483,0)</f>
        <v>0</v>
      </c>
      <c r="BT483" s="462">
        <f>IF(AND(AT483&lt;&gt;0,AM483="Y"),UIBY*W483,0)</f>
        <v>0</v>
      </c>
      <c r="BU483" s="462">
        <f>IF(AND(AT483&lt;&gt;0,N483&lt;&gt;"NR"),DHRBY*W483,0)</f>
        <v>0</v>
      </c>
      <c r="BV483" s="462">
        <f>IF(AT483&lt;&gt;0,WCBY*W483,0)</f>
        <v>0</v>
      </c>
      <c r="BW483" s="462">
        <f>IF(OR(AND(AT483&lt;&gt;0,AJ483&lt;&gt;"PF",AN483&lt;&gt;"NE",AG483&lt;&gt;"A"),AND(AL483="E",OR(AT483=1,AT483=3))),SickBY*W483,0)</f>
        <v>0</v>
      </c>
      <c r="BX483" s="462">
        <f t="shared" si="126"/>
        <v>0</v>
      </c>
      <c r="BY483" s="462">
        <f t="shared" si="127"/>
        <v>0</v>
      </c>
      <c r="BZ483" s="462">
        <f t="shared" si="128"/>
        <v>0</v>
      </c>
      <c r="CA483" s="462">
        <f t="shared" si="129"/>
        <v>0</v>
      </c>
      <c r="CB483" s="462">
        <f t="shared" si="130"/>
        <v>0</v>
      </c>
      <c r="CC483" s="462">
        <f>IF(AT483&lt;&gt;0,SSHICHG*Y483,0)</f>
        <v>0</v>
      </c>
      <c r="CD483" s="462">
        <f>IF(AND(AT483&lt;&gt;0,AN483&lt;&gt;"NE"),VLOOKUP(AN483,Retirement_Rates,5,FALSE)*Y483,0)</f>
        <v>0</v>
      </c>
      <c r="CE483" s="462">
        <f>IF(AND(AT483&lt;&gt;0,AJ483&lt;&gt;"PF"),LifeCHG*Y483,0)</f>
        <v>0</v>
      </c>
      <c r="CF483" s="462">
        <f>IF(AND(AT483&lt;&gt;0,AM483="Y"),UICHG*Y483,0)</f>
        <v>0</v>
      </c>
      <c r="CG483" s="462">
        <f>IF(AND(AT483&lt;&gt;0,N483&lt;&gt;"NR"),DHRCHG*Y483,0)</f>
        <v>0</v>
      </c>
      <c r="CH483" s="462">
        <f>IF(AT483&lt;&gt;0,WCCHG*Y483,0)</f>
        <v>0</v>
      </c>
      <c r="CI483" s="462">
        <f>IF(OR(AND(AT483&lt;&gt;0,AJ483&lt;&gt;"PF",AN483&lt;&gt;"NE",AG483&lt;&gt;"A"),AND(AL483="E",OR(AT483=1,AT483=3))),SickCHG*Y483,0)</f>
        <v>0</v>
      </c>
      <c r="CJ483" s="462">
        <f t="shared" si="131"/>
        <v>0</v>
      </c>
      <c r="CK483" s="462" t="str">
        <f t="shared" si="132"/>
        <v/>
      </c>
      <c r="CL483" s="462">
        <f t="shared" si="133"/>
        <v>4114.1499999999996</v>
      </c>
      <c r="CM483" s="462">
        <f t="shared" si="134"/>
        <v>2404.63</v>
      </c>
      <c r="CN483" s="462" t="str">
        <f t="shared" si="135"/>
        <v>0331-00</v>
      </c>
    </row>
    <row r="484" spans="1:92" ht="15" thickBot="1" x14ac:dyDescent="0.35">
      <c r="A484" s="376" t="s">
        <v>161</v>
      </c>
      <c r="B484" s="376" t="s">
        <v>162</v>
      </c>
      <c r="C484" s="376" t="s">
        <v>958</v>
      </c>
      <c r="D484" s="376" t="s">
        <v>858</v>
      </c>
      <c r="E484" s="376" t="s">
        <v>1140</v>
      </c>
      <c r="F484" s="377" t="s">
        <v>166</v>
      </c>
      <c r="G484" s="376" t="s">
        <v>1141</v>
      </c>
      <c r="H484" s="378"/>
      <c r="I484" s="378"/>
      <c r="J484" s="376" t="s">
        <v>168</v>
      </c>
      <c r="K484" s="376" t="s">
        <v>859</v>
      </c>
      <c r="L484" s="376" t="s">
        <v>166</v>
      </c>
      <c r="M484" s="376" t="s">
        <v>170</v>
      </c>
      <c r="N484" s="376" t="s">
        <v>291</v>
      </c>
      <c r="O484" s="379">
        <v>0</v>
      </c>
      <c r="P484" s="460">
        <v>1</v>
      </c>
      <c r="Q484" s="460">
        <v>0</v>
      </c>
      <c r="R484" s="380">
        <v>0</v>
      </c>
      <c r="S484" s="460">
        <v>0</v>
      </c>
      <c r="T484" s="380">
        <v>277919.28999999998</v>
      </c>
      <c r="U484" s="380">
        <v>10718.18</v>
      </c>
      <c r="V484" s="380">
        <v>151068.23000000001</v>
      </c>
      <c r="W484" s="380">
        <v>288723.27</v>
      </c>
      <c r="X484" s="380">
        <v>151106.4</v>
      </c>
      <c r="Y484" s="380">
        <v>288723.27</v>
      </c>
      <c r="Z484" s="380">
        <v>151106.4</v>
      </c>
      <c r="AA484" s="378"/>
      <c r="AB484" s="376" t="s">
        <v>45</v>
      </c>
      <c r="AC484" s="376" t="s">
        <v>45</v>
      </c>
      <c r="AD484" s="378"/>
      <c r="AE484" s="378"/>
      <c r="AF484" s="378"/>
      <c r="AG484" s="378"/>
      <c r="AH484" s="379">
        <v>0</v>
      </c>
      <c r="AI484" s="379">
        <v>0</v>
      </c>
      <c r="AJ484" s="378"/>
      <c r="AK484" s="378"/>
      <c r="AL484" s="376" t="s">
        <v>180</v>
      </c>
      <c r="AM484" s="378"/>
      <c r="AN484" s="378"/>
      <c r="AO484" s="379">
        <v>0</v>
      </c>
      <c r="AP484" s="460">
        <v>0</v>
      </c>
      <c r="AQ484" s="460">
        <v>0</v>
      </c>
      <c r="AR484" s="459"/>
      <c r="AS484" s="462">
        <f t="shared" si="119"/>
        <v>0</v>
      </c>
      <c r="AT484">
        <f t="shared" si="120"/>
        <v>0</v>
      </c>
      <c r="AU484" s="462" t="str">
        <f>IF(AT484=0,"",IF(AND(AT484=1,M484="F",SUMIF(C2:C698,C484,AS2:AS698)&lt;=1),SUMIF(C2:C698,C484,AS2:AS698),IF(AND(AT484=1,M484="F",SUMIF(C2:C698,C484,AS2:AS698)&gt;1),1,"")))</f>
        <v/>
      </c>
      <c r="AV484" s="462" t="str">
        <f>IF(AT484=0,"",IF(AND(AT484=3,M484="F",SUMIF(C2:C698,C484,AS2:AS698)&lt;=1),SUMIF(C2:C698,C484,AS2:AS698),IF(AND(AT484=3,M484="F",SUMIF(C2:C698,C484,AS2:AS698)&gt;1),1,"")))</f>
        <v/>
      </c>
      <c r="AW484" s="462">
        <f>SUMIF(C2:C698,C484,O2:O698)</f>
        <v>0</v>
      </c>
      <c r="AX484" s="462">
        <f>IF(AND(M484="F",AS484&lt;&gt;0),SUMIF(C2:C698,C484,W2:W698),0)</f>
        <v>0</v>
      </c>
      <c r="AY484" s="462" t="str">
        <f t="shared" si="121"/>
        <v/>
      </c>
      <c r="AZ484" s="462" t="str">
        <f t="shared" si="122"/>
        <v/>
      </c>
      <c r="BA484" s="462">
        <f t="shared" si="123"/>
        <v>0</v>
      </c>
      <c r="BB484" s="462">
        <f>IF(AND(AT484=1,AK484="E",AU484&gt;=0.75,AW484=1),Health,IF(AND(AT484=1,AK484="E",AU484&gt;=0.75),Health*P484,IF(AND(AT484=1,AK484="E",AU484&gt;=0.5,AW484=1),PTHealth,IF(AND(AT484=1,AK484="E",AU484&gt;=0.5),PTHealth*P484,0))))</f>
        <v>0</v>
      </c>
      <c r="BC484" s="462">
        <f>IF(AND(AT484=3,AK484="E",AV484&gt;=0.75,AW484=1),Health,IF(AND(AT484=3,AK484="E",AV484&gt;=0.75),Health*P484,IF(AND(AT484=3,AK484="E",AV484&gt;=0.5,AW484=1),PTHealth,IF(AND(AT484=3,AK484="E",AV484&gt;=0.5),PTHealth*P484,0))))</f>
        <v>0</v>
      </c>
      <c r="BD484" s="462">
        <f>IF(AND(AT484&lt;&gt;0,AX484&gt;=MAXSSDI),SSDI*MAXSSDI*P484,IF(AT484&lt;&gt;0,SSDI*W484,0))</f>
        <v>0</v>
      </c>
      <c r="BE484" s="462">
        <f>IF(AT484&lt;&gt;0,SSHI*W484,0)</f>
        <v>0</v>
      </c>
      <c r="BF484" s="462">
        <f>IF(AND(AT484&lt;&gt;0,AN484&lt;&gt;"NE"),VLOOKUP(AN484,Retirement_Rates,3,FALSE)*W484,0)</f>
        <v>0</v>
      </c>
      <c r="BG484" s="462">
        <f>IF(AND(AT484&lt;&gt;0,AJ484&lt;&gt;"PF"),Life*W484,0)</f>
        <v>0</v>
      </c>
      <c r="BH484" s="462">
        <f>IF(AND(AT484&lt;&gt;0,AM484="Y"),UI*W484,0)</f>
        <v>0</v>
      </c>
      <c r="BI484" s="462">
        <f>IF(AND(AT484&lt;&gt;0,N484&lt;&gt;"NR"),DHR*W484,0)</f>
        <v>0</v>
      </c>
      <c r="BJ484" s="462">
        <f>IF(AT484&lt;&gt;0,WC*W484,0)</f>
        <v>0</v>
      </c>
      <c r="BK484" s="462">
        <f>IF(OR(AND(AT484&lt;&gt;0,AJ484&lt;&gt;"PF",AN484&lt;&gt;"NE",AG484&lt;&gt;"A"),AND(AL484="E",OR(AT484=1,AT484=3))),Sick*W484,0)</f>
        <v>0</v>
      </c>
      <c r="BL484" s="462">
        <f t="shared" si="124"/>
        <v>0</v>
      </c>
      <c r="BM484" s="462">
        <f t="shared" si="125"/>
        <v>0</v>
      </c>
      <c r="BN484" s="462">
        <f>IF(AND(AT484=1,AK484="E",AU484&gt;=0.75,AW484=1),HealthBY,IF(AND(AT484=1,AK484="E",AU484&gt;=0.75),HealthBY*P484,IF(AND(AT484=1,AK484="E",AU484&gt;=0.5,AW484=1),PTHealthBY,IF(AND(AT484=1,AK484="E",AU484&gt;=0.5),PTHealthBY*P484,0))))</f>
        <v>0</v>
      </c>
      <c r="BO484" s="462">
        <f>IF(AND(AT484=3,AK484="E",AV484&gt;=0.75,AW484=1),HealthBY,IF(AND(AT484=3,AK484="E",AV484&gt;=0.75),HealthBY*P484,IF(AND(AT484=3,AK484="E",AV484&gt;=0.5,AW484=1),PTHealthBY,IF(AND(AT484=3,AK484="E",AV484&gt;=0.5),PTHealthBY*P484,0))))</f>
        <v>0</v>
      </c>
      <c r="BP484" s="462">
        <f>IF(AND(AT484&lt;&gt;0,(AX484+BA484)&gt;=MAXSSDIBY),SSDIBY*MAXSSDIBY*P484,IF(AT484&lt;&gt;0,SSDIBY*W484,0))</f>
        <v>0</v>
      </c>
      <c r="BQ484" s="462">
        <f>IF(AT484&lt;&gt;0,SSHIBY*W484,0)</f>
        <v>0</v>
      </c>
      <c r="BR484" s="462">
        <f>IF(AND(AT484&lt;&gt;0,AN484&lt;&gt;"NE"),VLOOKUP(AN484,Retirement_Rates,4,FALSE)*W484,0)</f>
        <v>0</v>
      </c>
      <c r="BS484" s="462">
        <f>IF(AND(AT484&lt;&gt;0,AJ484&lt;&gt;"PF"),LifeBY*W484,0)</f>
        <v>0</v>
      </c>
      <c r="BT484" s="462">
        <f>IF(AND(AT484&lt;&gt;0,AM484="Y"),UIBY*W484,0)</f>
        <v>0</v>
      </c>
      <c r="BU484" s="462">
        <f>IF(AND(AT484&lt;&gt;0,N484&lt;&gt;"NR"),DHRBY*W484,0)</f>
        <v>0</v>
      </c>
      <c r="BV484" s="462">
        <f>IF(AT484&lt;&gt;0,WCBY*W484,0)</f>
        <v>0</v>
      </c>
      <c r="BW484" s="462">
        <f>IF(OR(AND(AT484&lt;&gt;0,AJ484&lt;&gt;"PF",AN484&lt;&gt;"NE",AG484&lt;&gt;"A"),AND(AL484="E",OR(AT484=1,AT484=3))),SickBY*W484,0)</f>
        <v>0</v>
      </c>
      <c r="BX484" s="462">
        <f t="shared" si="126"/>
        <v>0</v>
      </c>
      <c r="BY484" s="462">
        <f t="shared" si="127"/>
        <v>0</v>
      </c>
      <c r="BZ484" s="462">
        <f t="shared" si="128"/>
        <v>0</v>
      </c>
      <c r="CA484" s="462">
        <f t="shared" si="129"/>
        <v>0</v>
      </c>
      <c r="CB484" s="462">
        <f t="shared" si="130"/>
        <v>0</v>
      </c>
      <c r="CC484" s="462">
        <f>IF(AT484&lt;&gt;0,SSHICHG*Y484,0)</f>
        <v>0</v>
      </c>
      <c r="CD484" s="462">
        <f>IF(AND(AT484&lt;&gt;0,AN484&lt;&gt;"NE"),VLOOKUP(AN484,Retirement_Rates,5,FALSE)*Y484,0)</f>
        <v>0</v>
      </c>
      <c r="CE484" s="462">
        <f>IF(AND(AT484&lt;&gt;0,AJ484&lt;&gt;"PF"),LifeCHG*Y484,0)</f>
        <v>0</v>
      </c>
      <c r="CF484" s="462">
        <f>IF(AND(AT484&lt;&gt;0,AM484="Y"),UICHG*Y484,0)</f>
        <v>0</v>
      </c>
      <c r="CG484" s="462">
        <f>IF(AND(AT484&lt;&gt;0,N484&lt;&gt;"NR"),DHRCHG*Y484,0)</f>
        <v>0</v>
      </c>
      <c r="CH484" s="462">
        <f>IF(AT484&lt;&gt;0,WCCHG*Y484,0)</f>
        <v>0</v>
      </c>
      <c r="CI484" s="462">
        <f>IF(OR(AND(AT484&lt;&gt;0,AJ484&lt;&gt;"PF",AN484&lt;&gt;"NE",AG484&lt;&gt;"A"),AND(AL484="E",OR(AT484=1,AT484=3))),SickCHG*Y484,0)</f>
        <v>0</v>
      </c>
      <c r="CJ484" s="462">
        <f t="shared" si="131"/>
        <v>0</v>
      </c>
      <c r="CK484" s="462" t="str">
        <f t="shared" si="132"/>
        <v/>
      </c>
      <c r="CL484" s="462">
        <f t="shared" si="133"/>
        <v>288637.46999999997</v>
      </c>
      <c r="CM484" s="462">
        <f t="shared" si="134"/>
        <v>151068.23000000001</v>
      </c>
      <c r="CN484" s="462" t="str">
        <f t="shared" si="135"/>
        <v>0486-00</v>
      </c>
    </row>
    <row r="485" spans="1:92" ht="15" thickBot="1" x14ac:dyDescent="0.35">
      <c r="A485" s="376" t="s">
        <v>161</v>
      </c>
      <c r="B485" s="376" t="s">
        <v>162</v>
      </c>
      <c r="C485" s="376" t="s">
        <v>1142</v>
      </c>
      <c r="D485" s="376" t="s">
        <v>250</v>
      </c>
      <c r="E485" s="376" t="s">
        <v>1140</v>
      </c>
      <c r="F485" s="377" t="s">
        <v>166</v>
      </c>
      <c r="G485" s="376" t="s">
        <v>1141</v>
      </c>
      <c r="H485" s="378"/>
      <c r="I485" s="378"/>
      <c r="J485" s="376" t="s">
        <v>185</v>
      </c>
      <c r="K485" s="376" t="s">
        <v>251</v>
      </c>
      <c r="L485" s="376" t="s">
        <v>180</v>
      </c>
      <c r="M485" s="376" t="s">
        <v>170</v>
      </c>
      <c r="N485" s="376" t="s">
        <v>202</v>
      </c>
      <c r="O485" s="379">
        <v>1</v>
      </c>
      <c r="P485" s="460">
        <v>1</v>
      </c>
      <c r="Q485" s="460">
        <v>1</v>
      </c>
      <c r="R485" s="380">
        <v>80</v>
      </c>
      <c r="S485" s="460">
        <v>1</v>
      </c>
      <c r="T485" s="380">
        <v>67034.22</v>
      </c>
      <c r="U485" s="380">
        <v>0</v>
      </c>
      <c r="V485" s="380">
        <v>26179.37</v>
      </c>
      <c r="W485" s="380">
        <v>69347.199999999997</v>
      </c>
      <c r="X485" s="380">
        <v>27348.1</v>
      </c>
      <c r="Y485" s="380">
        <v>69347.199999999997</v>
      </c>
      <c r="Z485" s="380">
        <v>27167.8</v>
      </c>
      <c r="AA485" s="376" t="s">
        <v>1143</v>
      </c>
      <c r="AB485" s="376" t="s">
        <v>1144</v>
      </c>
      <c r="AC485" s="376" t="s">
        <v>1145</v>
      </c>
      <c r="AD485" s="376" t="s">
        <v>215</v>
      </c>
      <c r="AE485" s="376" t="s">
        <v>251</v>
      </c>
      <c r="AF485" s="376" t="s">
        <v>256</v>
      </c>
      <c r="AG485" s="376" t="s">
        <v>177</v>
      </c>
      <c r="AH485" s="381">
        <v>33.340000000000003</v>
      </c>
      <c r="AI485" s="379">
        <v>73459</v>
      </c>
      <c r="AJ485" s="376" t="s">
        <v>178</v>
      </c>
      <c r="AK485" s="376" t="s">
        <v>179</v>
      </c>
      <c r="AL485" s="376" t="s">
        <v>180</v>
      </c>
      <c r="AM485" s="376" t="s">
        <v>181</v>
      </c>
      <c r="AN485" s="376" t="s">
        <v>68</v>
      </c>
      <c r="AO485" s="379">
        <v>80</v>
      </c>
      <c r="AP485" s="460">
        <v>1</v>
      </c>
      <c r="AQ485" s="460">
        <v>1</v>
      </c>
      <c r="AR485" s="458" t="s">
        <v>182</v>
      </c>
      <c r="AS485" s="462">
        <f t="shared" si="119"/>
        <v>1</v>
      </c>
      <c r="AT485">
        <f t="shared" si="120"/>
        <v>1</v>
      </c>
      <c r="AU485" s="462">
        <f>IF(AT485=0,"",IF(AND(AT485=1,M485="F",SUMIF(C2:C698,C485,AS2:AS698)&lt;=1),SUMIF(C2:C698,C485,AS2:AS698),IF(AND(AT485=1,M485="F",SUMIF(C2:C698,C485,AS2:AS698)&gt;1),1,"")))</f>
        <v>1</v>
      </c>
      <c r="AV485" s="462" t="str">
        <f>IF(AT485=0,"",IF(AND(AT485=3,M485="F",SUMIF(C2:C698,C485,AS2:AS698)&lt;=1),SUMIF(C2:C698,C485,AS2:AS698),IF(AND(AT485=3,M485="F",SUMIF(C2:C698,C485,AS2:AS698)&gt;1),1,"")))</f>
        <v/>
      </c>
      <c r="AW485" s="462">
        <f>SUMIF(C2:C698,C485,O2:O698)</f>
        <v>1</v>
      </c>
      <c r="AX485" s="462">
        <f>IF(AND(M485="F",AS485&lt;&gt;0),SUMIF(C2:C698,C485,W2:W698),0)</f>
        <v>69347.199999999997</v>
      </c>
      <c r="AY485" s="462">
        <f t="shared" si="121"/>
        <v>69347.199999999997</v>
      </c>
      <c r="AZ485" s="462" t="str">
        <f t="shared" si="122"/>
        <v/>
      </c>
      <c r="BA485" s="462">
        <f t="shared" si="123"/>
        <v>0</v>
      </c>
      <c r="BB485" s="462">
        <f>IF(AND(AT485=1,AK485="E",AU485&gt;=0.75,AW485=1),Health,IF(AND(AT485=1,AK485="E",AU485&gt;=0.75),Health*P485,IF(AND(AT485=1,AK485="E",AU485&gt;=0.5,AW485=1),PTHealth,IF(AND(AT485=1,AK485="E",AU485&gt;=0.5),PTHealth*P485,0))))</f>
        <v>11650</v>
      </c>
      <c r="BC485" s="462">
        <f>IF(AND(AT485=3,AK485="E",AV485&gt;=0.75,AW485=1),Health,IF(AND(AT485=3,AK485="E",AV485&gt;=0.75),Health*P485,IF(AND(AT485=3,AK485="E",AV485&gt;=0.5,AW485=1),PTHealth,IF(AND(AT485=3,AK485="E",AV485&gt;=0.5),PTHealth*P485,0))))</f>
        <v>0</v>
      </c>
      <c r="BD485" s="462">
        <f>IF(AND(AT485&lt;&gt;0,AX485&gt;=MAXSSDI),SSDI*MAXSSDI*P485,IF(AT485&lt;&gt;0,SSDI*W485,0))</f>
        <v>4299.5263999999997</v>
      </c>
      <c r="BE485" s="462">
        <f>IF(AT485&lt;&gt;0,SSHI*W485,0)</f>
        <v>1005.5344</v>
      </c>
      <c r="BF485" s="462">
        <f>IF(AND(AT485&lt;&gt;0,AN485&lt;&gt;"NE"),VLOOKUP(AN485,Retirement_Rates,3,FALSE)*W485,0)</f>
        <v>8280.0556799999995</v>
      </c>
      <c r="BG485" s="462">
        <f>IF(AND(AT485&lt;&gt;0,AJ485&lt;&gt;"PF"),Life*W485,0)</f>
        <v>499.993312</v>
      </c>
      <c r="BH485" s="462">
        <f>IF(AND(AT485&lt;&gt;0,AM485="Y"),UI*W485,0)</f>
        <v>339.80127999999996</v>
      </c>
      <c r="BI485" s="462">
        <f>IF(AND(AT485&lt;&gt;0,N485&lt;&gt;"NR"),DHR*W485,0)</f>
        <v>212.20243199999999</v>
      </c>
      <c r="BJ485" s="462">
        <f>IF(AT485&lt;&gt;0,WC*W485,0)</f>
        <v>1061.01216</v>
      </c>
      <c r="BK485" s="462">
        <f>IF(OR(AND(AT485&lt;&gt;0,AJ485&lt;&gt;"PF",AN485&lt;&gt;"NE",AG485&lt;&gt;"A"),AND(AL485="E",OR(AT485=1,AT485=3))),Sick*W485,0)</f>
        <v>0</v>
      </c>
      <c r="BL485" s="462">
        <f t="shared" si="124"/>
        <v>15698.125663999999</v>
      </c>
      <c r="BM485" s="462">
        <f t="shared" si="125"/>
        <v>0</v>
      </c>
      <c r="BN485" s="462">
        <f>IF(AND(AT485=1,AK485="E",AU485&gt;=0.75,AW485=1),HealthBY,IF(AND(AT485=1,AK485="E",AU485&gt;=0.75),HealthBY*P485,IF(AND(AT485=1,AK485="E",AU485&gt;=0.5,AW485=1),PTHealthBY,IF(AND(AT485=1,AK485="E",AU485&gt;=0.5),PTHealthBY*P485,0))))</f>
        <v>11650</v>
      </c>
      <c r="BO485" s="462">
        <f>IF(AND(AT485=3,AK485="E",AV485&gt;=0.75,AW485=1),HealthBY,IF(AND(AT485=3,AK485="E",AV485&gt;=0.75),HealthBY*P485,IF(AND(AT485=3,AK485="E",AV485&gt;=0.5,AW485=1),PTHealthBY,IF(AND(AT485=3,AK485="E",AV485&gt;=0.5),PTHealthBY*P485,0))))</f>
        <v>0</v>
      </c>
      <c r="BP485" s="462">
        <f>IF(AND(AT485&lt;&gt;0,(AX485+BA485)&gt;=MAXSSDIBY),SSDIBY*MAXSSDIBY*P485,IF(AT485&lt;&gt;0,SSDIBY*W485,0))</f>
        <v>4299.5263999999997</v>
      </c>
      <c r="BQ485" s="462">
        <f>IF(AT485&lt;&gt;0,SSHIBY*W485,0)</f>
        <v>1005.5344</v>
      </c>
      <c r="BR485" s="462">
        <f>IF(AND(AT485&lt;&gt;0,AN485&lt;&gt;"NE"),VLOOKUP(AN485,Retirement_Rates,4,FALSE)*W485,0)</f>
        <v>8280.0556799999995</v>
      </c>
      <c r="BS485" s="462">
        <f>IF(AND(AT485&lt;&gt;0,AJ485&lt;&gt;"PF"),LifeBY*W485,0)</f>
        <v>499.993312</v>
      </c>
      <c r="BT485" s="462">
        <f>IF(AND(AT485&lt;&gt;0,AM485="Y"),UIBY*W485,0)</f>
        <v>0</v>
      </c>
      <c r="BU485" s="462">
        <f>IF(AND(AT485&lt;&gt;0,N485&lt;&gt;"NR"),DHRBY*W485,0)</f>
        <v>212.20243199999999</v>
      </c>
      <c r="BV485" s="462">
        <f>IF(AT485&lt;&gt;0,WCBY*W485,0)</f>
        <v>1220.51072</v>
      </c>
      <c r="BW485" s="462">
        <f>IF(OR(AND(AT485&lt;&gt;0,AJ485&lt;&gt;"PF",AN485&lt;&gt;"NE",AG485&lt;&gt;"A"),AND(AL485="E",OR(AT485=1,AT485=3))),SickBY*W485,0)</f>
        <v>0</v>
      </c>
      <c r="BX485" s="462">
        <f t="shared" si="126"/>
        <v>15517.822944</v>
      </c>
      <c r="BY485" s="462">
        <f t="shared" si="127"/>
        <v>0</v>
      </c>
      <c r="BZ485" s="462">
        <f t="shared" si="128"/>
        <v>0</v>
      </c>
      <c r="CA485" s="462">
        <f t="shared" si="129"/>
        <v>0</v>
      </c>
      <c r="CB485" s="462">
        <f t="shared" si="130"/>
        <v>0</v>
      </c>
      <c r="CC485" s="462">
        <f>IF(AT485&lt;&gt;0,SSHICHG*Y485,0)</f>
        <v>0</v>
      </c>
      <c r="CD485" s="462">
        <f>IF(AND(AT485&lt;&gt;0,AN485&lt;&gt;"NE"),VLOOKUP(AN485,Retirement_Rates,5,FALSE)*Y485,0)</f>
        <v>0</v>
      </c>
      <c r="CE485" s="462">
        <f>IF(AND(AT485&lt;&gt;0,AJ485&lt;&gt;"PF"),LifeCHG*Y485,0)</f>
        <v>0</v>
      </c>
      <c r="CF485" s="462">
        <f>IF(AND(AT485&lt;&gt;0,AM485="Y"),UICHG*Y485,0)</f>
        <v>-339.80127999999996</v>
      </c>
      <c r="CG485" s="462">
        <f>IF(AND(AT485&lt;&gt;0,N485&lt;&gt;"NR"),DHRCHG*Y485,0)</f>
        <v>0</v>
      </c>
      <c r="CH485" s="462">
        <f>IF(AT485&lt;&gt;0,WCCHG*Y485,0)</f>
        <v>159.49856000000011</v>
      </c>
      <c r="CI485" s="462">
        <f>IF(OR(AND(AT485&lt;&gt;0,AJ485&lt;&gt;"PF",AN485&lt;&gt;"NE",AG485&lt;&gt;"A"),AND(AL485="E",OR(AT485=1,AT485=3))),SickCHG*Y485,0)</f>
        <v>0</v>
      </c>
      <c r="CJ485" s="462">
        <f t="shared" si="131"/>
        <v>-180.30271999999985</v>
      </c>
      <c r="CK485" s="462" t="str">
        <f t="shared" si="132"/>
        <v/>
      </c>
      <c r="CL485" s="462" t="str">
        <f t="shared" si="133"/>
        <v/>
      </c>
      <c r="CM485" s="462" t="str">
        <f t="shared" si="134"/>
        <v/>
      </c>
      <c r="CN485" s="462" t="str">
        <f t="shared" si="135"/>
        <v>0486-00</v>
      </c>
    </row>
    <row r="486" spans="1:92" ht="15" thickBot="1" x14ac:dyDescent="0.35">
      <c r="A486" s="376" t="s">
        <v>161</v>
      </c>
      <c r="B486" s="376" t="s">
        <v>162</v>
      </c>
      <c r="C486" s="376" t="s">
        <v>1146</v>
      </c>
      <c r="D486" s="376" t="s">
        <v>1147</v>
      </c>
      <c r="E486" s="376" t="s">
        <v>1140</v>
      </c>
      <c r="F486" s="377" t="s">
        <v>166</v>
      </c>
      <c r="G486" s="376" t="s">
        <v>1141</v>
      </c>
      <c r="H486" s="378"/>
      <c r="I486" s="378"/>
      <c r="J486" s="376" t="s">
        <v>547</v>
      </c>
      <c r="K486" s="376" t="s">
        <v>1148</v>
      </c>
      <c r="L486" s="376" t="s">
        <v>166</v>
      </c>
      <c r="M486" s="376" t="s">
        <v>201</v>
      </c>
      <c r="N486" s="376" t="s">
        <v>291</v>
      </c>
      <c r="O486" s="379">
        <v>0</v>
      </c>
      <c r="P486" s="460">
        <v>1</v>
      </c>
      <c r="Q486" s="460">
        <v>0</v>
      </c>
      <c r="R486" s="380">
        <v>0</v>
      </c>
      <c r="S486" s="460">
        <v>0</v>
      </c>
      <c r="T486" s="380">
        <v>0</v>
      </c>
      <c r="U486" s="380">
        <v>0</v>
      </c>
      <c r="V486" s="380">
        <v>0</v>
      </c>
      <c r="W486" s="380">
        <v>0</v>
      </c>
      <c r="X486" s="380">
        <v>0</v>
      </c>
      <c r="Y486" s="380">
        <v>0</v>
      </c>
      <c r="Z486" s="380">
        <v>0</v>
      </c>
      <c r="AA486" s="378"/>
      <c r="AB486" s="376" t="s">
        <v>45</v>
      </c>
      <c r="AC486" s="376" t="s">
        <v>45</v>
      </c>
      <c r="AD486" s="378"/>
      <c r="AE486" s="378"/>
      <c r="AF486" s="378"/>
      <c r="AG486" s="378"/>
      <c r="AH486" s="379">
        <v>0</v>
      </c>
      <c r="AI486" s="379">
        <v>0</v>
      </c>
      <c r="AJ486" s="378"/>
      <c r="AK486" s="378"/>
      <c r="AL486" s="376" t="s">
        <v>180</v>
      </c>
      <c r="AM486" s="378"/>
      <c r="AN486" s="378"/>
      <c r="AO486" s="379">
        <v>0</v>
      </c>
      <c r="AP486" s="460">
        <v>0</v>
      </c>
      <c r="AQ486" s="460">
        <v>0</v>
      </c>
      <c r="AR486" s="459"/>
      <c r="AS486" s="462">
        <f t="shared" si="119"/>
        <v>0</v>
      </c>
      <c r="AT486">
        <f t="shared" si="120"/>
        <v>0</v>
      </c>
      <c r="AU486" s="462" t="str">
        <f>IF(AT486=0,"",IF(AND(AT486=1,M486="F",SUMIF(C2:C698,C486,AS2:AS698)&lt;=1),SUMIF(C2:C698,C486,AS2:AS698),IF(AND(AT486=1,M486="F",SUMIF(C2:C698,C486,AS2:AS698)&gt;1),1,"")))</f>
        <v/>
      </c>
      <c r="AV486" s="462" t="str">
        <f>IF(AT486=0,"",IF(AND(AT486=3,M486="F",SUMIF(C2:C698,C486,AS2:AS698)&lt;=1),SUMIF(C2:C698,C486,AS2:AS698),IF(AND(AT486=3,M486="F",SUMIF(C2:C698,C486,AS2:AS698)&gt;1),1,"")))</f>
        <v/>
      </c>
      <c r="AW486" s="462">
        <f>SUMIF(C2:C698,C486,O2:O698)</f>
        <v>0</v>
      </c>
      <c r="AX486" s="462">
        <f>IF(AND(M486="F",AS486&lt;&gt;0),SUMIF(C2:C698,C486,W2:W698),0)</f>
        <v>0</v>
      </c>
      <c r="AY486" s="462" t="str">
        <f t="shared" si="121"/>
        <v/>
      </c>
      <c r="AZ486" s="462" t="str">
        <f t="shared" si="122"/>
        <v/>
      </c>
      <c r="BA486" s="462">
        <f t="shared" si="123"/>
        <v>0</v>
      </c>
      <c r="BB486" s="462">
        <f>IF(AND(AT486=1,AK486="E",AU486&gt;=0.75,AW486=1),Health,IF(AND(AT486=1,AK486="E",AU486&gt;=0.75),Health*P486,IF(AND(AT486=1,AK486="E",AU486&gt;=0.5,AW486=1),PTHealth,IF(AND(AT486=1,AK486="E",AU486&gt;=0.5),PTHealth*P486,0))))</f>
        <v>0</v>
      </c>
      <c r="BC486" s="462">
        <f>IF(AND(AT486=3,AK486="E",AV486&gt;=0.75,AW486=1),Health,IF(AND(AT486=3,AK486="E",AV486&gt;=0.75),Health*P486,IF(AND(AT486=3,AK486="E",AV486&gt;=0.5,AW486=1),PTHealth,IF(AND(AT486=3,AK486="E",AV486&gt;=0.5),PTHealth*P486,0))))</f>
        <v>0</v>
      </c>
      <c r="BD486" s="462">
        <f>IF(AND(AT486&lt;&gt;0,AX486&gt;=MAXSSDI),SSDI*MAXSSDI*P486,IF(AT486&lt;&gt;0,SSDI*W486,0))</f>
        <v>0</v>
      </c>
      <c r="BE486" s="462">
        <f>IF(AT486&lt;&gt;0,SSHI*W486,0)</f>
        <v>0</v>
      </c>
      <c r="BF486" s="462">
        <f>IF(AND(AT486&lt;&gt;0,AN486&lt;&gt;"NE"),VLOOKUP(AN486,Retirement_Rates,3,FALSE)*W486,0)</f>
        <v>0</v>
      </c>
      <c r="BG486" s="462">
        <f>IF(AND(AT486&lt;&gt;0,AJ486&lt;&gt;"PF"),Life*W486,0)</f>
        <v>0</v>
      </c>
      <c r="BH486" s="462">
        <f>IF(AND(AT486&lt;&gt;0,AM486="Y"),UI*W486,0)</f>
        <v>0</v>
      </c>
      <c r="BI486" s="462">
        <f>IF(AND(AT486&lt;&gt;0,N486&lt;&gt;"NR"),DHR*W486,0)</f>
        <v>0</v>
      </c>
      <c r="BJ486" s="462">
        <f>IF(AT486&lt;&gt;0,WC*W486,0)</f>
        <v>0</v>
      </c>
      <c r="BK486" s="462">
        <f>IF(OR(AND(AT486&lt;&gt;0,AJ486&lt;&gt;"PF",AN486&lt;&gt;"NE",AG486&lt;&gt;"A"),AND(AL486="E",OR(AT486=1,AT486=3))),Sick*W486,0)</f>
        <v>0</v>
      </c>
      <c r="BL486" s="462">
        <f t="shared" si="124"/>
        <v>0</v>
      </c>
      <c r="BM486" s="462">
        <f t="shared" si="125"/>
        <v>0</v>
      </c>
      <c r="BN486" s="462">
        <f>IF(AND(AT486=1,AK486="E",AU486&gt;=0.75,AW486=1),HealthBY,IF(AND(AT486=1,AK486="E",AU486&gt;=0.75),HealthBY*P486,IF(AND(AT486=1,AK486="E",AU486&gt;=0.5,AW486=1),PTHealthBY,IF(AND(AT486=1,AK486="E",AU486&gt;=0.5),PTHealthBY*P486,0))))</f>
        <v>0</v>
      </c>
      <c r="BO486" s="462">
        <f>IF(AND(AT486=3,AK486="E",AV486&gt;=0.75,AW486=1),HealthBY,IF(AND(AT486=3,AK486="E",AV486&gt;=0.75),HealthBY*P486,IF(AND(AT486=3,AK486="E",AV486&gt;=0.5,AW486=1),PTHealthBY,IF(AND(AT486=3,AK486="E",AV486&gt;=0.5),PTHealthBY*P486,0))))</f>
        <v>0</v>
      </c>
      <c r="BP486" s="462">
        <f>IF(AND(AT486&lt;&gt;0,(AX486+BA486)&gt;=MAXSSDIBY),SSDIBY*MAXSSDIBY*P486,IF(AT486&lt;&gt;0,SSDIBY*W486,0))</f>
        <v>0</v>
      </c>
      <c r="BQ486" s="462">
        <f>IF(AT486&lt;&gt;0,SSHIBY*W486,0)</f>
        <v>0</v>
      </c>
      <c r="BR486" s="462">
        <f>IF(AND(AT486&lt;&gt;0,AN486&lt;&gt;"NE"),VLOOKUP(AN486,Retirement_Rates,4,FALSE)*W486,0)</f>
        <v>0</v>
      </c>
      <c r="BS486" s="462">
        <f>IF(AND(AT486&lt;&gt;0,AJ486&lt;&gt;"PF"),LifeBY*W486,0)</f>
        <v>0</v>
      </c>
      <c r="BT486" s="462">
        <f>IF(AND(AT486&lt;&gt;0,AM486="Y"),UIBY*W486,0)</f>
        <v>0</v>
      </c>
      <c r="BU486" s="462">
        <f>IF(AND(AT486&lt;&gt;0,N486&lt;&gt;"NR"),DHRBY*W486,0)</f>
        <v>0</v>
      </c>
      <c r="BV486" s="462">
        <f>IF(AT486&lt;&gt;0,WCBY*W486,0)</f>
        <v>0</v>
      </c>
      <c r="BW486" s="462">
        <f>IF(OR(AND(AT486&lt;&gt;0,AJ486&lt;&gt;"PF",AN486&lt;&gt;"NE",AG486&lt;&gt;"A"),AND(AL486="E",OR(AT486=1,AT486=3))),SickBY*W486,0)</f>
        <v>0</v>
      </c>
      <c r="BX486" s="462">
        <f t="shared" si="126"/>
        <v>0</v>
      </c>
      <c r="BY486" s="462">
        <f t="shared" si="127"/>
        <v>0</v>
      </c>
      <c r="BZ486" s="462">
        <f t="shared" si="128"/>
        <v>0</v>
      </c>
      <c r="CA486" s="462">
        <f t="shared" si="129"/>
        <v>0</v>
      </c>
      <c r="CB486" s="462">
        <f t="shared" si="130"/>
        <v>0</v>
      </c>
      <c r="CC486" s="462">
        <f>IF(AT486&lt;&gt;0,SSHICHG*Y486,0)</f>
        <v>0</v>
      </c>
      <c r="CD486" s="462">
        <f>IF(AND(AT486&lt;&gt;0,AN486&lt;&gt;"NE"),VLOOKUP(AN486,Retirement_Rates,5,FALSE)*Y486,0)</f>
        <v>0</v>
      </c>
      <c r="CE486" s="462">
        <f>IF(AND(AT486&lt;&gt;0,AJ486&lt;&gt;"PF"),LifeCHG*Y486,0)</f>
        <v>0</v>
      </c>
      <c r="CF486" s="462">
        <f>IF(AND(AT486&lt;&gt;0,AM486="Y"),UICHG*Y486,0)</f>
        <v>0</v>
      </c>
      <c r="CG486" s="462">
        <f>IF(AND(AT486&lt;&gt;0,N486&lt;&gt;"NR"),DHRCHG*Y486,0)</f>
        <v>0</v>
      </c>
      <c r="CH486" s="462">
        <f>IF(AT486&lt;&gt;0,WCCHG*Y486,0)</f>
        <v>0</v>
      </c>
      <c r="CI486" s="462">
        <f>IF(OR(AND(AT486&lt;&gt;0,AJ486&lt;&gt;"PF",AN486&lt;&gt;"NE",AG486&lt;&gt;"A"),AND(AL486="E",OR(AT486=1,AT486=3))),SickCHG*Y486,0)</f>
        <v>0</v>
      </c>
      <c r="CJ486" s="462">
        <f t="shared" si="131"/>
        <v>0</v>
      </c>
      <c r="CK486" s="462" t="str">
        <f t="shared" si="132"/>
        <v/>
      </c>
      <c r="CL486" s="462">
        <f t="shared" si="133"/>
        <v>0</v>
      </c>
      <c r="CM486" s="462">
        <f t="shared" si="134"/>
        <v>0</v>
      </c>
      <c r="CN486" s="462" t="str">
        <f t="shared" si="135"/>
        <v>0486-00</v>
      </c>
    </row>
    <row r="487" spans="1:92" ht="15" thickBot="1" x14ac:dyDescent="0.35">
      <c r="A487" s="376" t="s">
        <v>161</v>
      </c>
      <c r="B487" s="376" t="s">
        <v>162</v>
      </c>
      <c r="C487" s="376" t="s">
        <v>1149</v>
      </c>
      <c r="D487" s="376" t="s">
        <v>1150</v>
      </c>
      <c r="E487" s="376" t="s">
        <v>1140</v>
      </c>
      <c r="F487" s="377" t="s">
        <v>166</v>
      </c>
      <c r="G487" s="376" t="s">
        <v>1141</v>
      </c>
      <c r="H487" s="378"/>
      <c r="I487" s="378"/>
      <c r="J487" s="376" t="s">
        <v>168</v>
      </c>
      <c r="K487" s="376" t="s">
        <v>1151</v>
      </c>
      <c r="L487" s="376" t="s">
        <v>166</v>
      </c>
      <c r="M487" s="376" t="s">
        <v>201</v>
      </c>
      <c r="N487" s="376" t="s">
        <v>291</v>
      </c>
      <c r="O487" s="379">
        <v>0</v>
      </c>
      <c r="P487" s="460">
        <v>1</v>
      </c>
      <c r="Q487" s="460">
        <v>0</v>
      </c>
      <c r="R487" s="380">
        <v>0</v>
      </c>
      <c r="S487" s="460">
        <v>0</v>
      </c>
      <c r="T487" s="380">
        <v>0</v>
      </c>
      <c r="U487" s="380">
        <v>0</v>
      </c>
      <c r="V487" s="380">
        <v>0</v>
      </c>
      <c r="W487" s="380">
        <v>0</v>
      </c>
      <c r="X487" s="380">
        <v>0</v>
      </c>
      <c r="Y487" s="380">
        <v>0</v>
      </c>
      <c r="Z487" s="380">
        <v>0</v>
      </c>
      <c r="AA487" s="378"/>
      <c r="AB487" s="376" t="s">
        <v>45</v>
      </c>
      <c r="AC487" s="376" t="s">
        <v>45</v>
      </c>
      <c r="AD487" s="378"/>
      <c r="AE487" s="378"/>
      <c r="AF487" s="378"/>
      <c r="AG487" s="378"/>
      <c r="AH487" s="379">
        <v>0</v>
      </c>
      <c r="AI487" s="379">
        <v>0</v>
      </c>
      <c r="AJ487" s="378"/>
      <c r="AK487" s="378"/>
      <c r="AL487" s="376" t="s">
        <v>180</v>
      </c>
      <c r="AM487" s="378"/>
      <c r="AN487" s="378"/>
      <c r="AO487" s="379">
        <v>0</v>
      </c>
      <c r="AP487" s="460">
        <v>0</v>
      </c>
      <c r="AQ487" s="460">
        <v>0</v>
      </c>
      <c r="AR487" s="459"/>
      <c r="AS487" s="462">
        <f t="shared" si="119"/>
        <v>0</v>
      </c>
      <c r="AT487">
        <f t="shared" si="120"/>
        <v>0</v>
      </c>
      <c r="AU487" s="462" t="str">
        <f>IF(AT487=0,"",IF(AND(AT487=1,M487="F",SUMIF(C2:C698,C487,AS2:AS698)&lt;=1),SUMIF(C2:C698,C487,AS2:AS698),IF(AND(AT487=1,M487="F",SUMIF(C2:C698,C487,AS2:AS698)&gt;1),1,"")))</f>
        <v/>
      </c>
      <c r="AV487" s="462" t="str">
        <f>IF(AT487=0,"",IF(AND(AT487=3,M487="F",SUMIF(C2:C698,C487,AS2:AS698)&lt;=1),SUMIF(C2:C698,C487,AS2:AS698),IF(AND(AT487=3,M487="F",SUMIF(C2:C698,C487,AS2:AS698)&gt;1),1,"")))</f>
        <v/>
      </c>
      <c r="AW487" s="462">
        <f>SUMIF(C2:C698,C487,O2:O698)</f>
        <v>0</v>
      </c>
      <c r="AX487" s="462">
        <f>IF(AND(M487="F",AS487&lt;&gt;0),SUMIF(C2:C698,C487,W2:W698),0)</f>
        <v>0</v>
      </c>
      <c r="AY487" s="462" t="str">
        <f t="shared" si="121"/>
        <v/>
      </c>
      <c r="AZ487" s="462" t="str">
        <f t="shared" si="122"/>
        <v/>
      </c>
      <c r="BA487" s="462">
        <f t="shared" si="123"/>
        <v>0</v>
      </c>
      <c r="BB487" s="462">
        <f>IF(AND(AT487=1,AK487="E",AU487&gt;=0.75,AW487=1),Health,IF(AND(AT487=1,AK487="E",AU487&gt;=0.75),Health*P487,IF(AND(AT487=1,AK487="E",AU487&gt;=0.5,AW487=1),PTHealth,IF(AND(AT487=1,AK487="E",AU487&gt;=0.5),PTHealth*P487,0))))</f>
        <v>0</v>
      </c>
      <c r="BC487" s="462">
        <f>IF(AND(AT487=3,AK487="E",AV487&gt;=0.75,AW487=1),Health,IF(AND(AT487=3,AK487="E",AV487&gt;=0.75),Health*P487,IF(AND(AT487=3,AK487="E",AV487&gt;=0.5,AW487=1),PTHealth,IF(AND(AT487=3,AK487="E",AV487&gt;=0.5),PTHealth*P487,0))))</f>
        <v>0</v>
      </c>
      <c r="BD487" s="462">
        <f>IF(AND(AT487&lt;&gt;0,AX487&gt;=MAXSSDI),SSDI*MAXSSDI*P487,IF(AT487&lt;&gt;0,SSDI*W487,0))</f>
        <v>0</v>
      </c>
      <c r="BE487" s="462">
        <f>IF(AT487&lt;&gt;0,SSHI*W487,0)</f>
        <v>0</v>
      </c>
      <c r="BF487" s="462">
        <f>IF(AND(AT487&lt;&gt;0,AN487&lt;&gt;"NE"),VLOOKUP(AN487,Retirement_Rates,3,FALSE)*W487,0)</f>
        <v>0</v>
      </c>
      <c r="BG487" s="462">
        <f>IF(AND(AT487&lt;&gt;0,AJ487&lt;&gt;"PF"),Life*W487,0)</f>
        <v>0</v>
      </c>
      <c r="BH487" s="462">
        <f>IF(AND(AT487&lt;&gt;0,AM487="Y"),UI*W487,0)</f>
        <v>0</v>
      </c>
      <c r="BI487" s="462">
        <f>IF(AND(AT487&lt;&gt;0,N487&lt;&gt;"NR"),DHR*W487,0)</f>
        <v>0</v>
      </c>
      <c r="BJ487" s="462">
        <f>IF(AT487&lt;&gt;0,WC*W487,0)</f>
        <v>0</v>
      </c>
      <c r="BK487" s="462">
        <f>IF(OR(AND(AT487&lt;&gt;0,AJ487&lt;&gt;"PF",AN487&lt;&gt;"NE",AG487&lt;&gt;"A"),AND(AL487="E",OR(AT487=1,AT487=3))),Sick*W487,0)</f>
        <v>0</v>
      </c>
      <c r="BL487" s="462">
        <f t="shared" si="124"/>
        <v>0</v>
      </c>
      <c r="BM487" s="462">
        <f t="shared" si="125"/>
        <v>0</v>
      </c>
      <c r="BN487" s="462">
        <f>IF(AND(AT487=1,AK487="E",AU487&gt;=0.75,AW487=1),HealthBY,IF(AND(AT487=1,AK487="E",AU487&gt;=0.75),HealthBY*P487,IF(AND(AT487=1,AK487="E",AU487&gt;=0.5,AW487=1),PTHealthBY,IF(AND(AT487=1,AK487="E",AU487&gt;=0.5),PTHealthBY*P487,0))))</f>
        <v>0</v>
      </c>
      <c r="BO487" s="462">
        <f>IF(AND(AT487=3,AK487="E",AV487&gt;=0.75,AW487=1),HealthBY,IF(AND(AT487=3,AK487="E",AV487&gt;=0.75),HealthBY*P487,IF(AND(AT487=3,AK487="E",AV487&gt;=0.5,AW487=1),PTHealthBY,IF(AND(AT487=3,AK487="E",AV487&gt;=0.5),PTHealthBY*P487,0))))</f>
        <v>0</v>
      </c>
      <c r="BP487" s="462">
        <f>IF(AND(AT487&lt;&gt;0,(AX487+BA487)&gt;=MAXSSDIBY),SSDIBY*MAXSSDIBY*P487,IF(AT487&lt;&gt;0,SSDIBY*W487,0))</f>
        <v>0</v>
      </c>
      <c r="BQ487" s="462">
        <f>IF(AT487&lt;&gt;0,SSHIBY*W487,0)</f>
        <v>0</v>
      </c>
      <c r="BR487" s="462">
        <f>IF(AND(AT487&lt;&gt;0,AN487&lt;&gt;"NE"),VLOOKUP(AN487,Retirement_Rates,4,FALSE)*W487,0)</f>
        <v>0</v>
      </c>
      <c r="BS487" s="462">
        <f>IF(AND(AT487&lt;&gt;0,AJ487&lt;&gt;"PF"),LifeBY*W487,0)</f>
        <v>0</v>
      </c>
      <c r="BT487" s="462">
        <f>IF(AND(AT487&lt;&gt;0,AM487="Y"),UIBY*W487,0)</f>
        <v>0</v>
      </c>
      <c r="BU487" s="462">
        <f>IF(AND(AT487&lt;&gt;0,N487&lt;&gt;"NR"),DHRBY*W487,0)</f>
        <v>0</v>
      </c>
      <c r="BV487" s="462">
        <f>IF(AT487&lt;&gt;0,WCBY*W487,0)</f>
        <v>0</v>
      </c>
      <c r="BW487" s="462">
        <f>IF(OR(AND(AT487&lt;&gt;0,AJ487&lt;&gt;"PF",AN487&lt;&gt;"NE",AG487&lt;&gt;"A"),AND(AL487="E",OR(AT487=1,AT487=3))),SickBY*W487,0)</f>
        <v>0</v>
      </c>
      <c r="BX487" s="462">
        <f t="shared" si="126"/>
        <v>0</v>
      </c>
      <c r="BY487" s="462">
        <f t="shared" si="127"/>
        <v>0</v>
      </c>
      <c r="BZ487" s="462">
        <f t="shared" si="128"/>
        <v>0</v>
      </c>
      <c r="CA487" s="462">
        <f t="shared" si="129"/>
        <v>0</v>
      </c>
      <c r="CB487" s="462">
        <f t="shared" si="130"/>
        <v>0</v>
      </c>
      <c r="CC487" s="462">
        <f>IF(AT487&lt;&gt;0,SSHICHG*Y487,0)</f>
        <v>0</v>
      </c>
      <c r="CD487" s="462">
        <f>IF(AND(AT487&lt;&gt;0,AN487&lt;&gt;"NE"),VLOOKUP(AN487,Retirement_Rates,5,FALSE)*Y487,0)</f>
        <v>0</v>
      </c>
      <c r="CE487" s="462">
        <f>IF(AND(AT487&lt;&gt;0,AJ487&lt;&gt;"PF"),LifeCHG*Y487,0)</f>
        <v>0</v>
      </c>
      <c r="CF487" s="462">
        <f>IF(AND(AT487&lt;&gt;0,AM487="Y"),UICHG*Y487,0)</f>
        <v>0</v>
      </c>
      <c r="CG487" s="462">
        <f>IF(AND(AT487&lt;&gt;0,N487&lt;&gt;"NR"),DHRCHG*Y487,0)</f>
        <v>0</v>
      </c>
      <c r="CH487" s="462">
        <f>IF(AT487&lt;&gt;0,WCCHG*Y487,0)</f>
        <v>0</v>
      </c>
      <c r="CI487" s="462">
        <f>IF(OR(AND(AT487&lt;&gt;0,AJ487&lt;&gt;"PF",AN487&lt;&gt;"NE",AG487&lt;&gt;"A"),AND(AL487="E",OR(AT487=1,AT487=3))),SickCHG*Y487,0)</f>
        <v>0</v>
      </c>
      <c r="CJ487" s="462">
        <f t="shared" si="131"/>
        <v>0</v>
      </c>
      <c r="CK487" s="462" t="str">
        <f t="shared" si="132"/>
        <v/>
      </c>
      <c r="CL487" s="462">
        <f t="shared" si="133"/>
        <v>0</v>
      </c>
      <c r="CM487" s="462">
        <f t="shared" si="134"/>
        <v>0</v>
      </c>
      <c r="CN487" s="462" t="str">
        <f t="shared" si="135"/>
        <v>0486-00</v>
      </c>
    </row>
    <row r="488" spans="1:92" ht="15" thickBot="1" x14ac:dyDescent="0.35">
      <c r="A488" s="376" t="s">
        <v>161</v>
      </c>
      <c r="B488" s="376" t="s">
        <v>162</v>
      </c>
      <c r="C488" s="376" t="s">
        <v>1152</v>
      </c>
      <c r="D488" s="376" t="s">
        <v>1153</v>
      </c>
      <c r="E488" s="376" t="s">
        <v>1140</v>
      </c>
      <c r="F488" s="377" t="s">
        <v>166</v>
      </c>
      <c r="G488" s="376" t="s">
        <v>1141</v>
      </c>
      <c r="H488" s="378"/>
      <c r="I488" s="378"/>
      <c r="J488" s="376" t="s">
        <v>168</v>
      </c>
      <c r="K488" s="376" t="s">
        <v>1154</v>
      </c>
      <c r="L488" s="376" t="s">
        <v>166</v>
      </c>
      <c r="M488" s="376" t="s">
        <v>201</v>
      </c>
      <c r="N488" s="376" t="s">
        <v>291</v>
      </c>
      <c r="O488" s="379">
        <v>0</v>
      </c>
      <c r="P488" s="460">
        <v>1</v>
      </c>
      <c r="Q488" s="460">
        <v>0</v>
      </c>
      <c r="R488" s="380">
        <v>0</v>
      </c>
      <c r="S488" s="460">
        <v>0</v>
      </c>
      <c r="T488" s="380">
        <v>0</v>
      </c>
      <c r="U488" s="380">
        <v>0</v>
      </c>
      <c r="V488" s="380">
        <v>0</v>
      </c>
      <c r="W488" s="380">
        <v>0</v>
      </c>
      <c r="X488" s="380">
        <v>0</v>
      </c>
      <c r="Y488" s="380">
        <v>0</v>
      </c>
      <c r="Z488" s="380">
        <v>0</v>
      </c>
      <c r="AA488" s="378"/>
      <c r="AB488" s="376" t="s">
        <v>45</v>
      </c>
      <c r="AC488" s="376" t="s">
        <v>45</v>
      </c>
      <c r="AD488" s="378"/>
      <c r="AE488" s="378"/>
      <c r="AF488" s="378"/>
      <c r="AG488" s="378"/>
      <c r="AH488" s="379">
        <v>0</v>
      </c>
      <c r="AI488" s="379">
        <v>0</v>
      </c>
      <c r="AJ488" s="378"/>
      <c r="AK488" s="378"/>
      <c r="AL488" s="376" t="s">
        <v>180</v>
      </c>
      <c r="AM488" s="378"/>
      <c r="AN488" s="378"/>
      <c r="AO488" s="379">
        <v>0</v>
      </c>
      <c r="AP488" s="460">
        <v>0</v>
      </c>
      <c r="AQ488" s="460">
        <v>0</v>
      </c>
      <c r="AR488" s="459"/>
      <c r="AS488" s="462">
        <f t="shared" si="119"/>
        <v>0</v>
      </c>
      <c r="AT488">
        <f t="shared" si="120"/>
        <v>0</v>
      </c>
      <c r="AU488" s="462" t="str">
        <f>IF(AT488=0,"",IF(AND(AT488=1,M488="F",SUMIF(C2:C698,C488,AS2:AS698)&lt;=1),SUMIF(C2:C698,C488,AS2:AS698),IF(AND(AT488=1,M488="F",SUMIF(C2:C698,C488,AS2:AS698)&gt;1),1,"")))</f>
        <v/>
      </c>
      <c r="AV488" s="462" t="str">
        <f>IF(AT488=0,"",IF(AND(AT488=3,M488="F",SUMIF(C2:C698,C488,AS2:AS698)&lt;=1),SUMIF(C2:C698,C488,AS2:AS698),IF(AND(AT488=3,M488="F",SUMIF(C2:C698,C488,AS2:AS698)&gt;1),1,"")))</f>
        <v/>
      </c>
      <c r="AW488" s="462">
        <f>SUMIF(C2:C698,C488,O2:O698)</f>
        <v>0</v>
      </c>
      <c r="AX488" s="462">
        <f>IF(AND(M488="F",AS488&lt;&gt;0),SUMIF(C2:C698,C488,W2:W698),0)</f>
        <v>0</v>
      </c>
      <c r="AY488" s="462" t="str">
        <f t="shared" si="121"/>
        <v/>
      </c>
      <c r="AZ488" s="462" t="str">
        <f t="shared" si="122"/>
        <v/>
      </c>
      <c r="BA488" s="462">
        <f t="shared" si="123"/>
        <v>0</v>
      </c>
      <c r="BB488" s="462">
        <f>IF(AND(AT488=1,AK488="E",AU488&gt;=0.75,AW488=1),Health,IF(AND(AT488=1,AK488="E",AU488&gt;=0.75),Health*P488,IF(AND(AT488=1,AK488="E",AU488&gt;=0.5,AW488=1),PTHealth,IF(AND(AT488=1,AK488="E",AU488&gt;=0.5),PTHealth*P488,0))))</f>
        <v>0</v>
      </c>
      <c r="BC488" s="462">
        <f>IF(AND(AT488=3,AK488="E",AV488&gt;=0.75,AW488=1),Health,IF(AND(AT488=3,AK488="E",AV488&gt;=0.75),Health*P488,IF(AND(AT488=3,AK488="E",AV488&gt;=0.5,AW488=1),PTHealth,IF(AND(AT488=3,AK488="E",AV488&gt;=0.5),PTHealth*P488,0))))</f>
        <v>0</v>
      </c>
      <c r="BD488" s="462">
        <f>IF(AND(AT488&lt;&gt;0,AX488&gt;=MAXSSDI),SSDI*MAXSSDI*P488,IF(AT488&lt;&gt;0,SSDI*W488,0))</f>
        <v>0</v>
      </c>
      <c r="BE488" s="462">
        <f>IF(AT488&lt;&gt;0,SSHI*W488,0)</f>
        <v>0</v>
      </c>
      <c r="BF488" s="462">
        <f>IF(AND(AT488&lt;&gt;0,AN488&lt;&gt;"NE"),VLOOKUP(AN488,Retirement_Rates,3,FALSE)*W488,0)</f>
        <v>0</v>
      </c>
      <c r="BG488" s="462">
        <f>IF(AND(AT488&lt;&gt;0,AJ488&lt;&gt;"PF"),Life*W488,0)</f>
        <v>0</v>
      </c>
      <c r="BH488" s="462">
        <f>IF(AND(AT488&lt;&gt;0,AM488="Y"),UI*W488,0)</f>
        <v>0</v>
      </c>
      <c r="BI488" s="462">
        <f>IF(AND(AT488&lt;&gt;0,N488&lt;&gt;"NR"),DHR*W488,0)</f>
        <v>0</v>
      </c>
      <c r="BJ488" s="462">
        <f>IF(AT488&lt;&gt;0,WC*W488,0)</f>
        <v>0</v>
      </c>
      <c r="BK488" s="462">
        <f>IF(OR(AND(AT488&lt;&gt;0,AJ488&lt;&gt;"PF",AN488&lt;&gt;"NE",AG488&lt;&gt;"A"),AND(AL488="E",OR(AT488=1,AT488=3))),Sick*W488,0)</f>
        <v>0</v>
      </c>
      <c r="BL488" s="462">
        <f t="shared" si="124"/>
        <v>0</v>
      </c>
      <c r="BM488" s="462">
        <f t="shared" si="125"/>
        <v>0</v>
      </c>
      <c r="BN488" s="462">
        <f>IF(AND(AT488=1,AK488="E",AU488&gt;=0.75,AW488=1),HealthBY,IF(AND(AT488=1,AK488="E",AU488&gt;=0.75),HealthBY*P488,IF(AND(AT488=1,AK488="E",AU488&gt;=0.5,AW488=1),PTHealthBY,IF(AND(AT488=1,AK488="E",AU488&gt;=0.5),PTHealthBY*P488,0))))</f>
        <v>0</v>
      </c>
      <c r="BO488" s="462">
        <f>IF(AND(AT488=3,AK488="E",AV488&gt;=0.75,AW488=1),HealthBY,IF(AND(AT488=3,AK488="E",AV488&gt;=0.75),HealthBY*P488,IF(AND(AT488=3,AK488="E",AV488&gt;=0.5,AW488=1),PTHealthBY,IF(AND(AT488=3,AK488="E",AV488&gt;=0.5),PTHealthBY*P488,0))))</f>
        <v>0</v>
      </c>
      <c r="BP488" s="462">
        <f>IF(AND(AT488&lt;&gt;0,(AX488+BA488)&gt;=MAXSSDIBY),SSDIBY*MAXSSDIBY*P488,IF(AT488&lt;&gt;0,SSDIBY*W488,0))</f>
        <v>0</v>
      </c>
      <c r="BQ488" s="462">
        <f>IF(AT488&lt;&gt;0,SSHIBY*W488,0)</f>
        <v>0</v>
      </c>
      <c r="BR488" s="462">
        <f>IF(AND(AT488&lt;&gt;0,AN488&lt;&gt;"NE"),VLOOKUP(AN488,Retirement_Rates,4,FALSE)*W488,0)</f>
        <v>0</v>
      </c>
      <c r="BS488" s="462">
        <f>IF(AND(AT488&lt;&gt;0,AJ488&lt;&gt;"PF"),LifeBY*W488,0)</f>
        <v>0</v>
      </c>
      <c r="BT488" s="462">
        <f>IF(AND(AT488&lt;&gt;0,AM488="Y"),UIBY*W488,0)</f>
        <v>0</v>
      </c>
      <c r="BU488" s="462">
        <f>IF(AND(AT488&lt;&gt;0,N488&lt;&gt;"NR"),DHRBY*W488,0)</f>
        <v>0</v>
      </c>
      <c r="BV488" s="462">
        <f>IF(AT488&lt;&gt;0,WCBY*W488,0)</f>
        <v>0</v>
      </c>
      <c r="BW488" s="462">
        <f>IF(OR(AND(AT488&lt;&gt;0,AJ488&lt;&gt;"PF",AN488&lt;&gt;"NE",AG488&lt;&gt;"A"),AND(AL488="E",OR(AT488=1,AT488=3))),SickBY*W488,0)</f>
        <v>0</v>
      </c>
      <c r="BX488" s="462">
        <f t="shared" si="126"/>
        <v>0</v>
      </c>
      <c r="BY488" s="462">
        <f t="shared" si="127"/>
        <v>0</v>
      </c>
      <c r="BZ488" s="462">
        <f t="shared" si="128"/>
        <v>0</v>
      </c>
      <c r="CA488" s="462">
        <f t="shared" si="129"/>
        <v>0</v>
      </c>
      <c r="CB488" s="462">
        <f t="shared" si="130"/>
        <v>0</v>
      </c>
      <c r="CC488" s="462">
        <f>IF(AT488&lt;&gt;0,SSHICHG*Y488,0)</f>
        <v>0</v>
      </c>
      <c r="CD488" s="462">
        <f>IF(AND(AT488&lt;&gt;0,AN488&lt;&gt;"NE"),VLOOKUP(AN488,Retirement_Rates,5,FALSE)*Y488,0)</f>
        <v>0</v>
      </c>
      <c r="CE488" s="462">
        <f>IF(AND(AT488&lt;&gt;0,AJ488&lt;&gt;"PF"),LifeCHG*Y488,0)</f>
        <v>0</v>
      </c>
      <c r="CF488" s="462">
        <f>IF(AND(AT488&lt;&gt;0,AM488="Y"),UICHG*Y488,0)</f>
        <v>0</v>
      </c>
      <c r="CG488" s="462">
        <f>IF(AND(AT488&lt;&gt;0,N488&lt;&gt;"NR"),DHRCHG*Y488,0)</f>
        <v>0</v>
      </c>
      <c r="CH488" s="462">
        <f>IF(AT488&lt;&gt;0,WCCHG*Y488,0)</f>
        <v>0</v>
      </c>
      <c r="CI488" s="462">
        <f>IF(OR(AND(AT488&lt;&gt;0,AJ488&lt;&gt;"PF",AN488&lt;&gt;"NE",AG488&lt;&gt;"A"),AND(AL488="E",OR(AT488=1,AT488=3))),SickCHG*Y488,0)</f>
        <v>0</v>
      </c>
      <c r="CJ488" s="462">
        <f t="shared" si="131"/>
        <v>0</v>
      </c>
      <c r="CK488" s="462" t="str">
        <f t="shared" si="132"/>
        <v/>
      </c>
      <c r="CL488" s="462">
        <f t="shared" si="133"/>
        <v>0</v>
      </c>
      <c r="CM488" s="462">
        <f t="shared" si="134"/>
        <v>0</v>
      </c>
      <c r="CN488" s="462" t="str">
        <f t="shared" si="135"/>
        <v>0486-00</v>
      </c>
    </row>
    <row r="489" spans="1:92" ht="15" thickBot="1" x14ac:dyDescent="0.35">
      <c r="A489" s="376" t="s">
        <v>161</v>
      </c>
      <c r="B489" s="376" t="s">
        <v>162</v>
      </c>
      <c r="C489" s="376" t="s">
        <v>1155</v>
      </c>
      <c r="D489" s="376" t="s">
        <v>1156</v>
      </c>
      <c r="E489" s="376" t="s">
        <v>1140</v>
      </c>
      <c r="F489" s="377" t="s">
        <v>166</v>
      </c>
      <c r="G489" s="376" t="s">
        <v>1141</v>
      </c>
      <c r="H489" s="378"/>
      <c r="I489" s="378"/>
      <c r="J489" s="376" t="s">
        <v>168</v>
      </c>
      <c r="K489" s="376" t="s">
        <v>1157</v>
      </c>
      <c r="L489" s="376" t="s">
        <v>166</v>
      </c>
      <c r="M489" s="376" t="s">
        <v>201</v>
      </c>
      <c r="N489" s="376" t="s">
        <v>291</v>
      </c>
      <c r="O489" s="379">
        <v>0</v>
      </c>
      <c r="P489" s="460">
        <v>1</v>
      </c>
      <c r="Q489" s="460">
        <v>0</v>
      </c>
      <c r="R489" s="380">
        <v>0</v>
      </c>
      <c r="S489" s="460">
        <v>0</v>
      </c>
      <c r="T489" s="380">
        <v>0</v>
      </c>
      <c r="U489" s="380">
        <v>0</v>
      </c>
      <c r="V489" s="380">
        <v>0</v>
      </c>
      <c r="W489" s="380">
        <v>0</v>
      </c>
      <c r="X489" s="380">
        <v>0</v>
      </c>
      <c r="Y489" s="380">
        <v>0</v>
      </c>
      <c r="Z489" s="380">
        <v>0</v>
      </c>
      <c r="AA489" s="378"/>
      <c r="AB489" s="376" t="s">
        <v>45</v>
      </c>
      <c r="AC489" s="376" t="s">
        <v>45</v>
      </c>
      <c r="AD489" s="378"/>
      <c r="AE489" s="378"/>
      <c r="AF489" s="378"/>
      <c r="AG489" s="378"/>
      <c r="AH489" s="379">
        <v>0</v>
      </c>
      <c r="AI489" s="379">
        <v>0</v>
      </c>
      <c r="AJ489" s="378"/>
      <c r="AK489" s="378"/>
      <c r="AL489" s="376" t="s">
        <v>180</v>
      </c>
      <c r="AM489" s="378"/>
      <c r="AN489" s="378"/>
      <c r="AO489" s="379">
        <v>0</v>
      </c>
      <c r="AP489" s="460">
        <v>0</v>
      </c>
      <c r="AQ489" s="460">
        <v>0</v>
      </c>
      <c r="AR489" s="459"/>
      <c r="AS489" s="462">
        <f t="shared" si="119"/>
        <v>0</v>
      </c>
      <c r="AT489">
        <f t="shared" si="120"/>
        <v>0</v>
      </c>
      <c r="AU489" s="462" t="str">
        <f>IF(AT489=0,"",IF(AND(AT489=1,M489="F",SUMIF(C2:C698,C489,AS2:AS698)&lt;=1),SUMIF(C2:C698,C489,AS2:AS698),IF(AND(AT489=1,M489="F",SUMIF(C2:C698,C489,AS2:AS698)&gt;1),1,"")))</f>
        <v/>
      </c>
      <c r="AV489" s="462" t="str">
        <f>IF(AT489=0,"",IF(AND(AT489=3,M489="F",SUMIF(C2:C698,C489,AS2:AS698)&lt;=1),SUMIF(C2:C698,C489,AS2:AS698),IF(AND(AT489=3,M489="F",SUMIF(C2:C698,C489,AS2:AS698)&gt;1),1,"")))</f>
        <v/>
      </c>
      <c r="AW489" s="462">
        <f>SUMIF(C2:C698,C489,O2:O698)</f>
        <v>0</v>
      </c>
      <c r="AX489" s="462">
        <f>IF(AND(M489="F",AS489&lt;&gt;0),SUMIF(C2:C698,C489,W2:W698),0)</f>
        <v>0</v>
      </c>
      <c r="AY489" s="462" t="str">
        <f t="shared" si="121"/>
        <v/>
      </c>
      <c r="AZ489" s="462" t="str">
        <f t="shared" si="122"/>
        <v/>
      </c>
      <c r="BA489" s="462">
        <f t="shared" si="123"/>
        <v>0</v>
      </c>
      <c r="BB489" s="462">
        <f>IF(AND(AT489=1,AK489="E",AU489&gt;=0.75,AW489=1),Health,IF(AND(AT489=1,AK489="E",AU489&gt;=0.75),Health*P489,IF(AND(AT489=1,AK489="E",AU489&gt;=0.5,AW489=1),PTHealth,IF(AND(AT489=1,AK489="E",AU489&gt;=0.5),PTHealth*P489,0))))</f>
        <v>0</v>
      </c>
      <c r="BC489" s="462">
        <f>IF(AND(AT489=3,AK489="E",AV489&gt;=0.75,AW489=1),Health,IF(AND(AT489=3,AK489="E",AV489&gt;=0.75),Health*P489,IF(AND(AT489=3,AK489="E",AV489&gt;=0.5,AW489=1),PTHealth,IF(AND(AT489=3,AK489="E",AV489&gt;=0.5),PTHealth*P489,0))))</f>
        <v>0</v>
      </c>
      <c r="BD489" s="462">
        <f>IF(AND(AT489&lt;&gt;0,AX489&gt;=MAXSSDI),SSDI*MAXSSDI*P489,IF(AT489&lt;&gt;0,SSDI*W489,0))</f>
        <v>0</v>
      </c>
      <c r="BE489" s="462">
        <f>IF(AT489&lt;&gt;0,SSHI*W489,0)</f>
        <v>0</v>
      </c>
      <c r="BF489" s="462">
        <f>IF(AND(AT489&lt;&gt;0,AN489&lt;&gt;"NE"),VLOOKUP(AN489,Retirement_Rates,3,FALSE)*W489,0)</f>
        <v>0</v>
      </c>
      <c r="BG489" s="462">
        <f>IF(AND(AT489&lt;&gt;0,AJ489&lt;&gt;"PF"),Life*W489,0)</f>
        <v>0</v>
      </c>
      <c r="BH489" s="462">
        <f>IF(AND(AT489&lt;&gt;0,AM489="Y"),UI*W489,0)</f>
        <v>0</v>
      </c>
      <c r="BI489" s="462">
        <f>IF(AND(AT489&lt;&gt;0,N489&lt;&gt;"NR"),DHR*W489,0)</f>
        <v>0</v>
      </c>
      <c r="BJ489" s="462">
        <f>IF(AT489&lt;&gt;0,WC*W489,0)</f>
        <v>0</v>
      </c>
      <c r="BK489" s="462">
        <f>IF(OR(AND(AT489&lt;&gt;0,AJ489&lt;&gt;"PF",AN489&lt;&gt;"NE",AG489&lt;&gt;"A"),AND(AL489="E",OR(AT489=1,AT489=3))),Sick*W489,0)</f>
        <v>0</v>
      </c>
      <c r="BL489" s="462">
        <f t="shared" si="124"/>
        <v>0</v>
      </c>
      <c r="BM489" s="462">
        <f t="shared" si="125"/>
        <v>0</v>
      </c>
      <c r="BN489" s="462">
        <f>IF(AND(AT489=1,AK489="E",AU489&gt;=0.75,AW489=1),HealthBY,IF(AND(AT489=1,AK489="E",AU489&gt;=0.75),HealthBY*P489,IF(AND(AT489=1,AK489="E",AU489&gt;=0.5,AW489=1),PTHealthBY,IF(AND(AT489=1,AK489="E",AU489&gt;=0.5),PTHealthBY*P489,0))))</f>
        <v>0</v>
      </c>
      <c r="BO489" s="462">
        <f>IF(AND(AT489=3,AK489="E",AV489&gt;=0.75,AW489=1),HealthBY,IF(AND(AT489=3,AK489="E",AV489&gt;=0.75),HealthBY*P489,IF(AND(AT489=3,AK489="E",AV489&gt;=0.5,AW489=1),PTHealthBY,IF(AND(AT489=3,AK489="E",AV489&gt;=0.5),PTHealthBY*P489,0))))</f>
        <v>0</v>
      </c>
      <c r="BP489" s="462">
        <f>IF(AND(AT489&lt;&gt;0,(AX489+BA489)&gt;=MAXSSDIBY),SSDIBY*MAXSSDIBY*P489,IF(AT489&lt;&gt;0,SSDIBY*W489,0))</f>
        <v>0</v>
      </c>
      <c r="BQ489" s="462">
        <f>IF(AT489&lt;&gt;0,SSHIBY*W489,0)</f>
        <v>0</v>
      </c>
      <c r="BR489" s="462">
        <f>IF(AND(AT489&lt;&gt;0,AN489&lt;&gt;"NE"),VLOOKUP(AN489,Retirement_Rates,4,FALSE)*W489,0)</f>
        <v>0</v>
      </c>
      <c r="BS489" s="462">
        <f>IF(AND(AT489&lt;&gt;0,AJ489&lt;&gt;"PF"),LifeBY*W489,0)</f>
        <v>0</v>
      </c>
      <c r="BT489" s="462">
        <f>IF(AND(AT489&lt;&gt;0,AM489="Y"),UIBY*W489,0)</f>
        <v>0</v>
      </c>
      <c r="BU489" s="462">
        <f>IF(AND(AT489&lt;&gt;0,N489&lt;&gt;"NR"),DHRBY*W489,0)</f>
        <v>0</v>
      </c>
      <c r="BV489" s="462">
        <f>IF(AT489&lt;&gt;0,WCBY*W489,0)</f>
        <v>0</v>
      </c>
      <c r="BW489" s="462">
        <f>IF(OR(AND(AT489&lt;&gt;0,AJ489&lt;&gt;"PF",AN489&lt;&gt;"NE",AG489&lt;&gt;"A"),AND(AL489="E",OR(AT489=1,AT489=3))),SickBY*W489,0)</f>
        <v>0</v>
      </c>
      <c r="BX489" s="462">
        <f t="shared" si="126"/>
        <v>0</v>
      </c>
      <c r="BY489" s="462">
        <f t="shared" si="127"/>
        <v>0</v>
      </c>
      <c r="BZ489" s="462">
        <f t="shared" si="128"/>
        <v>0</v>
      </c>
      <c r="CA489" s="462">
        <f t="shared" si="129"/>
        <v>0</v>
      </c>
      <c r="CB489" s="462">
        <f t="shared" si="130"/>
        <v>0</v>
      </c>
      <c r="CC489" s="462">
        <f>IF(AT489&lt;&gt;0,SSHICHG*Y489,0)</f>
        <v>0</v>
      </c>
      <c r="CD489" s="462">
        <f>IF(AND(AT489&lt;&gt;0,AN489&lt;&gt;"NE"),VLOOKUP(AN489,Retirement_Rates,5,FALSE)*Y489,0)</f>
        <v>0</v>
      </c>
      <c r="CE489" s="462">
        <f>IF(AND(AT489&lt;&gt;0,AJ489&lt;&gt;"PF"),LifeCHG*Y489,0)</f>
        <v>0</v>
      </c>
      <c r="CF489" s="462">
        <f>IF(AND(AT489&lt;&gt;0,AM489="Y"),UICHG*Y489,0)</f>
        <v>0</v>
      </c>
      <c r="CG489" s="462">
        <f>IF(AND(AT489&lt;&gt;0,N489&lt;&gt;"NR"),DHRCHG*Y489,0)</f>
        <v>0</v>
      </c>
      <c r="CH489" s="462">
        <f>IF(AT489&lt;&gt;0,WCCHG*Y489,0)</f>
        <v>0</v>
      </c>
      <c r="CI489" s="462">
        <f>IF(OR(AND(AT489&lt;&gt;0,AJ489&lt;&gt;"PF",AN489&lt;&gt;"NE",AG489&lt;&gt;"A"),AND(AL489="E",OR(AT489=1,AT489=3))),SickCHG*Y489,0)</f>
        <v>0</v>
      </c>
      <c r="CJ489" s="462">
        <f t="shared" si="131"/>
        <v>0</v>
      </c>
      <c r="CK489" s="462" t="str">
        <f t="shared" si="132"/>
        <v/>
      </c>
      <c r="CL489" s="462">
        <f t="shared" si="133"/>
        <v>0</v>
      </c>
      <c r="CM489" s="462">
        <f t="shared" si="134"/>
        <v>0</v>
      </c>
      <c r="CN489" s="462" t="str">
        <f t="shared" si="135"/>
        <v>0486-00</v>
      </c>
    </row>
    <row r="490" spans="1:92" ht="15" thickBot="1" x14ac:dyDescent="0.35">
      <c r="A490" s="376" t="s">
        <v>161</v>
      </c>
      <c r="B490" s="376" t="s">
        <v>162</v>
      </c>
      <c r="C490" s="376" t="s">
        <v>1158</v>
      </c>
      <c r="D490" s="376" t="s">
        <v>1159</v>
      </c>
      <c r="E490" s="376" t="s">
        <v>1140</v>
      </c>
      <c r="F490" s="377" t="s">
        <v>166</v>
      </c>
      <c r="G490" s="376" t="s">
        <v>1141</v>
      </c>
      <c r="H490" s="378"/>
      <c r="I490" s="378"/>
      <c r="J490" s="376" t="s">
        <v>168</v>
      </c>
      <c r="K490" s="376" t="s">
        <v>1160</v>
      </c>
      <c r="L490" s="376" t="s">
        <v>166</v>
      </c>
      <c r="M490" s="376" t="s">
        <v>201</v>
      </c>
      <c r="N490" s="376" t="s">
        <v>291</v>
      </c>
      <c r="O490" s="379">
        <v>0</v>
      </c>
      <c r="P490" s="460">
        <v>1</v>
      </c>
      <c r="Q490" s="460">
        <v>0</v>
      </c>
      <c r="R490" s="380">
        <v>0</v>
      </c>
      <c r="S490" s="460">
        <v>0</v>
      </c>
      <c r="T490" s="380">
        <v>0</v>
      </c>
      <c r="U490" s="380">
        <v>0</v>
      </c>
      <c r="V490" s="380">
        <v>0</v>
      </c>
      <c r="W490" s="380">
        <v>0</v>
      </c>
      <c r="X490" s="380">
        <v>0</v>
      </c>
      <c r="Y490" s="380">
        <v>0</v>
      </c>
      <c r="Z490" s="380">
        <v>0</v>
      </c>
      <c r="AA490" s="378"/>
      <c r="AB490" s="376" t="s">
        <v>45</v>
      </c>
      <c r="AC490" s="376" t="s">
        <v>45</v>
      </c>
      <c r="AD490" s="378"/>
      <c r="AE490" s="378"/>
      <c r="AF490" s="378"/>
      <c r="AG490" s="378"/>
      <c r="AH490" s="379">
        <v>0</v>
      </c>
      <c r="AI490" s="379">
        <v>0</v>
      </c>
      <c r="AJ490" s="378"/>
      <c r="AK490" s="378"/>
      <c r="AL490" s="376" t="s">
        <v>180</v>
      </c>
      <c r="AM490" s="378"/>
      <c r="AN490" s="378"/>
      <c r="AO490" s="379">
        <v>0</v>
      </c>
      <c r="AP490" s="460">
        <v>0</v>
      </c>
      <c r="AQ490" s="460">
        <v>0</v>
      </c>
      <c r="AR490" s="459"/>
      <c r="AS490" s="462">
        <f t="shared" si="119"/>
        <v>0</v>
      </c>
      <c r="AT490">
        <f t="shared" si="120"/>
        <v>0</v>
      </c>
      <c r="AU490" s="462" t="str">
        <f>IF(AT490=0,"",IF(AND(AT490=1,M490="F",SUMIF(C2:C698,C490,AS2:AS698)&lt;=1),SUMIF(C2:C698,C490,AS2:AS698),IF(AND(AT490=1,M490="F",SUMIF(C2:C698,C490,AS2:AS698)&gt;1),1,"")))</f>
        <v/>
      </c>
      <c r="AV490" s="462" t="str">
        <f>IF(AT490=0,"",IF(AND(AT490=3,M490="F",SUMIF(C2:C698,C490,AS2:AS698)&lt;=1),SUMIF(C2:C698,C490,AS2:AS698),IF(AND(AT490=3,M490="F",SUMIF(C2:C698,C490,AS2:AS698)&gt;1),1,"")))</f>
        <v/>
      </c>
      <c r="AW490" s="462">
        <f>SUMIF(C2:C698,C490,O2:O698)</f>
        <v>0</v>
      </c>
      <c r="AX490" s="462">
        <f>IF(AND(M490="F",AS490&lt;&gt;0),SUMIF(C2:C698,C490,W2:W698),0)</f>
        <v>0</v>
      </c>
      <c r="AY490" s="462" t="str">
        <f t="shared" si="121"/>
        <v/>
      </c>
      <c r="AZ490" s="462" t="str">
        <f t="shared" si="122"/>
        <v/>
      </c>
      <c r="BA490" s="462">
        <f t="shared" si="123"/>
        <v>0</v>
      </c>
      <c r="BB490" s="462">
        <f>IF(AND(AT490=1,AK490="E",AU490&gt;=0.75,AW490=1),Health,IF(AND(AT490=1,AK490="E",AU490&gt;=0.75),Health*P490,IF(AND(AT490=1,AK490="E",AU490&gt;=0.5,AW490=1),PTHealth,IF(AND(AT490=1,AK490="E",AU490&gt;=0.5),PTHealth*P490,0))))</f>
        <v>0</v>
      </c>
      <c r="BC490" s="462">
        <f>IF(AND(AT490=3,AK490="E",AV490&gt;=0.75,AW490=1),Health,IF(AND(AT490=3,AK490="E",AV490&gt;=0.75),Health*P490,IF(AND(AT490=3,AK490="E",AV490&gt;=0.5,AW490=1),PTHealth,IF(AND(AT490=3,AK490="E",AV490&gt;=0.5),PTHealth*P490,0))))</f>
        <v>0</v>
      </c>
      <c r="BD490" s="462">
        <f>IF(AND(AT490&lt;&gt;0,AX490&gt;=MAXSSDI),SSDI*MAXSSDI*P490,IF(AT490&lt;&gt;0,SSDI*W490,0))</f>
        <v>0</v>
      </c>
      <c r="BE490" s="462">
        <f>IF(AT490&lt;&gt;0,SSHI*W490,0)</f>
        <v>0</v>
      </c>
      <c r="BF490" s="462">
        <f>IF(AND(AT490&lt;&gt;0,AN490&lt;&gt;"NE"),VLOOKUP(AN490,Retirement_Rates,3,FALSE)*W490,0)</f>
        <v>0</v>
      </c>
      <c r="BG490" s="462">
        <f>IF(AND(AT490&lt;&gt;0,AJ490&lt;&gt;"PF"),Life*W490,0)</f>
        <v>0</v>
      </c>
      <c r="BH490" s="462">
        <f>IF(AND(AT490&lt;&gt;0,AM490="Y"),UI*W490,0)</f>
        <v>0</v>
      </c>
      <c r="BI490" s="462">
        <f>IF(AND(AT490&lt;&gt;0,N490&lt;&gt;"NR"),DHR*W490,0)</f>
        <v>0</v>
      </c>
      <c r="BJ490" s="462">
        <f>IF(AT490&lt;&gt;0,WC*W490,0)</f>
        <v>0</v>
      </c>
      <c r="BK490" s="462">
        <f>IF(OR(AND(AT490&lt;&gt;0,AJ490&lt;&gt;"PF",AN490&lt;&gt;"NE",AG490&lt;&gt;"A"),AND(AL490="E",OR(AT490=1,AT490=3))),Sick*W490,0)</f>
        <v>0</v>
      </c>
      <c r="BL490" s="462">
        <f t="shared" si="124"/>
        <v>0</v>
      </c>
      <c r="BM490" s="462">
        <f t="shared" si="125"/>
        <v>0</v>
      </c>
      <c r="BN490" s="462">
        <f>IF(AND(AT490=1,AK490="E",AU490&gt;=0.75,AW490=1),HealthBY,IF(AND(AT490=1,AK490="E",AU490&gt;=0.75),HealthBY*P490,IF(AND(AT490=1,AK490="E",AU490&gt;=0.5,AW490=1),PTHealthBY,IF(AND(AT490=1,AK490="E",AU490&gt;=0.5),PTHealthBY*P490,0))))</f>
        <v>0</v>
      </c>
      <c r="BO490" s="462">
        <f>IF(AND(AT490=3,AK490="E",AV490&gt;=0.75,AW490=1),HealthBY,IF(AND(AT490=3,AK490="E",AV490&gt;=0.75),HealthBY*P490,IF(AND(AT490=3,AK490="E",AV490&gt;=0.5,AW490=1),PTHealthBY,IF(AND(AT490=3,AK490="E",AV490&gt;=0.5),PTHealthBY*P490,0))))</f>
        <v>0</v>
      </c>
      <c r="BP490" s="462">
        <f>IF(AND(AT490&lt;&gt;0,(AX490+BA490)&gt;=MAXSSDIBY),SSDIBY*MAXSSDIBY*P490,IF(AT490&lt;&gt;0,SSDIBY*W490,0))</f>
        <v>0</v>
      </c>
      <c r="BQ490" s="462">
        <f>IF(AT490&lt;&gt;0,SSHIBY*W490,0)</f>
        <v>0</v>
      </c>
      <c r="BR490" s="462">
        <f>IF(AND(AT490&lt;&gt;0,AN490&lt;&gt;"NE"),VLOOKUP(AN490,Retirement_Rates,4,FALSE)*W490,0)</f>
        <v>0</v>
      </c>
      <c r="BS490" s="462">
        <f>IF(AND(AT490&lt;&gt;0,AJ490&lt;&gt;"PF"),LifeBY*W490,0)</f>
        <v>0</v>
      </c>
      <c r="BT490" s="462">
        <f>IF(AND(AT490&lt;&gt;0,AM490="Y"),UIBY*W490,0)</f>
        <v>0</v>
      </c>
      <c r="BU490" s="462">
        <f>IF(AND(AT490&lt;&gt;0,N490&lt;&gt;"NR"),DHRBY*W490,0)</f>
        <v>0</v>
      </c>
      <c r="BV490" s="462">
        <f>IF(AT490&lt;&gt;0,WCBY*W490,0)</f>
        <v>0</v>
      </c>
      <c r="BW490" s="462">
        <f>IF(OR(AND(AT490&lt;&gt;0,AJ490&lt;&gt;"PF",AN490&lt;&gt;"NE",AG490&lt;&gt;"A"),AND(AL490="E",OR(AT490=1,AT490=3))),SickBY*W490,0)</f>
        <v>0</v>
      </c>
      <c r="BX490" s="462">
        <f t="shared" si="126"/>
        <v>0</v>
      </c>
      <c r="BY490" s="462">
        <f t="shared" si="127"/>
        <v>0</v>
      </c>
      <c r="BZ490" s="462">
        <f t="shared" si="128"/>
        <v>0</v>
      </c>
      <c r="CA490" s="462">
        <f t="shared" si="129"/>
        <v>0</v>
      </c>
      <c r="CB490" s="462">
        <f t="shared" si="130"/>
        <v>0</v>
      </c>
      <c r="CC490" s="462">
        <f>IF(AT490&lt;&gt;0,SSHICHG*Y490,0)</f>
        <v>0</v>
      </c>
      <c r="CD490" s="462">
        <f>IF(AND(AT490&lt;&gt;0,AN490&lt;&gt;"NE"),VLOOKUP(AN490,Retirement_Rates,5,FALSE)*Y490,0)</f>
        <v>0</v>
      </c>
      <c r="CE490" s="462">
        <f>IF(AND(AT490&lt;&gt;0,AJ490&lt;&gt;"PF"),LifeCHG*Y490,0)</f>
        <v>0</v>
      </c>
      <c r="CF490" s="462">
        <f>IF(AND(AT490&lt;&gt;0,AM490="Y"),UICHG*Y490,0)</f>
        <v>0</v>
      </c>
      <c r="CG490" s="462">
        <f>IF(AND(AT490&lt;&gt;0,N490&lt;&gt;"NR"),DHRCHG*Y490,0)</f>
        <v>0</v>
      </c>
      <c r="CH490" s="462">
        <f>IF(AT490&lt;&gt;0,WCCHG*Y490,0)</f>
        <v>0</v>
      </c>
      <c r="CI490" s="462">
        <f>IF(OR(AND(AT490&lt;&gt;0,AJ490&lt;&gt;"PF",AN490&lt;&gt;"NE",AG490&lt;&gt;"A"),AND(AL490="E",OR(AT490=1,AT490=3))),SickCHG*Y490,0)</f>
        <v>0</v>
      </c>
      <c r="CJ490" s="462">
        <f t="shared" si="131"/>
        <v>0</v>
      </c>
      <c r="CK490" s="462" t="str">
        <f t="shared" si="132"/>
        <v/>
      </c>
      <c r="CL490" s="462">
        <f t="shared" si="133"/>
        <v>0</v>
      </c>
      <c r="CM490" s="462">
        <f t="shared" si="134"/>
        <v>0</v>
      </c>
      <c r="CN490" s="462" t="str">
        <f t="shared" si="135"/>
        <v>0486-00</v>
      </c>
    </row>
    <row r="491" spans="1:92" ht="15" thickBot="1" x14ac:dyDescent="0.35">
      <c r="A491" s="376" t="s">
        <v>161</v>
      </c>
      <c r="B491" s="376" t="s">
        <v>162</v>
      </c>
      <c r="C491" s="376" t="s">
        <v>1161</v>
      </c>
      <c r="D491" s="376" t="s">
        <v>1153</v>
      </c>
      <c r="E491" s="376" t="s">
        <v>1140</v>
      </c>
      <c r="F491" s="377" t="s">
        <v>166</v>
      </c>
      <c r="G491" s="376" t="s">
        <v>1141</v>
      </c>
      <c r="H491" s="378"/>
      <c r="I491" s="378"/>
      <c r="J491" s="376" t="s">
        <v>168</v>
      </c>
      <c r="K491" s="376" t="s">
        <v>1154</v>
      </c>
      <c r="L491" s="376" t="s">
        <v>166</v>
      </c>
      <c r="M491" s="376" t="s">
        <v>201</v>
      </c>
      <c r="N491" s="376" t="s">
        <v>291</v>
      </c>
      <c r="O491" s="379">
        <v>0</v>
      </c>
      <c r="P491" s="460">
        <v>1</v>
      </c>
      <c r="Q491" s="460">
        <v>0</v>
      </c>
      <c r="R491" s="380">
        <v>0</v>
      </c>
      <c r="S491" s="460">
        <v>0</v>
      </c>
      <c r="T491" s="380">
        <v>0</v>
      </c>
      <c r="U491" s="380">
        <v>0</v>
      </c>
      <c r="V491" s="380">
        <v>0</v>
      </c>
      <c r="W491" s="380">
        <v>0</v>
      </c>
      <c r="X491" s="380">
        <v>0</v>
      </c>
      <c r="Y491" s="380">
        <v>0</v>
      </c>
      <c r="Z491" s="380">
        <v>0</v>
      </c>
      <c r="AA491" s="378"/>
      <c r="AB491" s="376" t="s">
        <v>45</v>
      </c>
      <c r="AC491" s="376" t="s">
        <v>45</v>
      </c>
      <c r="AD491" s="378"/>
      <c r="AE491" s="378"/>
      <c r="AF491" s="378"/>
      <c r="AG491" s="378"/>
      <c r="AH491" s="379">
        <v>0</v>
      </c>
      <c r="AI491" s="379">
        <v>0</v>
      </c>
      <c r="AJ491" s="378"/>
      <c r="AK491" s="378"/>
      <c r="AL491" s="376" t="s">
        <v>180</v>
      </c>
      <c r="AM491" s="378"/>
      <c r="AN491" s="378"/>
      <c r="AO491" s="379">
        <v>0</v>
      </c>
      <c r="AP491" s="460">
        <v>0</v>
      </c>
      <c r="AQ491" s="460">
        <v>0</v>
      </c>
      <c r="AR491" s="459"/>
      <c r="AS491" s="462">
        <f t="shared" si="119"/>
        <v>0</v>
      </c>
      <c r="AT491">
        <f t="shared" si="120"/>
        <v>0</v>
      </c>
      <c r="AU491" s="462" t="str">
        <f>IF(AT491=0,"",IF(AND(AT491=1,M491="F",SUMIF(C2:C698,C491,AS2:AS698)&lt;=1),SUMIF(C2:C698,C491,AS2:AS698),IF(AND(AT491=1,M491="F",SUMIF(C2:C698,C491,AS2:AS698)&gt;1),1,"")))</f>
        <v/>
      </c>
      <c r="AV491" s="462" t="str">
        <f>IF(AT491=0,"",IF(AND(AT491=3,M491="F",SUMIF(C2:C698,C491,AS2:AS698)&lt;=1),SUMIF(C2:C698,C491,AS2:AS698),IF(AND(AT491=3,M491="F",SUMIF(C2:C698,C491,AS2:AS698)&gt;1),1,"")))</f>
        <v/>
      </c>
      <c r="AW491" s="462">
        <f>SUMIF(C2:C698,C491,O2:O698)</f>
        <v>0</v>
      </c>
      <c r="AX491" s="462">
        <f>IF(AND(M491="F",AS491&lt;&gt;0),SUMIF(C2:C698,C491,W2:W698),0)</f>
        <v>0</v>
      </c>
      <c r="AY491" s="462" t="str">
        <f t="shared" si="121"/>
        <v/>
      </c>
      <c r="AZ491" s="462" t="str">
        <f t="shared" si="122"/>
        <v/>
      </c>
      <c r="BA491" s="462">
        <f t="shared" si="123"/>
        <v>0</v>
      </c>
      <c r="BB491" s="462">
        <f>IF(AND(AT491=1,AK491="E",AU491&gt;=0.75,AW491=1),Health,IF(AND(AT491=1,AK491="E",AU491&gt;=0.75),Health*P491,IF(AND(AT491=1,AK491="E",AU491&gt;=0.5,AW491=1),PTHealth,IF(AND(AT491=1,AK491="E",AU491&gt;=0.5),PTHealth*P491,0))))</f>
        <v>0</v>
      </c>
      <c r="BC491" s="462">
        <f>IF(AND(AT491=3,AK491="E",AV491&gt;=0.75,AW491=1),Health,IF(AND(AT491=3,AK491="E",AV491&gt;=0.75),Health*P491,IF(AND(AT491=3,AK491="E",AV491&gt;=0.5,AW491=1),PTHealth,IF(AND(AT491=3,AK491="E",AV491&gt;=0.5),PTHealth*P491,0))))</f>
        <v>0</v>
      </c>
      <c r="BD491" s="462">
        <f>IF(AND(AT491&lt;&gt;0,AX491&gt;=MAXSSDI),SSDI*MAXSSDI*P491,IF(AT491&lt;&gt;0,SSDI*W491,0))</f>
        <v>0</v>
      </c>
      <c r="BE491" s="462">
        <f>IF(AT491&lt;&gt;0,SSHI*W491,0)</f>
        <v>0</v>
      </c>
      <c r="BF491" s="462">
        <f>IF(AND(AT491&lt;&gt;0,AN491&lt;&gt;"NE"),VLOOKUP(AN491,Retirement_Rates,3,FALSE)*W491,0)</f>
        <v>0</v>
      </c>
      <c r="BG491" s="462">
        <f>IF(AND(AT491&lt;&gt;0,AJ491&lt;&gt;"PF"),Life*W491,0)</f>
        <v>0</v>
      </c>
      <c r="BH491" s="462">
        <f>IF(AND(AT491&lt;&gt;0,AM491="Y"),UI*W491,0)</f>
        <v>0</v>
      </c>
      <c r="BI491" s="462">
        <f>IF(AND(AT491&lt;&gt;0,N491&lt;&gt;"NR"),DHR*W491,0)</f>
        <v>0</v>
      </c>
      <c r="BJ491" s="462">
        <f>IF(AT491&lt;&gt;0,WC*W491,0)</f>
        <v>0</v>
      </c>
      <c r="BK491" s="462">
        <f>IF(OR(AND(AT491&lt;&gt;0,AJ491&lt;&gt;"PF",AN491&lt;&gt;"NE",AG491&lt;&gt;"A"),AND(AL491="E",OR(AT491=1,AT491=3))),Sick*W491,0)</f>
        <v>0</v>
      </c>
      <c r="BL491" s="462">
        <f t="shared" si="124"/>
        <v>0</v>
      </c>
      <c r="BM491" s="462">
        <f t="shared" si="125"/>
        <v>0</v>
      </c>
      <c r="BN491" s="462">
        <f>IF(AND(AT491=1,AK491="E",AU491&gt;=0.75,AW491=1),HealthBY,IF(AND(AT491=1,AK491="E",AU491&gt;=0.75),HealthBY*P491,IF(AND(AT491=1,AK491="E",AU491&gt;=0.5,AW491=1),PTHealthBY,IF(AND(AT491=1,AK491="E",AU491&gt;=0.5),PTHealthBY*P491,0))))</f>
        <v>0</v>
      </c>
      <c r="BO491" s="462">
        <f>IF(AND(AT491=3,AK491="E",AV491&gt;=0.75,AW491=1),HealthBY,IF(AND(AT491=3,AK491="E",AV491&gt;=0.75),HealthBY*P491,IF(AND(AT491=3,AK491="E",AV491&gt;=0.5,AW491=1),PTHealthBY,IF(AND(AT491=3,AK491="E",AV491&gt;=0.5),PTHealthBY*P491,0))))</f>
        <v>0</v>
      </c>
      <c r="BP491" s="462">
        <f>IF(AND(AT491&lt;&gt;0,(AX491+BA491)&gt;=MAXSSDIBY),SSDIBY*MAXSSDIBY*P491,IF(AT491&lt;&gt;0,SSDIBY*W491,0))</f>
        <v>0</v>
      </c>
      <c r="BQ491" s="462">
        <f>IF(AT491&lt;&gt;0,SSHIBY*W491,0)</f>
        <v>0</v>
      </c>
      <c r="BR491" s="462">
        <f>IF(AND(AT491&lt;&gt;0,AN491&lt;&gt;"NE"),VLOOKUP(AN491,Retirement_Rates,4,FALSE)*W491,0)</f>
        <v>0</v>
      </c>
      <c r="BS491" s="462">
        <f>IF(AND(AT491&lt;&gt;0,AJ491&lt;&gt;"PF"),LifeBY*W491,0)</f>
        <v>0</v>
      </c>
      <c r="BT491" s="462">
        <f>IF(AND(AT491&lt;&gt;0,AM491="Y"),UIBY*W491,0)</f>
        <v>0</v>
      </c>
      <c r="BU491" s="462">
        <f>IF(AND(AT491&lt;&gt;0,N491&lt;&gt;"NR"),DHRBY*W491,0)</f>
        <v>0</v>
      </c>
      <c r="BV491" s="462">
        <f>IF(AT491&lt;&gt;0,WCBY*W491,0)</f>
        <v>0</v>
      </c>
      <c r="BW491" s="462">
        <f>IF(OR(AND(AT491&lt;&gt;0,AJ491&lt;&gt;"PF",AN491&lt;&gt;"NE",AG491&lt;&gt;"A"),AND(AL491="E",OR(AT491=1,AT491=3))),SickBY*W491,0)</f>
        <v>0</v>
      </c>
      <c r="BX491" s="462">
        <f t="shared" si="126"/>
        <v>0</v>
      </c>
      <c r="BY491" s="462">
        <f t="shared" si="127"/>
        <v>0</v>
      </c>
      <c r="BZ491" s="462">
        <f t="shared" si="128"/>
        <v>0</v>
      </c>
      <c r="CA491" s="462">
        <f t="shared" si="129"/>
        <v>0</v>
      </c>
      <c r="CB491" s="462">
        <f t="shared" si="130"/>
        <v>0</v>
      </c>
      <c r="CC491" s="462">
        <f>IF(AT491&lt;&gt;0,SSHICHG*Y491,0)</f>
        <v>0</v>
      </c>
      <c r="CD491" s="462">
        <f>IF(AND(AT491&lt;&gt;0,AN491&lt;&gt;"NE"),VLOOKUP(AN491,Retirement_Rates,5,FALSE)*Y491,0)</f>
        <v>0</v>
      </c>
      <c r="CE491" s="462">
        <f>IF(AND(AT491&lt;&gt;0,AJ491&lt;&gt;"PF"),LifeCHG*Y491,0)</f>
        <v>0</v>
      </c>
      <c r="CF491" s="462">
        <f>IF(AND(AT491&lt;&gt;0,AM491="Y"),UICHG*Y491,0)</f>
        <v>0</v>
      </c>
      <c r="CG491" s="462">
        <f>IF(AND(AT491&lt;&gt;0,N491&lt;&gt;"NR"),DHRCHG*Y491,0)</f>
        <v>0</v>
      </c>
      <c r="CH491" s="462">
        <f>IF(AT491&lt;&gt;0,WCCHG*Y491,0)</f>
        <v>0</v>
      </c>
      <c r="CI491" s="462">
        <f>IF(OR(AND(AT491&lt;&gt;0,AJ491&lt;&gt;"PF",AN491&lt;&gt;"NE",AG491&lt;&gt;"A"),AND(AL491="E",OR(AT491=1,AT491=3))),SickCHG*Y491,0)</f>
        <v>0</v>
      </c>
      <c r="CJ491" s="462">
        <f t="shared" si="131"/>
        <v>0</v>
      </c>
      <c r="CK491" s="462" t="str">
        <f t="shared" si="132"/>
        <v/>
      </c>
      <c r="CL491" s="462">
        <f t="shared" si="133"/>
        <v>0</v>
      </c>
      <c r="CM491" s="462">
        <f t="shared" si="134"/>
        <v>0</v>
      </c>
      <c r="CN491" s="462" t="str">
        <f t="shared" si="135"/>
        <v>0486-00</v>
      </c>
    </row>
    <row r="492" spans="1:92" ht="15" thickBot="1" x14ac:dyDescent="0.35">
      <c r="A492" s="376" t="s">
        <v>161</v>
      </c>
      <c r="B492" s="376" t="s">
        <v>162</v>
      </c>
      <c r="C492" s="376" t="s">
        <v>1162</v>
      </c>
      <c r="D492" s="376" t="s">
        <v>1163</v>
      </c>
      <c r="E492" s="376" t="s">
        <v>1140</v>
      </c>
      <c r="F492" s="377" t="s">
        <v>166</v>
      </c>
      <c r="G492" s="376" t="s">
        <v>1141</v>
      </c>
      <c r="H492" s="378"/>
      <c r="I492" s="378"/>
      <c r="J492" s="376" t="s">
        <v>168</v>
      </c>
      <c r="K492" s="376" t="s">
        <v>1164</v>
      </c>
      <c r="L492" s="376" t="s">
        <v>166</v>
      </c>
      <c r="M492" s="376" t="s">
        <v>201</v>
      </c>
      <c r="N492" s="376" t="s">
        <v>291</v>
      </c>
      <c r="O492" s="379">
        <v>0</v>
      </c>
      <c r="P492" s="460">
        <v>1</v>
      </c>
      <c r="Q492" s="460">
        <v>0</v>
      </c>
      <c r="R492" s="380">
        <v>0</v>
      </c>
      <c r="S492" s="460">
        <v>0</v>
      </c>
      <c r="T492" s="380">
        <v>0</v>
      </c>
      <c r="U492" s="380">
        <v>0</v>
      </c>
      <c r="V492" s="380">
        <v>0</v>
      </c>
      <c r="W492" s="380">
        <v>0</v>
      </c>
      <c r="X492" s="380">
        <v>0</v>
      </c>
      <c r="Y492" s="380">
        <v>0</v>
      </c>
      <c r="Z492" s="380">
        <v>0</v>
      </c>
      <c r="AA492" s="378"/>
      <c r="AB492" s="376" t="s">
        <v>45</v>
      </c>
      <c r="AC492" s="376" t="s">
        <v>45</v>
      </c>
      <c r="AD492" s="378"/>
      <c r="AE492" s="378"/>
      <c r="AF492" s="378"/>
      <c r="AG492" s="378"/>
      <c r="AH492" s="379">
        <v>0</v>
      </c>
      <c r="AI492" s="379">
        <v>0</v>
      </c>
      <c r="AJ492" s="378"/>
      <c r="AK492" s="378"/>
      <c r="AL492" s="376" t="s">
        <v>180</v>
      </c>
      <c r="AM492" s="378"/>
      <c r="AN492" s="378"/>
      <c r="AO492" s="379">
        <v>0</v>
      </c>
      <c r="AP492" s="460">
        <v>0</v>
      </c>
      <c r="AQ492" s="460">
        <v>0</v>
      </c>
      <c r="AR492" s="459"/>
      <c r="AS492" s="462">
        <f t="shared" si="119"/>
        <v>0</v>
      </c>
      <c r="AT492">
        <f t="shared" si="120"/>
        <v>0</v>
      </c>
      <c r="AU492" s="462" t="str">
        <f>IF(AT492=0,"",IF(AND(AT492=1,M492="F",SUMIF(C2:C698,C492,AS2:AS698)&lt;=1),SUMIF(C2:C698,C492,AS2:AS698),IF(AND(AT492=1,M492="F",SUMIF(C2:C698,C492,AS2:AS698)&gt;1),1,"")))</f>
        <v/>
      </c>
      <c r="AV492" s="462" t="str">
        <f>IF(AT492=0,"",IF(AND(AT492=3,M492="F",SUMIF(C2:C698,C492,AS2:AS698)&lt;=1),SUMIF(C2:C698,C492,AS2:AS698),IF(AND(AT492=3,M492="F",SUMIF(C2:C698,C492,AS2:AS698)&gt;1),1,"")))</f>
        <v/>
      </c>
      <c r="AW492" s="462">
        <f>SUMIF(C2:C698,C492,O2:O698)</f>
        <v>0</v>
      </c>
      <c r="AX492" s="462">
        <f>IF(AND(M492="F",AS492&lt;&gt;0),SUMIF(C2:C698,C492,W2:W698),0)</f>
        <v>0</v>
      </c>
      <c r="AY492" s="462" t="str">
        <f t="shared" si="121"/>
        <v/>
      </c>
      <c r="AZ492" s="462" t="str">
        <f t="shared" si="122"/>
        <v/>
      </c>
      <c r="BA492" s="462">
        <f t="shared" si="123"/>
        <v>0</v>
      </c>
      <c r="BB492" s="462">
        <f>IF(AND(AT492=1,AK492="E",AU492&gt;=0.75,AW492=1),Health,IF(AND(AT492=1,AK492="E",AU492&gt;=0.75),Health*P492,IF(AND(AT492=1,AK492="E",AU492&gt;=0.5,AW492=1),PTHealth,IF(AND(AT492=1,AK492="E",AU492&gt;=0.5),PTHealth*P492,0))))</f>
        <v>0</v>
      </c>
      <c r="BC492" s="462">
        <f>IF(AND(AT492=3,AK492="E",AV492&gt;=0.75,AW492=1),Health,IF(AND(AT492=3,AK492="E",AV492&gt;=0.75),Health*P492,IF(AND(AT492=3,AK492="E",AV492&gt;=0.5,AW492=1),PTHealth,IF(AND(AT492=3,AK492="E",AV492&gt;=0.5),PTHealth*P492,0))))</f>
        <v>0</v>
      </c>
      <c r="BD492" s="462">
        <f>IF(AND(AT492&lt;&gt;0,AX492&gt;=MAXSSDI),SSDI*MAXSSDI*P492,IF(AT492&lt;&gt;0,SSDI*W492,0))</f>
        <v>0</v>
      </c>
      <c r="BE492" s="462">
        <f>IF(AT492&lt;&gt;0,SSHI*W492,0)</f>
        <v>0</v>
      </c>
      <c r="BF492" s="462">
        <f>IF(AND(AT492&lt;&gt;0,AN492&lt;&gt;"NE"),VLOOKUP(AN492,Retirement_Rates,3,FALSE)*W492,0)</f>
        <v>0</v>
      </c>
      <c r="BG492" s="462">
        <f>IF(AND(AT492&lt;&gt;0,AJ492&lt;&gt;"PF"),Life*W492,0)</f>
        <v>0</v>
      </c>
      <c r="BH492" s="462">
        <f>IF(AND(AT492&lt;&gt;0,AM492="Y"),UI*W492,0)</f>
        <v>0</v>
      </c>
      <c r="BI492" s="462">
        <f>IF(AND(AT492&lt;&gt;0,N492&lt;&gt;"NR"),DHR*W492,0)</f>
        <v>0</v>
      </c>
      <c r="BJ492" s="462">
        <f>IF(AT492&lt;&gt;0,WC*W492,0)</f>
        <v>0</v>
      </c>
      <c r="BK492" s="462">
        <f>IF(OR(AND(AT492&lt;&gt;0,AJ492&lt;&gt;"PF",AN492&lt;&gt;"NE",AG492&lt;&gt;"A"),AND(AL492="E",OR(AT492=1,AT492=3))),Sick*W492,0)</f>
        <v>0</v>
      </c>
      <c r="BL492" s="462">
        <f t="shared" si="124"/>
        <v>0</v>
      </c>
      <c r="BM492" s="462">
        <f t="shared" si="125"/>
        <v>0</v>
      </c>
      <c r="BN492" s="462">
        <f>IF(AND(AT492=1,AK492="E",AU492&gt;=0.75,AW492=1),HealthBY,IF(AND(AT492=1,AK492="E",AU492&gt;=0.75),HealthBY*P492,IF(AND(AT492=1,AK492="E",AU492&gt;=0.5,AW492=1),PTHealthBY,IF(AND(AT492=1,AK492="E",AU492&gt;=0.5),PTHealthBY*P492,0))))</f>
        <v>0</v>
      </c>
      <c r="BO492" s="462">
        <f>IF(AND(AT492=3,AK492="E",AV492&gt;=0.75,AW492=1),HealthBY,IF(AND(AT492=3,AK492="E",AV492&gt;=0.75),HealthBY*P492,IF(AND(AT492=3,AK492="E",AV492&gt;=0.5,AW492=1),PTHealthBY,IF(AND(AT492=3,AK492="E",AV492&gt;=0.5),PTHealthBY*P492,0))))</f>
        <v>0</v>
      </c>
      <c r="BP492" s="462">
        <f>IF(AND(AT492&lt;&gt;0,(AX492+BA492)&gt;=MAXSSDIBY),SSDIBY*MAXSSDIBY*P492,IF(AT492&lt;&gt;0,SSDIBY*W492,0))</f>
        <v>0</v>
      </c>
      <c r="BQ492" s="462">
        <f>IF(AT492&lt;&gt;0,SSHIBY*W492,0)</f>
        <v>0</v>
      </c>
      <c r="BR492" s="462">
        <f>IF(AND(AT492&lt;&gt;0,AN492&lt;&gt;"NE"),VLOOKUP(AN492,Retirement_Rates,4,FALSE)*W492,0)</f>
        <v>0</v>
      </c>
      <c r="BS492" s="462">
        <f>IF(AND(AT492&lt;&gt;0,AJ492&lt;&gt;"PF"),LifeBY*W492,0)</f>
        <v>0</v>
      </c>
      <c r="BT492" s="462">
        <f>IF(AND(AT492&lt;&gt;0,AM492="Y"),UIBY*W492,0)</f>
        <v>0</v>
      </c>
      <c r="BU492" s="462">
        <f>IF(AND(AT492&lt;&gt;0,N492&lt;&gt;"NR"),DHRBY*W492,0)</f>
        <v>0</v>
      </c>
      <c r="BV492" s="462">
        <f>IF(AT492&lt;&gt;0,WCBY*W492,0)</f>
        <v>0</v>
      </c>
      <c r="BW492" s="462">
        <f>IF(OR(AND(AT492&lt;&gt;0,AJ492&lt;&gt;"PF",AN492&lt;&gt;"NE",AG492&lt;&gt;"A"),AND(AL492="E",OR(AT492=1,AT492=3))),SickBY*W492,0)</f>
        <v>0</v>
      </c>
      <c r="BX492" s="462">
        <f t="shared" si="126"/>
        <v>0</v>
      </c>
      <c r="BY492" s="462">
        <f t="shared" si="127"/>
        <v>0</v>
      </c>
      <c r="BZ492" s="462">
        <f t="shared" si="128"/>
        <v>0</v>
      </c>
      <c r="CA492" s="462">
        <f t="shared" si="129"/>
        <v>0</v>
      </c>
      <c r="CB492" s="462">
        <f t="shared" si="130"/>
        <v>0</v>
      </c>
      <c r="CC492" s="462">
        <f>IF(AT492&lt;&gt;0,SSHICHG*Y492,0)</f>
        <v>0</v>
      </c>
      <c r="CD492" s="462">
        <f>IF(AND(AT492&lt;&gt;0,AN492&lt;&gt;"NE"),VLOOKUP(AN492,Retirement_Rates,5,FALSE)*Y492,0)</f>
        <v>0</v>
      </c>
      <c r="CE492" s="462">
        <f>IF(AND(AT492&lt;&gt;0,AJ492&lt;&gt;"PF"),LifeCHG*Y492,0)</f>
        <v>0</v>
      </c>
      <c r="CF492" s="462">
        <f>IF(AND(AT492&lt;&gt;0,AM492="Y"),UICHG*Y492,0)</f>
        <v>0</v>
      </c>
      <c r="CG492" s="462">
        <f>IF(AND(AT492&lt;&gt;0,N492&lt;&gt;"NR"),DHRCHG*Y492,0)</f>
        <v>0</v>
      </c>
      <c r="CH492" s="462">
        <f>IF(AT492&lt;&gt;0,WCCHG*Y492,0)</f>
        <v>0</v>
      </c>
      <c r="CI492" s="462">
        <f>IF(OR(AND(AT492&lt;&gt;0,AJ492&lt;&gt;"PF",AN492&lt;&gt;"NE",AG492&lt;&gt;"A"),AND(AL492="E",OR(AT492=1,AT492=3))),SickCHG*Y492,0)</f>
        <v>0</v>
      </c>
      <c r="CJ492" s="462">
        <f t="shared" si="131"/>
        <v>0</v>
      </c>
      <c r="CK492" s="462" t="str">
        <f t="shared" si="132"/>
        <v/>
      </c>
      <c r="CL492" s="462">
        <f t="shared" si="133"/>
        <v>0</v>
      </c>
      <c r="CM492" s="462">
        <f t="shared" si="134"/>
        <v>0</v>
      </c>
      <c r="CN492" s="462" t="str">
        <f t="shared" si="135"/>
        <v>0486-00</v>
      </c>
    </row>
    <row r="493" spans="1:92" ht="15" thickBot="1" x14ac:dyDescent="0.35">
      <c r="A493" s="376" t="s">
        <v>161</v>
      </c>
      <c r="B493" s="376" t="s">
        <v>162</v>
      </c>
      <c r="C493" s="376" t="s">
        <v>1165</v>
      </c>
      <c r="D493" s="376" t="s">
        <v>1159</v>
      </c>
      <c r="E493" s="376" t="s">
        <v>1140</v>
      </c>
      <c r="F493" s="377" t="s">
        <v>166</v>
      </c>
      <c r="G493" s="376" t="s">
        <v>1141</v>
      </c>
      <c r="H493" s="378"/>
      <c r="I493" s="378"/>
      <c r="J493" s="376" t="s">
        <v>168</v>
      </c>
      <c r="K493" s="376" t="s">
        <v>1160</v>
      </c>
      <c r="L493" s="376" t="s">
        <v>166</v>
      </c>
      <c r="M493" s="376" t="s">
        <v>201</v>
      </c>
      <c r="N493" s="376" t="s">
        <v>291</v>
      </c>
      <c r="O493" s="379">
        <v>0</v>
      </c>
      <c r="P493" s="460">
        <v>1</v>
      </c>
      <c r="Q493" s="460">
        <v>0</v>
      </c>
      <c r="R493" s="380">
        <v>0</v>
      </c>
      <c r="S493" s="460">
        <v>0</v>
      </c>
      <c r="T493" s="380">
        <v>0</v>
      </c>
      <c r="U493" s="380">
        <v>0</v>
      </c>
      <c r="V493" s="380">
        <v>0</v>
      </c>
      <c r="W493" s="380">
        <v>0</v>
      </c>
      <c r="X493" s="380">
        <v>0</v>
      </c>
      <c r="Y493" s="380">
        <v>0</v>
      </c>
      <c r="Z493" s="380">
        <v>0</v>
      </c>
      <c r="AA493" s="378"/>
      <c r="AB493" s="376" t="s">
        <v>45</v>
      </c>
      <c r="AC493" s="376" t="s">
        <v>45</v>
      </c>
      <c r="AD493" s="378"/>
      <c r="AE493" s="378"/>
      <c r="AF493" s="378"/>
      <c r="AG493" s="378"/>
      <c r="AH493" s="379">
        <v>0</v>
      </c>
      <c r="AI493" s="379">
        <v>0</v>
      </c>
      <c r="AJ493" s="378"/>
      <c r="AK493" s="378"/>
      <c r="AL493" s="376" t="s">
        <v>180</v>
      </c>
      <c r="AM493" s="378"/>
      <c r="AN493" s="378"/>
      <c r="AO493" s="379">
        <v>0</v>
      </c>
      <c r="AP493" s="460">
        <v>0</v>
      </c>
      <c r="AQ493" s="460">
        <v>0</v>
      </c>
      <c r="AR493" s="459"/>
      <c r="AS493" s="462">
        <f t="shared" si="119"/>
        <v>0</v>
      </c>
      <c r="AT493">
        <f t="shared" si="120"/>
        <v>0</v>
      </c>
      <c r="AU493" s="462" t="str">
        <f>IF(AT493=0,"",IF(AND(AT493=1,M493="F",SUMIF(C2:C698,C493,AS2:AS698)&lt;=1),SUMIF(C2:C698,C493,AS2:AS698),IF(AND(AT493=1,M493="F",SUMIF(C2:C698,C493,AS2:AS698)&gt;1),1,"")))</f>
        <v/>
      </c>
      <c r="AV493" s="462" t="str">
        <f>IF(AT493=0,"",IF(AND(AT493=3,M493="F",SUMIF(C2:C698,C493,AS2:AS698)&lt;=1),SUMIF(C2:C698,C493,AS2:AS698),IF(AND(AT493=3,M493="F",SUMIF(C2:C698,C493,AS2:AS698)&gt;1),1,"")))</f>
        <v/>
      </c>
      <c r="AW493" s="462">
        <f>SUMIF(C2:C698,C493,O2:O698)</f>
        <v>0</v>
      </c>
      <c r="AX493" s="462">
        <f>IF(AND(M493="F",AS493&lt;&gt;0),SUMIF(C2:C698,C493,W2:W698),0)</f>
        <v>0</v>
      </c>
      <c r="AY493" s="462" t="str">
        <f t="shared" si="121"/>
        <v/>
      </c>
      <c r="AZ493" s="462" t="str">
        <f t="shared" si="122"/>
        <v/>
      </c>
      <c r="BA493" s="462">
        <f t="shared" si="123"/>
        <v>0</v>
      </c>
      <c r="BB493" s="462">
        <f>IF(AND(AT493=1,AK493="E",AU493&gt;=0.75,AW493=1),Health,IF(AND(AT493=1,AK493="E",AU493&gt;=0.75),Health*P493,IF(AND(AT493=1,AK493="E",AU493&gt;=0.5,AW493=1),PTHealth,IF(AND(AT493=1,AK493="E",AU493&gt;=0.5),PTHealth*P493,0))))</f>
        <v>0</v>
      </c>
      <c r="BC493" s="462">
        <f>IF(AND(AT493=3,AK493="E",AV493&gt;=0.75,AW493=1),Health,IF(AND(AT493=3,AK493="E",AV493&gt;=0.75),Health*P493,IF(AND(AT493=3,AK493="E",AV493&gt;=0.5,AW493=1),PTHealth,IF(AND(AT493=3,AK493="E",AV493&gt;=0.5),PTHealth*P493,0))))</f>
        <v>0</v>
      </c>
      <c r="BD493" s="462">
        <f>IF(AND(AT493&lt;&gt;0,AX493&gt;=MAXSSDI),SSDI*MAXSSDI*P493,IF(AT493&lt;&gt;0,SSDI*W493,0))</f>
        <v>0</v>
      </c>
      <c r="BE493" s="462">
        <f>IF(AT493&lt;&gt;0,SSHI*W493,0)</f>
        <v>0</v>
      </c>
      <c r="BF493" s="462">
        <f>IF(AND(AT493&lt;&gt;0,AN493&lt;&gt;"NE"),VLOOKUP(AN493,Retirement_Rates,3,FALSE)*W493,0)</f>
        <v>0</v>
      </c>
      <c r="BG493" s="462">
        <f>IF(AND(AT493&lt;&gt;0,AJ493&lt;&gt;"PF"),Life*W493,0)</f>
        <v>0</v>
      </c>
      <c r="BH493" s="462">
        <f>IF(AND(AT493&lt;&gt;0,AM493="Y"),UI*W493,0)</f>
        <v>0</v>
      </c>
      <c r="BI493" s="462">
        <f>IF(AND(AT493&lt;&gt;0,N493&lt;&gt;"NR"),DHR*W493,0)</f>
        <v>0</v>
      </c>
      <c r="BJ493" s="462">
        <f>IF(AT493&lt;&gt;0,WC*W493,0)</f>
        <v>0</v>
      </c>
      <c r="BK493" s="462">
        <f>IF(OR(AND(AT493&lt;&gt;0,AJ493&lt;&gt;"PF",AN493&lt;&gt;"NE",AG493&lt;&gt;"A"),AND(AL493="E",OR(AT493=1,AT493=3))),Sick*W493,0)</f>
        <v>0</v>
      </c>
      <c r="BL493" s="462">
        <f t="shared" si="124"/>
        <v>0</v>
      </c>
      <c r="BM493" s="462">
        <f t="shared" si="125"/>
        <v>0</v>
      </c>
      <c r="BN493" s="462">
        <f>IF(AND(AT493=1,AK493="E",AU493&gt;=0.75,AW493=1),HealthBY,IF(AND(AT493=1,AK493="E",AU493&gt;=0.75),HealthBY*P493,IF(AND(AT493=1,AK493="E",AU493&gt;=0.5,AW493=1),PTHealthBY,IF(AND(AT493=1,AK493="E",AU493&gt;=0.5),PTHealthBY*P493,0))))</f>
        <v>0</v>
      </c>
      <c r="BO493" s="462">
        <f>IF(AND(AT493=3,AK493="E",AV493&gt;=0.75,AW493=1),HealthBY,IF(AND(AT493=3,AK493="E",AV493&gt;=0.75),HealthBY*P493,IF(AND(AT493=3,AK493="E",AV493&gt;=0.5,AW493=1),PTHealthBY,IF(AND(AT493=3,AK493="E",AV493&gt;=0.5),PTHealthBY*P493,0))))</f>
        <v>0</v>
      </c>
      <c r="BP493" s="462">
        <f>IF(AND(AT493&lt;&gt;0,(AX493+BA493)&gt;=MAXSSDIBY),SSDIBY*MAXSSDIBY*P493,IF(AT493&lt;&gt;0,SSDIBY*W493,0))</f>
        <v>0</v>
      </c>
      <c r="BQ493" s="462">
        <f>IF(AT493&lt;&gt;0,SSHIBY*W493,0)</f>
        <v>0</v>
      </c>
      <c r="BR493" s="462">
        <f>IF(AND(AT493&lt;&gt;0,AN493&lt;&gt;"NE"),VLOOKUP(AN493,Retirement_Rates,4,FALSE)*W493,0)</f>
        <v>0</v>
      </c>
      <c r="BS493" s="462">
        <f>IF(AND(AT493&lt;&gt;0,AJ493&lt;&gt;"PF"),LifeBY*W493,0)</f>
        <v>0</v>
      </c>
      <c r="BT493" s="462">
        <f>IF(AND(AT493&lt;&gt;0,AM493="Y"),UIBY*W493,0)</f>
        <v>0</v>
      </c>
      <c r="BU493" s="462">
        <f>IF(AND(AT493&lt;&gt;0,N493&lt;&gt;"NR"),DHRBY*W493,0)</f>
        <v>0</v>
      </c>
      <c r="BV493" s="462">
        <f>IF(AT493&lt;&gt;0,WCBY*W493,0)</f>
        <v>0</v>
      </c>
      <c r="BW493" s="462">
        <f>IF(OR(AND(AT493&lt;&gt;0,AJ493&lt;&gt;"PF",AN493&lt;&gt;"NE",AG493&lt;&gt;"A"),AND(AL493="E",OR(AT493=1,AT493=3))),SickBY*W493,0)</f>
        <v>0</v>
      </c>
      <c r="BX493" s="462">
        <f t="shared" si="126"/>
        <v>0</v>
      </c>
      <c r="BY493" s="462">
        <f t="shared" si="127"/>
        <v>0</v>
      </c>
      <c r="BZ493" s="462">
        <f t="shared" si="128"/>
        <v>0</v>
      </c>
      <c r="CA493" s="462">
        <f t="shared" si="129"/>
        <v>0</v>
      </c>
      <c r="CB493" s="462">
        <f t="shared" si="130"/>
        <v>0</v>
      </c>
      <c r="CC493" s="462">
        <f>IF(AT493&lt;&gt;0,SSHICHG*Y493,0)</f>
        <v>0</v>
      </c>
      <c r="CD493" s="462">
        <f>IF(AND(AT493&lt;&gt;0,AN493&lt;&gt;"NE"),VLOOKUP(AN493,Retirement_Rates,5,FALSE)*Y493,0)</f>
        <v>0</v>
      </c>
      <c r="CE493" s="462">
        <f>IF(AND(AT493&lt;&gt;0,AJ493&lt;&gt;"PF"),LifeCHG*Y493,0)</f>
        <v>0</v>
      </c>
      <c r="CF493" s="462">
        <f>IF(AND(AT493&lt;&gt;0,AM493="Y"),UICHG*Y493,0)</f>
        <v>0</v>
      </c>
      <c r="CG493" s="462">
        <f>IF(AND(AT493&lt;&gt;0,N493&lt;&gt;"NR"),DHRCHG*Y493,0)</f>
        <v>0</v>
      </c>
      <c r="CH493" s="462">
        <f>IF(AT493&lt;&gt;0,WCCHG*Y493,0)</f>
        <v>0</v>
      </c>
      <c r="CI493" s="462">
        <f>IF(OR(AND(AT493&lt;&gt;0,AJ493&lt;&gt;"PF",AN493&lt;&gt;"NE",AG493&lt;&gt;"A"),AND(AL493="E",OR(AT493=1,AT493=3))),SickCHG*Y493,0)</f>
        <v>0</v>
      </c>
      <c r="CJ493" s="462">
        <f t="shared" si="131"/>
        <v>0</v>
      </c>
      <c r="CK493" s="462" t="str">
        <f t="shared" si="132"/>
        <v/>
      </c>
      <c r="CL493" s="462">
        <f t="shared" si="133"/>
        <v>0</v>
      </c>
      <c r="CM493" s="462">
        <f t="shared" si="134"/>
        <v>0</v>
      </c>
      <c r="CN493" s="462" t="str">
        <f t="shared" si="135"/>
        <v>0486-00</v>
      </c>
    </row>
    <row r="494" spans="1:92" ht="15" thickBot="1" x14ac:dyDescent="0.35">
      <c r="A494" s="376" t="s">
        <v>161</v>
      </c>
      <c r="B494" s="376" t="s">
        <v>162</v>
      </c>
      <c r="C494" s="376" t="s">
        <v>1166</v>
      </c>
      <c r="D494" s="376" t="s">
        <v>1147</v>
      </c>
      <c r="E494" s="376" t="s">
        <v>1140</v>
      </c>
      <c r="F494" s="377" t="s">
        <v>166</v>
      </c>
      <c r="G494" s="376" t="s">
        <v>1141</v>
      </c>
      <c r="H494" s="378"/>
      <c r="I494" s="378"/>
      <c r="J494" s="376" t="s">
        <v>168</v>
      </c>
      <c r="K494" s="376" t="s">
        <v>1148</v>
      </c>
      <c r="L494" s="376" t="s">
        <v>166</v>
      </c>
      <c r="M494" s="376" t="s">
        <v>201</v>
      </c>
      <c r="N494" s="376" t="s">
        <v>291</v>
      </c>
      <c r="O494" s="379">
        <v>0</v>
      </c>
      <c r="P494" s="460">
        <v>1</v>
      </c>
      <c r="Q494" s="460">
        <v>0</v>
      </c>
      <c r="R494" s="380">
        <v>0</v>
      </c>
      <c r="S494" s="460">
        <v>0</v>
      </c>
      <c r="T494" s="380">
        <v>0</v>
      </c>
      <c r="U494" s="380">
        <v>0</v>
      </c>
      <c r="V494" s="380">
        <v>0</v>
      </c>
      <c r="W494" s="380">
        <v>0</v>
      </c>
      <c r="X494" s="380">
        <v>0</v>
      </c>
      <c r="Y494" s="380">
        <v>0</v>
      </c>
      <c r="Z494" s="380">
        <v>0</v>
      </c>
      <c r="AA494" s="378"/>
      <c r="AB494" s="376" t="s">
        <v>45</v>
      </c>
      <c r="AC494" s="376" t="s">
        <v>45</v>
      </c>
      <c r="AD494" s="378"/>
      <c r="AE494" s="378"/>
      <c r="AF494" s="378"/>
      <c r="AG494" s="378"/>
      <c r="AH494" s="379">
        <v>0</v>
      </c>
      <c r="AI494" s="379">
        <v>0</v>
      </c>
      <c r="AJ494" s="378"/>
      <c r="AK494" s="378"/>
      <c r="AL494" s="376" t="s">
        <v>180</v>
      </c>
      <c r="AM494" s="378"/>
      <c r="AN494" s="378"/>
      <c r="AO494" s="379">
        <v>0</v>
      </c>
      <c r="AP494" s="460">
        <v>0</v>
      </c>
      <c r="AQ494" s="460">
        <v>0</v>
      </c>
      <c r="AR494" s="459"/>
      <c r="AS494" s="462">
        <f t="shared" si="119"/>
        <v>0</v>
      </c>
      <c r="AT494">
        <f t="shared" si="120"/>
        <v>0</v>
      </c>
      <c r="AU494" s="462" t="str">
        <f>IF(AT494=0,"",IF(AND(AT494=1,M494="F",SUMIF(C2:C698,C494,AS2:AS698)&lt;=1),SUMIF(C2:C698,C494,AS2:AS698),IF(AND(AT494=1,M494="F",SUMIF(C2:C698,C494,AS2:AS698)&gt;1),1,"")))</f>
        <v/>
      </c>
      <c r="AV494" s="462" t="str">
        <f>IF(AT494=0,"",IF(AND(AT494=3,M494="F",SUMIF(C2:C698,C494,AS2:AS698)&lt;=1),SUMIF(C2:C698,C494,AS2:AS698),IF(AND(AT494=3,M494="F",SUMIF(C2:C698,C494,AS2:AS698)&gt;1),1,"")))</f>
        <v/>
      </c>
      <c r="AW494" s="462">
        <f>SUMIF(C2:C698,C494,O2:O698)</f>
        <v>0</v>
      </c>
      <c r="AX494" s="462">
        <f>IF(AND(M494="F",AS494&lt;&gt;0),SUMIF(C2:C698,C494,W2:W698),0)</f>
        <v>0</v>
      </c>
      <c r="AY494" s="462" t="str">
        <f t="shared" si="121"/>
        <v/>
      </c>
      <c r="AZ494" s="462" t="str">
        <f t="shared" si="122"/>
        <v/>
      </c>
      <c r="BA494" s="462">
        <f t="shared" si="123"/>
        <v>0</v>
      </c>
      <c r="BB494" s="462">
        <f>IF(AND(AT494=1,AK494="E",AU494&gt;=0.75,AW494=1),Health,IF(AND(AT494=1,AK494="E",AU494&gt;=0.75),Health*P494,IF(AND(AT494=1,AK494="E",AU494&gt;=0.5,AW494=1),PTHealth,IF(AND(AT494=1,AK494="E",AU494&gt;=0.5),PTHealth*P494,0))))</f>
        <v>0</v>
      </c>
      <c r="BC494" s="462">
        <f>IF(AND(AT494=3,AK494="E",AV494&gt;=0.75,AW494=1),Health,IF(AND(AT494=3,AK494="E",AV494&gt;=0.75),Health*P494,IF(AND(AT494=3,AK494="E",AV494&gt;=0.5,AW494=1),PTHealth,IF(AND(AT494=3,AK494="E",AV494&gt;=0.5),PTHealth*P494,0))))</f>
        <v>0</v>
      </c>
      <c r="BD494" s="462">
        <f>IF(AND(AT494&lt;&gt;0,AX494&gt;=MAXSSDI),SSDI*MAXSSDI*P494,IF(AT494&lt;&gt;0,SSDI*W494,0))</f>
        <v>0</v>
      </c>
      <c r="BE494" s="462">
        <f>IF(AT494&lt;&gt;0,SSHI*W494,0)</f>
        <v>0</v>
      </c>
      <c r="BF494" s="462">
        <f>IF(AND(AT494&lt;&gt;0,AN494&lt;&gt;"NE"),VLOOKUP(AN494,Retirement_Rates,3,FALSE)*W494,0)</f>
        <v>0</v>
      </c>
      <c r="BG494" s="462">
        <f>IF(AND(AT494&lt;&gt;0,AJ494&lt;&gt;"PF"),Life*W494,0)</f>
        <v>0</v>
      </c>
      <c r="BH494" s="462">
        <f>IF(AND(AT494&lt;&gt;0,AM494="Y"),UI*W494,0)</f>
        <v>0</v>
      </c>
      <c r="BI494" s="462">
        <f>IF(AND(AT494&lt;&gt;0,N494&lt;&gt;"NR"),DHR*W494,0)</f>
        <v>0</v>
      </c>
      <c r="BJ494" s="462">
        <f>IF(AT494&lt;&gt;0,WC*W494,0)</f>
        <v>0</v>
      </c>
      <c r="BK494" s="462">
        <f>IF(OR(AND(AT494&lt;&gt;0,AJ494&lt;&gt;"PF",AN494&lt;&gt;"NE",AG494&lt;&gt;"A"),AND(AL494="E",OR(AT494=1,AT494=3))),Sick*W494,0)</f>
        <v>0</v>
      </c>
      <c r="BL494" s="462">
        <f t="shared" si="124"/>
        <v>0</v>
      </c>
      <c r="BM494" s="462">
        <f t="shared" si="125"/>
        <v>0</v>
      </c>
      <c r="BN494" s="462">
        <f>IF(AND(AT494=1,AK494="E",AU494&gt;=0.75,AW494=1),HealthBY,IF(AND(AT494=1,AK494="E",AU494&gt;=0.75),HealthBY*P494,IF(AND(AT494=1,AK494="E",AU494&gt;=0.5,AW494=1),PTHealthBY,IF(AND(AT494=1,AK494="E",AU494&gt;=0.5),PTHealthBY*P494,0))))</f>
        <v>0</v>
      </c>
      <c r="BO494" s="462">
        <f>IF(AND(AT494=3,AK494="E",AV494&gt;=0.75,AW494=1),HealthBY,IF(AND(AT494=3,AK494="E",AV494&gt;=0.75),HealthBY*P494,IF(AND(AT494=3,AK494="E",AV494&gt;=0.5,AW494=1),PTHealthBY,IF(AND(AT494=3,AK494="E",AV494&gt;=0.5),PTHealthBY*P494,0))))</f>
        <v>0</v>
      </c>
      <c r="BP494" s="462">
        <f>IF(AND(AT494&lt;&gt;0,(AX494+BA494)&gt;=MAXSSDIBY),SSDIBY*MAXSSDIBY*P494,IF(AT494&lt;&gt;0,SSDIBY*W494,0))</f>
        <v>0</v>
      </c>
      <c r="BQ494" s="462">
        <f>IF(AT494&lt;&gt;0,SSHIBY*W494,0)</f>
        <v>0</v>
      </c>
      <c r="BR494" s="462">
        <f>IF(AND(AT494&lt;&gt;0,AN494&lt;&gt;"NE"),VLOOKUP(AN494,Retirement_Rates,4,FALSE)*W494,0)</f>
        <v>0</v>
      </c>
      <c r="BS494" s="462">
        <f>IF(AND(AT494&lt;&gt;0,AJ494&lt;&gt;"PF"),LifeBY*W494,0)</f>
        <v>0</v>
      </c>
      <c r="BT494" s="462">
        <f>IF(AND(AT494&lt;&gt;0,AM494="Y"),UIBY*W494,0)</f>
        <v>0</v>
      </c>
      <c r="BU494" s="462">
        <f>IF(AND(AT494&lt;&gt;0,N494&lt;&gt;"NR"),DHRBY*W494,0)</f>
        <v>0</v>
      </c>
      <c r="BV494" s="462">
        <f>IF(AT494&lt;&gt;0,WCBY*W494,0)</f>
        <v>0</v>
      </c>
      <c r="BW494" s="462">
        <f>IF(OR(AND(AT494&lt;&gt;0,AJ494&lt;&gt;"PF",AN494&lt;&gt;"NE",AG494&lt;&gt;"A"),AND(AL494="E",OR(AT494=1,AT494=3))),SickBY*W494,0)</f>
        <v>0</v>
      </c>
      <c r="BX494" s="462">
        <f t="shared" si="126"/>
        <v>0</v>
      </c>
      <c r="BY494" s="462">
        <f t="shared" si="127"/>
        <v>0</v>
      </c>
      <c r="BZ494" s="462">
        <f t="shared" si="128"/>
        <v>0</v>
      </c>
      <c r="CA494" s="462">
        <f t="shared" si="129"/>
        <v>0</v>
      </c>
      <c r="CB494" s="462">
        <f t="shared" si="130"/>
        <v>0</v>
      </c>
      <c r="CC494" s="462">
        <f>IF(AT494&lt;&gt;0,SSHICHG*Y494,0)</f>
        <v>0</v>
      </c>
      <c r="CD494" s="462">
        <f>IF(AND(AT494&lt;&gt;0,AN494&lt;&gt;"NE"),VLOOKUP(AN494,Retirement_Rates,5,FALSE)*Y494,0)</f>
        <v>0</v>
      </c>
      <c r="CE494" s="462">
        <f>IF(AND(AT494&lt;&gt;0,AJ494&lt;&gt;"PF"),LifeCHG*Y494,0)</f>
        <v>0</v>
      </c>
      <c r="CF494" s="462">
        <f>IF(AND(AT494&lt;&gt;0,AM494="Y"),UICHG*Y494,0)</f>
        <v>0</v>
      </c>
      <c r="CG494" s="462">
        <f>IF(AND(AT494&lt;&gt;0,N494&lt;&gt;"NR"),DHRCHG*Y494,0)</f>
        <v>0</v>
      </c>
      <c r="CH494" s="462">
        <f>IF(AT494&lt;&gt;0,WCCHG*Y494,0)</f>
        <v>0</v>
      </c>
      <c r="CI494" s="462">
        <f>IF(OR(AND(AT494&lt;&gt;0,AJ494&lt;&gt;"PF",AN494&lt;&gt;"NE",AG494&lt;&gt;"A"),AND(AL494="E",OR(AT494=1,AT494=3))),SickCHG*Y494,0)</f>
        <v>0</v>
      </c>
      <c r="CJ494" s="462">
        <f t="shared" si="131"/>
        <v>0</v>
      </c>
      <c r="CK494" s="462" t="str">
        <f t="shared" si="132"/>
        <v/>
      </c>
      <c r="CL494" s="462">
        <f t="shared" si="133"/>
        <v>0</v>
      </c>
      <c r="CM494" s="462">
        <f t="shared" si="134"/>
        <v>0</v>
      </c>
      <c r="CN494" s="462" t="str">
        <f t="shared" si="135"/>
        <v>0486-00</v>
      </c>
    </row>
    <row r="495" spans="1:92" ht="15" thickBot="1" x14ac:dyDescent="0.35">
      <c r="A495" s="376" t="s">
        <v>161</v>
      </c>
      <c r="B495" s="376" t="s">
        <v>162</v>
      </c>
      <c r="C495" s="376" t="s">
        <v>649</v>
      </c>
      <c r="D495" s="376" t="s">
        <v>650</v>
      </c>
      <c r="E495" s="376" t="s">
        <v>1140</v>
      </c>
      <c r="F495" s="377" t="s">
        <v>166</v>
      </c>
      <c r="G495" s="376" t="s">
        <v>1141</v>
      </c>
      <c r="H495" s="378"/>
      <c r="I495" s="378"/>
      <c r="J495" s="376" t="s">
        <v>168</v>
      </c>
      <c r="K495" s="376" t="s">
        <v>652</v>
      </c>
      <c r="L495" s="376" t="s">
        <v>166</v>
      </c>
      <c r="M495" s="376" t="s">
        <v>170</v>
      </c>
      <c r="N495" s="376" t="s">
        <v>291</v>
      </c>
      <c r="O495" s="379">
        <v>0</v>
      </c>
      <c r="P495" s="460">
        <v>1</v>
      </c>
      <c r="Q495" s="460">
        <v>0</v>
      </c>
      <c r="R495" s="380">
        <v>0</v>
      </c>
      <c r="S495" s="460">
        <v>0</v>
      </c>
      <c r="T495" s="380">
        <v>198966.65</v>
      </c>
      <c r="U495" s="380">
        <v>12285.46</v>
      </c>
      <c r="V495" s="380">
        <v>127328.05</v>
      </c>
      <c r="W495" s="380">
        <v>211271.71</v>
      </c>
      <c r="X495" s="380">
        <v>127359.63</v>
      </c>
      <c r="Y495" s="380">
        <v>211271.71</v>
      </c>
      <c r="Z495" s="380">
        <v>127359.63</v>
      </c>
      <c r="AA495" s="378"/>
      <c r="AB495" s="376" t="s">
        <v>45</v>
      </c>
      <c r="AC495" s="376" t="s">
        <v>45</v>
      </c>
      <c r="AD495" s="378"/>
      <c r="AE495" s="378"/>
      <c r="AF495" s="378"/>
      <c r="AG495" s="378"/>
      <c r="AH495" s="379">
        <v>0</v>
      </c>
      <c r="AI495" s="379">
        <v>0</v>
      </c>
      <c r="AJ495" s="378"/>
      <c r="AK495" s="378"/>
      <c r="AL495" s="376" t="s">
        <v>180</v>
      </c>
      <c r="AM495" s="378"/>
      <c r="AN495" s="378"/>
      <c r="AO495" s="379">
        <v>0</v>
      </c>
      <c r="AP495" s="460">
        <v>0</v>
      </c>
      <c r="AQ495" s="460">
        <v>0</v>
      </c>
      <c r="AR495" s="459"/>
      <c r="AS495" s="462">
        <f t="shared" si="119"/>
        <v>0</v>
      </c>
      <c r="AT495">
        <f t="shared" si="120"/>
        <v>0</v>
      </c>
      <c r="AU495" s="462" t="str">
        <f>IF(AT495=0,"",IF(AND(AT495=1,M495="F",SUMIF(C2:C698,C495,AS2:AS698)&lt;=1),SUMIF(C2:C698,C495,AS2:AS698),IF(AND(AT495=1,M495="F",SUMIF(C2:C698,C495,AS2:AS698)&gt;1),1,"")))</f>
        <v/>
      </c>
      <c r="AV495" s="462" t="str">
        <f>IF(AT495=0,"",IF(AND(AT495=3,M495="F",SUMIF(C2:C698,C495,AS2:AS698)&lt;=1),SUMIF(C2:C698,C495,AS2:AS698),IF(AND(AT495=3,M495="F",SUMIF(C2:C698,C495,AS2:AS698)&gt;1),1,"")))</f>
        <v/>
      </c>
      <c r="AW495" s="462">
        <f>SUMIF(C2:C698,C495,O2:O698)</f>
        <v>0</v>
      </c>
      <c r="AX495" s="462">
        <f>IF(AND(M495="F",AS495&lt;&gt;0),SUMIF(C2:C698,C495,W2:W698),0)</f>
        <v>0</v>
      </c>
      <c r="AY495" s="462" t="str">
        <f t="shared" si="121"/>
        <v/>
      </c>
      <c r="AZ495" s="462" t="str">
        <f t="shared" si="122"/>
        <v/>
      </c>
      <c r="BA495" s="462">
        <f t="shared" si="123"/>
        <v>0</v>
      </c>
      <c r="BB495" s="462">
        <f>IF(AND(AT495=1,AK495="E",AU495&gt;=0.75,AW495=1),Health,IF(AND(AT495=1,AK495="E",AU495&gt;=0.75),Health*P495,IF(AND(AT495=1,AK495="E",AU495&gt;=0.5,AW495=1),PTHealth,IF(AND(AT495=1,AK495="E",AU495&gt;=0.5),PTHealth*P495,0))))</f>
        <v>0</v>
      </c>
      <c r="BC495" s="462">
        <f>IF(AND(AT495=3,AK495="E",AV495&gt;=0.75,AW495=1),Health,IF(AND(AT495=3,AK495="E",AV495&gt;=0.75),Health*P495,IF(AND(AT495=3,AK495="E",AV495&gt;=0.5,AW495=1),PTHealth,IF(AND(AT495=3,AK495="E",AV495&gt;=0.5),PTHealth*P495,0))))</f>
        <v>0</v>
      </c>
      <c r="BD495" s="462">
        <f>IF(AND(AT495&lt;&gt;0,AX495&gt;=MAXSSDI),SSDI*MAXSSDI*P495,IF(AT495&lt;&gt;0,SSDI*W495,0))</f>
        <v>0</v>
      </c>
      <c r="BE495" s="462">
        <f>IF(AT495&lt;&gt;0,SSHI*W495,0)</f>
        <v>0</v>
      </c>
      <c r="BF495" s="462">
        <f>IF(AND(AT495&lt;&gt;0,AN495&lt;&gt;"NE"),VLOOKUP(AN495,Retirement_Rates,3,FALSE)*W495,0)</f>
        <v>0</v>
      </c>
      <c r="BG495" s="462">
        <f>IF(AND(AT495&lt;&gt;0,AJ495&lt;&gt;"PF"),Life*W495,0)</f>
        <v>0</v>
      </c>
      <c r="BH495" s="462">
        <f>IF(AND(AT495&lt;&gt;0,AM495="Y"),UI*W495,0)</f>
        <v>0</v>
      </c>
      <c r="BI495" s="462">
        <f>IF(AND(AT495&lt;&gt;0,N495&lt;&gt;"NR"),DHR*W495,0)</f>
        <v>0</v>
      </c>
      <c r="BJ495" s="462">
        <f>IF(AT495&lt;&gt;0,WC*W495,0)</f>
        <v>0</v>
      </c>
      <c r="BK495" s="462">
        <f>IF(OR(AND(AT495&lt;&gt;0,AJ495&lt;&gt;"PF",AN495&lt;&gt;"NE",AG495&lt;&gt;"A"),AND(AL495="E",OR(AT495=1,AT495=3))),Sick*W495,0)</f>
        <v>0</v>
      </c>
      <c r="BL495" s="462">
        <f t="shared" si="124"/>
        <v>0</v>
      </c>
      <c r="BM495" s="462">
        <f t="shared" si="125"/>
        <v>0</v>
      </c>
      <c r="BN495" s="462">
        <f>IF(AND(AT495=1,AK495="E",AU495&gt;=0.75,AW495=1),HealthBY,IF(AND(AT495=1,AK495="E",AU495&gt;=0.75),HealthBY*P495,IF(AND(AT495=1,AK495="E",AU495&gt;=0.5,AW495=1),PTHealthBY,IF(AND(AT495=1,AK495="E",AU495&gt;=0.5),PTHealthBY*P495,0))))</f>
        <v>0</v>
      </c>
      <c r="BO495" s="462">
        <f>IF(AND(AT495=3,AK495="E",AV495&gt;=0.75,AW495=1),HealthBY,IF(AND(AT495=3,AK495="E",AV495&gt;=0.75),HealthBY*P495,IF(AND(AT495=3,AK495="E",AV495&gt;=0.5,AW495=1),PTHealthBY,IF(AND(AT495=3,AK495="E",AV495&gt;=0.5),PTHealthBY*P495,0))))</f>
        <v>0</v>
      </c>
      <c r="BP495" s="462">
        <f>IF(AND(AT495&lt;&gt;0,(AX495+BA495)&gt;=MAXSSDIBY),SSDIBY*MAXSSDIBY*P495,IF(AT495&lt;&gt;0,SSDIBY*W495,0))</f>
        <v>0</v>
      </c>
      <c r="BQ495" s="462">
        <f>IF(AT495&lt;&gt;0,SSHIBY*W495,0)</f>
        <v>0</v>
      </c>
      <c r="BR495" s="462">
        <f>IF(AND(AT495&lt;&gt;0,AN495&lt;&gt;"NE"),VLOOKUP(AN495,Retirement_Rates,4,FALSE)*W495,0)</f>
        <v>0</v>
      </c>
      <c r="BS495" s="462">
        <f>IF(AND(AT495&lt;&gt;0,AJ495&lt;&gt;"PF"),LifeBY*W495,0)</f>
        <v>0</v>
      </c>
      <c r="BT495" s="462">
        <f>IF(AND(AT495&lt;&gt;0,AM495="Y"),UIBY*W495,0)</f>
        <v>0</v>
      </c>
      <c r="BU495" s="462">
        <f>IF(AND(AT495&lt;&gt;0,N495&lt;&gt;"NR"),DHRBY*W495,0)</f>
        <v>0</v>
      </c>
      <c r="BV495" s="462">
        <f>IF(AT495&lt;&gt;0,WCBY*W495,0)</f>
        <v>0</v>
      </c>
      <c r="BW495" s="462">
        <f>IF(OR(AND(AT495&lt;&gt;0,AJ495&lt;&gt;"PF",AN495&lt;&gt;"NE",AG495&lt;&gt;"A"),AND(AL495="E",OR(AT495=1,AT495=3))),SickBY*W495,0)</f>
        <v>0</v>
      </c>
      <c r="BX495" s="462">
        <f t="shared" si="126"/>
        <v>0</v>
      </c>
      <c r="BY495" s="462">
        <f t="shared" si="127"/>
        <v>0</v>
      </c>
      <c r="BZ495" s="462">
        <f t="shared" si="128"/>
        <v>0</v>
      </c>
      <c r="CA495" s="462">
        <f t="shared" si="129"/>
        <v>0</v>
      </c>
      <c r="CB495" s="462">
        <f t="shared" si="130"/>
        <v>0</v>
      </c>
      <c r="CC495" s="462">
        <f>IF(AT495&lt;&gt;0,SSHICHG*Y495,0)</f>
        <v>0</v>
      </c>
      <c r="CD495" s="462">
        <f>IF(AND(AT495&lt;&gt;0,AN495&lt;&gt;"NE"),VLOOKUP(AN495,Retirement_Rates,5,FALSE)*Y495,0)</f>
        <v>0</v>
      </c>
      <c r="CE495" s="462">
        <f>IF(AND(AT495&lt;&gt;0,AJ495&lt;&gt;"PF"),LifeCHG*Y495,0)</f>
        <v>0</v>
      </c>
      <c r="CF495" s="462">
        <f>IF(AND(AT495&lt;&gt;0,AM495="Y"),UICHG*Y495,0)</f>
        <v>0</v>
      </c>
      <c r="CG495" s="462">
        <f>IF(AND(AT495&lt;&gt;0,N495&lt;&gt;"NR"),DHRCHG*Y495,0)</f>
        <v>0</v>
      </c>
      <c r="CH495" s="462">
        <f>IF(AT495&lt;&gt;0,WCCHG*Y495,0)</f>
        <v>0</v>
      </c>
      <c r="CI495" s="462">
        <f>IF(OR(AND(AT495&lt;&gt;0,AJ495&lt;&gt;"PF",AN495&lt;&gt;"NE",AG495&lt;&gt;"A"),AND(AL495="E",OR(AT495=1,AT495=3))),SickCHG*Y495,0)</f>
        <v>0</v>
      </c>
      <c r="CJ495" s="462">
        <f t="shared" si="131"/>
        <v>0</v>
      </c>
      <c r="CK495" s="462" t="str">
        <f t="shared" si="132"/>
        <v/>
      </c>
      <c r="CL495" s="462">
        <f t="shared" si="133"/>
        <v>211252.11</v>
      </c>
      <c r="CM495" s="462">
        <f t="shared" si="134"/>
        <v>127328.05</v>
      </c>
      <c r="CN495" s="462" t="str">
        <f t="shared" si="135"/>
        <v>0486-00</v>
      </c>
    </row>
    <row r="496" spans="1:92" ht="15" thickBot="1" x14ac:dyDescent="0.35">
      <c r="A496" s="376" t="s">
        <v>161</v>
      </c>
      <c r="B496" s="376" t="s">
        <v>162</v>
      </c>
      <c r="C496" s="376" t="s">
        <v>1167</v>
      </c>
      <c r="D496" s="376" t="s">
        <v>1153</v>
      </c>
      <c r="E496" s="376" t="s">
        <v>1140</v>
      </c>
      <c r="F496" s="377" t="s">
        <v>166</v>
      </c>
      <c r="G496" s="376" t="s">
        <v>1141</v>
      </c>
      <c r="H496" s="378"/>
      <c r="I496" s="378"/>
      <c r="J496" s="376" t="s">
        <v>168</v>
      </c>
      <c r="K496" s="376" t="s">
        <v>1154</v>
      </c>
      <c r="L496" s="376" t="s">
        <v>166</v>
      </c>
      <c r="M496" s="376" t="s">
        <v>201</v>
      </c>
      <c r="N496" s="376" t="s">
        <v>291</v>
      </c>
      <c r="O496" s="379">
        <v>0</v>
      </c>
      <c r="P496" s="460">
        <v>1</v>
      </c>
      <c r="Q496" s="460">
        <v>0</v>
      </c>
      <c r="R496" s="380">
        <v>0</v>
      </c>
      <c r="S496" s="460">
        <v>0</v>
      </c>
      <c r="T496" s="380">
        <v>0</v>
      </c>
      <c r="U496" s="380">
        <v>0</v>
      </c>
      <c r="V496" s="380">
        <v>0</v>
      </c>
      <c r="W496" s="380">
        <v>0</v>
      </c>
      <c r="X496" s="380">
        <v>0</v>
      </c>
      <c r="Y496" s="380">
        <v>0</v>
      </c>
      <c r="Z496" s="380">
        <v>0</v>
      </c>
      <c r="AA496" s="378"/>
      <c r="AB496" s="376" t="s">
        <v>45</v>
      </c>
      <c r="AC496" s="376" t="s">
        <v>45</v>
      </c>
      <c r="AD496" s="378"/>
      <c r="AE496" s="378"/>
      <c r="AF496" s="378"/>
      <c r="AG496" s="378"/>
      <c r="AH496" s="379">
        <v>0</v>
      </c>
      <c r="AI496" s="379">
        <v>0</v>
      </c>
      <c r="AJ496" s="378"/>
      <c r="AK496" s="378"/>
      <c r="AL496" s="376" t="s">
        <v>180</v>
      </c>
      <c r="AM496" s="378"/>
      <c r="AN496" s="378"/>
      <c r="AO496" s="379">
        <v>0</v>
      </c>
      <c r="AP496" s="460">
        <v>0</v>
      </c>
      <c r="AQ496" s="460">
        <v>0</v>
      </c>
      <c r="AR496" s="459"/>
      <c r="AS496" s="462">
        <f t="shared" si="119"/>
        <v>0</v>
      </c>
      <c r="AT496">
        <f t="shared" si="120"/>
        <v>0</v>
      </c>
      <c r="AU496" s="462" t="str">
        <f>IF(AT496=0,"",IF(AND(AT496=1,M496="F",SUMIF(C2:C698,C496,AS2:AS698)&lt;=1),SUMIF(C2:C698,C496,AS2:AS698),IF(AND(AT496=1,M496="F",SUMIF(C2:C698,C496,AS2:AS698)&gt;1),1,"")))</f>
        <v/>
      </c>
      <c r="AV496" s="462" t="str">
        <f>IF(AT496=0,"",IF(AND(AT496=3,M496="F",SUMIF(C2:C698,C496,AS2:AS698)&lt;=1),SUMIF(C2:C698,C496,AS2:AS698),IF(AND(AT496=3,M496="F",SUMIF(C2:C698,C496,AS2:AS698)&gt;1),1,"")))</f>
        <v/>
      </c>
      <c r="AW496" s="462">
        <f>SUMIF(C2:C698,C496,O2:O698)</f>
        <v>0</v>
      </c>
      <c r="AX496" s="462">
        <f>IF(AND(M496="F",AS496&lt;&gt;0),SUMIF(C2:C698,C496,W2:W698),0)</f>
        <v>0</v>
      </c>
      <c r="AY496" s="462" t="str">
        <f t="shared" si="121"/>
        <v/>
      </c>
      <c r="AZ496" s="462" t="str">
        <f t="shared" si="122"/>
        <v/>
      </c>
      <c r="BA496" s="462">
        <f t="shared" si="123"/>
        <v>0</v>
      </c>
      <c r="BB496" s="462">
        <f>IF(AND(AT496=1,AK496="E",AU496&gt;=0.75,AW496=1),Health,IF(AND(AT496=1,AK496="E",AU496&gt;=0.75),Health*P496,IF(AND(AT496=1,AK496="E",AU496&gt;=0.5,AW496=1),PTHealth,IF(AND(AT496=1,AK496="E",AU496&gt;=0.5),PTHealth*P496,0))))</f>
        <v>0</v>
      </c>
      <c r="BC496" s="462">
        <f>IF(AND(AT496=3,AK496="E",AV496&gt;=0.75,AW496=1),Health,IF(AND(AT496=3,AK496="E",AV496&gt;=0.75),Health*P496,IF(AND(AT496=3,AK496="E",AV496&gt;=0.5,AW496=1),PTHealth,IF(AND(AT496=3,AK496="E",AV496&gt;=0.5),PTHealth*P496,0))))</f>
        <v>0</v>
      </c>
      <c r="BD496" s="462">
        <f>IF(AND(AT496&lt;&gt;0,AX496&gt;=MAXSSDI),SSDI*MAXSSDI*P496,IF(AT496&lt;&gt;0,SSDI*W496,0))</f>
        <v>0</v>
      </c>
      <c r="BE496" s="462">
        <f>IF(AT496&lt;&gt;0,SSHI*W496,0)</f>
        <v>0</v>
      </c>
      <c r="BF496" s="462">
        <f>IF(AND(AT496&lt;&gt;0,AN496&lt;&gt;"NE"),VLOOKUP(AN496,Retirement_Rates,3,FALSE)*W496,0)</f>
        <v>0</v>
      </c>
      <c r="BG496" s="462">
        <f>IF(AND(AT496&lt;&gt;0,AJ496&lt;&gt;"PF"),Life*W496,0)</f>
        <v>0</v>
      </c>
      <c r="BH496" s="462">
        <f>IF(AND(AT496&lt;&gt;0,AM496="Y"),UI*W496,0)</f>
        <v>0</v>
      </c>
      <c r="BI496" s="462">
        <f>IF(AND(AT496&lt;&gt;0,N496&lt;&gt;"NR"),DHR*W496,0)</f>
        <v>0</v>
      </c>
      <c r="BJ496" s="462">
        <f>IF(AT496&lt;&gt;0,WC*W496,0)</f>
        <v>0</v>
      </c>
      <c r="BK496" s="462">
        <f>IF(OR(AND(AT496&lt;&gt;0,AJ496&lt;&gt;"PF",AN496&lt;&gt;"NE",AG496&lt;&gt;"A"),AND(AL496="E",OR(AT496=1,AT496=3))),Sick*W496,0)</f>
        <v>0</v>
      </c>
      <c r="BL496" s="462">
        <f t="shared" si="124"/>
        <v>0</v>
      </c>
      <c r="BM496" s="462">
        <f t="shared" si="125"/>
        <v>0</v>
      </c>
      <c r="BN496" s="462">
        <f>IF(AND(AT496=1,AK496="E",AU496&gt;=0.75,AW496=1),HealthBY,IF(AND(AT496=1,AK496="E",AU496&gt;=0.75),HealthBY*P496,IF(AND(AT496=1,AK496="E",AU496&gt;=0.5,AW496=1),PTHealthBY,IF(AND(AT496=1,AK496="E",AU496&gt;=0.5),PTHealthBY*P496,0))))</f>
        <v>0</v>
      </c>
      <c r="BO496" s="462">
        <f>IF(AND(AT496=3,AK496="E",AV496&gt;=0.75,AW496=1),HealthBY,IF(AND(AT496=3,AK496="E",AV496&gt;=0.75),HealthBY*P496,IF(AND(AT496=3,AK496="E",AV496&gt;=0.5,AW496=1),PTHealthBY,IF(AND(AT496=3,AK496="E",AV496&gt;=0.5),PTHealthBY*P496,0))))</f>
        <v>0</v>
      </c>
      <c r="BP496" s="462">
        <f>IF(AND(AT496&lt;&gt;0,(AX496+BA496)&gt;=MAXSSDIBY),SSDIBY*MAXSSDIBY*P496,IF(AT496&lt;&gt;0,SSDIBY*W496,0))</f>
        <v>0</v>
      </c>
      <c r="BQ496" s="462">
        <f>IF(AT496&lt;&gt;0,SSHIBY*W496,0)</f>
        <v>0</v>
      </c>
      <c r="BR496" s="462">
        <f>IF(AND(AT496&lt;&gt;0,AN496&lt;&gt;"NE"),VLOOKUP(AN496,Retirement_Rates,4,FALSE)*W496,0)</f>
        <v>0</v>
      </c>
      <c r="BS496" s="462">
        <f>IF(AND(AT496&lt;&gt;0,AJ496&lt;&gt;"PF"),LifeBY*W496,0)</f>
        <v>0</v>
      </c>
      <c r="BT496" s="462">
        <f>IF(AND(AT496&lt;&gt;0,AM496="Y"),UIBY*W496,0)</f>
        <v>0</v>
      </c>
      <c r="BU496" s="462">
        <f>IF(AND(AT496&lt;&gt;0,N496&lt;&gt;"NR"),DHRBY*W496,0)</f>
        <v>0</v>
      </c>
      <c r="BV496" s="462">
        <f>IF(AT496&lt;&gt;0,WCBY*W496,0)</f>
        <v>0</v>
      </c>
      <c r="BW496" s="462">
        <f>IF(OR(AND(AT496&lt;&gt;0,AJ496&lt;&gt;"PF",AN496&lt;&gt;"NE",AG496&lt;&gt;"A"),AND(AL496="E",OR(AT496=1,AT496=3))),SickBY*W496,0)</f>
        <v>0</v>
      </c>
      <c r="BX496" s="462">
        <f t="shared" si="126"/>
        <v>0</v>
      </c>
      <c r="BY496" s="462">
        <f t="shared" si="127"/>
        <v>0</v>
      </c>
      <c r="BZ496" s="462">
        <f t="shared" si="128"/>
        <v>0</v>
      </c>
      <c r="CA496" s="462">
        <f t="shared" si="129"/>
        <v>0</v>
      </c>
      <c r="CB496" s="462">
        <f t="shared" si="130"/>
        <v>0</v>
      </c>
      <c r="CC496" s="462">
        <f>IF(AT496&lt;&gt;0,SSHICHG*Y496,0)</f>
        <v>0</v>
      </c>
      <c r="CD496" s="462">
        <f>IF(AND(AT496&lt;&gt;0,AN496&lt;&gt;"NE"),VLOOKUP(AN496,Retirement_Rates,5,FALSE)*Y496,0)</f>
        <v>0</v>
      </c>
      <c r="CE496" s="462">
        <f>IF(AND(AT496&lt;&gt;0,AJ496&lt;&gt;"PF"),LifeCHG*Y496,0)</f>
        <v>0</v>
      </c>
      <c r="CF496" s="462">
        <f>IF(AND(AT496&lt;&gt;0,AM496="Y"),UICHG*Y496,0)</f>
        <v>0</v>
      </c>
      <c r="CG496" s="462">
        <f>IF(AND(AT496&lt;&gt;0,N496&lt;&gt;"NR"),DHRCHG*Y496,0)</f>
        <v>0</v>
      </c>
      <c r="CH496" s="462">
        <f>IF(AT496&lt;&gt;0,WCCHG*Y496,0)</f>
        <v>0</v>
      </c>
      <c r="CI496" s="462">
        <f>IF(OR(AND(AT496&lt;&gt;0,AJ496&lt;&gt;"PF",AN496&lt;&gt;"NE",AG496&lt;&gt;"A"),AND(AL496="E",OR(AT496=1,AT496=3))),SickCHG*Y496,0)</f>
        <v>0</v>
      </c>
      <c r="CJ496" s="462">
        <f t="shared" si="131"/>
        <v>0</v>
      </c>
      <c r="CK496" s="462" t="str">
        <f t="shared" si="132"/>
        <v/>
      </c>
      <c r="CL496" s="462">
        <f t="shared" si="133"/>
        <v>0</v>
      </c>
      <c r="CM496" s="462">
        <f t="shared" si="134"/>
        <v>0</v>
      </c>
      <c r="CN496" s="462" t="str">
        <f t="shared" si="135"/>
        <v>0486-00</v>
      </c>
    </row>
    <row r="497" spans="1:92" ht="15" thickBot="1" x14ac:dyDescent="0.35">
      <c r="A497" s="376" t="s">
        <v>161</v>
      </c>
      <c r="B497" s="376" t="s">
        <v>162</v>
      </c>
      <c r="C497" s="376" t="s">
        <v>1168</v>
      </c>
      <c r="D497" s="376" t="s">
        <v>1169</v>
      </c>
      <c r="E497" s="376" t="s">
        <v>1140</v>
      </c>
      <c r="F497" s="377" t="s">
        <v>166</v>
      </c>
      <c r="G497" s="376" t="s">
        <v>1141</v>
      </c>
      <c r="H497" s="378"/>
      <c r="I497" s="378"/>
      <c r="J497" s="376" t="s">
        <v>168</v>
      </c>
      <c r="K497" s="376" t="s">
        <v>1170</v>
      </c>
      <c r="L497" s="376" t="s">
        <v>166</v>
      </c>
      <c r="M497" s="376" t="s">
        <v>201</v>
      </c>
      <c r="N497" s="376" t="s">
        <v>291</v>
      </c>
      <c r="O497" s="379">
        <v>0</v>
      </c>
      <c r="P497" s="460">
        <v>1</v>
      </c>
      <c r="Q497" s="460">
        <v>0</v>
      </c>
      <c r="R497" s="380">
        <v>0</v>
      </c>
      <c r="S497" s="460">
        <v>0</v>
      </c>
      <c r="T497" s="380">
        <v>0</v>
      </c>
      <c r="U497" s="380">
        <v>0</v>
      </c>
      <c r="V497" s="380">
        <v>0</v>
      </c>
      <c r="W497" s="380">
        <v>0</v>
      </c>
      <c r="X497" s="380">
        <v>0</v>
      </c>
      <c r="Y497" s="380">
        <v>0</v>
      </c>
      <c r="Z497" s="380">
        <v>0</v>
      </c>
      <c r="AA497" s="378"/>
      <c r="AB497" s="376" t="s">
        <v>45</v>
      </c>
      <c r="AC497" s="376" t="s">
        <v>45</v>
      </c>
      <c r="AD497" s="378"/>
      <c r="AE497" s="378"/>
      <c r="AF497" s="378"/>
      <c r="AG497" s="378"/>
      <c r="AH497" s="379">
        <v>0</v>
      </c>
      <c r="AI497" s="379">
        <v>0</v>
      </c>
      <c r="AJ497" s="378"/>
      <c r="AK497" s="378"/>
      <c r="AL497" s="376" t="s">
        <v>180</v>
      </c>
      <c r="AM497" s="378"/>
      <c r="AN497" s="378"/>
      <c r="AO497" s="379">
        <v>0</v>
      </c>
      <c r="AP497" s="460">
        <v>0</v>
      </c>
      <c r="AQ497" s="460">
        <v>0</v>
      </c>
      <c r="AR497" s="459"/>
      <c r="AS497" s="462">
        <f t="shared" si="119"/>
        <v>0</v>
      </c>
      <c r="AT497">
        <f t="shared" si="120"/>
        <v>0</v>
      </c>
      <c r="AU497" s="462" t="str">
        <f>IF(AT497=0,"",IF(AND(AT497=1,M497="F",SUMIF(C2:C698,C497,AS2:AS698)&lt;=1),SUMIF(C2:C698,C497,AS2:AS698),IF(AND(AT497=1,M497="F",SUMIF(C2:C698,C497,AS2:AS698)&gt;1),1,"")))</f>
        <v/>
      </c>
      <c r="AV497" s="462" t="str">
        <f>IF(AT497=0,"",IF(AND(AT497=3,M497="F",SUMIF(C2:C698,C497,AS2:AS698)&lt;=1),SUMIF(C2:C698,C497,AS2:AS698),IF(AND(AT497=3,M497="F",SUMIF(C2:C698,C497,AS2:AS698)&gt;1),1,"")))</f>
        <v/>
      </c>
      <c r="AW497" s="462">
        <f>SUMIF(C2:C698,C497,O2:O698)</f>
        <v>0</v>
      </c>
      <c r="AX497" s="462">
        <f>IF(AND(M497="F",AS497&lt;&gt;0),SUMIF(C2:C698,C497,W2:W698),0)</f>
        <v>0</v>
      </c>
      <c r="AY497" s="462" t="str">
        <f t="shared" si="121"/>
        <v/>
      </c>
      <c r="AZ497" s="462" t="str">
        <f t="shared" si="122"/>
        <v/>
      </c>
      <c r="BA497" s="462">
        <f t="shared" si="123"/>
        <v>0</v>
      </c>
      <c r="BB497" s="462">
        <f>IF(AND(AT497=1,AK497="E",AU497&gt;=0.75,AW497=1),Health,IF(AND(AT497=1,AK497="E",AU497&gt;=0.75),Health*P497,IF(AND(AT497=1,AK497="E",AU497&gt;=0.5,AW497=1),PTHealth,IF(AND(AT497=1,AK497="E",AU497&gt;=0.5),PTHealth*P497,0))))</f>
        <v>0</v>
      </c>
      <c r="BC497" s="462">
        <f>IF(AND(AT497=3,AK497="E",AV497&gt;=0.75,AW497=1),Health,IF(AND(AT497=3,AK497="E",AV497&gt;=0.75),Health*P497,IF(AND(AT497=3,AK497="E",AV497&gt;=0.5,AW497=1),PTHealth,IF(AND(AT497=3,AK497="E",AV497&gt;=0.5),PTHealth*P497,0))))</f>
        <v>0</v>
      </c>
      <c r="BD497" s="462">
        <f>IF(AND(AT497&lt;&gt;0,AX497&gt;=MAXSSDI),SSDI*MAXSSDI*P497,IF(AT497&lt;&gt;0,SSDI*W497,0))</f>
        <v>0</v>
      </c>
      <c r="BE497" s="462">
        <f>IF(AT497&lt;&gt;0,SSHI*W497,0)</f>
        <v>0</v>
      </c>
      <c r="BF497" s="462">
        <f>IF(AND(AT497&lt;&gt;0,AN497&lt;&gt;"NE"),VLOOKUP(AN497,Retirement_Rates,3,FALSE)*W497,0)</f>
        <v>0</v>
      </c>
      <c r="BG497" s="462">
        <f>IF(AND(AT497&lt;&gt;0,AJ497&lt;&gt;"PF"),Life*W497,0)</f>
        <v>0</v>
      </c>
      <c r="BH497" s="462">
        <f>IF(AND(AT497&lt;&gt;0,AM497="Y"),UI*W497,0)</f>
        <v>0</v>
      </c>
      <c r="BI497" s="462">
        <f>IF(AND(AT497&lt;&gt;0,N497&lt;&gt;"NR"),DHR*W497,0)</f>
        <v>0</v>
      </c>
      <c r="BJ497" s="462">
        <f>IF(AT497&lt;&gt;0,WC*W497,0)</f>
        <v>0</v>
      </c>
      <c r="BK497" s="462">
        <f>IF(OR(AND(AT497&lt;&gt;0,AJ497&lt;&gt;"PF",AN497&lt;&gt;"NE",AG497&lt;&gt;"A"),AND(AL497="E",OR(AT497=1,AT497=3))),Sick*W497,0)</f>
        <v>0</v>
      </c>
      <c r="BL497" s="462">
        <f t="shared" si="124"/>
        <v>0</v>
      </c>
      <c r="BM497" s="462">
        <f t="shared" si="125"/>
        <v>0</v>
      </c>
      <c r="BN497" s="462">
        <f>IF(AND(AT497=1,AK497="E",AU497&gt;=0.75,AW497=1),HealthBY,IF(AND(AT497=1,AK497="E",AU497&gt;=0.75),HealthBY*P497,IF(AND(AT497=1,AK497="E",AU497&gt;=0.5,AW497=1),PTHealthBY,IF(AND(AT497=1,AK497="E",AU497&gt;=0.5),PTHealthBY*P497,0))))</f>
        <v>0</v>
      </c>
      <c r="BO497" s="462">
        <f>IF(AND(AT497=3,AK497="E",AV497&gt;=0.75,AW497=1),HealthBY,IF(AND(AT497=3,AK497="E",AV497&gt;=0.75),HealthBY*P497,IF(AND(AT497=3,AK497="E",AV497&gt;=0.5,AW497=1),PTHealthBY,IF(AND(AT497=3,AK497="E",AV497&gt;=0.5),PTHealthBY*P497,0))))</f>
        <v>0</v>
      </c>
      <c r="BP497" s="462">
        <f>IF(AND(AT497&lt;&gt;0,(AX497+BA497)&gt;=MAXSSDIBY),SSDIBY*MAXSSDIBY*P497,IF(AT497&lt;&gt;0,SSDIBY*W497,0))</f>
        <v>0</v>
      </c>
      <c r="BQ497" s="462">
        <f>IF(AT497&lt;&gt;0,SSHIBY*W497,0)</f>
        <v>0</v>
      </c>
      <c r="BR497" s="462">
        <f>IF(AND(AT497&lt;&gt;0,AN497&lt;&gt;"NE"),VLOOKUP(AN497,Retirement_Rates,4,FALSE)*W497,0)</f>
        <v>0</v>
      </c>
      <c r="BS497" s="462">
        <f>IF(AND(AT497&lt;&gt;0,AJ497&lt;&gt;"PF"),LifeBY*W497,0)</f>
        <v>0</v>
      </c>
      <c r="BT497" s="462">
        <f>IF(AND(AT497&lt;&gt;0,AM497="Y"),UIBY*W497,0)</f>
        <v>0</v>
      </c>
      <c r="BU497" s="462">
        <f>IF(AND(AT497&lt;&gt;0,N497&lt;&gt;"NR"),DHRBY*W497,0)</f>
        <v>0</v>
      </c>
      <c r="BV497" s="462">
        <f>IF(AT497&lt;&gt;0,WCBY*W497,0)</f>
        <v>0</v>
      </c>
      <c r="BW497" s="462">
        <f>IF(OR(AND(AT497&lt;&gt;0,AJ497&lt;&gt;"PF",AN497&lt;&gt;"NE",AG497&lt;&gt;"A"),AND(AL497="E",OR(AT497=1,AT497=3))),SickBY*W497,0)</f>
        <v>0</v>
      </c>
      <c r="BX497" s="462">
        <f t="shared" si="126"/>
        <v>0</v>
      </c>
      <c r="BY497" s="462">
        <f t="shared" si="127"/>
        <v>0</v>
      </c>
      <c r="BZ497" s="462">
        <f t="shared" si="128"/>
        <v>0</v>
      </c>
      <c r="CA497" s="462">
        <f t="shared" si="129"/>
        <v>0</v>
      </c>
      <c r="CB497" s="462">
        <f t="shared" si="130"/>
        <v>0</v>
      </c>
      <c r="CC497" s="462">
        <f>IF(AT497&lt;&gt;0,SSHICHG*Y497,0)</f>
        <v>0</v>
      </c>
      <c r="CD497" s="462">
        <f>IF(AND(AT497&lt;&gt;0,AN497&lt;&gt;"NE"),VLOOKUP(AN497,Retirement_Rates,5,FALSE)*Y497,0)</f>
        <v>0</v>
      </c>
      <c r="CE497" s="462">
        <f>IF(AND(AT497&lt;&gt;0,AJ497&lt;&gt;"PF"),LifeCHG*Y497,0)</f>
        <v>0</v>
      </c>
      <c r="CF497" s="462">
        <f>IF(AND(AT497&lt;&gt;0,AM497="Y"),UICHG*Y497,0)</f>
        <v>0</v>
      </c>
      <c r="CG497" s="462">
        <f>IF(AND(AT497&lt;&gt;0,N497&lt;&gt;"NR"),DHRCHG*Y497,0)</f>
        <v>0</v>
      </c>
      <c r="CH497" s="462">
        <f>IF(AT497&lt;&gt;0,WCCHG*Y497,0)</f>
        <v>0</v>
      </c>
      <c r="CI497" s="462">
        <f>IF(OR(AND(AT497&lt;&gt;0,AJ497&lt;&gt;"PF",AN497&lt;&gt;"NE",AG497&lt;&gt;"A"),AND(AL497="E",OR(AT497=1,AT497=3))),SickCHG*Y497,0)</f>
        <v>0</v>
      </c>
      <c r="CJ497" s="462">
        <f t="shared" si="131"/>
        <v>0</v>
      </c>
      <c r="CK497" s="462" t="str">
        <f t="shared" si="132"/>
        <v/>
      </c>
      <c r="CL497" s="462">
        <f t="shared" si="133"/>
        <v>0</v>
      </c>
      <c r="CM497" s="462">
        <f t="shared" si="134"/>
        <v>0</v>
      </c>
      <c r="CN497" s="462" t="str">
        <f t="shared" si="135"/>
        <v>0486-00</v>
      </c>
    </row>
    <row r="498" spans="1:92" ht="15" thickBot="1" x14ac:dyDescent="0.35">
      <c r="A498" s="376" t="s">
        <v>161</v>
      </c>
      <c r="B498" s="376" t="s">
        <v>162</v>
      </c>
      <c r="C498" s="376" t="s">
        <v>1171</v>
      </c>
      <c r="D498" s="376" t="s">
        <v>716</v>
      </c>
      <c r="E498" s="376" t="s">
        <v>1140</v>
      </c>
      <c r="F498" s="377" t="s">
        <v>166</v>
      </c>
      <c r="G498" s="376" t="s">
        <v>1141</v>
      </c>
      <c r="H498" s="378"/>
      <c r="I498" s="378"/>
      <c r="J498" s="376" t="s">
        <v>168</v>
      </c>
      <c r="K498" s="376" t="s">
        <v>717</v>
      </c>
      <c r="L498" s="376" t="s">
        <v>349</v>
      </c>
      <c r="M498" s="376" t="s">
        <v>201</v>
      </c>
      <c r="N498" s="376" t="s">
        <v>291</v>
      </c>
      <c r="O498" s="379">
        <v>0</v>
      </c>
      <c r="P498" s="460">
        <v>1</v>
      </c>
      <c r="Q498" s="460">
        <v>0</v>
      </c>
      <c r="R498" s="380">
        <v>0</v>
      </c>
      <c r="S498" s="460">
        <v>0</v>
      </c>
      <c r="T498" s="380">
        <v>0</v>
      </c>
      <c r="U498" s="380">
        <v>0</v>
      </c>
      <c r="V498" s="380">
        <v>0</v>
      </c>
      <c r="W498" s="380">
        <v>0</v>
      </c>
      <c r="X498" s="380">
        <v>0</v>
      </c>
      <c r="Y498" s="380">
        <v>0</v>
      </c>
      <c r="Z498" s="380">
        <v>0</v>
      </c>
      <c r="AA498" s="378"/>
      <c r="AB498" s="376" t="s">
        <v>45</v>
      </c>
      <c r="AC498" s="376" t="s">
        <v>45</v>
      </c>
      <c r="AD498" s="378"/>
      <c r="AE498" s="378"/>
      <c r="AF498" s="378"/>
      <c r="AG498" s="378"/>
      <c r="AH498" s="379">
        <v>0</v>
      </c>
      <c r="AI498" s="379">
        <v>0</v>
      </c>
      <c r="AJ498" s="378"/>
      <c r="AK498" s="378"/>
      <c r="AL498" s="376" t="s">
        <v>180</v>
      </c>
      <c r="AM498" s="378"/>
      <c r="AN498" s="378"/>
      <c r="AO498" s="379">
        <v>0</v>
      </c>
      <c r="AP498" s="460">
        <v>0</v>
      </c>
      <c r="AQ498" s="460">
        <v>0</v>
      </c>
      <c r="AR498" s="459"/>
      <c r="AS498" s="462">
        <f t="shared" si="119"/>
        <v>0</v>
      </c>
      <c r="AT498">
        <f t="shared" si="120"/>
        <v>0</v>
      </c>
      <c r="AU498" s="462" t="str">
        <f>IF(AT498=0,"",IF(AND(AT498=1,M498="F",SUMIF(C2:C698,C498,AS2:AS698)&lt;=1),SUMIF(C2:C698,C498,AS2:AS698),IF(AND(AT498=1,M498="F",SUMIF(C2:C698,C498,AS2:AS698)&gt;1),1,"")))</f>
        <v/>
      </c>
      <c r="AV498" s="462" t="str">
        <f>IF(AT498=0,"",IF(AND(AT498=3,M498="F",SUMIF(C2:C698,C498,AS2:AS698)&lt;=1),SUMIF(C2:C698,C498,AS2:AS698),IF(AND(AT498=3,M498="F",SUMIF(C2:C698,C498,AS2:AS698)&gt;1),1,"")))</f>
        <v/>
      </c>
      <c r="AW498" s="462">
        <f>SUMIF(C2:C698,C498,O2:O698)</f>
        <v>0</v>
      </c>
      <c r="AX498" s="462">
        <f>IF(AND(M498="F",AS498&lt;&gt;0),SUMIF(C2:C698,C498,W2:W698),0)</f>
        <v>0</v>
      </c>
      <c r="AY498" s="462" t="str">
        <f t="shared" si="121"/>
        <v/>
      </c>
      <c r="AZ498" s="462" t="str">
        <f t="shared" si="122"/>
        <v/>
      </c>
      <c r="BA498" s="462">
        <f t="shared" si="123"/>
        <v>0</v>
      </c>
      <c r="BB498" s="462">
        <f>IF(AND(AT498=1,AK498="E",AU498&gt;=0.75,AW498=1),Health,IF(AND(AT498=1,AK498="E",AU498&gt;=0.75),Health*P498,IF(AND(AT498=1,AK498="E",AU498&gt;=0.5,AW498=1),PTHealth,IF(AND(AT498=1,AK498="E",AU498&gt;=0.5),PTHealth*P498,0))))</f>
        <v>0</v>
      </c>
      <c r="BC498" s="462">
        <f>IF(AND(AT498=3,AK498="E",AV498&gt;=0.75,AW498=1),Health,IF(AND(AT498=3,AK498="E",AV498&gt;=0.75),Health*P498,IF(AND(AT498=3,AK498="E",AV498&gt;=0.5,AW498=1),PTHealth,IF(AND(AT498=3,AK498="E",AV498&gt;=0.5),PTHealth*P498,0))))</f>
        <v>0</v>
      </c>
      <c r="BD498" s="462">
        <f>IF(AND(AT498&lt;&gt;0,AX498&gt;=MAXSSDI),SSDI*MAXSSDI*P498,IF(AT498&lt;&gt;0,SSDI*W498,0))</f>
        <v>0</v>
      </c>
      <c r="BE498" s="462">
        <f>IF(AT498&lt;&gt;0,SSHI*W498,0)</f>
        <v>0</v>
      </c>
      <c r="BF498" s="462">
        <f>IF(AND(AT498&lt;&gt;0,AN498&lt;&gt;"NE"),VLOOKUP(AN498,Retirement_Rates,3,FALSE)*W498,0)</f>
        <v>0</v>
      </c>
      <c r="BG498" s="462">
        <f>IF(AND(AT498&lt;&gt;0,AJ498&lt;&gt;"PF"),Life*W498,0)</f>
        <v>0</v>
      </c>
      <c r="BH498" s="462">
        <f>IF(AND(AT498&lt;&gt;0,AM498="Y"),UI*W498,0)</f>
        <v>0</v>
      </c>
      <c r="BI498" s="462">
        <f>IF(AND(AT498&lt;&gt;0,N498&lt;&gt;"NR"),DHR*W498,0)</f>
        <v>0</v>
      </c>
      <c r="BJ498" s="462">
        <f>IF(AT498&lt;&gt;0,WC*W498,0)</f>
        <v>0</v>
      </c>
      <c r="BK498" s="462">
        <f>IF(OR(AND(AT498&lt;&gt;0,AJ498&lt;&gt;"PF",AN498&lt;&gt;"NE",AG498&lt;&gt;"A"),AND(AL498="E",OR(AT498=1,AT498=3))),Sick*W498,0)</f>
        <v>0</v>
      </c>
      <c r="BL498" s="462">
        <f t="shared" si="124"/>
        <v>0</v>
      </c>
      <c r="BM498" s="462">
        <f t="shared" si="125"/>
        <v>0</v>
      </c>
      <c r="BN498" s="462">
        <f>IF(AND(AT498=1,AK498="E",AU498&gt;=0.75,AW498=1),HealthBY,IF(AND(AT498=1,AK498="E",AU498&gt;=0.75),HealthBY*P498,IF(AND(AT498=1,AK498="E",AU498&gt;=0.5,AW498=1),PTHealthBY,IF(AND(AT498=1,AK498="E",AU498&gt;=0.5),PTHealthBY*P498,0))))</f>
        <v>0</v>
      </c>
      <c r="BO498" s="462">
        <f>IF(AND(AT498=3,AK498="E",AV498&gt;=0.75,AW498=1),HealthBY,IF(AND(AT498=3,AK498="E",AV498&gt;=0.75),HealthBY*P498,IF(AND(AT498=3,AK498="E",AV498&gt;=0.5,AW498=1),PTHealthBY,IF(AND(AT498=3,AK498="E",AV498&gt;=0.5),PTHealthBY*P498,0))))</f>
        <v>0</v>
      </c>
      <c r="BP498" s="462">
        <f>IF(AND(AT498&lt;&gt;0,(AX498+BA498)&gt;=MAXSSDIBY),SSDIBY*MAXSSDIBY*P498,IF(AT498&lt;&gt;0,SSDIBY*W498,0))</f>
        <v>0</v>
      </c>
      <c r="BQ498" s="462">
        <f>IF(AT498&lt;&gt;0,SSHIBY*W498,0)</f>
        <v>0</v>
      </c>
      <c r="BR498" s="462">
        <f>IF(AND(AT498&lt;&gt;0,AN498&lt;&gt;"NE"),VLOOKUP(AN498,Retirement_Rates,4,FALSE)*W498,0)</f>
        <v>0</v>
      </c>
      <c r="BS498" s="462">
        <f>IF(AND(AT498&lt;&gt;0,AJ498&lt;&gt;"PF"),LifeBY*W498,0)</f>
        <v>0</v>
      </c>
      <c r="BT498" s="462">
        <f>IF(AND(AT498&lt;&gt;0,AM498="Y"),UIBY*W498,0)</f>
        <v>0</v>
      </c>
      <c r="BU498" s="462">
        <f>IF(AND(AT498&lt;&gt;0,N498&lt;&gt;"NR"),DHRBY*W498,0)</f>
        <v>0</v>
      </c>
      <c r="BV498" s="462">
        <f>IF(AT498&lt;&gt;0,WCBY*W498,0)</f>
        <v>0</v>
      </c>
      <c r="BW498" s="462">
        <f>IF(OR(AND(AT498&lt;&gt;0,AJ498&lt;&gt;"PF",AN498&lt;&gt;"NE",AG498&lt;&gt;"A"),AND(AL498="E",OR(AT498=1,AT498=3))),SickBY*W498,0)</f>
        <v>0</v>
      </c>
      <c r="BX498" s="462">
        <f t="shared" si="126"/>
        <v>0</v>
      </c>
      <c r="BY498" s="462">
        <f t="shared" si="127"/>
        <v>0</v>
      </c>
      <c r="BZ498" s="462">
        <f t="shared" si="128"/>
        <v>0</v>
      </c>
      <c r="CA498" s="462">
        <f t="shared" si="129"/>
        <v>0</v>
      </c>
      <c r="CB498" s="462">
        <f t="shared" si="130"/>
        <v>0</v>
      </c>
      <c r="CC498" s="462">
        <f>IF(AT498&lt;&gt;0,SSHICHG*Y498,0)</f>
        <v>0</v>
      </c>
      <c r="CD498" s="462">
        <f>IF(AND(AT498&lt;&gt;0,AN498&lt;&gt;"NE"),VLOOKUP(AN498,Retirement_Rates,5,FALSE)*Y498,0)</f>
        <v>0</v>
      </c>
      <c r="CE498" s="462">
        <f>IF(AND(AT498&lt;&gt;0,AJ498&lt;&gt;"PF"),LifeCHG*Y498,0)</f>
        <v>0</v>
      </c>
      <c r="CF498" s="462">
        <f>IF(AND(AT498&lt;&gt;0,AM498="Y"),UICHG*Y498,0)</f>
        <v>0</v>
      </c>
      <c r="CG498" s="462">
        <f>IF(AND(AT498&lt;&gt;0,N498&lt;&gt;"NR"),DHRCHG*Y498,0)</f>
        <v>0</v>
      </c>
      <c r="CH498" s="462">
        <f>IF(AT498&lt;&gt;0,WCCHG*Y498,0)</f>
        <v>0</v>
      </c>
      <c r="CI498" s="462">
        <f>IF(OR(AND(AT498&lt;&gt;0,AJ498&lt;&gt;"PF",AN498&lt;&gt;"NE",AG498&lt;&gt;"A"),AND(AL498="E",OR(AT498=1,AT498=3))),SickCHG*Y498,0)</f>
        <v>0</v>
      </c>
      <c r="CJ498" s="462">
        <f t="shared" si="131"/>
        <v>0</v>
      </c>
      <c r="CK498" s="462" t="str">
        <f t="shared" si="132"/>
        <v/>
      </c>
      <c r="CL498" s="462">
        <f t="shared" si="133"/>
        <v>0</v>
      </c>
      <c r="CM498" s="462">
        <f t="shared" si="134"/>
        <v>0</v>
      </c>
      <c r="CN498" s="462" t="str">
        <f t="shared" si="135"/>
        <v>0486-00</v>
      </c>
    </row>
    <row r="499" spans="1:92" ht="15" thickBot="1" x14ac:dyDescent="0.35">
      <c r="A499" s="376" t="s">
        <v>161</v>
      </c>
      <c r="B499" s="376" t="s">
        <v>162</v>
      </c>
      <c r="C499" s="376" t="s">
        <v>1172</v>
      </c>
      <c r="D499" s="376" t="s">
        <v>1169</v>
      </c>
      <c r="E499" s="376" t="s">
        <v>1140</v>
      </c>
      <c r="F499" s="377" t="s">
        <v>166</v>
      </c>
      <c r="G499" s="376" t="s">
        <v>1141</v>
      </c>
      <c r="H499" s="378"/>
      <c r="I499" s="378"/>
      <c r="J499" s="376" t="s">
        <v>168</v>
      </c>
      <c r="K499" s="376" t="s">
        <v>1170</v>
      </c>
      <c r="L499" s="376" t="s">
        <v>166</v>
      </c>
      <c r="M499" s="376" t="s">
        <v>201</v>
      </c>
      <c r="N499" s="376" t="s">
        <v>291</v>
      </c>
      <c r="O499" s="379">
        <v>0</v>
      </c>
      <c r="P499" s="460">
        <v>1</v>
      </c>
      <c r="Q499" s="460">
        <v>0</v>
      </c>
      <c r="R499" s="380">
        <v>0</v>
      </c>
      <c r="S499" s="460">
        <v>0</v>
      </c>
      <c r="T499" s="380">
        <v>0</v>
      </c>
      <c r="U499" s="380">
        <v>0</v>
      </c>
      <c r="V499" s="380">
        <v>0</v>
      </c>
      <c r="W499" s="380">
        <v>0</v>
      </c>
      <c r="X499" s="380">
        <v>0</v>
      </c>
      <c r="Y499" s="380">
        <v>0</v>
      </c>
      <c r="Z499" s="380">
        <v>0</v>
      </c>
      <c r="AA499" s="378"/>
      <c r="AB499" s="376" t="s">
        <v>45</v>
      </c>
      <c r="AC499" s="376" t="s">
        <v>45</v>
      </c>
      <c r="AD499" s="378"/>
      <c r="AE499" s="378"/>
      <c r="AF499" s="378"/>
      <c r="AG499" s="378"/>
      <c r="AH499" s="379">
        <v>0</v>
      </c>
      <c r="AI499" s="379">
        <v>0</v>
      </c>
      <c r="AJ499" s="378"/>
      <c r="AK499" s="378"/>
      <c r="AL499" s="376" t="s">
        <v>180</v>
      </c>
      <c r="AM499" s="378"/>
      <c r="AN499" s="378"/>
      <c r="AO499" s="379">
        <v>0</v>
      </c>
      <c r="AP499" s="460">
        <v>0</v>
      </c>
      <c r="AQ499" s="460">
        <v>0</v>
      </c>
      <c r="AR499" s="459"/>
      <c r="AS499" s="462">
        <f t="shared" si="119"/>
        <v>0</v>
      </c>
      <c r="AT499">
        <f t="shared" si="120"/>
        <v>0</v>
      </c>
      <c r="AU499" s="462" t="str">
        <f>IF(AT499=0,"",IF(AND(AT499=1,M499="F",SUMIF(C2:C698,C499,AS2:AS698)&lt;=1),SUMIF(C2:C698,C499,AS2:AS698),IF(AND(AT499=1,M499="F",SUMIF(C2:C698,C499,AS2:AS698)&gt;1),1,"")))</f>
        <v/>
      </c>
      <c r="AV499" s="462" t="str">
        <f>IF(AT499=0,"",IF(AND(AT499=3,M499="F",SUMIF(C2:C698,C499,AS2:AS698)&lt;=1),SUMIF(C2:C698,C499,AS2:AS698),IF(AND(AT499=3,M499="F",SUMIF(C2:C698,C499,AS2:AS698)&gt;1),1,"")))</f>
        <v/>
      </c>
      <c r="AW499" s="462">
        <f>SUMIF(C2:C698,C499,O2:O698)</f>
        <v>0</v>
      </c>
      <c r="AX499" s="462">
        <f>IF(AND(M499="F",AS499&lt;&gt;0),SUMIF(C2:C698,C499,W2:W698),0)</f>
        <v>0</v>
      </c>
      <c r="AY499" s="462" t="str">
        <f t="shared" si="121"/>
        <v/>
      </c>
      <c r="AZ499" s="462" t="str">
        <f t="shared" si="122"/>
        <v/>
      </c>
      <c r="BA499" s="462">
        <f t="shared" si="123"/>
        <v>0</v>
      </c>
      <c r="BB499" s="462">
        <f>IF(AND(AT499=1,AK499="E",AU499&gt;=0.75,AW499=1),Health,IF(AND(AT499=1,AK499="E",AU499&gt;=0.75),Health*P499,IF(AND(AT499=1,AK499="E",AU499&gt;=0.5,AW499=1),PTHealth,IF(AND(AT499=1,AK499="E",AU499&gt;=0.5),PTHealth*P499,0))))</f>
        <v>0</v>
      </c>
      <c r="BC499" s="462">
        <f>IF(AND(AT499=3,AK499="E",AV499&gt;=0.75,AW499=1),Health,IF(AND(AT499=3,AK499="E",AV499&gt;=0.75),Health*P499,IF(AND(AT499=3,AK499="E",AV499&gt;=0.5,AW499=1),PTHealth,IF(AND(AT499=3,AK499="E",AV499&gt;=0.5),PTHealth*P499,0))))</f>
        <v>0</v>
      </c>
      <c r="BD499" s="462">
        <f>IF(AND(AT499&lt;&gt;0,AX499&gt;=MAXSSDI),SSDI*MAXSSDI*P499,IF(AT499&lt;&gt;0,SSDI*W499,0))</f>
        <v>0</v>
      </c>
      <c r="BE499" s="462">
        <f>IF(AT499&lt;&gt;0,SSHI*W499,0)</f>
        <v>0</v>
      </c>
      <c r="BF499" s="462">
        <f>IF(AND(AT499&lt;&gt;0,AN499&lt;&gt;"NE"),VLOOKUP(AN499,Retirement_Rates,3,FALSE)*W499,0)</f>
        <v>0</v>
      </c>
      <c r="BG499" s="462">
        <f>IF(AND(AT499&lt;&gt;0,AJ499&lt;&gt;"PF"),Life*W499,0)</f>
        <v>0</v>
      </c>
      <c r="BH499" s="462">
        <f>IF(AND(AT499&lt;&gt;0,AM499="Y"),UI*W499,0)</f>
        <v>0</v>
      </c>
      <c r="BI499" s="462">
        <f>IF(AND(AT499&lt;&gt;0,N499&lt;&gt;"NR"),DHR*W499,0)</f>
        <v>0</v>
      </c>
      <c r="BJ499" s="462">
        <f>IF(AT499&lt;&gt;0,WC*W499,0)</f>
        <v>0</v>
      </c>
      <c r="BK499" s="462">
        <f>IF(OR(AND(AT499&lt;&gt;0,AJ499&lt;&gt;"PF",AN499&lt;&gt;"NE",AG499&lt;&gt;"A"),AND(AL499="E",OR(AT499=1,AT499=3))),Sick*W499,0)</f>
        <v>0</v>
      </c>
      <c r="BL499" s="462">
        <f t="shared" si="124"/>
        <v>0</v>
      </c>
      <c r="BM499" s="462">
        <f t="shared" si="125"/>
        <v>0</v>
      </c>
      <c r="BN499" s="462">
        <f>IF(AND(AT499=1,AK499="E",AU499&gt;=0.75,AW499=1),HealthBY,IF(AND(AT499=1,AK499="E",AU499&gt;=0.75),HealthBY*P499,IF(AND(AT499=1,AK499="E",AU499&gt;=0.5,AW499=1),PTHealthBY,IF(AND(AT499=1,AK499="E",AU499&gt;=0.5),PTHealthBY*P499,0))))</f>
        <v>0</v>
      </c>
      <c r="BO499" s="462">
        <f>IF(AND(AT499=3,AK499="E",AV499&gt;=0.75,AW499=1),HealthBY,IF(AND(AT499=3,AK499="E",AV499&gt;=0.75),HealthBY*P499,IF(AND(AT499=3,AK499="E",AV499&gt;=0.5,AW499=1),PTHealthBY,IF(AND(AT499=3,AK499="E",AV499&gt;=0.5),PTHealthBY*P499,0))))</f>
        <v>0</v>
      </c>
      <c r="BP499" s="462">
        <f>IF(AND(AT499&lt;&gt;0,(AX499+BA499)&gt;=MAXSSDIBY),SSDIBY*MAXSSDIBY*P499,IF(AT499&lt;&gt;0,SSDIBY*W499,0))</f>
        <v>0</v>
      </c>
      <c r="BQ499" s="462">
        <f>IF(AT499&lt;&gt;0,SSHIBY*W499,0)</f>
        <v>0</v>
      </c>
      <c r="BR499" s="462">
        <f>IF(AND(AT499&lt;&gt;0,AN499&lt;&gt;"NE"),VLOOKUP(AN499,Retirement_Rates,4,FALSE)*W499,0)</f>
        <v>0</v>
      </c>
      <c r="BS499" s="462">
        <f>IF(AND(AT499&lt;&gt;0,AJ499&lt;&gt;"PF"),LifeBY*W499,0)</f>
        <v>0</v>
      </c>
      <c r="BT499" s="462">
        <f>IF(AND(AT499&lt;&gt;0,AM499="Y"),UIBY*W499,0)</f>
        <v>0</v>
      </c>
      <c r="BU499" s="462">
        <f>IF(AND(AT499&lt;&gt;0,N499&lt;&gt;"NR"),DHRBY*W499,0)</f>
        <v>0</v>
      </c>
      <c r="BV499" s="462">
        <f>IF(AT499&lt;&gt;0,WCBY*W499,0)</f>
        <v>0</v>
      </c>
      <c r="BW499" s="462">
        <f>IF(OR(AND(AT499&lt;&gt;0,AJ499&lt;&gt;"PF",AN499&lt;&gt;"NE",AG499&lt;&gt;"A"),AND(AL499="E",OR(AT499=1,AT499=3))),SickBY*W499,0)</f>
        <v>0</v>
      </c>
      <c r="BX499" s="462">
        <f t="shared" si="126"/>
        <v>0</v>
      </c>
      <c r="BY499" s="462">
        <f t="shared" si="127"/>
        <v>0</v>
      </c>
      <c r="BZ499" s="462">
        <f t="shared" si="128"/>
        <v>0</v>
      </c>
      <c r="CA499" s="462">
        <f t="shared" si="129"/>
        <v>0</v>
      </c>
      <c r="CB499" s="462">
        <f t="shared" si="130"/>
        <v>0</v>
      </c>
      <c r="CC499" s="462">
        <f>IF(AT499&lt;&gt;0,SSHICHG*Y499,0)</f>
        <v>0</v>
      </c>
      <c r="CD499" s="462">
        <f>IF(AND(AT499&lt;&gt;0,AN499&lt;&gt;"NE"),VLOOKUP(AN499,Retirement_Rates,5,FALSE)*Y499,0)</f>
        <v>0</v>
      </c>
      <c r="CE499" s="462">
        <f>IF(AND(AT499&lt;&gt;0,AJ499&lt;&gt;"PF"),LifeCHG*Y499,0)</f>
        <v>0</v>
      </c>
      <c r="CF499" s="462">
        <f>IF(AND(AT499&lt;&gt;0,AM499="Y"),UICHG*Y499,0)</f>
        <v>0</v>
      </c>
      <c r="CG499" s="462">
        <f>IF(AND(AT499&lt;&gt;0,N499&lt;&gt;"NR"),DHRCHG*Y499,0)</f>
        <v>0</v>
      </c>
      <c r="CH499" s="462">
        <f>IF(AT499&lt;&gt;0,WCCHG*Y499,0)</f>
        <v>0</v>
      </c>
      <c r="CI499" s="462">
        <f>IF(OR(AND(AT499&lt;&gt;0,AJ499&lt;&gt;"PF",AN499&lt;&gt;"NE",AG499&lt;&gt;"A"),AND(AL499="E",OR(AT499=1,AT499=3))),SickCHG*Y499,0)</f>
        <v>0</v>
      </c>
      <c r="CJ499" s="462">
        <f t="shared" si="131"/>
        <v>0</v>
      </c>
      <c r="CK499" s="462" t="str">
        <f t="shared" si="132"/>
        <v/>
      </c>
      <c r="CL499" s="462">
        <f t="shared" si="133"/>
        <v>0</v>
      </c>
      <c r="CM499" s="462">
        <f t="shared" si="134"/>
        <v>0</v>
      </c>
      <c r="CN499" s="462" t="str">
        <f t="shared" si="135"/>
        <v>0486-00</v>
      </c>
    </row>
    <row r="500" spans="1:92" ht="15" thickBot="1" x14ac:dyDescent="0.35">
      <c r="A500" s="376" t="s">
        <v>161</v>
      </c>
      <c r="B500" s="376" t="s">
        <v>162</v>
      </c>
      <c r="C500" s="376" t="s">
        <v>1173</v>
      </c>
      <c r="D500" s="376" t="s">
        <v>1156</v>
      </c>
      <c r="E500" s="376" t="s">
        <v>1140</v>
      </c>
      <c r="F500" s="377" t="s">
        <v>166</v>
      </c>
      <c r="G500" s="376" t="s">
        <v>1141</v>
      </c>
      <c r="H500" s="378"/>
      <c r="I500" s="378"/>
      <c r="J500" s="376" t="s">
        <v>168</v>
      </c>
      <c r="K500" s="376" t="s">
        <v>1157</v>
      </c>
      <c r="L500" s="376" t="s">
        <v>166</v>
      </c>
      <c r="M500" s="376" t="s">
        <v>201</v>
      </c>
      <c r="N500" s="376" t="s">
        <v>291</v>
      </c>
      <c r="O500" s="379">
        <v>0</v>
      </c>
      <c r="P500" s="460">
        <v>1</v>
      </c>
      <c r="Q500" s="460">
        <v>0</v>
      </c>
      <c r="R500" s="380">
        <v>0</v>
      </c>
      <c r="S500" s="460">
        <v>0</v>
      </c>
      <c r="T500" s="380">
        <v>0</v>
      </c>
      <c r="U500" s="380">
        <v>0</v>
      </c>
      <c r="V500" s="380">
        <v>0</v>
      </c>
      <c r="W500" s="380">
        <v>0</v>
      </c>
      <c r="X500" s="380">
        <v>0</v>
      </c>
      <c r="Y500" s="380">
        <v>0</v>
      </c>
      <c r="Z500" s="380">
        <v>0</v>
      </c>
      <c r="AA500" s="378"/>
      <c r="AB500" s="376" t="s">
        <v>45</v>
      </c>
      <c r="AC500" s="376" t="s">
        <v>45</v>
      </c>
      <c r="AD500" s="378"/>
      <c r="AE500" s="378"/>
      <c r="AF500" s="378"/>
      <c r="AG500" s="378"/>
      <c r="AH500" s="379">
        <v>0</v>
      </c>
      <c r="AI500" s="379">
        <v>0</v>
      </c>
      <c r="AJ500" s="378"/>
      <c r="AK500" s="378"/>
      <c r="AL500" s="376" t="s">
        <v>180</v>
      </c>
      <c r="AM500" s="378"/>
      <c r="AN500" s="378"/>
      <c r="AO500" s="379">
        <v>0</v>
      </c>
      <c r="AP500" s="460">
        <v>0</v>
      </c>
      <c r="AQ500" s="460">
        <v>0</v>
      </c>
      <c r="AR500" s="459"/>
      <c r="AS500" s="462">
        <f t="shared" si="119"/>
        <v>0</v>
      </c>
      <c r="AT500">
        <f t="shared" si="120"/>
        <v>0</v>
      </c>
      <c r="AU500" s="462" t="str">
        <f>IF(AT500=0,"",IF(AND(AT500=1,M500="F",SUMIF(C2:C698,C500,AS2:AS698)&lt;=1),SUMIF(C2:C698,C500,AS2:AS698),IF(AND(AT500=1,M500="F",SUMIF(C2:C698,C500,AS2:AS698)&gt;1),1,"")))</f>
        <v/>
      </c>
      <c r="AV500" s="462" t="str">
        <f>IF(AT500=0,"",IF(AND(AT500=3,M500="F",SUMIF(C2:C698,C500,AS2:AS698)&lt;=1),SUMIF(C2:C698,C500,AS2:AS698),IF(AND(AT500=3,M500="F",SUMIF(C2:C698,C500,AS2:AS698)&gt;1),1,"")))</f>
        <v/>
      </c>
      <c r="AW500" s="462">
        <f>SUMIF(C2:C698,C500,O2:O698)</f>
        <v>0</v>
      </c>
      <c r="AX500" s="462">
        <f>IF(AND(M500="F",AS500&lt;&gt;0),SUMIF(C2:C698,C500,W2:W698),0)</f>
        <v>0</v>
      </c>
      <c r="AY500" s="462" t="str">
        <f t="shared" si="121"/>
        <v/>
      </c>
      <c r="AZ500" s="462" t="str">
        <f t="shared" si="122"/>
        <v/>
      </c>
      <c r="BA500" s="462">
        <f t="shared" si="123"/>
        <v>0</v>
      </c>
      <c r="BB500" s="462">
        <f>IF(AND(AT500=1,AK500="E",AU500&gt;=0.75,AW500=1),Health,IF(AND(AT500=1,AK500="E",AU500&gt;=0.75),Health*P500,IF(AND(AT500=1,AK500="E",AU500&gt;=0.5,AW500=1),PTHealth,IF(AND(AT500=1,AK500="E",AU500&gt;=0.5),PTHealth*P500,0))))</f>
        <v>0</v>
      </c>
      <c r="BC500" s="462">
        <f>IF(AND(AT500=3,AK500="E",AV500&gt;=0.75,AW500=1),Health,IF(AND(AT500=3,AK500="E",AV500&gt;=0.75),Health*P500,IF(AND(AT500=3,AK500="E",AV500&gt;=0.5,AW500=1),PTHealth,IF(AND(AT500=3,AK500="E",AV500&gt;=0.5),PTHealth*P500,0))))</f>
        <v>0</v>
      </c>
      <c r="BD500" s="462">
        <f>IF(AND(AT500&lt;&gt;0,AX500&gt;=MAXSSDI),SSDI*MAXSSDI*P500,IF(AT500&lt;&gt;0,SSDI*W500,0))</f>
        <v>0</v>
      </c>
      <c r="BE500" s="462">
        <f>IF(AT500&lt;&gt;0,SSHI*W500,0)</f>
        <v>0</v>
      </c>
      <c r="BF500" s="462">
        <f>IF(AND(AT500&lt;&gt;0,AN500&lt;&gt;"NE"),VLOOKUP(AN500,Retirement_Rates,3,FALSE)*W500,0)</f>
        <v>0</v>
      </c>
      <c r="BG500" s="462">
        <f>IF(AND(AT500&lt;&gt;0,AJ500&lt;&gt;"PF"),Life*W500,0)</f>
        <v>0</v>
      </c>
      <c r="BH500" s="462">
        <f>IF(AND(AT500&lt;&gt;0,AM500="Y"),UI*W500,0)</f>
        <v>0</v>
      </c>
      <c r="BI500" s="462">
        <f>IF(AND(AT500&lt;&gt;0,N500&lt;&gt;"NR"),DHR*W500,0)</f>
        <v>0</v>
      </c>
      <c r="BJ500" s="462">
        <f>IF(AT500&lt;&gt;0,WC*W500,0)</f>
        <v>0</v>
      </c>
      <c r="BK500" s="462">
        <f>IF(OR(AND(AT500&lt;&gt;0,AJ500&lt;&gt;"PF",AN500&lt;&gt;"NE",AG500&lt;&gt;"A"),AND(AL500="E",OR(AT500=1,AT500=3))),Sick*W500,0)</f>
        <v>0</v>
      </c>
      <c r="BL500" s="462">
        <f t="shared" si="124"/>
        <v>0</v>
      </c>
      <c r="BM500" s="462">
        <f t="shared" si="125"/>
        <v>0</v>
      </c>
      <c r="BN500" s="462">
        <f>IF(AND(AT500=1,AK500="E",AU500&gt;=0.75,AW500=1),HealthBY,IF(AND(AT500=1,AK500="E",AU500&gt;=0.75),HealthBY*P500,IF(AND(AT500=1,AK500="E",AU500&gt;=0.5,AW500=1),PTHealthBY,IF(AND(AT500=1,AK500="E",AU500&gt;=0.5),PTHealthBY*P500,0))))</f>
        <v>0</v>
      </c>
      <c r="BO500" s="462">
        <f>IF(AND(AT500=3,AK500="E",AV500&gt;=0.75,AW500=1),HealthBY,IF(AND(AT500=3,AK500="E",AV500&gt;=0.75),HealthBY*P500,IF(AND(AT500=3,AK500="E",AV500&gt;=0.5,AW500=1),PTHealthBY,IF(AND(AT500=3,AK500="E",AV500&gt;=0.5),PTHealthBY*P500,0))))</f>
        <v>0</v>
      </c>
      <c r="BP500" s="462">
        <f>IF(AND(AT500&lt;&gt;0,(AX500+BA500)&gt;=MAXSSDIBY),SSDIBY*MAXSSDIBY*P500,IF(AT500&lt;&gt;0,SSDIBY*W500,0))</f>
        <v>0</v>
      </c>
      <c r="BQ500" s="462">
        <f>IF(AT500&lt;&gt;0,SSHIBY*W500,0)</f>
        <v>0</v>
      </c>
      <c r="BR500" s="462">
        <f>IF(AND(AT500&lt;&gt;0,AN500&lt;&gt;"NE"),VLOOKUP(AN500,Retirement_Rates,4,FALSE)*W500,0)</f>
        <v>0</v>
      </c>
      <c r="BS500" s="462">
        <f>IF(AND(AT500&lt;&gt;0,AJ500&lt;&gt;"PF"),LifeBY*W500,0)</f>
        <v>0</v>
      </c>
      <c r="BT500" s="462">
        <f>IF(AND(AT500&lt;&gt;0,AM500="Y"),UIBY*W500,0)</f>
        <v>0</v>
      </c>
      <c r="BU500" s="462">
        <f>IF(AND(AT500&lt;&gt;0,N500&lt;&gt;"NR"),DHRBY*W500,0)</f>
        <v>0</v>
      </c>
      <c r="BV500" s="462">
        <f>IF(AT500&lt;&gt;0,WCBY*W500,0)</f>
        <v>0</v>
      </c>
      <c r="BW500" s="462">
        <f>IF(OR(AND(AT500&lt;&gt;0,AJ500&lt;&gt;"PF",AN500&lt;&gt;"NE",AG500&lt;&gt;"A"),AND(AL500="E",OR(AT500=1,AT500=3))),SickBY*W500,0)</f>
        <v>0</v>
      </c>
      <c r="BX500" s="462">
        <f t="shared" si="126"/>
        <v>0</v>
      </c>
      <c r="BY500" s="462">
        <f t="shared" si="127"/>
        <v>0</v>
      </c>
      <c r="BZ500" s="462">
        <f t="shared" si="128"/>
        <v>0</v>
      </c>
      <c r="CA500" s="462">
        <f t="shared" si="129"/>
        <v>0</v>
      </c>
      <c r="CB500" s="462">
        <f t="shared" si="130"/>
        <v>0</v>
      </c>
      <c r="CC500" s="462">
        <f>IF(AT500&lt;&gt;0,SSHICHG*Y500,0)</f>
        <v>0</v>
      </c>
      <c r="CD500" s="462">
        <f>IF(AND(AT500&lt;&gt;0,AN500&lt;&gt;"NE"),VLOOKUP(AN500,Retirement_Rates,5,FALSE)*Y500,0)</f>
        <v>0</v>
      </c>
      <c r="CE500" s="462">
        <f>IF(AND(AT500&lt;&gt;0,AJ500&lt;&gt;"PF"),LifeCHG*Y500,0)</f>
        <v>0</v>
      </c>
      <c r="CF500" s="462">
        <f>IF(AND(AT500&lt;&gt;0,AM500="Y"),UICHG*Y500,0)</f>
        <v>0</v>
      </c>
      <c r="CG500" s="462">
        <f>IF(AND(AT500&lt;&gt;0,N500&lt;&gt;"NR"),DHRCHG*Y500,0)</f>
        <v>0</v>
      </c>
      <c r="CH500" s="462">
        <f>IF(AT500&lt;&gt;0,WCCHG*Y500,0)</f>
        <v>0</v>
      </c>
      <c r="CI500" s="462">
        <f>IF(OR(AND(AT500&lt;&gt;0,AJ500&lt;&gt;"PF",AN500&lt;&gt;"NE",AG500&lt;&gt;"A"),AND(AL500="E",OR(AT500=1,AT500=3))),SickCHG*Y500,0)</f>
        <v>0</v>
      </c>
      <c r="CJ500" s="462">
        <f t="shared" si="131"/>
        <v>0</v>
      </c>
      <c r="CK500" s="462" t="str">
        <f t="shared" si="132"/>
        <v/>
      </c>
      <c r="CL500" s="462">
        <f t="shared" si="133"/>
        <v>0</v>
      </c>
      <c r="CM500" s="462">
        <f t="shared" si="134"/>
        <v>0</v>
      </c>
      <c r="CN500" s="462" t="str">
        <f t="shared" si="135"/>
        <v>0486-00</v>
      </c>
    </row>
    <row r="501" spans="1:92" ht="15" thickBot="1" x14ac:dyDescent="0.35">
      <c r="A501" s="376" t="s">
        <v>161</v>
      </c>
      <c r="B501" s="376" t="s">
        <v>162</v>
      </c>
      <c r="C501" s="376" t="s">
        <v>1174</v>
      </c>
      <c r="D501" s="376" t="s">
        <v>1175</v>
      </c>
      <c r="E501" s="376" t="s">
        <v>1140</v>
      </c>
      <c r="F501" s="377" t="s">
        <v>166</v>
      </c>
      <c r="G501" s="376" t="s">
        <v>1141</v>
      </c>
      <c r="H501" s="378"/>
      <c r="I501" s="378"/>
      <c r="J501" s="376" t="s">
        <v>168</v>
      </c>
      <c r="K501" s="376" t="s">
        <v>1176</v>
      </c>
      <c r="L501" s="376" t="s">
        <v>166</v>
      </c>
      <c r="M501" s="376" t="s">
        <v>201</v>
      </c>
      <c r="N501" s="376" t="s">
        <v>291</v>
      </c>
      <c r="O501" s="379">
        <v>0</v>
      </c>
      <c r="P501" s="460">
        <v>1</v>
      </c>
      <c r="Q501" s="460">
        <v>0</v>
      </c>
      <c r="R501" s="380">
        <v>0</v>
      </c>
      <c r="S501" s="460">
        <v>0</v>
      </c>
      <c r="T501" s="380">
        <v>0</v>
      </c>
      <c r="U501" s="380">
        <v>0</v>
      </c>
      <c r="V501" s="380">
        <v>0</v>
      </c>
      <c r="W501" s="380">
        <v>0</v>
      </c>
      <c r="X501" s="380">
        <v>0</v>
      </c>
      <c r="Y501" s="380">
        <v>0</v>
      </c>
      <c r="Z501" s="380">
        <v>0</v>
      </c>
      <c r="AA501" s="378"/>
      <c r="AB501" s="376" t="s">
        <v>45</v>
      </c>
      <c r="AC501" s="376" t="s">
        <v>45</v>
      </c>
      <c r="AD501" s="378"/>
      <c r="AE501" s="378"/>
      <c r="AF501" s="378"/>
      <c r="AG501" s="378"/>
      <c r="AH501" s="379">
        <v>0</v>
      </c>
      <c r="AI501" s="379">
        <v>0</v>
      </c>
      <c r="AJ501" s="378"/>
      <c r="AK501" s="378"/>
      <c r="AL501" s="376" t="s">
        <v>180</v>
      </c>
      <c r="AM501" s="378"/>
      <c r="AN501" s="378"/>
      <c r="AO501" s="379">
        <v>0</v>
      </c>
      <c r="AP501" s="460">
        <v>0</v>
      </c>
      <c r="AQ501" s="460">
        <v>0</v>
      </c>
      <c r="AR501" s="459"/>
      <c r="AS501" s="462">
        <f t="shared" si="119"/>
        <v>0</v>
      </c>
      <c r="AT501">
        <f t="shared" si="120"/>
        <v>0</v>
      </c>
      <c r="AU501" s="462" t="str">
        <f>IF(AT501=0,"",IF(AND(AT501=1,M501="F",SUMIF(C2:C698,C501,AS2:AS698)&lt;=1),SUMIF(C2:C698,C501,AS2:AS698),IF(AND(AT501=1,M501="F",SUMIF(C2:C698,C501,AS2:AS698)&gt;1),1,"")))</f>
        <v/>
      </c>
      <c r="AV501" s="462" t="str">
        <f>IF(AT501=0,"",IF(AND(AT501=3,M501="F",SUMIF(C2:C698,C501,AS2:AS698)&lt;=1),SUMIF(C2:C698,C501,AS2:AS698),IF(AND(AT501=3,M501="F",SUMIF(C2:C698,C501,AS2:AS698)&gt;1),1,"")))</f>
        <v/>
      </c>
      <c r="AW501" s="462">
        <f>SUMIF(C2:C698,C501,O2:O698)</f>
        <v>0</v>
      </c>
      <c r="AX501" s="462">
        <f>IF(AND(M501="F",AS501&lt;&gt;0),SUMIF(C2:C698,C501,W2:W698),0)</f>
        <v>0</v>
      </c>
      <c r="AY501" s="462" t="str">
        <f t="shared" si="121"/>
        <v/>
      </c>
      <c r="AZ501" s="462" t="str">
        <f t="shared" si="122"/>
        <v/>
      </c>
      <c r="BA501" s="462">
        <f t="shared" si="123"/>
        <v>0</v>
      </c>
      <c r="BB501" s="462">
        <f>IF(AND(AT501=1,AK501="E",AU501&gt;=0.75,AW501=1),Health,IF(AND(AT501=1,AK501="E",AU501&gt;=0.75),Health*P501,IF(AND(AT501=1,AK501="E",AU501&gt;=0.5,AW501=1),PTHealth,IF(AND(AT501=1,AK501="E",AU501&gt;=0.5),PTHealth*P501,0))))</f>
        <v>0</v>
      </c>
      <c r="BC501" s="462">
        <f>IF(AND(AT501=3,AK501="E",AV501&gt;=0.75,AW501=1),Health,IF(AND(AT501=3,AK501="E",AV501&gt;=0.75),Health*P501,IF(AND(AT501=3,AK501="E",AV501&gt;=0.5,AW501=1),PTHealth,IF(AND(AT501=3,AK501="E",AV501&gt;=0.5),PTHealth*P501,0))))</f>
        <v>0</v>
      </c>
      <c r="BD501" s="462">
        <f>IF(AND(AT501&lt;&gt;0,AX501&gt;=MAXSSDI),SSDI*MAXSSDI*P501,IF(AT501&lt;&gt;0,SSDI*W501,0))</f>
        <v>0</v>
      </c>
      <c r="BE501" s="462">
        <f>IF(AT501&lt;&gt;0,SSHI*W501,0)</f>
        <v>0</v>
      </c>
      <c r="BF501" s="462">
        <f>IF(AND(AT501&lt;&gt;0,AN501&lt;&gt;"NE"),VLOOKUP(AN501,Retirement_Rates,3,FALSE)*W501,0)</f>
        <v>0</v>
      </c>
      <c r="BG501" s="462">
        <f>IF(AND(AT501&lt;&gt;0,AJ501&lt;&gt;"PF"),Life*W501,0)</f>
        <v>0</v>
      </c>
      <c r="BH501" s="462">
        <f>IF(AND(AT501&lt;&gt;0,AM501="Y"),UI*W501,0)</f>
        <v>0</v>
      </c>
      <c r="BI501" s="462">
        <f>IF(AND(AT501&lt;&gt;0,N501&lt;&gt;"NR"),DHR*W501,0)</f>
        <v>0</v>
      </c>
      <c r="BJ501" s="462">
        <f>IF(AT501&lt;&gt;0,WC*W501,0)</f>
        <v>0</v>
      </c>
      <c r="BK501" s="462">
        <f>IF(OR(AND(AT501&lt;&gt;0,AJ501&lt;&gt;"PF",AN501&lt;&gt;"NE",AG501&lt;&gt;"A"),AND(AL501="E",OR(AT501=1,AT501=3))),Sick*W501,0)</f>
        <v>0</v>
      </c>
      <c r="BL501" s="462">
        <f t="shared" si="124"/>
        <v>0</v>
      </c>
      <c r="BM501" s="462">
        <f t="shared" si="125"/>
        <v>0</v>
      </c>
      <c r="BN501" s="462">
        <f>IF(AND(AT501=1,AK501="E",AU501&gt;=0.75,AW501=1),HealthBY,IF(AND(AT501=1,AK501="E",AU501&gt;=0.75),HealthBY*P501,IF(AND(AT501=1,AK501="E",AU501&gt;=0.5,AW501=1),PTHealthBY,IF(AND(AT501=1,AK501="E",AU501&gt;=0.5),PTHealthBY*P501,0))))</f>
        <v>0</v>
      </c>
      <c r="BO501" s="462">
        <f>IF(AND(AT501=3,AK501="E",AV501&gt;=0.75,AW501=1),HealthBY,IF(AND(AT501=3,AK501="E",AV501&gt;=0.75),HealthBY*P501,IF(AND(AT501=3,AK501="E",AV501&gt;=0.5,AW501=1),PTHealthBY,IF(AND(AT501=3,AK501="E",AV501&gt;=0.5),PTHealthBY*P501,0))))</f>
        <v>0</v>
      </c>
      <c r="BP501" s="462">
        <f>IF(AND(AT501&lt;&gt;0,(AX501+BA501)&gt;=MAXSSDIBY),SSDIBY*MAXSSDIBY*P501,IF(AT501&lt;&gt;0,SSDIBY*W501,0))</f>
        <v>0</v>
      </c>
      <c r="BQ501" s="462">
        <f>IF(AT501&lt;&gt;0,SSHIBY*W501,0)</f>
        <v>0</v>
      </c>
      <c r="BR501" s="462">
        <f>IF(AND(AT501&lt;&gt;0,AN501&lt;&gt;"NE"),VLOOKUP(AN501,Retirement_Rates,4,FALSE)*W501,0)</f>
        <v>0</v>
      </c>
      <c r="BS501" s="462">
        <f>IF(AND(AT501&lt;&gt;0,AJ501&lt;&gt;"PF"),LifeBY*W501,0)</f>
        <v>0</v>
      </c>
      <c r="BT501" s="462">
        <f>IF(AND(AT501&lt;&gt;0,AM501="Y"),UIBY*W501,0)</f>
        <v>0</v>
      </c>
      <c r="BU501" s="462">
        <f>IF(AND(AT501&lt;&gt;0,N501&lt;&gt;"NR"),DHRBY*W501,0)</f>
        <v>0</v>
      </c>
      <c r="BV501" s="462">
        <f>IF(AT501&lt;&gt;0,WCBY*W501,0)</f>
        <v>0</v>
      </c>
      <c r="BW501" s="462">
        <f>IF(OR(AND(AT501&lt;&gt;0,AJ501&lt;&gt;"PF",AN501&lt;&gt;"NE",AG501&lt;&gt;"A"),AND(AL501="E",OR(AT501=1,AT501=3))),SickBY*W501,0)</f>
        <v>0</v>
      </c>
      <c r="BX501" s="462">
        <f t="shared" si="126"/>
        <v>0</v>
      </c>
      <c r="BY501" s="462">
        <f t="shared" si="127"/>
        <v>0</v>
      </c>
      <c r="BZ501" s="462">
        <f t="shared" si="128"/>
        <v>0</v>
      </c>
      <c r="CA501" s="462">
        <f t="shared" si="129"/>
        <v>0</v>
      </c>
      <c r="CB501" s="462">
        <f t="shared" si="130"/>
        <v>0</v>
      </c>
      <c r="CC501" s="462">
        <f>IF(AT501&lt;&gt;0,SSHICHG*Y501,0)</f>
        <v>0</v>
      </c>
      <c r="CD501" s="462">
        <f>IF(AND(AT501&lt;&gt;0,AN501&lt;&gt;"NE"),VLOOKUP(AN501,Retirement_Rates,5,FALSE)*Y501,0)</f>
        <v>0</v>
      </c>
      <c r="CE501" s="462">
        <f>IF(AND(AT501&lt;&gt;0,AJ501&lt;&gt;"PF"),LifeCHG*Y501,0)</f>
        <v>0</v>
      </c>
      <c r="CF501" s="462">
        <f>IF(AND(AT501&lt;&gt;0,AM501="Y"),UICHG*Y501,0)</f>
        <v>0</v>
      </c>
      <c r="CG501" s="462">
        <f>IF(AND(AT501&lt;&gt;0,N501&lt;&gt;"NR"),DHRCHG*Y501,0)</f>
        <v>0</v>
      </c>
      <c r="CH501" s="462">
        <f>IF(AT501&lt;&gt;0,WCCHG*Y501,0)</f>
        <v>0</v>
      </c>
      <c r="CI501" s="462">
        <f>IF(OR(AND(AT501&lt;&gt;0,AJ501&lt;&gt;"PF",AN501&lt;&gt;"NE",AG501&lt;&gt;"A"),AND(AL501="E",OR(AT501=1,AT501=3))),SickCHG*Y501,0)</f>
        <v>0</v>
      </c>
      <c r="CJ501" s="462">
        <f t="shared" si="131"/>
        <v>0</v>
      </c>
      <c r="CK501" s="462" t="str">
        <f t="shared" si="132"/>
        <v/>
      </c>
      <c r="CL501" s="462">
        <f t="shared" si="133"/>
        <v>0</v>
      </c>
      <c r="CM501" s="462">
        <f t="shared" si="134"/>
        <v>0</v>
      </c>
      <c r="CN501" s="462" t="str">
        <f t="shared" si="135"/>
        <v>0486-00</v>
      </c>
    </row>
    <row r="502" spans="1:92" ht="15" thickBot="1" x14ac:dyDescent="0.35">
      <c r="A502" s="376" t="s">
        <v>161</v>
      </c>
      <c r="B502" s="376" t="s">
        <v>162</v>
      </c>
      <c r="C502" s="376" t="s">
        <v>1177</v>
      </c>
      <c r="D502" s="376" t="s">
        <v>287</v>
      </c>
      <c r="E502" s="376" t="s">
        <v>1140</v>
      </c>
      <c r="F502" s="377" t="s">
        <v>166</v>
      </c>
      <c r="G502" s="376" t="s">
        <v>1141</v>
      </c>
      <c r="H502" s="378"/>
      <c r="I502" s="378"/>
      <c r="J502" s="376" t="s">
        <v>168</v>
      </c>
      <c r="K502" s="376" t="s">
        <v>290</v>
      </c>
      <c r="L502" s="376" t="s">
        <v>166</v>
      </c>
      <c r="M502" s="376" t="s">
        <v>201</v>
      </c>
      <c r="N502" s="376" t="s">
        <v>291</v>
      </c>
      <c r="O502" s="379">
        <v>0</v>
      </c>
      <c r="P502" s="460">
        <v>1</v>
      </c>
      <c r="Q502" s="460">
        <v>0</v>
      </c>
      <c r="R502" s="380">
        <v>0</v>
      </c>
      <c r="S502" s="460">
        <v>0</v>
      </c>
      <c r="T502" s="380">
        <v>1323</v>
      </c>
      <c r="U502" s="380">
        <v>0</v>
      </c>
      <c r="V502" s="380">
        <v>348.79</v>
      </c>
      <c r="W502" s="380">
        <v>1323</v>
      </c>
      <c r="X502" s="380">
        <v>348.79</v>
      </c>
      <c r="Y502" s="380">
        <v>1323</v>
      </c>
      <c r="Z502" s="380">
        <v>348.79</v>
      </c>
      <c r="AA502" s="378"/>
      <c r="AB502" s="376" t="s">
        <v>45</v>
      </c>
      <c r="AC502" s="376" t="s">
        <v>45</v>
      </c>
      <c r="AD502" s="378"/>
      <c r="AE502" s="378"/>
      <c r="AF502" s="378"/>
      <c r="AG502" s="378"/>
      <c r="AH502" s="379">
        <v>0</v>
      </c>
      <c r="AI502" s="379">
        <v>0</v>
      </c>
      <c r="AJ502" s="378"/>
      <c r="AK502" s="378"/>
      <c r="AL502" s="376" t="s">
        <v>180</v>
      </c>
      <c r="AM502" s="378"/>
      <c r="AN502" s="378"/>
      <c r="AO502" s="379">
        <v>0</v>
      </c>
      <c r="AP502" s="460">
        <v>0</v>
      </c>
      <c r="AQ502" s="460">
        <v>0</v>
      </c>
      <c r="AR502" s="459"/>
      <c r="AS502" s="462">
        <f t="shared" si="119"/>
        <v>0</v>
      </c>
      <c r="AT502">
        <f t="shared" si="120"/>
        <v>0</v>
      </c>
      <c r="AU502" s="462" t="str">
        <f>IF(AT502=0,"",IF(AND(AT502=1,M502="F",SUMIF(C2:C698,C502,AS2:AS698)&lt;=1),SUMIF(C2:C698,C502,AS2:AS698),IF(AND(AT502=1,M502="F",SUMIF(C2:C698,C502,AS2:AS698)&gt;1),1,"")))</f>
        <v/>
      </c>
      <c r="AV502" s="462" t="str">
        <f>IF(AT502=0,"",IF(AND(AT502=3,M502="F",SUMIF(C2:C698,C502,AS2:AS698)&lt;=1),SUMIF(C2:C698,C502,AS2:AS698),IF(AND(AT502=3,M502="F",SUMIF(C2:C698,C502,AS2:AS698)&gt;1),1,"")))</f>
        <v/>
      </c>
      <c r="AW502" s="462">
        <f>SUMIF(C2:C698,C502,O2:O698)</f>
        <v>0</v>
      </c>
      <c r="AX502" s="462">
        <f>IF(AND(M502="F",AS502&lt;&gt;0),SUMIF(C2:C698,C502,W2:W698),0)</f>
        <v>0</v>
      </c>
      <c r="AY502" s="462" t="str">
        <f t="shared" si="121"/>
        <v/>
      </c>
      <c r="AZ502" s="462" t="str">
        <f t="shared" si="122"/>
        <v/>
      </c>
      <c r="BA502" s="462">
        <f t="shared" si="123"/>
        <v>0</v>
      </c>
      <c r="BB502" s="462">
        <f>IF(AND(AT502=1,AK502="E",AU502&gt;=0.75,AW502=1),Health,IF(AND(AT502=1,AK502="E",AU502&gt;=0.75),Health*P502,IF(AND(AT502=1,AK502="E",AU502&gt;=0.5,AW502=1),PTHealth,IF(AND(AT502=1,AK502="E",AU502&gt;=0.5),PTHealth*P502,0))))</f>
        <v>0</v>
      </c>
      <c r="BC502" s="462">
        <f>IF(AND(AT502=3,AK502="E",AV502&gt;=0.75,AW502=1),Health,IF(AND(AT502=3,AK502="E",AV502&gt;=0.75),Health*P502,IF(AND(AT502=3,AK502="E",AV502&gt;=0.5,AW502=1),PTHealth,IF(AND(AT502=3,AK502="E",AV502&gt;=0.5),PTHealth*P502,0))))</f>
        <v>0</v>
      </c>
      <c r="BD502" s="462">
        <f>IF(AND(AT502&lt;&gt;0,AX502&gt;=MAXSSDI),SSDI*MAXSSDI*P502,IF(AT502&lt;&gt;0,SSDI*W502,0))</f>
        <v>0</v>
      </c>
      <c r="BE502" s="462">
        <f>IF(AT502&lt;&gt;0,SSHI*W502,0)</f>
        <v>0</v>
      </c>
      <c r="BF502" s="462">
        <f>IF(AND(AT502&lt;&gt;0,AN502&lt;&gt;"NE"),VLOOKUP(AN502,Retirement_Rates,3,FALSE)*W502,0)</f>
        <v>0</v>
      </c>
      <c r="BG502" s="462">
        <f>IF(AND(AT502&lt;&gt;0,AJ502&lt;&gt;"PF"),Life*W502,0)</f>
        <v>0</v>
      </c>
      <c r="BH502" s="462">
        <f>IF(AND(AT502&lt;&gt;0,AM502="Y"),UI*W502,0)</f>
        <v>0</v>
      </c>
      <c r="BI502" s="462">
        <f>IF(AND(AT502&lt;&gt;0,N502&lt;&gt;"NR"),DHR*W502,0)</f>
        <v>0</v>
      </c>
      <c r="BJ502" s="462">
        <f>IF(AT502&lt;&gt;0,WC*W502,0)</f>
        <v>0</v>
      </c>
      <c r="BK502" s="462">
        <f>IF(OR(AND(AT502&lt;&gt;0,AJ502&lt;&gt;"PF",AN502&lt;&gt;"NE",AG502&lt;&gt;"A"),AND(AL502="E",OR(AT502=1,AT502=3))),Sick*W502,0)</f>
        <v>0</v>
      </c>
      <c r="BL502" s="462">
        <f t="shared" si="124"/>
        <v>0</v>
      </c>
      <c r="BM502" s="462">
        <f t="shared" si="125"/>
        <v>0</v>
      </c>
      <c r="BN502" s="462">
        <f>IF(AND(AT502=1,AK502="E",AU502&gt;=0.75,AW502=1),HealthBY,IF(AND(AT502=1,AK502="E",AU502&gt;=0.75),HealthBY*P502,IF(AND(AT502=1,AK502="E",AU502&gt;=0.5,AW502=1),PTHealthBY,IF(AND(AT502=1,AK502="E",AU502&gt;=0.5),PTHealthBY*P502,0))))</f>
        <v>0</v>
      </c>
      <c r="BO502" s="462">
        <f>IF(AND(AT502=3,AK502="E",AV502&gt;=0.75,AW502=1),HealthBY,IF(AND(AT502=3,AK502="E",AV502&gt;=0.75),HealthBY*P502,IF(AND(AT502=3,AK502="E",AV502&gt;=0.5,AW502=1),PTHealthBY,IF(AND(AT502=3,AK502="E",AV502&gt;=0.5),PTHealthBY*P502,0))))</f>
        <v>0</v>
      </c>
      <c r="BP502" s="462">
        <f>IF(AND(AT502&lt;&gt;0,(AX502+BA502)&gt;=MAXSSDIBY),SSDIBY*MAXSSDIBY*P502,IF(AT502&lt;&gt;0,SSDIBY*W502,0))</f>
        <v>0</v>
      </c>
      <c r="BQ502" s="462">
        <f>IF(AT502&lt;&gt;0,SSHIBY*W502,0)</f>
        <v>0</v>
      </c>
      <c r="BR502" s="462">
        <f>IF(AND(AT502&lt;&gt;0,AN502&lt;&gt;"NE"),VLOOKUP(AN502,Retirement_Rates,4,FALSE)*W502,0)</f>
        <v>0</v>
      </c>
      <c r="BS502" s="462">
        <f>IF(AND(AT502&lt;&gt;0,AJ502&lt;&gt;"PF"),LifeBY*W502,0)</f>
        <v>0</v>
      </c>
      <c r="BT502" s="462">
        <f>IF(AND(AT502&lt;&gt;0,AM502="Y"),UIBY*W502,0)</f>
        <v>0</v>
      </c>
      <c r="BU502" s="462">
        <f>IF(AND(AT502&lt;&gt;0,N502&lt;&gt;"NR"),DHRBY*W502,0)</f>
        <v>0</v>
      </c>
      <c r="BV502" s="462">
        <f>IF(AT502&lt;&gt;0,WCBY*W502,0)</f>
        <v>0</v>
      </c>
      <c r="BW502" s="462">
        <f>IF(OR(AND(AT502&lt;&gt;0,AJ502&lt;&gt;"PF",AN502&lt;&gt;"NE",AG502&lt;&gt;"A"),AND(AL502="E",OR(AT502=1,AT502=3))),SickBY*W502,0)</f>
        <v>0</v>
      </c>
      <c r="BX502" s="462">
        <f t="shared" si="126"/>
        <v>0</v>
      </c>
      <c r="BY502" s="462">
        <f t="shared" si="127"/>
        <v>0</v>
      </c>
      <c r="BZ502" s="462">
        <f t="shared" si="128"/>
        <v>0</v>
      </c>
      <c r="CA502" s="462">
        <f t="shared" si="129"/>
        <v>0</v>
      </c>
      <c r="CB502" s="462">
        <f t="shared" si="130"/>
        <v>0</v>
      </c>
      <c r="CC502" s="462">
        <f>IF(AT502&lt;&gt;0,SSHICHG*Y502,0)</f>
        <v>0</v>
      </c>
      <c r="CD502" s="462">
        <f>IF(AND(AT502&lt;&gt;0,AN502&lt;&gt;"NE"),VLOOKUP(AN502,Retirement_Rates,5,FALSE)*Y502,0)</f>
        <v>0</v>
      </c>
      <c r="CE502" s="462">
        <f>IF(AND(AT502&lt;&gt;0,AJ502&lt;&gt;"PF"),LifeCHG*Y502,0)</f>
        <v>0</v>
      </c>
      <c r="CF502" s="462">
        <f>IF(AND(AT502&lt;&gt;0,AM502="Y"),UICHG*Y502,0)</f>
        <v>0</v>
      </c>
      <c r="CG502" s="462">
        <f>IF(AND(AT502&lt;&gt;0,N502&lt;&gt;"NR"),DHRCHG*Y502,0)</f>
        <v>0</v>
      </c>
      <c r="CH502" s="462">
        <f>IF(AT502&lt;&gt;0,WCCHG*Y502,0)</f>
        <v>0</v>
      </c>
      <c r="CI502" s="462">
        <f>IF(OR(AND(AT502&lt;&gt;0,AJ502&lt;&gt;"PF",AN502&lt;&gt;"NE",AG502&lt;&gt;"A"),AND(AL502="E",OR(AT502=1,AT502=3))),SickCHG*Y502,0)</f>
        <v>0</v>
      </c>
      <c r="CJ502" s="462">
        <f t="shared" si="131"/>
        <v>0</v>
      </c>
      <c r="CK502" s="462" t="str">
        <f t="shared" si="132"/>
        <v/>
      </c>
      <c r="CL502" s="462">
        <f t="shared" si="133"/>
        <v>1323</v>
      </c>
      <c r="CM502" s="462">
        <f t="shared" si="134"/>
        <v>348.79</v>
      </c>
      <c r="CN502" s="462" t="str">
        <f t="shared" si="135"/>
        <v>0486-00</v>
      </c>
    </row>
    <row r="503" spans="1:92" ht="15" thickBot="1" x14ac:dyDescent="0.35">
      <c r="A503" s="376" t="s">
        <v>161</v>
      </c>
      <c r="B503" s="376" t="s">
        <v>162</v>
      </c>
      <c r="C503" s="376" t="s">
        <v>1178</v>
      </c>
      <c r="D503" s="376" t="s">
        <v>1175</v>
      </c>
      <c r="E503" s="376" t="s">
        <v>1140</v>
      </c>
      <c r="F503" s="377" t="s">
        <v>166</v>
      </c>
      <c r="G503" s="376" t="s">
        <v>1141</v>
      </c>
      <c r="H503" s="378"/>
      <c r="I503" s="378"/>
      <c r="J503" s="376" t="s">
        <v>168</v>
      </c>
      <c r="K503" s="376" t="s">
        <v>1176</v>
      </c>
      <c r="L503" s="376" t="s">
        <v>166</v>
      </c>
      <c r="M503" s="376" t="s">
        <v>201</v>
      </c>
      <c r="N503" s="376" t="s">
        <v>291</v>
      </c>
      <c r="O503" s="379">
        <v>0</v>
      </c>
      <c r="P503" s="460">
        <v>1</v>
      </c>
      <c r="Q503" s="460">
        <v>0</v>
      </c>
      <c r="R503" s="380">
        <v>0</v>
      </c>
      <c r="S503" s="460">
        <v>0</v>
      </c>
      <c r="T503" s="380">
        <v>10304.049999999999</v>
      </c>
      <c r="U503" s="380">
        <v>467.6</v>
      </c>
      <c r="V503" s="380">
        <v>1477.52</v>
      </c>
      <c r="W503" s="380">
        <v>10771.65</v>
      </c>
      <c r="X503" s="380">
        <v>1477.52</v>
      </c>
      <c r="Y503" s="380">
        <v>10771.65</v>
      </c>
      <c r="Z503" s="380">
        <v>1477.52</v>
      </c>
      <c r="AA503" s="378"/>
      <c r="AB503" s="376" t="s">
        <v>45</v>
      </c>
      <c r="AC503" s="376" t="s">
        <v>45</v>
      </c>
      <c r="AD503" s="378"/>
      <c r="AE503" s="378"/>
      <c r="AF503" s="378"/>
      <c r="AG503" s="378"/>
      <c r="AH503" s="379">
        <v>0</v>
      </c>
      <c r="AI503" s="379">
        <v>0</v>
      </c>
      <c r="AJ503" s="378"/>
      <c r="AK503" s="378"/>
      <c r="AL503" s="376" t="s">
        <v>180</v>
      </c>
      <c r="AM503" s="378"/>
      <c r="AN503" s="378"/>
      <c r="AO503" s="379">
        <v>0</v>
      </c>
      <c r="AP503" s="460">
        <v>0</v>
      </c>
      <c r="AQ503" s="460">
        <v>0</v>
      </c>
      <c r="AR503" s="459"/>
      <c r="AS503" s="462">
        <f t="shared" si="119"/>
        <v>0</v>
      </c>
      <c r="AT503">
        <f t="shared" si="120"/>
        <v>0</v>
      </c>
      <c r="AU503" s="462" t="str">
        <f>IF(AT503=0,"",IF(AND(AT503=1,M503="F",SUMIF(C2:C698,C503,AS2:AS698)&lt;=1),SUMIF(C2:C698,C503,AS2:AS698),IF(AND(AT503=1,M503="F",SUMIF(C2:C698,C503,AS2:AS698)&gt;1),1,"")))</f>
        <v/>
      </c>
      <c r="AV503" s="462" t="str">
        <f>IF(AT503=0,"",IF(AND(AT503=3,M503="F",SUMIF(C2:C698,C503,AS2:AS698)&lt;=1),SUMIF(C2:C698,C503,AS2:AS698),IF(AND(AT503=3,M503="F",SUMIF(C2:C698,C503,AS2:AS698)&gt;1),1,"")))</f>
        <v/>
      </c>
      <c r="AW503" s="462">
        <f>SUMIF(C2:C698,C503,O2:O698)</f>
        <v>0</v>
      </c>
      <c r="AX503" s="462">
        <f>IF(AND(M503="F",AS503&lt;&gt;0),SUMIF(C2:C698,C503,W2:W698),0)</f>
        <v>0</v>
      </c>
      <c r="AY503" s="462" t="str">
        <f t="shared" si="121"/>
        <v/>
      </c>
      <c r="AZ503" s="462" t="str">
        <f t="shared" si="122"/>
        <v/>
      </c>
      <c r="BA503" s="462">
        <f t="shared" si="123"/>
        <v>0</v>
      </c>
      <c r="BB503" s="462">
        <f>IF(AND(AT503=1,AK503="E",AU503&gt;=0.75,AW503=1),Health,IF(AND(AT503=1,AK503="E",AU503&gt;=0.75),Health*P503,IF(AND(AT503=1,AK503="E",AU503&gt;=0.5,AW503=1),PTHealth,IF(AND(AT503=1,AK503="E",AU503&gt;=0.5),PTHealth*P503,0))))</f>
        <v>0</v>
      </c>
      <c r="BC503" s="462">
        <f>IF(AND(AT503=3,AK503="E",AV503&gt;=0.75,AW503=1),Health,IF(AND(AT503=3,AK503="E",AV503&gt;=0.75),Health*P503,IF(AND(AT503=3,AK503="E",AV503&gt;=0.5,AW503=1),PTHealth,IF(AND(AT503=3,AK503="E",AV503&gt;=0.5),PTHealth*P503,0))))</f>
        <v>0</v>
      </c>
      <c r="BD503" s="462">
        <f>IF(AND(AT503&lt;&gt;0,AX503&gt;=MAXSSDI),SSDI*MAXSSDI*P503,IF(AT503&lt;&gt;0,SSDI*W503,0))</f>
        <v>0</v>
      </c>
      <c r="BE503" s="462">
        <f>IF(AT503&lt;&gt;0,SSHI*W503,0)</f>
        <v>0</v>
      </c>
      <c r="BF503" s="462">
        <f>IF(AND(AT503&lt;&gt;0,AN503&lt;&gt;"NE"),VLOOKUP(AN503,Retirement_Rates,3,FALSE)*W503,0)</f>
        <v>0</v>
      </c>
      <c r="BG503" s="462">
        <f>IF(AND(AT503&lt;&gt;0,AJ503&lt;&gt;"PF"),Life*W503,0)</f>
        <v>0</v>
      </c>
      <c r="BH503" s="462">
        <f>IF(AND(AT503&lt;&gt;0,AM503="Y"),UI*W503,0)</f>
        <v>0</v>
      </c>
      <c r="BI503" s="462">
        <f>IF(AND(AT503&lt;&gt;0,N503&lt;&gt;"NR"),DHR*W503,0)</f>
        <v>0</v>
      </c>
      <c r="BJ503" s="462">
        <f>IF(AT503&lt;&gt;0,WC*W503,0)</f>
        <v>0</v>
      </c>
      <c r="BK503" s="462">
        <f>IF(OR(AND(AT503&lt;&gt;0,AJ503&lt;&gt;"PF",AN503&lt;&gt;"NE",AG503&lt;&gt;"A"),AND(AL503="E",OR(AT503=1,AT503=3))),Sick*W503,0)</f>
        <v>0</v>
      </c>
      <c r="BL503" s="462">
        <f t="shared" si="124"/>
        <v>0</v>
      </c>
      <c r="BM503" s="462">
        <f t="shared" si="125"/>
        <v>0</v>
      </c>
      <c r="BN503" s="462">
        <f>IF(AND(AT503=1,AK503="E",AU503&gt;=0.75,AW503=1),HealthBY,IF(AND(AT503=1,AK503="E",AU503&gt;=0.75),HealthBY*P503,IF(AND(AT503=1,AK503="E",AU503&gt;=0.5,AW503=1),PTHealthBY,IF(AND(AT503=1,AK503="E",AU503&gt;=0.5),PTHealthBY*P503,0))))</f>
        <v>0</v>
      </c>
      <c r="BO503" s="462">
        <f>IF(AND(AT503=3,AK503="E",AV503&gt;=0.75,AW503=1),HealthBY,IF(AND(AT503=3,AK503="E",AV503&gt;=0.75),HealthBY*P503,IF(AND(AT503=3,AK503="E",AV503&gt;=0.5,AW503=1),PTHealthBY,IF(AND(AT503=3,AK503="E",AV503&gt;=0.5),PTHealthBY*P503,0))))</f>
        <v>0</v>
      </c>
      <c r="BP503" s="462">
        <f>IF(AND(AT503&lt;&gt;0,(AX503+BA503)&gt;=MAXSSDIBY),SSDIBY*MAXSSDIBY*P503,IF(AT503&lt;&gt;0,SSDIBY*W503,0))</f>
        <v>0</v>
      </c>
      <c r="BQ503" s="462">
        <f>IF(AT503&lt;&gt;0,SSHIBY*W503,0)</f>
        <v>0</v>
      </c>
      <c r="BR503" s="462">
        <f>IF(AND(AT503&lt;&gt;0,AN503&lt;&gt;"NE"),VLOOKUP(AN503,Retirement_Rates,4,FALSE)*W503,0)</f>
        <v>0</v>
      </c>
      <c r="BS503" s="462">
        <f>IF(AND(AT503&lt;&gt;0,AJ503&lt;&gt;"PF"),LifeBY*W503,0)</f>
        <v>0</v>
      </c>
      <c r="BT503" s="462">
        <f>IF(AND(AT503&lt;&gt;0,AM503="Y"),UIBY*W503,0)</f>
        <v>0</v>
      </c>
      <c r="BU503" s="462">
        <f>IF(AND(AT503&lt;&gt;0,N503&lt;&gt;"NR"),DHRBY*W503,0)</f>
        <v>0</v>
      </c>
      <c r="BV503" s="462">
        <f>IF(AT503&lt;&gt;0,WCBY*W503,0)</f>
        <v>0</v>
      </c>
      <c r="BW503" s="462">
        <f>IF(OR(AND(AT503&lt;&gt;0,AJ503&lt;&gt;"PF",AN503&lt;&gt;"NE",AG503&lt;&gt;"A"),AND(AL503="E",OR(AT503=1,AT503=3))),SickBY*W503,0)</f>
        <v>0</v>
      </c>
      <c r="BX503" s="462">
        <f t="shared" si="126"/>
        <v>0</v>
      </c>
      <c r="BY503" s="462">
        <f t="shared" si="127"/>
        <v>0</v>
      </c>
      <c r="BZ503" s="462">
        <f t="shared" si="128"/>
        <v>0</v>
      </c>
      <c r="CA503" s="462">
        <f t="shared" si="129"/>
        <v>0</v>
      </c>
      <c r="CB503" s="462">
        <f t="shared" si="130"/>
        <v>0</v>
      </c>
      <c r="CC503" s="462">
        <f>IF(AT503&lt;&gt;0,SSHICHG*Y503,0)</f>
        <v>0</v>
      </c>
      <c r="CD503" s="462">
        <f>IF(AND(AT503&lt;&gt;0,AN503&lt;&gt;"NE"),VLOOKUP(AN503,Retirement_Rates,5,FALSE)*Y503,0)</f>
        <v>0</v>
      </c>
      <c r="CE503" s="462">
        <f>IF(AND(AT503&lt;&gt;0,AJ503&lt;&gt;"PF"),LifeCHG*Y503,0)</f>
        <v>0</v>
      </c>
      <c r="CF503" s="462">
        <f>IF(AND(AT503&lt;&gt;0,AM503="Y"),UICHG*Y503,0)</f>
        <v>0</v>
      </c>
      <c r="CG503" s="462">
        <f>IF(AND(AT503&lt;&gt;0,N503&lt;&gt;"NR"),DHRCHG*Y503,0)</f>
        <v>0</v>
      </c>
      <c r="CH503" s="462">
        <f>IF(AT503&lt;&gt;0,WCCHG*Y503,0)</f>
        <v>0</v>
      </c>
      <c r="CI503" s="462">
        <f>IF(OR(AND(AT503&lt;&gt;0,AJ503&lt;&gt;"PF",AN503&lt;&gt;"NE",AG503&lt;&gt;"A"),AND(AL503="E",OR(AT503=1,AT503=3))),SickCHG*Y503,0)</f>
        <v>0</v>
      </c>
      <c r="CJ503" s="462">
        <f t="shared" si="131"/>
        <v>0</v>
      </c>
      <c r="CK503" s="462" t="str">
        <f t="shared" si="132"/>
        <v/>
      </c>
      <c r="CL503" s="462">
        <f t="shared" si="133"/>
        <v>10771.65</v>
      </c>
      <c r="CM503" s="462">
        <f t="shared" si="134"/>
        <v>1477.52</v>
      </c>
      <c r="CN503" s="462" t="str">
        <f t="shared" si="135"/>
        <v>0486-00</v>
      </c>
    </row>
    <row r="504" spans="1:92" ht="15" thickBot="1" x14ac:dyDescent="0.35">
      <c r="A504" s="376" t="s">
        <v>161</v>
      </c>
      <c r="B504" s="376" t="s">
        <v>162</v>
      </c>
      <c r="C504" s="376" t="s">
        <v>1179</v>
      </c>
      <c r="D504" s="376" t="s">
        <v>1150</v>
      </c>
      <c r="E504" s="376" t="s">
        <v>1140</v>
      </c>
      <c r="F504" s="377" t="s">
        <v>166</v>
      </c>
      <c r="G504" s="376" t="s">
        <v>1141</v>
      </c>
      <c r="H504" s="378"/>
      <c r="I504" s="378"/>
      <c r="J504" s="376" t="s">
        <v>168</v>
      </c>
      <c r="K504" s="376" t="s">
        <v>1151</v>
      </c>
      <c r="L504" s="376" t="s">
        <v>166</v>
      </c>
      <c r="M504" s="376" t="s">
        <v>201</v>
      </c>
      <c r="N504" s="376" t="s">
        <v>291</v>
      </c>
      <c r="O504" s="379">
        <v>0</v>
      </c>
      <c r="P504" s="460">
        <v>1</v>
      </c>
      <c r="Q504" s="460">
        <v>0</v>
      </c>
      <c r="R504" s="380">
        <v>0</v>
      </c>
      <c r="S504" s="460">
        <v>0</v>
      </c>
      <c r="T504" s="380">
        <v>0</v>
      </c>
      <c r="U504" s="380">
        <v>0</v>
      </c>
      <c r="V504" s="380">
        <v>0</v>
      </c>
      <c r="W504" s="380">
        <v>0</v>
      </c>
      <c r="X504" s="380">
        <v>0</v>
      </c>
      <c r="Y504" s="380">
        <v>0</v>
      </c>
      <c r="Z504" s="380">
        <v>0</v>
      </c>
      <c r="AA504" s="378"/>
      <c r="AB504" s="376" t="s">
        <v>45</v>
      </c>
      <c r="AC504" s="376" t="s">
        <v>45</v>
      </c>
      <c r="AD504" s="378"/>
      <c r="AE504" s="378"/>
      <c r="AF504" s="378"/>
      <c r="AG504" s="378"/>
      <c r="AH504" s="379">
        <v>0</v>
      </c>
      <c r="AI504" s="379">
        <v>0</v>
      </c>
      <c r="AJ504" s="378"/>
      <c r="AK504" s="378"/>
      <c r="AL504" s="376" t="s">
        <v>180</v>
      </c>
      <c r="AM504" s="378"/>
      <c r="AN504" s="378"/>
      <c r="AO504" s="379">
        <v>0</v>
      </c>
      <c r="AP504" s="460">
        <v>0</v>
      </c>
      <c r="AQ504" s="460">
        <v>0</v>
      </c>
      <c r="AR504" s="459"/>
      <c r="AS504" s="462">
        <f t="shared" si="119"/>
        <v>0</v>
      </c>
      <c r="AT504">
        <f t="shared" si="120"/>
        <v>0</v>
      </c>
      <c r="AU504" s="462" t="str">
        <f>IF(AT504=0,"",IF(AND(AT504=1,M504="F",SUMIF(C2:C698,C504,AS2:AS698)&lt;=1),SUMIF(C2:C698,C504,AS2:AS698),IF(AND(AT504=1,M504="F",SUMIF(C2:C698,C504,AS2:AS698)&gt;1),1,"")))</f>
        <v/>
      </c>
      <c r="AV504" s="462" t="str">
        <f>IF(AT504=0,"",IF(AND(AT504=3,M504="F",SUMIF(C2:C698,C504,AS2:AS698)&lt;=1),SUMIF(C2:C698,C504,AS2:AS698),IF(AND(AT504=3,M504="F",SUMIF(C2:C698,C504,AS2:AS698)&gt;1),1,"")))</f>
        <v/>
      </c>
      <c r="AW504" s="462">
        <f>SUMIF(C2:C698,C504,O2:O698)</f>
        <v>0</v>
      </c>
      <c r="AX504" s="462">
        <f>IF(AND(M504="F",AS504&lt;&gt;0),SUMIF(C2:C698,C504,W2:W698),0)</f>
        <v>0</v>
      </c>
      <c r="AY504" s="462" t="str">
        <f t="shared" si="121"/>
        <v/>
      </c>
      <c r="AZ504" s="462" t="str">
        <f t="shared" si="122"/>
        <v/>
      </c>
      <c r="BA504" s="462">
        <f t="shared" si="123"/>
        <v>0</v>
      </c>
      <c r="BB504" s="462">
        <f>IF(AND(AT504=1,AK504="E",AU504&gt;=0.75,AW504=1),Health,IF(AND(AT504=1,AK504="E",AU504&gt;=0.75),Health*P504,IF(AND(AT504=1,AK504="E",AU504&gt;=0.5,AW504=1),PTHealth,IF(AND(AT504=1,AK504="E",AU504&gt;=0.5),PTHealth*P504,0))))</f>
        <v>0</v>
      </c>
      <c r="BC504" s="462">
        <f>IF(AND(AT504=3,AK504="E",AV504&gt;=0.75,AW504=1),Health,IF(AND(AT504=3,AK504="E",AV504&gt;=0.75),Health*P504,IF(AND(AT504=3,AK504="E",AV504&gt;=0.5,AW504=1),PTHealth,IF(AND(AT504=3,AK504="E",AV504&gt;=0.5),PTHealth*P504,0))))</f>
        <v>0</v>
      </c>
      <c r="BD504" s="462">
        <f>IF(AND(AT504&lt;&gt;0,AX504&gt;=MAXSSDI),SSDI*MAXSSDI*P504,IF(AT504&lt;&gt;0,SSDI*W504,0))</f>
        <v>0</v>
      </c>
      <c r="BE504" s="462">
        <f>IF(AT504&lt;&gt;0,SSHI*W504,0)</f>
        <v>0</v>
      </c>
      <c r="BF504" s="462">
        <f>IF(AND(AT504&lt;&gt;0,AN504&lt;&gt;"NE"),VLOOKUP(AN504,Retirement_Rates,3,FALSE)*W504,0)</f>
        <v>0</v>
      </c>
      <c r="BG504" s="462">
        <f>IF(AND(AT504&lt;&gt;0,AJ504&lt;&gt;"PF"),Life*W504,0)</f>
        <v>0</v>
      </c>
      <c r="BH504" s="462">
        <f>IF(AND(AT504&lt;&gt;0,AM504="Y"),UI*W504,0)</f>
        <v>0</v>
      </c>
      <c r="BI504" s="462">
        <f>IF(AND(AT504&lt;&gt;0,N504&lt;&gt;"NR"),DHR*W504,0)</f>
        <v>0</v>
      </c>
      <c r="BJ504" s="462">
        <f>IF(AT504&lt;&gt;0,WC*W504,0)</f>
        <v>0</v>
      </c>
      <c r="BK504" s="462">
        <f>IF(OR(AND(AT504&lt;&gt;0,AJ504&lt;&gt;"PF",AN504&lt;&gt;"NE",AG504&lt;&gt;"A"),AND(AL504="E",OR(AT504=1,AT504=3))),Sick*W504,0)</f>
        <v>0</v>
      </c>
      <c r="BL504" s="462">
        <f t="shared" si="124"/>
        <v>0</v>
      </c>
      <c r="BM504" s="462">
        <f t="shared" si="125"/>
        <v>0</v>
      </c>
      <c r="BN504" s="462">
        <f>IF(AND(AT504=1,AK504="E",AU504&gt;=0.75,AW504=1),HealthBY,IF(AND(AT504=1,AK504="E",AU504&gt;=0.75),HealthBY*P504,IF(AND(AT504=1,AK504="E",AU504&gt;=0.5,AW504=1),PTHealthBY,IF(AND(AT504=1,AK504="E",AU504&gt;=0.5),PTHealthBY*P504,0))))</f>
        <v>0</v>
      </c>
      <c r="BO504" s="462">
        <f>IF(AND(AT504=3,AK504="E",AV504&gt;=0.75,AW504=1),HealthBY,IF(AND(AT504=3,AK504="E",AV504&gt;=0.75),HealthBY*P504,IF(AND(AT504=3,AK504="E",AV504&gt;=0.5,AW504=1),PTHealthBY,IF(AND(AT504=3,AK504="E",AV504&gt;=0.5),PTHealthBY*P504,0))))</f>
        <v>0</v>
      </c>
      <c r="BP504" s="462">
        <f>IF(AND(AT504&lt;&gt;0,(AX504+BA504)&gt;=MAXSSDIBY),SSDIBY*MAXSSDIBY*P504,IF(AT504&lt;&gt;0,SSDIBY*W504,0))</f>
        <v>0</v>
      </c>
      <c r="BQ504" s="462">
        <f>IF(AT504&lt;&gt;0,SSHIBY*W504,0)</f>
        <v>0</v>
      </c>
      <c r="BR504" s="462">
        <f>IF(AND(AT504&lt;&gt;0,AN504&lt;&gt;"NE"),VLOOKUP(AN504,Retirement_Rates,4,FALSE)*W504,0)</f>
        <v>0</v>
      </c>
      <c r="BS504" s="462">
        <f>IF(AND(AT504&lt;&gt;0,AJ504&lt;&gt;"PF"),LifeBY*W504,0)</f>
        <v>0</v>
      </c>
      <c r="BT504" s="462">
        <f>IF(AND(AT504&lt;&gt;0,AM504="Y"),UIBY*W504,0)</f>
        <v>0</v>
      </c>
      <c r="BU504" s="462">
        <f>IF(AND(AT504&lt;&gt;0,N504&lt;&gt;"NR"),DHRBY*W504,0)</f>
        <v>0</v>
      </c>
      <c r="BV504" s="462">
        <f>IF(AT504&lt;&gt;0,WCBY*W504,0)</f>
        <v>0</v>
      </c>
      <c r="BW504" s="462">
        <f>IF(OR(AND(AT504&lt;&gt;0,AJ504&lt;&gt;"PF",AN504&lt;&gt;"NE",AG504&lt;&gt;"A"),AND(AL504="E",OR(AT504=1,AT504=3))),SickBY*W504,0)</f>
        <v>0</v>
      </c>
      <c r="BX504" s="462">
        <f t="shared" si="126"/>
        <v>0</v>
      </c>
      <c r="BY504" s="462">
        <f t="shared" si="127"/>
        <v>0</v>
      </c>
      <c r="BZ504" s="462">
        <f t="shared" si="128"/>
        <v>0</v>
      </c>
      <c r="CA504" s="462">
        <f t="shared" si="129"/>
        <v>0</v>
      </c>
      <c r="CB504" s="462">
        <f t="shared" si="130"/>
        <v>0</v>
      </c>
      <c r="CC504" s="462">
        <f>IF(AT504&lt;&gt;0,SSHICHG*Y504,0)</f>
        <v>0</v>
      </c>
      <c r="CD504" s="462">
        <f>IF(AND(AT504&lt;&gt;0,AN504&lt;&gt;"NE"),VLOOKUP(AN504,Retirement_Rates,5,FALSE)*Y504,0)</f>
        <v>0</v>
      </c>
      <c r="CE504" s="462">
        <f>IF(AND(AT504&lt;&gt;0,AJ504&lt;&gt;"PF"),LifeCHG*Y504,0)</f>
        <v>0</v>
      </c>
      <c r="CF504" s="462">
        <f>IF(AND(AT504&lt;&gt;0,AM504="Y"),UICHG*Y504,0)</f>
        <v>0</v>
      </c>
      <c r="CG504" s="462">
        <f>IF(AND(AT504&lt;&gt;0,N504&lt;&gt;"NR"),DHRCHG*Y504,0)</f>
        <v>0</v>
      </c>
      <c r="CH504" s="462">
        <f>IF(AT504&lt;&gt;0,WCCHG*Y504,0)</f>
        <v>0</v>
      </c>
      <c r="CI504" s="462">
        <f>IF(OR(AND(AT504&lt;&gt;0,AJ504&lt;&gt;"PF",AN504&lt;&gt;"NE",AG504&lt;&gt;"A"),AND(AL504="E",OR(AT504=1,AT504=3))),SickCHG*Y504,0)</f>
        <v>0</v>
      </c>
      <c r="CJ504" s="462">
        <f t="shared" si="131"/>
        <v>0</v>
      </c>
      <c r="CK504" s="462" t="str">
        <f t="shared" si="132"/>
        <v/>
      </c>
      <c r="CL504" s="462">
        <f t="shared" si="133"/>
        <v>0</v>
      </c>
      <c r="CM504" s="462">
        <f t="shared" si="134"/>
        <v>0</v>
      </c>
      <c r="CN504" s="462" t="str">
        <f t="shared" si="135"/>
        <v>0486-00</v>
      </c>
    </row>
    <row r="505" spans="1:92" ht="15" thickBot="1" x14ac:dyDescent="0.35">
      <c r="A505" s="376" t="s">
        <v>161</v>
      </c>
      <c r="B505" s="376" t="s">
        <v>162</v>
      </c>
      <c r="C505" s="376" t="s">
        <v>1180</v>
      </c>
      <c r="D505" s="376" t="s">
        <v>1181</v>
      </c>
      <c r="E505" s="376" t="s">
        <v>1140</v>
      </c>
      <c r="F505" s="377" t="s">
        <v>166</v>
      </c>
      <c r="G505" s="376" t="s">
        <v>1141</v>
      </c>
      <c r="H505" s="378"/>
      <c r="I505" s="378"/>
      <c r="J505" s="376" t="s">
        <v>168</v>
      </c>
      <c r="K505" s="376" t="s">
        <v>1182</v>
      </c>
      <c r="L505" s="376" t="s">
        <v>166</v>
      </c>
      <c r="M505" s="376" t="s">
        <v>201</v>
      </c>
      <c r="N505" s="376" t="s">
        <v>291</v>
      </c>
      <c r="O505" s="379">
        <v>0</v>
      </c>
      <c r="P505" s="460">
        <v>1</v>
      </c>
      <c r="Q505" s="460">
        <v>0</v>
      </c>
      <c r="R505" s="380">
        <v>0</v>
      </c>
      <c r="S505" s="460">
        <v>0</v>
      </c>
      <c r="T505" s="380">
        <v>0</v>
      </c>
      <c r="U505" s="380">
        <v>0</v>
      </c>
      <c r="V505" s="380">
        <v>0</v>
      </c>
      <c r="W505" s="380">
        <v>0</v>
      </c>
      <c r="X505" s="380">
        <v>0</v>
      </c>
      <c r="Y505" s="380">
        <v>0</v>
      </c>
      <c r="Z505" s="380">
        <v>0</v>
      </c>
      <c r="AA505" s="378"/>
      <c r="AB505" s="376" t="s">
        <v>45</v>
      </c>
      <c r="AC505" s="376" t="s">
        <v>45</v>
      </c>
      <c r="AD505" s="378"/>
      <c r="AE505" s="378"/>
      <c r="AF505" s="378"/>
      <c r="AG505" s="378"/>
      <c r="AH505" s="379">
        <v>0</v>
      </c>
      <c r="AI505" s="379">
        <v>0</v>
      </c>
      <c r="AJ505" s="378"/>
      <c r="AK505" s="378"/>
      <c r="AL505" s="376" t="s">
        <v>180</v>
      </c>
      <c r="AM505" s="378"/>
      <c r="AN505" s="378"/>
      <c r="AO505" s="379">
        <v>0</v>
      </c>
      <c r="AP505" s="460">
        <v>0</v>
      </c>
      <c r="AQ505" s="460">
        <v>0</v>
      </c>
      <c r="AR505" s="459"/>
      <c r="AS505" s="462">
        <f t="shared" si="119"/>
        <v>0</v>
      </c>
      <c r="AT505">
        <f t="shared" si="120"/>
        <v>0</v>
      </c>
      <c r="AU505" s="462" t="str">
        <f>IF(AT505=0,"",IF(AND(AT505=1,M505="F",SUMIF(C2:C698,C505,AS2:AS698)&lt;=1),SUMIF(C2:C698,C505,AS2:AS698),IF(AND(AT505=1,M505="F",SUMIF(C2:C698,C505,AS2:AS698)&gt;1),1,"")))</f>
        <v/>
      </c>
      <c r="AV505" s="462" t="str">
        <f>IF(AT505=0,"",IF(AND(AT505=3,M505="F",SUMIF(C2:C698,C505,AS2:AS698)&lt;=1),SUMIF(C2:C698,C505,AS2:AS698),IF(AND(AT505=3,M505="F",SUMIF(C2:C698,C505,AS2:AS698)&gt;1),1,"")))</f>
        <v/>
      </c>
      <c r="AW505" s="462">
        <f>SUMIF(C2:C698,C505,O2:O698)</f>
        <v>0</v>
      </c>
      <c r="AX505" s="462">
        <f>IF(AND(M505="F",AS505&lt;&gt;0),SUMIF(C2:C698,C505,W2:W698),0)</f>
        <v>0</v>
      </c>
      <c r="AY505" s="462" t="str">
        <f t="shared" si="121"/>
        <v/>
      </c>
      <c r="AZ505" s="462" t="str">
        <f t="shared" si="122"/>
        <v/>
      </c>
      <c r="BA505" s="462">
        <f t="shared" si="123"/>
        <v>0</v>
      </c>
      <c r="BB505" s="462">
        <f>IF(AND(AT505=1,AK505="E",AU505&gt;=0.75,AW505=1),Health,IF(AND(AT505=1,AK505="E",AU505&gt;=0.75),Health*P505,IF(AND(AT505=1,AK505="E",AU505&gt;=0.5,AW505=1),PTHealth,IF(AND(AT505=1,AK505="E",AU505&gt;=0.5),PTHealth*P505,0))))</f>
        <v>0</v>
      </c>
      <c r="BC505" s="462">
        <f>IF(AND(AT505=3,AK505="E",AV505&gt;=0.75,AW505=1),Health,IF(AND(AT505=3,AK505="E",AV505&gt;=0.75),Health*P505,IF(AND(AT505=3,AK505="E",AV505&gt;=0.5,AW505=1),PTHealth,IF(AND(AT505=3,AK505="E",AV505&gt;=0.5),PTHealth*P505,0))))</f>
        <v>0</v>
      </c>
      <c r="BD505" s="462">
        <f>IF(AND(AT505&lt;&gt;0,AX505&gt;=MAXSSDI),SSDI*MAXSSDI*P505,IF(AT505&lt;&gt;0,SSDI*W505,0))</f>
        <v>0</v>
      </c>
      <c r="BE505" s="462">
        <f>IF(AT505&lt;&gt;0,SSHI*W505,0)</f>
        <v>0</v>
      </c>
      <c r="BF505" s="462">
        <f>IF(AND(AT505&lt;&gt;0,AN505&lt;&gt;"NE"),VLOOKUP(AN505,Retirement_Rates,3,FALSE)*W505,0)</f>
        <v>0</v>
      </c>
      <c r="BG505" s="462">
        <f>IF(AND(AT505&lt;&gt;0,AJ505&lt;&gt;"PF"),Life*W505,0)</f>
        <v>0</v>
      </c>
      <c r="BH505" s="462">
        <f>IF(AND(AT505&lt;&gt;0,AM505="Y"),UI*W505,0)</f>
        <v>0</v>
      </c>
      <c r="BI505" s="462">
        <f>IF(AND(AT505&lt;&gt;0,N505&lt;&gt;"NR"),DHR*W505,0)</f>
        <v>0</v>
      </c>
      <c r="BJ505" s="462">
        <f>IF(AT505&lt;&gt;0,WC*W505,0)</f>
        <v>0</v>
      </c>
      <c r="BK505" s="462">
        <f>IF(OR(AND(AT505&lt;&gt;0,AJ505&lt;&gt;"PF",AN505&lt;&gt;"NE",AG505&lt;&gt;"A"),AND(AL505="E",OR(AT505=1,AT505=3))),Sick*W505,0)</f>
        <v>0</v>
      </c>
      <c r="BL505" s="462">
        <f t="shared" si="124"/>
        <v>0</v>
      </c>
      <c r="BM505" s="462">
        <f t="shared" si="125"/>
        <v>0</v>
      </c>
      <c r="BN505" s="462">
        <f>IF(AND(AT505=1,AK505="E",AU505&gt;=0.75,AW505=1),HealthBY,IF(AND(AT505=1,AK505="E",AU505&gt;=0.75),HealthBY*P505,IF(AND(AT505=1,AK505="E",AU505&gt;=0.5,AW505=1),PTHealthBY,IF(AND(AT505=1,AK505="E",AU505&gt;=0.5),PTHealthBY*P505,0))))</f>
        <v>0</v>
      </c>
      <c r="BO505" s="462">
        <f>IF(AND(AT505=3,AK505="E",AV505&gt;=0.75,AW505=1),HealthBY,IF(AND(AT505=3,AK505="E",AV505&gt;=0.75),HealthBY*P505,IF(AND(AT505=3,AK505="E",AV505&gt;=0.5,AW505=1),PTHealthBY,IF(AND(AT505=3,AK505="E",AV505&gt;=0.5),PTHealthBY*P505,0))))</f>
        <v>0</v>
      </c>
      <c r="BP505" s="462">
        <f>IF(AND(AT505&lt;&gt;0,(AX505+BA505)&gt;=MAXSSDIBY),SSDIBY*MAXSSDIBY*P505,IF(AT505&lt;&gt;0,SSDIBY*W505,0))</f>
        <v>0</v>
      </c>
      <c r="BQ505" s="462">
        <f>IF(AT505&lt;&gt;0,SSHIBY*W505,0)</f>
        <v>0</v>
      </c>
      <c r="BR505" s="462">
        <f>IF(AND(AT505&lt;&gt;0,AN505&lt;&gt;"NE"),VLOOKUP(AN505,Retirement_Rates,4,FALSE)*W505,0)</f>
        <v>0</v>
      </c>
      <c r="BS505" s="462">
        <f>IF(AND(AT505&lt;&gt;0,AJ505&lt;&gt;"PF"),LifeBY*W505,0)</f>
        <v>0</v>
      </c>
      <c r="BT505" s="462">
        <f>IF(AND(AT505&lt;&gt;0,AM505="Y"),UIBY*W505,0)</f>
        <v>0</v>
      </c>
      <c r="BU505" s="462">
        <f>IF(AND(AT505&lt;&gt;0,N505&lt;&gt;"NR"),DHRBY*W505,0)</f>
        <v>0</v>
      </c>
      <c r="BV505" s="462">
        <f>IF(AT505&lt;&gt;0,WCBY*W505,0)</f>
        <v>0</v>
      </c>
      <c r="BW505" s="462">
        <f>IF(OR(AND(AT505&lt;&gt;0,AJ505&lt;&gt;"PF",AN505&lt;&gt;"NE",AG505&lt;&gt;"A"),AND(AL505="E",OR(AT505=1,AT505=3))),SickBY*W505,0)</f>
        <v>0</v>
      </c>
      <c r="BX505" s="462">
        <f t="shared" si="126"/>
        <v>0</v>
      </c>
      <c r="BY505" s="462">
        <f t="shared" si="127"/>
        <v>0</v>
      </c>
      <c r="BZ505" s="462">
        <f t="shared" si="128"/>
        <v>0</v>
      </c>
      <c r="CA505" s="462">
        <f t="shared" si="129"/>
        <v>0</v>
      </c>
      <c r="CB505" s="462">
        <f t="shared" si="130"/>
        <v>0</v>
      </c>
      <c r="CC505" s="462">
        <f>IF(AT505&lt;&gt;0,SSHICHG*Y505,0)</f>
        <v>0</v>
      </c>
      <c r="CD505" s="462">
        <f>IF(AND(AT505&lt;&gt;0,AN505&lt;&gt;"NE"),VLOOKUP(AN505,Retirement_Rates,5,FALSE)*Y505,0)</f>
        <v>0</v>
      </c>
      <c r="CE505" s="462">
        <f>IF(AND(AT505&lt;&gt;0,AJ505&lt;&gt;"PF"),LifeCHG*Y505,0)</f>
        <v>0</v>
      </c>
      <c r="CF505" s="462">
        <f>IF(AND(AT505&lt;&gt;0,AM505="Y"),UICHG*Y505,0)</f>
        <v>0</v>
      </c>
      <c r="CG505" s="462">
        <f>IF(AND(AT505&lt;&gt;0,N505&lt;&gt;"NR"),DHRCHG*Y505,0)</f>
        <v>0</v>
      </c>
      <c r="CH505" s="462">
        <f>IF(AT505&lt;&gt;0,WCCHG*Y505,0)</f>
        <v>0</v>
      </c>
      <c r="CI505" s="462">
        <f>IF(OR(AND(AT505&lt;&gt;0,AJ505&lt;&gt;"PF",AN505&lt;&gt;"NE",AG505&lt;&gt;"A"),AND(AL505="E",OR(AT505=1,AT505=3))),SickCHG*Y505,0)</f>
        <v>0</v>
      </c>
      <c r="CJ505" s="462">
        <f t="shared" si="131"/>
        <v>0</v>
      </c>
      <c r="CK505" s="462" t="str">
        <f t="shared" si="132"/>
        <v/>
      </c>
      <c r="CL505" s="462">
        <f t="shared" si="133"/>
        <v>0</v>
      </c>
      <c r="CM505" s="462">
        <f t="shared" si="134"/>
        <v>0</v>
      </c>
      <c r="CN505" s="462" t="str">
        <f t="shared" si="135"/>
        <v>0486-00</v>
      </c>
    </row>
    <row r="506" spans="1:92" ht="15" thickBot="1" x14ac:dyDescent="0.35">
      <c r="A506" s="376" t="s">
        <v>161</v>
      </c>
      <c r="B506" s="376" t="s">
        <v>162</v>
      </c>
      <c r="C506" s="376" t="s">
        <v>1183</v>
      </c>
      <c r="D506" s="376" t="s">
        <v>1181</v>
      </c>
      <c r="E506" s="376" t="s">
        <v>1140</v>
      </c>
      <c r="F506" s="377" t="s">
        <v>166</v>
      </c>
      <c r="G506" s="376" t="s">
        <v>1141</v>
      </c>
      <c r="H506" s="378"/>
      <c r="I506" s="378"/>
      <c r="J506" s="376" t="s">
        <v>168</v>
      </c>
      <c r="K506" s="376" t="s">
        <v>1182</v>
      </c>
      <c r="L506" s="376" t="s">
        <v>166</v>
      </c>
      <c r="M506" s="376" t="s">
        <v>201</v>
      </c>
      <c r="N506" s="376" t="s">
        <v>291</v>
      </c>
      <c r="O506" s="379">
        <v>0</v>
      </c>
      <c r="P506" s="460">
        <v>1</v>
      </c>
      <c r="Q506" s="460">
        <v>0</v>
      </c>
      <c r="R506" s="380">
        <v>0</v>
      </c>
      <c r="S506" s="460">
        <v>0</v>
      </c>
      <c r="T506" s="380">
        <v>0</v>
      </c>
      <c r="U506" s="380">
        <v>0</v>
      </c>
      <c r="V506" s="380">
        <v>0</v>
      </c>
      <c r="W506" s="380">
        <v>0</v>
      </c>
      <c r="X506" s="380">
        <v>0</v>
      </c>
      <c r="Y506" s="380">
        <v>0</v>
      </c>
      <c r="Z506" s="380">
        <v>0</v>
      </c>
      <c r="AA506" s="378"/>
      <c r="AB506" s="376" t="s">
        <v>45</v>
      </c>
      <c r="AC506" s="376" t="s">
        <v>45</v>
      </c>
      <c r="AD506" s="378"/>
      <c r="AE506" s="378"/>
      <c r="AF506" s="378"/>
      <c r="AG506" s="378"/>
      <c r="AH506" s="379">
        <v>0</v>
      </c>
      <c r="AI506" s="379">
        <v>0</v>
      </c>
      <c r="AJ506" s="378"/>
      <c r="AK506" s="378"/>
      <c r="AL506" s="376" t="s">
        <v>180</v>
      </c>
      <c r="AM506" s="378"/>
      <c r="AN506" s="378"/>
      <c r="AO506" s="379">
        <v>0</v>
      </c>
      <c r="AP506" s="460">
        <v>0</v>
      </c>
      <c r="AQ506" s="460">
        <v>0</v>
      </c>
      <c r="AR506" s="459"/>
      <c r="AS506" s="462">
        <f t="shared" si="119"/>
        <v>0</v>
      </c>
      <c r="AT506">
        <f t="shared" si="120"/>
        <v>0</v>
      </c>
      <c r="AU506" s="462" t="str">
        <f>IF(AT506=0,"",IF(AND(AT506=1,M506="F",SUMIF(C2:C698,C506,AS2:AS698)&lt;=1),SUMIF(C2:C698,C506,AS2:AS698),IF(AND(AT506=1,M506="F",SUMIF(C2:C698,C506,AS2:AS698)&gt;1),1,"")))</f>
        <v/>
      </c>
      <c r="AV506" s="462" t="str">
        <f>IF(AT506=0,"",IF(AND(AT506=3,M506="F",SUMIF(C2:C698,C506,AS2:AS698)&lt;=1),SUMIF(C2:C698,C506,AS2:AS698),IF(AND(AT506=3,M506="F",SUMIF(C2:C698,C506,AS2:AS698)&gt;1),1,"")))</f>
        <v/>
      </c>
      <c r="AW506" s="462">
        <f>SUMIF(C2:C698,C506,O2:O698)</f>
        <v>0</v>
      </c>
      <c r="AX506" s="462">
        <f>IF(AND(M506="F",AS506&lt;&gt;0),SUMIF(C2:C698,C506,W2:W698),0)</f>
        <v>0</v>
      </c>
      <c r="AY506" s="462" t="str">
        <f t="shared" si="121"/>
        <v/>
      </c>
      <c r="AZ506" s="462" t="str">
        <f t="shared" si="122"/>
        <v/>
      </c>
      <c r="BA506" s="462">
        <f t="shared" si="123"/>
        <v>0</v>
      </c>
      <c r="BB506" s="462">
        <f>IF(AND(AT506=1,AK506="E",AU506&gt;=0.75,AW506=1),Health,IF(AND(AT506=1,AK506="E",AU506&gt;=0.75),Health*P506,IF(AND(AT506=1,AK506="E",AU506&gt;=0.5,AW506=1),PTHealth,IF(AND(AT506=1,AK506="E",AU506&gt;=0.5),PTHealth*P506,0))))</f>
        <v>0</v>
      </c>
      <c r="BC506" s="462">
        <f>IF(AND(AT506=3,AK506="E",AV506&gt;=0.75,AW506=1),Health,IF(AND(AT506=3,AK506="E",AV506&gt;=0.75),Health*P506,IF(AND(AT506=3,AK506="E",AV506&gt;=0.5,AW506=1),PTHealth,IF(AND(AT506=3,AK506="E",AV506&gt;=0.5),PTHealth*P506,0))))</f>
        <v>0</v>
      </c>
      <c r="BD506" s="462">
        <f>IF(AND(AT506&lt;&gt;0,AX506&gt;=MAXSSDI),SSDI*MAXSSDI*P506,IF(AT506&lt;&gt;0,SSDI*W506,0))</f>
        <v>0</v>
      </c>
      <c r="BE506" s="462">
        <f>IF(AT506&lt;&gt;0,SSHI*W506,0)</f>
        <v>0</v>
      </c>
      <c r="BF506" s="462">
        <f>IF(AND(AT506&lt;&gt;0,AN506&lt;&gt;"NE"),VLOOKUP(AN506,Retirement_Rates,3,FALSE)*W506,0)</f>
        <v>0</v>
      </c>
      <c r="BG506" s="462">
        <f>IF(AND(AT506&lt;&gt;0,AJ506&lt;&gt;"PF"),Life*W506,0)</f>
        <v>0</v>
      </c>
      <c r="BH506" s="462">
        <f>IF(AND(AT506&lt;&gt;0,AM506="Y"),UI*W506,0)</f>
        <v>0</v>
      </c>
      <c r="BI506" s="462">
        <f>IF(AND(AT506&lt;&gt;0,N506&lt;&gt;"NR"),DHR*W506,0)</f>
        <v>0</v>
      </c>
      <c r="BJ506" s="462">
        <f>IF(AT506&lt;&gt;0,WC*W506,0)</f>
        <v>0</v>
      </c>
      <c r="BK506" s="462">
        <f>IF(OR(AND(AT506&lt;&gt;0,AJ506&lt;&gt;"PF",AN506&lt;&gt;"NE",AG506&lt;&gt;"A"),AND(AL506="E",OR(AT506=1,AT506=3))),Sick*W506,0)</f>
        <v>0</v>
      </c>
      <c r="BL506" s="462">
        <f t="shared" si="124"/>
        <v>0</v>
      </c>
      <c r="BM506" s="462">
        <f t="shared" si="125"/>
        <v>0</v>
      </c>
      <c r="BN506" s="462">
        <f>IF(AND(AT506=1,AK506="E",AU506&gt;=0.75,AW506=1),HealthBY,IF(AND(AT506=1,AK506="E",AU506&gt;=0.75),HealthBY*P506,IF(AND(AT506=1,AK506="E",AU506&gt;=0.5,AW506=1),PTHealthBY,IF(AND(AT506=1,AK506="E",AU506&gt;=0.5),PTHealthBY*P506,0))))</f>
        <v>0</v>
      </c>
      <c r="BO506" s="462">
        <f>IF(AND(AT506=3,AK506="E",AV506&gt;=0.75,AW506=1),HealthBY,IF(AND(AT506=3,AK506="E",AV506&gt;=0.75),HealthBY*P506,IF(AND(AT506=3,AK506="E",AV506&gt;=0.5,AW506=1),PTHealthBY,IF(AND(AT506=3,AK506="E",AV506&gt;=0.5),PTHealthBY*P506,0))))</f>
        <v>0</v>
      </c>
      <c r="BP506" s="462">
        <f>IF(AND(AT506&lt;&gt;0,(AX506+BA506)&gt;=MAXSSDIBY),SSDIBY*MAXSSDIBY*P506,IF(AT506&lt;&gt;0,SSDIBY*W506,0))</f>
        <v>0</v>
      </c>
      <c r="BQ506" s="462">
        <f>IF(AT506&lt;&gt;0,SSHIBY*W506,0)</f>
        <v>0</v>
      </c>
      <c r="BR506" s="462">
        <f>IF(AND(AT506&lt;&gt;0,AN506&lt;&gt;"NE"),VLOOKUP(AN506,Retirement_Rates,4,FALSE)*W506,0)</f>
        <v>0</v>
      </c>
      <c r="BS506" s="462">
        <f>IF(AND(AT506&lt;&gt;0,AJ506&lt;&gt;"PF"),LifeBY*W506,0)</f>
        <v>0</v>
      </c>
      <c r="BT506" s="462">
        <f>IF(AND(AT506&lt;&gt;0,AM506="Y"),UIBY*W506,0)</f>
        <v>0</v>
      </c>
      <c r="BU506" s="462">
        <f>IF(AND(AT506&lt;&gt;0,N506&lt;&gt;"NR"),DHRBY*W506,0)</f>
        <v>0</v>
      </c>
      <c r="BV506" s="462">
        <f>IF(AT506&lt;&gt;0,WCBY*W506,0)</f>
        <v>0</v>
      </c>
      <c r="BW506" s="462">
        <f>IF(OR(AND(AT506&lt;&gt;0,AJ506&lt;&gt;"PF",AN506&lt;&gt;"NE",AG506&lt;&gt;"A"),AND(AL506="E",OR(AT506=1,AT506=3))),SickBY*W506,0)</f>
        <v>0</v>
      </c>
      <c r="BX506" s="462">
        <f t="shared" si="126"/>
        <v>0</v>
      </c>
      <c r="BY506" s="462">
        <f t="shared" si="127"/>
        <v>0</v>
      </c>
      <c r="BZ506" s="462">
        <f t="shared" si="128"/>
        <v>0</v>
      </c>
      <c r="CA506" s="462">
        <f t="shared" si="129"/>
        <v>0</v>
      </c>
      <c r="CB506" s="462">
        <f t="shared" si="130"/>
        <v>0</v>
      </c>
      <c r="CC506" s="462">
        <f>IF(AT506&lt;&gt;0,SSHICHG*Y506,0)</f>
        <v>0</v>
      </c>
      <c r="CD506" s="462">
        <f>IF(AND(AT506&lt;&gt;0,AN506&lt;&gt;"NE"),VLOOKUP(AN506,Retirement_Rates,5,FALSE)*Y506,0)</f>
        <v>0</v>
      </c>
      <c r="CE506" s="462">
        <f>IF(AND(AT506&lt;&gt;0,AJ506&lt;&gt;"PF"),LifeCHG*Y506,0)</f>
        <v>0</v>
      </c>
      <c r="CF506" s="462">
        <f>IF(AND(AT506&lt;&gt;0,AM506="Y"),UICHG*Y506,0)</f>
        <v>0</v>
      </c>
      <c r="CG506" s="462">
        <f>IF(AND(AT506&lt;&gt;0,N506&lt;&gt;"NR"),DHRCHG*Y506,0)</f>
        <v>0</v>
      </c>
      <c r="CH506" s="462">
        <f>IF(AT506&lt;&gt;0,WCCHG*Y506,0)</f>
        <v>0</v>
      </c>
      <c r="CI506" s="462">
        <f>IF(OR(AND(AT506&lt;&gt;0,AJ506&lt;&gt;"PF",AN506&lt;&gt;"NE",AG506&lt;&gt;"A"),AND(AL506="E",OR(AT506=1,AT506=3))),SickCHG*Y506,0)</f>
        <v>0</v>
      </c>
      <c r="CJ506" s="462">
        <f t="shared" si="131"/>
        <v>0</v>
      </c>
      <c r="CK506" s="462" t="str">
        <f t="shared" si="132"/>
        <v/>
      </c>
      <c r="CL506" s="462">
        <f t="shared" si="133"/>
        <v>0</v>
      </c>
      <c r="CM506" s="462">
        <f t="shared" si="134"/>
        <v>0</v>
      </c>
      <c r="CN506" s="462" t="str">
        <f t="shared" si="135"/>
        <v>0486-00</v>
      </c>
    </row>
    <row r="507" spans="1:92" ht="15" thickBot="1" x14ac:dyDescent="0.35">
      <c r="A507" s="376" t="s">
        <v>161</v>
      </c>
      <c r="B507" s="376" t="s">
        <v>162</v>
      </c>
      <c r="C507" s="376" t="s">
        <v>1184</v>
      </c>
      <c r="D507" s="376" t="s">
        <v>1185</v>
      </c>
      <c r="E507" s="376" t="s">
        <v>1140</v>
      </c>
      <c r="F507" s="377" t="s">
        <v>166</v>
      </c>
      <c r="G507" s="376" t="s">
        <v>1141</v>
      </c>
      <c r="H507" s="378"/>
      <c r="I507" s="378"/>
      <c r="J507" s="376" t="s">
        <v>168</v>
      </c>
      <c r="K507" s="376" t="s">
        <v>1186</v>
      </c>
      <c r="L507" s="376" t="s">
        <v>166</v>
      </c>
      <c r="M507" s="376" t="s">
        <v>201</v>
      </c>
      <c r="N507" s="376" t="s">
        <v>291</v>
      </c>
      <c r="O507" s="379">
        <v>0</v>
      </c>
      <c r="P507" s="460">
        <v>1</v>
      </c>
      <c r="Q507" s="460">
        <v>0</v>
      </c>
      <c r="R507" s="380">
        <v>0</v>
      </c>
      <c r="S507" s="460">
        <v>0</v>
      </c>
      <c r="T507" s="380">
        <v>0</v>
      </c>
      <c r="U507" s="380">
        <v>0</v>
      </c>
      <c r="V507" s="380">
        <v>0</v>
      </c>
      <c r="W507" s="380">
        <v>0</v>
      </c>
      <c r="X507" s="380">
        <v>0</v>
      </c>
      <c r="Y507" s="380">
        <v>0</v>
      </c>
      <c r="Z507" s="380">
        <v>0</v>
      </c>
      <c r="AA507" s="378"/>
      <c r="AB507" s="376" t="s">
        <v>45</v>
      </c>
      <c r="AC507" s="376" t="s">
        <v>45</v>
      </c>
      <c r="AD507" s="378"/>
      <c r="AE507" s="378"/>
      <c r="AF507" s="378"/>
      <c r="AG507" s="378"/>
      <c r="AH507" s="379">
        <v>0</v>
      </c>
      <c r="AI507" s="379">
        <v>0</v>
      </c>
      <c r="AJ507" s="378"/>
      <c r="AK507" s="378"/>
      <c r="AL507" s="376" t="s">
        <v>180</v>
      </c>
      <c r="AM507" s="378"/>
      <c r="AN507" s="378"/>
      <c r="AO507" s="379">
        <v>0</v>
      </c>
      <c r="AP507" s="460">
        <v>0</v>
      </c>
      <c r="AQ507" s="460">
        <v>0</v>
      </c>
      <c r="AR507" s="459"/>
      <c r="AS507" s="462">
        <f t="shared" si="119"/>
        <v>0</v>
      </c>
      <c r="AT507">
        <f t="shared" si="120"/>
        <v>0</v>
      </c>
      <c r="AU507" s="462" t="str">
        <f>IF(AT507=0,"",IF(AND(AT507=1,M507="F",SUMIF(C2:C698,C507,AS2:AS698)&lt;=1),SUMIF(C2:C698,C507,AS2:AS698),IF(AND(AT507=1,M507="F",SUMIF(C2:C698,C507,AS2:AS698)&gt;1),1,"")))</f>
        <v/>
      </c>
      <c r="AV507" s="462" t="str">
        <f>IF(AT507=0,"",IF(AND(AT507=3,M507="F",SUMIF(C2:C698,C507,AS2:AS698)&lt;=1),SUMIF(C2:C698,C507,AS2:AS698),IF(AND(AT507=3,M507="F",SUMIF(C2:C698,C507,AS2:AS698)&gt;1),1,"")))</f>
        <v/>
      </c>
      <c r="AW507" s="462">
        <f>SUMIF(C2:C698,C507,O2:O698)</f>
        <v>0</v>
      </c>
      <c r="AX507" s="462">
        <f>IF(AND(M507="F",AS507&lt;&gt;0),SUMIF(C2:C698,C507,W2:W698),0)</f>
        <v>0</v>
      </c>
      <c r="AY507" s="462" t="str">
        <f t="shared" si="121"/>
        <v/>
      </c>
      <c r="AZ507" s="462" t="str">
        <f t="shared" si="122"/>
        <v/>
      </c>
      <c r="BA507" s="462">
        <f t="shared" si="123"/>
        <v>0</v>
      </c>
      <c r="BB507" s="462">
        <f>IF(AND(AT507=1,AK507="E",AU507&gt;=0.75,AW507=1),Health,IF(AND(AT507=1,AK507="E",AU507&gt;=0.75),Health*P507,IF(AND(AT507=1,AK507="E",AU507&gt;=0.5,AW507=1),PTHealth,IF(AND(AT507=1,AK507="E",AU507&gt;=0.5),PTHealth*P507,0))))</f>
        <v>0</v>
      </c>
      <c r="BC507" s="462">
        <f>IF(AND(AT507=3,AK507="E",AV507&gt;=0.75,AW507=1),Health,IF(AND(AT507=3,AK507="E",AV507&gt;=0.75),Health*P507,IF(AND(AT507=3,AK507="E",AV507&gt;=0.5,AW507=1),PTHealth,IF(AND(AT507=3,AK507="E",AV507&gt;=0.5),PTHealth*P507,0))))</f>
        <v>0</v>
      </c>
      <c r="BD507" s="462">
        <f>IF(AND(AT507&lt;&gt;0,AX507&gt;=MAXSSDI),SSDI*MAXSSDI*P507,IF(AT507&lt;&gt;0,SSDI*W507,0))</f>
        <v>0</v>
      </c>
      <c r="BE507" s="462">
        <f>IF(AT507&lt;&gt;0,SSHI*W507,0)</f>
        <v>0</v>
      </c>
      <c r="BF507" s="462">
        <f>IF(AND(AT507&lt;&gt;0,AN507&lt;&gt;"NE"),VLOOKUP(AN507,Retirement_Rates,3,FALSE)*W507,0)</f>
        <v>0</v>
      </c>
      <c r="BG507" s="462">
        <f>IF(AND(AT507&lt;&gt;0,AJ507&lt;&gt;"PF"),Life*W507,0)</f>
        <v>0</v>
      </c>
      <c r="BH507" s="462">
        <f>IF(AND(AT507&lt;&gt;0,AM507="Y"),UI*W507,0)</f>
        <v>0</v>
      </c>
      <c r="BI507" s="462">
        <f>IF(AND(AT507&lt;&gt;0,N507&lt;&gt;"NR"),DHR*W507,0)</f>
        <v>0</v>
      </c>
      <c r="BJ507" s="462">
        <f>IF(AT507&lt;&gt;0,WC*W507,0)</f>
        <v>0</v>
      </c>
      <c r="BK507" s="462">
        <f>IF(OR(AND(AT507&lt;&gt;0,AJ507&lt;&gt;"PF",AN507&lt;&gt;"NE",AG507&lt;&gt;"A"),AND(AL507="E",OR(AT507=1,AT507=3))),Sick*W507,0)</f>
        <v>0</v>
      </c>
      <c r="BL507" s="462">
        <f t="shared" si="124"/>
        <v>0</v>
      </c>
      <c r="BM507" s="462">
        <f t="shared" si="125"/>
        <v>0</v>
      </c>
      <c r="BN507" s="462">
        <f>IF(AND(AT507=1,AK507="E",AU507&gt;=0.75,AW507=1),HealthBY,IF(AND(AT507=1,AK507="E",AU507&gt;=0.75),HealthBY*P507,IF(AND(AT507=1,AK507="E",AU507&gt;=0.5,AW507=1),PTHealthBY,IF(AND(AT507=1,AK507="E",AU507&gt;=0.5),PTHealthBY*P507,0))))</f>
        <v>0</v>
      </c>
      <c r="BO507" s="462">
        <f>IF(AND(AT507=3,AK507="E",AV507&gt;=0.75,AW507=1),HealthBY,IF(AND(AT507=3,AK507="E",AV507&gt;=0.75),HealthBY*P507,IF(AND(AT507=3,AK507="E",AV507&gt;=0.5,AW507=1),PTHealthBY,IF(AND(AT507=3,AK507="E",AV507&gt;=0.5),PTHealthBY*P507,0))))</f>
        <v>0</v>
      </c>
      <c r="BP507" s="462">
        <f>IF(AND(AT507&lt;&gt;0,(AX507+BA507)&gt;=MAXSSDIBY),SSDIBY*MAXSSDIBY*P507,IF(AT507&lt;&gt;0,SSDIBY*W507,0))</f>
        <v>0</v>
      </c>
      <c r="BQ507" s="462">
        <f>IF(AT507&lt;&gt;0,SSHIBY*W507,0)</f>
        <v>0</v>
      </c>
      <c r="BR507" s="462">
        <f>IF(AND(AT507&lt;&gt;0,AN507&lt;&gt;"NE"),VLOOKUP(AN507,Retirement_Rates,4,FALSE)*W507,0)</f>
        <v>0</v>
      </c>
      <c r="BS507" s="462">
        <f>IF(AND(AT507&lt;&gt;0,AJ507&lt;&gt;"PF"),LifeBY*W507,0)</f>
        <v>0</v>
      </c>
      <c r="BT507" s="462">
        <f>IF(AND(AT507&lt;&gt;0,AM507="Y"),UIBY*W507,0)</f>
        <v>0</v>
      </c>
      <c r="BU507" s="462">
        <f>IF(AND(AT507&lt;&gt;0,N507&lt;&gt;"NR"),DHRBY*W507,0)</f>
        <v>0</v>
      </c>
      <c r="BV507" s="462">
        <f>IF(AT507&lt;&gt;0,WCBY*W507,0)</f>
        <v>0</v>
      </c>
      <c r="BW507" s="462">
        <f>IF(OR(AND(AT507&lt;&gt;0,AJ507&lt;&gt;"PF",AN507&lt;&gt;"NE",AG507&lt;&gt;"A"),AND(AL507="E",OR(AT507=1,AT507=3))),SickBY*W507,0)</f>
        <v>0</v>
      </c>
      <c r="BX507" s="462">
        <f t="shared" si="126"/>
        <v>0</v>
      </c>
      <c r="BY507" s="462">
        <f t="shared" si="127"/>
        <v>0</v>
      </c>
      <c r="BZ507" s="462">
        <f t="shared" si="128"/>
        <v>0</v>
      </c>
      <c r="CA507" s="462">
        <f t="shared" si="129"/>
        <v>0</v>
      </c>
      <c r="CB507" s="462">
        <f t="shared" si="130"/>
        <v>0</v>
      </c>
      <c r="CC507" s="462">
        <f>IF(AT507&lt;&gt;0,SSHICHG*Y507,0)</f>
        <v>0</v>
      </c>
      <c r="CD507" s="462">
        <f>IF(AND(AT507&lt;&gt;0,AN507&lt;&gt;"NE"),VLOOKUP(AN507,Retirement_Rates,5,FALSE)*Y507,0)</f>
        <v>0</v>
      </c>
      <c r="CE507" s="462">
        <f>IF(AND(AT507&lt;&gt;0,AJ507&lt;&gt;"PF"),LifeCHG*Y507,0)</f>
        <v>0</v>
      </c>
      <c r="CF507" s="462">
        <f>IF(AND(AT507&lt;&gt;0,AM507="Y"),UICHG*Y507,0)</f>
        <v>0</v>
      </c>
      <c r="CG507" s="462">
        <f>IF(AND(AT507&lt;&gt;0,N507&lt;&gt;"NR"),DHRCHG*Y507,0)</f>
        <v>0</v>
      </c>
      <c r="CH507" s="462">
        <f>IF(AT507&lt;&gt;0,WCCHG*Y507,0)</f>
        <v>0</v>
      </c>
      <c r="CI507" s="462">
        <f>IF(OR(AND(AT507&lt;&gt;0,AJ507&lt;&gt;"PF",AN507&lt;&gt;"NE",AG507&lt;&gt;"A"),AND(AL507="E",OR(AT507=1,AT507=3))),SickCHG*Y507,0)</f>
        <v>0</v>
      </c>
      <c r="CJ507" s="462">
        <f t="shared" si="131"/>
        <v>0</v>
      </c>
      <c r="CK507" s="462" t="str">
        <f t="shared" si="132"/>
        <v/>
      </c>
      <c r="CL507" s="462">
        <f t="shared" si="133"/>
        <v>0</v>
      </c>
      <c r="CM507" s="462">
        <f t="shared" si="134"/>
        <v>0</v>
      </c>
      <c r="CN507" s="462" t="str">
        <f t="shared" si="135"/>
        <v>0486-00</v>
      </c>
    </row>
    <row r="508" spans="1:92" ht="15" thickBot="1" x14ac:dyDescent="0.35">
      <c r="A508" s="376" t="s">
        <v>161</v>
      </c>
      <c r="B508" s="376" t="s">
        <v>162</v>
      </c>
      <c r="C508" s="376" t="s">
        <v>1187</v>
      </c>
      <c r="D508" s="376" t="s">
        <v>1175</v>
      </c>
      <c r="E508" s="376" t="s">
        <v>1140</v>
      </c>
      <c r="F508" s="377" t="s">
        <v>166</v>
      </c>
      <c r="G508" s="376" t="s">
        <v>1141</v>
      </c>
      <c r="H508" s="378"/>
      <c r="I508" s="378"/>
      <c r="J508" s="376" t="s">
        <v>168</v>
      </c>
      <c r="K508" s="376" t="s">
        <v>1176</v>
      </c>
      <c r="L508" s="376" t="s">
        <v>166</v>
      </c>
      <c r="M508" s="376" t="s">
        <v>201</v>
      </c>
      <c r="N508" s="376" t="s">
        <v>291</v>
      </c>
      <c r="O508" s="379">
        <v>0</v>
      </c>
      <c r="P508" s="460">
        <v>1</v>
      </c>
      <c r="Q508" s="460">
        <v>0</v>
      </c>
      <c r="R508" s="380">
        <v>0</v>
      </c>
      <c r="S508" s="460">
        <v>0</v>
      </c>
      <c r="T508" s="380">
        <v>53010.75</v>
      </c>
      <c r="U508" s="380">
        <v>8958.7999999999993</v>
      </c>
      <c r="V508" s="380">
        <v>8104.53</v>
      </c>
      <c r="W508" s="380">
        <v>61969.55</v>
      </c>
      <c r="X508" s="380">
        <v>8104.53</v>
      </c>
      <c r="Y508" s="380">
        <v>61969.55</v>
      </c>
      <c r="Z508" s="380">
        <v>8104.53</v>
      </c>
      <c r="AA508" s="378"/>
      <c r="AB508" s="376" t="s">
        <v>45</v>
      </c>
      <c r="AC508" s="376" t="s">
        <v>45</v>
      </c>
      <c r="AD508" s="378"/>
      <c r="AE508" s="378"/>
      <c r="AF508" s="378"/>
      <c r="AG508" s="378"/>
      <c r="AH508" s="379">
        <v>0</v>
      </c>
      <c r="AI508" s="379">
        <v>0</v>
      </c>
      <c r="AJ508" s="378"/>
      <c r="AK508" s="378"/>
      <c r="AL508" s="376" t="s">
        <v>180</v>
      </c>
      <c r="AM508" s="378"/>
      <c r="AN508" s="378"/>
      <c r="AO508" s="379">
        <v>0</v>
      </c>
      <c r="AP508" s="460">
        <v>0</v>
      </c>
      <c r="AQ508" s="460">
        <v>0</v>
      </c>
      <c r="AR508" s="459"/>
      <c r="AS508" s="462">
        <f t="shared" si="119"/>
        <v>0</v>
      </c>
      <c r="AT508">
        <f t="shared" si="120"/>
        <v>0</v>
      </c>
      <c r="AU508" s="462" t="str">
        <f>IF(AT508=0,"",IF(AND(AT508=1,M508="F",SUMIF(C2:C698,C508,AS2:AS698)&lt;=1),SUMIF(C2:C698,C508,AS2:AS698),IF(AND(AT508=1,M508="F",SUMIF(C2:C698,C508,AS2:AS698)&gt;1),1,"")))</f>
        <v/>
      </c>
      <c r="AV508" s="462" t="str">
        <f>IF(AT508=0,"",IF(AND(AT508=3,M508="F",SUMIF(C2:C698,C508,AS2:AS698)&lt;=1),SUMIF(C2:C698,C508,AS2:AS698),IF(AND(AT508=3,M508="F",SUMIF(C2:C698,C508,AS2:AS698)&gt;1),1,"")))</f>
        <v/>
      </c>
      <c r="AW508" s="462">
        <f>SUMIF(C2:C698,C508,O2:O698)</f>
        <v>0</v>
      </c>
      <c r="AX508" s="462">
        <f>IF(AND(M508="F",AS508&lt;&gt;0),SUMIF(C2:C698,C508,W2:W698),0)</f>
        <v>0</v>
      </c>
      <c r="AY508" s="462" t="str">
        <f t="shared" si="121"/>
        <v/>
      </c>
      <c r="AZ508" s="462" t="str">
        <f t="shared" si="122"/>
        <v/>
      </c>
      <c r="BA508" s="462">
        <f t="shared" si="123"/>
        <v>0</v>
      </c>
      <c r="BB508" s="462">
        <f>IF(AND(AT508=1,AK508="E",AU508&gt;=0.75,AW508=1),Health,IF(AND(AT508=1,AK508="E",AU508&gt;=0.75),Health*P508,IF(AND(AT508=1,AK508="E",AU508&gt;=0.5,AW508=1),PTHealth,IF(AND(AT508=1,AK508="E",AU508&gt;=0.5),PTHealth*P508,0))))</f>
        <v>0</v>
      </c>
      <c r="BC508" s="462">
        <f>IF(AND(AT508=3,AK508="E",AV508&gt;=0.75,AW508=1),Health,IF(AND(AT508=3,AK508="E",AV508&gt;=0.75),Health*P508,IF(AND(AT508=3,AK508="E",AV508&gt;=0.5,AW508=1),PTHealth,IF(AND(AT508=3,AK508="E",AV508&gt;=0.5),PTHealth*P508,0))))</f>
        <v>0</v>
      </c>
      <c r="BD508" s="462">
        <f>IF(AND(AT508&lt;&gt;0,AX508&gt;=MAXSSDI),SSDI*MAXSSDI*P508,IF(AT508&lt;&gt;0,SSDI*W508,0))</f>
        <v>0</v>
      </c>
      <c r="BE508" s="462">
        <f>IF(AT508&lt;&gt;0,SSHI*W508,0)</f>
        <v>0</v>
      </c>
      <c r="BF508" s="462">
        <f>IF(AND(AT508&lt;&gt;0,AN508&lt;&gt;"NE"),VLOOKUP(AN508,Retirement_Rates,3,FALSE)*W508,0)</f>
        <v>0</v>
      </c>
      <c r="BG508" s="462">
        <f>IF(AND(AT508&lt;&gt;0,AJ508&lt;&gt;"PF"),Life*W508,0)</f>
        <v>0</v>
      </c>
      <c r="BH508" s="462">
        <f>IF(AND(AT508&lt;&gt;0,AM508="Y"),UI*W508,0)</f>
        <v>0</v>
      </c>
      <c r="BI508" s="462">
        <f>IF(AND(AT508&lt;&gt;0,N508&lt;&gt;"NR"),DHR*W508,0)</f>
        <v>0</v>
      </c>
      <c r="BJ508" s="462">
        <f>IF(AT508&lt;&gt;0,WC*W508,0)</f>
        <v>0</v>
      </c>
      <c r="BK508" s="462">
        <f>IF(OR(AND(AT508&lt;&gt;0,AJ508&lt;&gt;"PF",AN508&lt;&gt;"NE",AG508&lt;&gt;"A"),AND(AL508="E",OR(AT508=1,AT508=3))),Sick*W508,0)</f>
        <v>0</v>
      </c>
      <c r="BL508" s="462">
        <f t="shared" si="124"/>
        <v>0</v>
      </c>
      <c r="BM508" s="462">
        <f t="shared" si="125"/>
        <v>0</v>
      </c>
      <c r="BN508" s="462">
        <f>IF(AND(AT508=1,AK508="E",AU508&gt;=0.75,AW508=1),HealthBY,IF(AND(AT508=1,AK508="E",AU508&gt;=0.75),HealthBY*P508,IF(AND(AT508=1,AK508="E",AU508&gt;=0.5,AW508=1),PTHealthBY,IF(AND(AT508=1,AK508="E",AU508&gt;=0.5),PTHealthBY*P508,0))))</f>
        <v>0</v>
      </c>
      <c r="BO508" s="462">
        <f>IF(AND(AT508=3,AK508="E",AV508&gt;=0.75,AW508=1),HealthBY,IF(AND(AT508=3,AK508="E",AV508&gt;=0.75),HealthBY*P508,IF(AND(AT508=3,AK508="E",AV508&gt;=0.5,AW508=1),PTHealthBY,IF(AND(AT508=3,AK508="E",AV508&gt;=0.5),PTHealthBY*P508,0))))</f>
        <v>0</v>
      </c>
      <c r="BP508" s="462">
        <f>IF(AND(AT508&lt;&gt;0,(AX508+BA508)&gt;=MAXSSDIBY),SSDIBY*MAXSSDIBY*P508,IF(AT508&lt;&gt;0,SSDIBY*W508,0))</f>
        <v>0</v>
      </c>
      <c r="BQ508" s="462">
        <f>IF(AT508&lt;&gt;0,SSHIBY*W508,0)</f>
        <v>0</v>
      </c>
      <c r="BR508" s="462">
        <f>IF(AND(AT508&lt;&gt;0,AN508&lt;&gt;"NE"),VLOOKUP(AN508,Retirement_Rates,4,FALSE)*W508,0)</f>
        <v>0</v>
      </c>
      <c r="BS508" s="462">
        <f>IF(AND(AT508&lt;&gt;0,AJ508&lt;&gt;"PF"),LifeBY*W508,0)</f>
        <v>0</v>
      </c>
      <c r="BT508" s="462">
        <f>IF(AND(AT508&lt;&gt;0,AM508="Y"),UIBY*W508,0)</f>
        <v>0</v>
      </c>
      <c r="BU508" s="462">
        <f>IF(AND(AT508&lt;&gt;0,N508&lt;&gt;"NR"),DHRBY*W508,0)</f>
        <v>0</v>
      </c>
      <c r="BV508" s="462">
        <f>IF(AT508&lt;&gt;0,WCBY*W508,0)</f>
        <v>0</v>
      </c>
      <c r="BW508" s="462">
        <f>IF(OR(AND(AT508&lt;&gt;0,AJ508&lt;&gt;"PF",AN508&lt;&gt;"NE",AG508&lt;&gt;"A"),AND(AL508="E",OR(AT508=1,AT508=3))),SickBY*W508,0)</f>
        <v>0</v>
      </c>
      <c r="BX508" s="462">
        <f t="shared" si="126"/>
        <v>0</v>
      </c>
      <c r="BY508" s="462">
        <f t="shared" si="127"/>
        <v>0</v>
      </c>
      <c r="BZ508" s="462">
        <f t="shared" si="128"/>
        <v>0</v>
      </c>
      <c r="CA508" s="462">
        <f t="shared" si="129"/>
        <v>0</v>
      </c>
      <c r="CB508" s="462">
        <f t="shared" si="130"/>
        <v>0</v>
      </c>
      <c r="CC508" s="462">
        <f>IF(AT508&lt;&gt;0,SSHICHG*Y508,0)</f>
        <v>0</v>
      </c>
      <c r="CD508" s="462">
        <f>IF(AND(AT508&lt;&gt;0,AN508&lt;&gt;"NE"),VLOOKUP(AN508,Retirement_Rates,5,FALSE)*Y508,0)</f>
        <v>0</v>
      </c>
      <c r="CE508" s="462">
        <f>IF(AND(AT508&lt;&gt;0,AJ508&lt;&gt;"PF"),LifeCHG*Y508,0)</f>
        <v>0</v>
      </c>
      <c r="CF508" s="462">
        <f>IF(AND(AT508&lt;&gt;0,AM508="Y"),UICHG*Y508,0)</f>
        <v>0</v>
      </c>
      <c r="CG508" s="462">
        <f>IF(AND(AT508&lt;&gt;0,N508&lt;&gt;"NR"),DHRCHG*Y508,0)</f>
        <v>0</v>
      </c>
      <c r="CH508" s="462">
        <f>IF(AT508&lt;&gt;0,WCCHG*Y508,0)</f>
        <v>0</v>
      </c>
      <c r="CI508" s="462">
        <f>IF(OR(AND(AT508&lt;&gt;0,AJ508&lt;&gt;"PF",AN508&lt;&gt;"NE",AG508&lt;&gt;"A"),AND(AL508="E",OR(AT508=1,AT508=3))),SickCHG*Y508,0)</f>
        <v>0</v>
      </c>
      <c r="CJ508" s="462">
        <f t="shared" si="131"/>
        <v>0</v>
      </c>
      <c r="CK508" s="462" t="str">
        <f t="shared" si="132"/>
        <v/>
      </c>
      <c r="CL508" s="462">
        <f t="shared" si="133"/>
        <v>61969.55</v>
      </c>
      <c r="CM508" s="462">
        <f t="shared" si="134"/>
        <v>8104.53</v>
      </c>
      <c r="CN508" s="462" t="str">
        <f t="shared" si="135"/>
        <v>0486-00</v>
      </c>
    </row>
    <row r="509" spans="1:92" ht="15" thickBot="1" x14ac:dyDescent="0.35">
      <c r="A509" s="376" t="s">
        <v>161</v>
      </c>
      <c r="B509" s="376" t="s">
        <v>162</v>
      </c>
      <c r="C509" s="376" t="s">
        <v>1188</v>
      </c>
      <c r="D509" s="376" t="s">
        <v>1189</v>
      </c>
      <c r="E509" s="376" t="s">
        <v>1140</v>
      </c>
      <c r="F509" s="377" t="s">
        <v>166</v>
      </c>
      <c r="G509" s="376" t="s">
        <v>1141</v>
      </c>
      <c r="H509" s="378"/>
      <c r="I509" s="378"/>
      <c r="J509" s="376" t="s">
        <v>168</v>
      </c>
      <c r="K509" s="376" t="s">
        <v>1190</v>
      </c>
      <c r="L509" s="376" t="s">
        <v>166</v>
      </c>
      <c r="M509" s="376" t="s">
        <v>201</v>
      </c>
      <c r="N509" s="376" t="s">
        <v>291</v>
      </c>
      <c r="O509" s="379">
        <v>0</v>
      </c>
      <c r="P509" s="460">
        <v>1</v>
      </c>
      <c r="Q509" s="460">
        <v>0</v>
      </c>
      <c r="R509" s="380">
        <v>0</v>
      </c>
      <c r="S509" s="460">
        <v>0</v>
      </c>
      <c r="T509" s="380">
        <v>0</v>
      </c>
      <c r="U509" s="380">
        <v>0</v>
      </c>
      <c r="V509" s="380">
        <v>0</v>
      </c>
      <c r="W509" s="380">
        <v>0</v>
      </c>
      <c r="X509" s="380">
        <v>0</v>
      </c>
      <c r="Y509" s="380">
        <v>0</v>
      </c>
      <c r="Z509" s="380">
        <v>0</v>
      </c>
      <c r="AA509" s="378"/>
      <c r="AB509" s="376" t="s">
        <v>45</v>
      </c>
      <c r="AC509" s="376" t="s">
        <v>45</v>
      </c>
      <c r="AD509" s="378"/>
      <c r="AE509" s="378"/>
      <c r="AF509" s="378"/>
      <c r="AG509" s="378"/>
      <c r="AH509" s="379">
        <v>0</v>
      </c>
      <c r="AI509" s="379">
        <v>0</v>
      </c>
      <c r="AJ509" s="378"/>
      <c r="AK509" s="378"/>
      <c r="AL509" s="376" t="s">
        <v>180</v>
      </c>
      <c r="AM509" s="378"/>
      <c r="AN509" s="378"/>
      <c r="AO509" s="379">
        <v>0</v>
      </c>
      <c r="AP509" s="460">
        <v>0</v>
      </c>
      <c r="AQ509" s="460">
        <v>0</v>
      </c>
      <c r="AR509" s="459"/>
      <c r="AS509" s="462">
        <f t="shared" si="119"/>
        <v>0</v>
      </c>
      <c r="AT509">
        <f t="shared" si="120"/>
        <v>0</v>
      </c>
      <c r="AU509" s="462" t="str">
        <f>IF(AT509=0,"",IF(AND(AT509=1,M509="F",SUMIF(C2:C698,C509,AS2:AS698)&lt;=1),SUMIF(C2:C698,C509,AS2:AS698),IF(AND(AT509=1,M509="F",SUMIF(C2:C698,C509,AS2:AS698)&gt;1),1,"")))</f>
        <v/>
      </c>
      <c r="AV509" s="462" t="str">
        <f>IF(AT509=0,"",IF(AND(AT509=3,M509="F",SUMIF(C2:C698,C509,AS2:AS698)&lt;=1),SUMIF(C2:C698,C509,AS2:AS698),IF(AND(AT509=3,M509="F",SUMIF(C2:C698,C509,AS2:AS698)&gt;1),1,"")))</f>
        <v/>
      </c>
      <c r="AW509" s="462">
        <f>SUMIF(C2:C698,C509,O2:O698)</f>
        <v>0</v>
      </c>
      <c r="AX509" s="462">
        <f>IF(AND(M509="F",AS509&lt;&gt;0),SUMIF(C2:C698,C509,W2:W698),0)</f>
        <v>0</v>
      </c>
      <c r="AY509" s="462" t="str">
        <f t="shared" si="121"/>
        <v/>
      </c>
      <c r="AZ509" s="462" t="str">
        <f t="shared" si="122"/>
        <v/>
      </c>
      <c r="BA509" s="462">
        <f t="shared" si="123"/>
        <v>0</v>
      </c>
      <c r="BB509" s="462">
        <f>IF(AND(AT509=1,AK509="E",AU509&gt;=0.75,AW509=1),Health,IF(AND(AT509=1,AK509="E",AU509&gt;=0.75),Health*P509,IF(AND(AT509=1,AK509="E",AU509&gt;=0.5,AW509=1),PTHealth,IF(AND(AT509=1,AK509="E",AU509&gt;=0.5),PTHealth*P509,0))))</f>
        <v>0</v>
      </c>
      <c r="BC509" s="462">
        <f>IF(AND(AT509=3,AK509="E",AV509&gt;=0.75,AW509=1),Health,IF(AND(AT509=3,AK509="E",AV509&gt;=0.75),Health*P509,IF(AND(AT509=3,AK509="E",AV509&gt;=0.5,AW509=1),PTHealth,IF(AND(AT509=3,AK509="E",AV509&gt;=0.5),PTHealth*P509,0))))</f>
        <v>0</v>
      </c>
      <c r="BD509" s="462">
        <f>IF(AND(AT509&lt;&gt;0,AX509&gt;=MAXSSDI),SSDI*MAXSSDI*P509,IF(AT509&lt;&gt;0,SSDI*W509,0))</f>
        <v>0</v>
      </c>
      <c r="BE509" s="462">
        <f>IF(AT509&lt;&gt;0,SSHI*W509,0)</f>
        <v>0</v>
      </c>
      <c r="BF509" s="462">
        <f>IF(AND(AT509&lt;&gt;0,AN509&lt;&gt;"NE"),VLOOKUP(AN509,Retirement_Rates,3,FALSE)*W509,0)</f>
        <v>0</v>
      </c>
      <c r="BG509" s="462">
        <f>IF(AND(AT509&lt;&gt;0,AJ509&lt;&gt;"PF"),Life*W509,0)</f>
        <v>0</v>
      </c>
      <c r="BH509" s="462">
        <f>IF(AND(AT509&lt;&gt;0,AM509="Y"),UI*W509,0)</f>
        <v>0</v>
      </c>
      <c r="BI509" s="462">
        <f>IF(AND(AT509&lt;&gt;0,N509&lt;&gt;"NR"),DHR*W509,0)</f>
        <v>0</v>
      </c>
      <c r="BJ509" s="462">
        <f>IF(AT509&lt;&gt;0,WC*W509,0)</f>
        <v>0</v>
      </c>
      <c r="BK509" s="462">
        <f>IF(OR(AND(AT509&lt;&gt;0,AJ509&lt;&gt;"PF",AN509&lt;&gt;"NE",AG509&lt;&gt;"A"),AND(AL509="E",OR(AT509=1,AT509=3))),Sick*W509,0)</f>
        <v>0</v>
      </c>
      <c r="BL509" s="462">
        <f t="shared" si="124"/>
        <v>0</v>
      </c>
      <c r="BM509" s="462">
        <f t="shared" si="125"/>
        <v>0</v>
      </c>
      <c r="BN509" s="462">
        <f>IF(AND(AT509=1,AK509="E",AU509&gt;=0.75,AW509=1),HealthBY,IF(AND(AT509=1,AK509="E",AU509&gt;=0.75),HealthBY*P509,IF(AND(AT509=1,AK509="E",AU509&gt;=0.5,AW509=1),PTHealthBY,IF(AND(AT509=1,AK509="E",AU509&gt;=0.5),PTHealthBY*P509,0))))</f>
        <v>0</v>
      </c>
      <c r="BO509" s="462">
        <f>IF(AND(AT509=3,AK509="E",AV509&gt;=0.75,AW509=1),HealthBY,IF(AND(AT509=3,AK509="E",AV509&gt;=0.75),HealthBY*P509,IF(AND(AT509=3,AK509="E",AV509&gt;=0.5,AW509=1),PTHealthBY,IF(AND(AT509=3,AK509="E",AV509&gt;=0.5),PTHealthBY*P509,0))))</f>
        <v>0</v>
      </c>
      <c r="BP509" s="462">
        <f>IF(AND(AT509&lt;&gt;0,(AX509+BA509)&gt;=MAXSSDIBY),SSDIBY*MAXSSDIBY*P509,IF(AT509&lt;&gt;0,SSDIBY*W509,0))</f>
        <v>0</v>
      </c>
      <c r="BQ509" s="462">
        <f>IF(AT509&lt;&gt;0,SSHIBY*W509,0)</f>
        <v>0</v>
      </c>
      <c r="BR509" s="462">
        <f>IF(AND(AT509&lt;&gt;0,AN509&lt;&gt;"NE"),VLOOKUP(AN509,Retirement_Rates,4,FALSE)*W509,0)</f>
        <v>0</v>
      </c>
      <c r="BS509" s="462">
        <f>IF(AND(AT509&lt;&gt;0,AJ509&lt;&gt;"PF"),LifeBY*W509,0)</f>
        <v>0</v>
      </c>
      <c r="BT509" s="462">
        <f>IF(AND(AT509&lt;&gt;0,AM509="Y"),UIBY*W509,0)</f>
        <v>0</v>
      </c>
      <c r="BU509" s="462">
        <f>IF(AND(AT509&lt;&gt;0,N509&lt;&gt;"NR"),DHRBY*W509,0)</f>
        <v>0</v>
      </c>
      <c r="BV509" s="462">
        <f>IF(AT509&lt;&gt;0,WCBY*W509,0)</f>
        <v>0</v>
      </c>
      <c r="BW509" s="462">
        <f>IF(OR(AND(AT509&lt;&gt;0,AJ509&lt;&gt;"PF",AN509&lt;&gt;"NE",AG509&lt;&gt;"A"),AND(AL509="E",OR(AT509=1,AT509=3))),SickBY*W509,0)</f>
        <v>0</v>
      </c>
      <c r="BX509" s="462">
        <f t="shared" si="126"/>
        <v>0</v>
      </c>
      <c r="BY509" s="462">
        <f t="shared" si="127"/>
        <v>0</v>
      </c>
      <c r="BZ509" s="462">
        <f t="shared" si="128"/>
        <v>0</v>
      </c>
      <c r="CA509" s="462">
        <f t="shared" si="129"/>
        <v>0</v>
      </c>
      <c r="CB509" s="462">
        <f t="shared" si="130"/>
        <v>0</v>
      </c>
      <c r="CC509" s="462">
        <f>IF(AT509&lt;&gt;0,SSHICHG*Y509,0)</f>
        <v>0</v>
      </c>
      <c r="CD509" s="462">
        <f>IF(AND(AT509&lt;&gt;0,AN509&lt;&gt;"NE"),VLOOKUP(AN509,Retirement_Rates,5,FALSE)*Y509,0)</f>
        <v>0</v>
      </c>
      <c r="CE509" s="462">
        <f>IF(AND(AT509&lt;&gt;0,AJ509&lt;&gt;"PF"),LifeCHG*Y509,0)</f>
        <v>0</v>
      </c>
      <c r="CF509" s="462">
        <f>IF(AND(AT509&lt;&gt;0,AM509="Y"),UICHG*Y509,0)</f>
        <v>0</v>
      </c>
      <c r="CG509" s="462">
        <f>IF(AND(AT509&lt;&gt;0,N509&lt;&gt;"NR"),DHRCHG*Y509,0)</f>
        <v>0</v>
      </c>
      <c r="CH509" s="462">
        <f>IF(AT509&lt;&gt;0,WCCHG*Y509,0)</f>
        <v>0</v>
      </c>
      <c r="CI509" s="462">
        <f>IF(OR(AND(AT509&lt;&gt;0,AJ509&lt;&gt;"PF",AN509&lt;&gt;"NE",AG509&lt;&gt;"A"),AND(AL509="E",OR(AT509=1,AT509=3))),SickCHG*Y509,0)</f>
        <v>0</v>
      </c>
      <c r="CJ509" s="462">
        <f t="shared" si="131"/>
        <v>0</v>
      </c>
      <c r="CK509" s="462" t="str">
        <f t="shared" si="132"/>
        <v/>
      </c>
      <c r="CL509" s="462">
        <f t="shared" si="133"/>
        <v>0</v>
      </c>
      <c r="CM509" s="462">
        <f t="shared" si="134"/>
        <v>0</v>
      </c>
      <c r="CN509" s="462" t="str">
        <f t="shared" si="135"/>
        <v>0486-00</v>
      </c>
    </row>
    <row r="510" spans="1:92" ht="15" thickBot="1" x14ac:dyDescent="0.35">
      <c r="A510" s="376" t="s">
        <v>161</v>
      </c>
      <c r="B510" s="376" t="s">
        <v>162</v>
      </c>
      <c r="C510" s="376" t="s">
        <v>1191</v>
      </c>
      <c r="D510" s="376" t="s">
        <v>1147</v>
      </c>
      <c r="E510" s="376" t="s">
        <v>1140</v>
      </c>
      <c r="F510" s="377" t="s">
        <v>166</v>
      </c>
      <c r="G510" s="376" t="s">
        <v>1141</v>
      </c>
      <c r="H510" s="378"/>
      <c r="I510" s="378"/>
      <c r="J510" s="376" t="s">
        <v>168</v>
      </c>
      <c r="K510" s="376" t="s">
        <v>1148</v>
      </c>
      <c r="L510" s="376" t="s">
        <v>166</v>
      </c>
      <c r="M510" s="376" t="s">
        <v>201</v>
      </c>
      <c r="N510" s="376" t="s">
        <v>291</v>
      </c>
      <c r="O510" s="379">
        <v>0</v>
      </c>
      <c r="P510" s="460">
        <v>1</v>
      </c>
      <c r="Q510" s="460">
        <v>0</v>
      </c>
      <c r="R510" s="380">
        <v>0</v>
      </c>
      <c r="S510" s="460">
        <v>0</v>
      </c>
      <c r="T510" s="380">
        <v>0</v>
      </c>
      <c r="U510" s="380">
        <v>0</v>
      </c>
      <c r="V510" s="380">
        <v>0</v>
      </c>
      <c r="W510" s="380">
        <v>0</v>
      </c>
      <c r="X510" s="380">
        <v>0</v>
      </c>
      <c r="Y510" s="380">
        <v>0</v>
      </c>
      <c r="Z510" s="380">
        <v>0</v>
      </c>
      <c r="AA510" s="378"/>
      <c r="AB510" s="376" t="s">
        <v>45</v>
      </c>
      <c r="AC510" s="376" t="s">
        <v>45</v>
      </c>
      <c r="AD510" s="378"/>
      <c r="AE510" s="378"/>
      <c r="AF510" s="378"/>
      <c r="AG510" s="378"/>
      <c r="AH510" s="379">
        <v>0</v>
      </c>
      <c r="AI510" s="379">
        <v>0</v>
      </c>
      <c r="AJ510" s="378"/>
      <c r="AK510" s="378"/>
      <c r="AL510" s="376" t="s">
        <v>180</v>
      </c>
      <c r="AM510" s="378"/>
      <c r="AN510" s="378"/>
      <c r="AO510" s="379">
        <v>0</v>
      </c>
      <c r="AP510" s="460">
        <v>0</v>
      </c>
      <c r="AQ510" s="460">
        <v>0</v>
      </c>
      <c r="AR510" s="459"/>
      <c r="AS510" s="462">
        <f t="shared" si="119"/>
        <v>0</v>
      </c>
      <c r="AT510">
        <f t="shared" si="120"/>
        <v>0</v>
      </c>
      <c r="AU510" s="462" t="str">
        <f>IF(AT510=0,"",IF(AND(AT510=1,M510="F",SUMIF(C2:C698,C510,AS2:AS698)&lt;=1),SUMIF(C2:C698,C510,AS2:AS698),IF(AND(AT510=1,M510="F",SUMIF(C2:C698,C510,AS2:AS698)&gt;1),1,"")))</f>
        <v/>
      </c>
      <c r="AV510" s="462" t="str">
        <f>IF(AT510=0,"",IF(AND(AT510=3,M510="F",SUMIF(C2:C698,C510,AS2:AS698)&lt;=1),SUMIF(C2:C698,C510,AS2:AS698),IF(AND(AT510=3,M510="F",SUMIF(C2:C698,C510,AS2:AS698)&gt;1),1,"")))</f>
        <v/>
      </c>
      <c r="AW510" s="462">
        <f>SUMIF(C2:C698,C510,O2:O698)</f>
        <v>0</v>
      </c>
      <c r="AX510" s="462">
        <f>IF(AND(M510="F",AS510&lt;&gt;0),SUMIF(C2:C698,C510,W2:W698),0)</f>
        <v>0</v>
      </c>
      <c r="AY510" s="462" t="str">
        <f t="shared" si="121"/>
        <v/>
      </c>
      <c r="AZ510" s="462" t="str">
        <f t="shared" si="122"/>
        <v/>
      </c>
      <c r="BA510" s="462">
        <f t="shared" si="123"/>
        <v>0</v>
      </c>
      <c r="BB510" s="462">
        <f>IF(AND(AT510=1,AK510="E",AU510&gt;=0.75,AW510=1),Health,IF(AND(AT510=1,AK510="E",AU510&gt;=0.75),Health*P510,IF(AND(AT510=1,AK510="E",AU510&gt;=0.5,AW510=1),PTHealth,IF(AND(AT510=1,AK510="E",AU510&gt;=0.5),PTHealth*P510,0))))</f>
        <v>0</v>
      </c>
      <c r="BC510" s="462">
        <f>IF(AND(AT510=3,AK510="E",AV510&gt;=0.75,AW510=1),Health,IF(AND(AT510=3,AK510="E",AV510&gt;=0.75),Health*P510,IF(AND(AT510=3,AK510="E",AV510&gt;=0.5,AW510=1),PTHealth,IF(AND(AT510=3,AK510="E",AV510&gt;=0.5),PTHealth*P510,0))))</f>
        <v>0</v>
      </c>
      <c r="BD510" s="462">
        <f>IF(AND(AT510&lt;&gt;0,AX510&gt;=MAXSSDI),SSDI*MAXSSDI*P510,IF(AT510&lt;&gt;0,SSDI*W510,0))</f>
        <v>0</v>
      </c>
      <c r="BE510" s="462">
        <f>IF(AT510&lt;&gt;0,SSHI*W510,0)</f>
        <v>0</v>
      </c>
      <c r="BF510" s="462">
        <f>IF(AND(AT510&lt;&gt;0,AN510&lt;&gt;"NE"),VLOOKUP(AN510,Retirement_Rates,3,FALSE)*W510,0)</f>
        <v>0</v>
      </c>
      <c r="BG510" s="462">
        <f>IF(AND(AT510&lt;&gt;0,AJ510&lt;&gt;"PF"),Life*W510,0)</f>
        <v>0</v>
      </c>
      <c r="BH510" s="462">
        <f>IF(AND(AT510&lt;&gt;0,AM510="Y"),UI*W510,0)</f>
        <v>0</v>
      </c>
      <c r="BI510" s="462">
        <f>IF(AND(AT510&lt;&gt;0,N510&lt;&gt;"NR"),DHR*W510,0)</f>
        <v>0</v>
      </c>
      <c r="BJ510" s="462">
        <f>IF(AT510&lt;&gt;0,WC*W510,0)</f>
        <v>0</v>
      </c>
      <c r="BK510" s="462">
        <f>IF(OR(AND(AT510&lt;&gt;0,AJ510&lt;&gt;"PF",AN510&lt;&gt;"NE",AG510&lt;&gt;"A"),AND(AL510="E",OR(AT510=1,AT510=3))),Sick*W510,0)</f>
        <v>0</v>
      </c>
      <c r="BL510" s="462">
        <f t="shared" si="124"/>
        <v>0</v>
      </c>
      <c r="BM510" s="462">
        <f t="shared" si="125"/>
        <v>0</v>
      </c>
      <c r="BN510" s="462">
        <f>IF(AND(AT510=1,AK510="E",AU510&gt;=0.75,AW510=1),HealthBY,IF(AND(AT510=1,AK510="E",AU510&gt;=0.75),HealthBY*P510,IF(AND(AT510=1,AK510="E",AU510&gt;=0.5,AW510=1),PTHealthBY,IF(AND(AT510=1,AK510="E",AU510&gt;=0.5),PTHealthBY*P510,0))))</f>
        <v>0</v>
      </c>
      <c r="BO510" s="462">
        <f>IF(AND(AT510=3,AK510="E",AV510&gt;=0.75,AW510=1),HealthBY,IF(AND(AT510=3,AK510="E",AV510&gt;=0.75),HealthBY*P510,IF(AND(AT510=3,AK510="E",AV510&gt;=0.5,AW510=1),PTHealthBY,IF(AND(AT510=3,AK510="E",AV510&gt;=0.5),PTHealthBY*P510,0))))</f>
        <v>0</v>
      </c>
      <c r="BP510" s="462">
        <f>IF(AND(AT510&lt;&gt;0,(AX510+BA510)&gt;=MAXSSDIBY),SSDIBY*MAXSSDIBY*P510,IF(AT510&lt;&gt;0,SSDIBY*W510,0))</f>
        <v>0</v>
      </c>
      <c r="BQ510" s="462">
        <f>IF(AT510&lt;&gt;0,SSHIBY*W510,0)</f>
        <v>0</v>
      </c>
      <c r="BR510" s="462">
        <f>IF(AND(AT510&lt;&gt;0,AN510&lt;&gt;"NE"),VLOOKUP(AN510,Retirement_Rates,4,FALSE)*W510,0)</f>
        <v>0</v>
      </c>
      <c r="BS510" s="462">
        <f>IF(AND(AT510&lt;&gt;0,AJ510&lt;&gt;"PF"),LifeBY*W510,0)</f>
        <v>0</v>
      </c>
      <c r="BT510" s="462">
        <f>IF(AND(AT510&lt;&gt;0,AM510="Y"),UIBY*W510,0)</f>
        <v>0</v>
      </c>
      <c r="BU510" s="462">
        <f>IF(AND(AT510&lt;&gt;0,N510&lt;&gt;"NR"),DHRBY*W510,0)</f>
        <v>0</v>
      </c>
      <c r="BV510" s="462">
        <f>IF(AT510&lt;&gt;0,WCBY*W510,0)</f>
        <v>0</v>
      </c>
      <c r="BW510" s="462">
        <f>IF(OR(AND(AT510&lt;&gt;0,AJ510&lt;&gt;"PF",AN510&lt;&gt;"NE",AG510&lt;&gt;"A"),AND(AL510="E",OR(AT510=1,AT510=3))),SickBY*W510,0)</f>
        <v>0</v>
      </c>
      <c r="BX510" s="462">
        <f t="shared" si="126"/>
        <v>0</v>
      </c>
      <c r="BY510" s="462">
        <f t="shared" si="127"/>
        <v>0</v>
      </c>
      <c r="BZ510" s="462">
        <f t="shared" si="128"/>
        <v>0</v>
      </c>
      <c r="CA510" s="462">
        <f t="shared" si="129"/>
        <v>0</v>
      </c>
      <c r="CB510" s="462">
        <f t="shared" si="130"/>
        <v>0</v>
      </c>
      <c r="CC510" s="462">
        <f>IF(AT510&lt;&gt;0,SSHICHG*Y510,0)</f>
        <v>0</v>
      </c>
      <c r="CD510" s="462">
        <f>IF(AND(AT510&lt;&gt;0,AN510&lt;&gt;"NE"),VLOOKUP(AN510,Retirement_Rates,5,FALSE)*Y510,0)</f>
        <v>0</v>
      </c>
      <c r="CE510" s="462">
        <f>IF(AND(AT510&lt;&gt;0,AJ510&lt;&gt;"PF"),LifeCHG*Y510,0)</f>
        <v>0</v>
      </c>
      <c r="CF510" s="462">
        <f>IF(AND(AT510&lt;&gt;0,AM510="Y"),UICHG*Y510,0)</f>
        <v>0</v>
      </c>
      <c r="CG510" s="462">
        <f>IF(AND(AT510&lt;&gt;0,N510&lt;&gt;"NR"),DHRCHG*Y510,0)</f>
        <v>0</v>
      </c>
      <c r="CH510" s="462">
        <f>IF(AT510&lt;&gt;0,WCCHG*Y510,0)</f>
        <v>0</v>
      </c>
      <c r="CI510" s="462">
        <f>IF(OR(AND(AT510&lt;&gt;0,AJ510&lt;&gt;"PF",AN510&lt;&gt;"NE",AG510&lt;&gt;"A"),AND(AL510="E",OR(AT510=1,AT510=3))),SickCHG*Y510,0)</f>
        <v>0</v>
      </c>
      <c r="CJ510" s="462">
        <f t="shared" si="131"/>
        <v>0</v>
      </c>
      <c r="CK510" s="462" t="str">
        <f t="shared" si="132"/>
        <v/>
      </c>
      <c r="CL510" s="462">
        <f t="shared" si="133"/>
        <v>0</v>
      </c>
      <c r="CM510" s="462">
        <f t="shared" si="134"/>
        <v>0</v>
      </c>
      <c r="CN510" s="462" t="str">
        <f t="shared" si="135"/>
        <v>0486-00</v>
      </c>
    </row>
    <row r="511" spans="1:92" ht="15" thickBot="1" x14ac:dyDescent="0.35">
      <c r="A511" s="376" t="s">
        <v>161</v>
      </c>
      <c r="B511" s="376" t="s">
        <v>162</v>
      </c>
      <c r="C511" s="376" t="s">
        <v>1192</v>
      </c>
      <c r="D511" s="376" t="s">
        <v>1185</v>
      </c>
      <c r="E511" s="376" t="s">
        <v>1140</v>
      </c>
      <c r="F511" s="377" t="s">
        <v>166</v>
      </c>
      <c r="G511" s="376" t="s">
        <v>1141</v>
      </c>
      <c r="H511" s="378"/>
      <c r="I511" s="378"/>
      <c r="J511" s="376" t="s">
        <v>168</v>
      </c>
      <c r="K511" s="376" t="s">
        <v>1186</v>
      </c>
      <c r="L511" s="376" t="s">
        <v>166</v>
      </c>
      <c r="M511" s="376" t="s">
        <v>201</v>
      </c>
      <c r="N511" s="376" t="s">
        <v>291</v>
      </c>
      <c r="O511" s="379">
        <v>0</v>
      </c>
      <c r="P511" s="460">
        <v>1</v>
      </c>
      <c r="Q511" s="460">
        <v>0</v>
      </c>
      <c r="R511" s="380">
        <v>0</v>
      </c>
      <c r="S511" s="460">
        <v>0</v>
      </c>
      <c r="T511" s="380">
        <v>0</v>
      </c>
      <c r="U511" s="380">
        <v>0</v>
      </c>
      <c r="V511" s="380">
        <v>0</v>
      </c>
      <c r="W511" s="380">
        <v>0</v>
      </c>
      <c r="X511" s="380">
        <v>0</v>
      </c>
      <c r="Y511" s="380">
        <v>0</v>
      </c>
      <c r="Z511" s="380">
        <v>0</v>
      </c>
      <c r="AA511" s="378"/>
      <c r="AB511" s="376" t="s">
        <v>45</v>
      </c>
      <c r="AC511" s="376" t="s">
        <v>45</v>
      </c>
      <c r="AD511" s="378"/>
      <c r="AE511" s="378"/>
      <c r="AF511" s="378"/>
      <c r="AG511" s="378"/>
      <c r="AH511" s="379">
        <v>0</v>
      </c>
      <c r="AI511" s="379">
        <v>0</v>
      </c>
      <c r="AJ511" s="378"/>
      <c r="AK511" s="378"/>
      <c r="AL511" s="376" t="s">
        <v>180</v>
      </c>
      <c r="AM511" s="378"/>
      <c r="AN511" s="378"/>
      <c r="AO511" s="379">
        <v>0</v>
      </c>
      <c r="AP511" s="460">
        <v>0</v>
      </c>
      <c r="AQ511" s="460">
        <v>0</v>
      </c>
      <c r="AR511" s="459"/>
      <c r="AS511" s="462">
        <f t="shared" si="119"/>
        <v>0</v>
      </c>
      <c r="AT511">
        <f t="shared" si="120"/>
        <v>0</v>
      </c>
      <c r="AU511" s="462" t="str">
        <f>IF(AT511=0,"",IF(AND(AT511=1,M511="F",SUMIF(C2:C698,C511,AS2:AS698)&lt;=1),SUMIF(C2:C698,C511,AS2:AS698),IF(AND(AT511=1,M511="F",SUMIF(C2:C698,C511,AS2:AS698)&gt;1),1,"")))</f>
        <v/>
      </c>
      <c r="AV511" s="462" t="str">
        <f>IF(AT511=0,"",IF(AND(AT511=3,M511="F",SUMIF(C2:C698,C511,AS2:AS698)&lt;=1),SUMIF(C2:C698,C511,AS2:AS698),IF(AND(AT511=3,M511="F",SUMIF(C2:C698,C511,AS2:AS698)&gt;1),1,"")))</f>
        <v/>
      </c>
      <c r="AW511" s="462">
        <f>SUMIF(C2:C698,C511,O2:O698)</f>
        <v>0</v>
      </c>
      <c r="AX511" s="462">
        <f>IF(AND(M511="F",AS511&lt;&gt;0),SUMIF(C2:C698,C511,W2:W698),0)</f>
        <v>0</v>
      </c>
      <c r="AY511" s="462" t="str">
        <f t="shared" si="121"/>
        <v/>
      </c>
      <c r="AZ511" s="462" t="str">
        <f t="shared" si="122"/>
        <v/>
      </c>
      <c r="BA511" s="462">
        <f t="shared" si="123"/>
        <v>0</v>
      </c>
      <c r="BB511" s="462">
        <f>IF(AND(AT511=1,AK511="E",AU511&gt;=0.75,AW511=1),Health,IF(AND(AT511=1,AK511="E",AU511&gt;=0.75),Health*P511,IF(AND(AT511=1,AK511="E",AU511&gt;=0.5,AW511=1),PTHealth,IF(AND(AT511=1,AK511="E",AU511&gt;=0.5),PTHealth*P511,0))))</f>
        <v>0</v>
      </c>
      <c r="BC511" s="462">
        <f>IF(AND(AT511=3,AK511="E",AV511&gt;=0.75,AW511=1),Health,IF(AND(AT511=3,AK511="E",AV511&gt;=0.75),Health*P511,IF(AND(AT511=3,AK511="E",AV511&gt;=0.5,AW511=1),PTHealth,IF(AND(AT511=3,AK511="E",AV511&gt;=0.5),PTHealth*P511,0))))</f>
        <v>0</v>
      </c>
      <c r="BD511" s="462">
        <f>IF(AND(AT511&lt;&gt;0,AX511&gt;=MAXSSDI),SSDI*MAXSSDI*P511,IF(AT511&lt;&gt;0,SSDI*W511,0))</f>
        <v>0</v>
      </c>
      <c r="BE511" s="462">
        <f>IF(AT511&lt;&gt;0,SSHI*W511,0)</f>
        <v>0</v>
      </c>
      <c r="BF511" s="462">
        <f>IF(AND(AT511&lt;&gt;0,AN511&lt;&gt;"NE"),VLOOKUP(AN511,Retirement_Rates,3,FALSE)*W511,0)</f>
        <v>0</v>
      </c>
      <c r="BG511" s="462">
        <f>IF(AND(AT511&lt;&gt;0,AJ511&lt;&gt;"PF"),Life*W511,0)</f>
        <v>0</v>
      </c>
      <c r="BH511" s="462">
        <f>IF(AND(AT511&lt;&gt;0,AM511="Y"),UI*W511,0)</f>
        <v>0</v>
      </c>
      <c r="BI511" s="462">
        <f>IF(AND(AT511&lt;&gt;0,N511&lt;&gt;"NR"),DHR*W511,0)</f>
        <v>0</v>
      </c>
      <c r="BJ511" s="462">
        <f>IF(AT511&lt;&gt;0,WC*W511,0)</f>
        <v>0</v>
      </c>
      <c r="BK511" s="462">
        <f>IF(OR(AND(AT511&lt;&gt;0,AJ511&lt;&gt;"PF",AN511&lt;&gt;"NE",AG511&lt;&gt;"A"),AND(AL511="E",OR(AT511=1,AT511=3))),Sick*W511,0)</f>
        <v>0</v>
      </c>
      <c r="BL511" s="462">
        <f t="shared" si="124"/>
        <v>0</v>
      </c>
      <c r="BM511" s="462">
        <f t="shared" si="125"/>
        <v>0</v>
      </c>
      <c r="BN511" s="462">
        <f>IF(AND(AT511=1,AK511="E",AU511&gt;=0.75,AW511=1),HealthBY,IF(AND(AT511=1,AK511="E",AU511&gt;=0.75),HealthBY*P511,IF(AND(AT511=1,AK511="E",AU511&gt;=0.5,AW511=1),PTHealthBY,IF(AND(AT511=1,AK511="E",AU511&gt;=0.5),PTHealthBY*P511,0))))</f>
        <v>0</v>
      </c>
      <c r="BO511" s="462">
        <f>IF(AND(AT511=3,AK511="E",AV511&gt;=0.75,AW511=1),HealthBY,IF(AND(AT511=3,AK511="E",AV511&gt;=0.75),HealthBY*P511,IF(AND(AT511=3,AK511="E",AV511&gt;=0.5,AW511=1),PTHealthBY,IF(AND(AT511=3,AK511="E",AV511&gt;=0.5),PTHealthBY*P511,0))))</f>
        <v>0</v>
      </c>
      <c r="BP511" s="462">
        <f>IF(AND(AT511&lt;&gt;0,(AX511+BA511)&gt;=MAXSSDIBY),SSDIBY*MAXSSDIBY*P511,IF(AT511&lt;&gt;0,SSDIBY*W511,0))</f>
        <v>0</v>
      </c>
      <c r="BQ511" s="462">
        <f>IF(AT511&lt;&gt;0,SSHIBY*W511,0)</f>
        <v>0</v>
      </c>
      <c r="BR511" s="462">
        <f>IF(AND(AT511&lt;&gt;0,AN511&lt;&gt;"NE"),VLOOKUP(AN511,Retirement_Rates,4,FALSE)*W511,0)</f>
        <v>0</v>
      </c>
      <c r="BS511" s="462">
        <f>IF(AND(AT511&lt;&gt;0,AJ511&lt;&gt;"PF"),LifeBY*W511,0)</f>
        <v>0</v>
      </c>
      <c r="BT511" s="462">
        <f>IF(AND(AT511&lt;&gt;0,AM511="Y"),UIBY*W511,0)</f>
        <v>0</v>
      </c>
      <c r="BU511" s="462">
        <f>IF(AND(AT511&lt;&gt;0,N511&lt;&gt;"NR"),DHRBY*W511,0)</f>
        <v>0</v>
      </c>
      <c r="BV511" s="462">
        <f>IF(AT511&lt;&gt;0,WCBY*W511,0)</f>
        <v>0</v>
      </c>
      <c r="BW511" s="462">
        <f>IF(OR(AND(AT511&lt;&gt;0,AJ511&lt;&gt;"PF",AN511&lt;&gt;"NE",AG511&lt;&gt;"A"),AND(AL511="E",OR(AT511=1,AT511=3))),SickBY*W511,0)</f>
        <v>0</v>
      </c>
      <c r="BX511" s="462">
        <f t="shared" si="126"/>
        <v>0</v>
      </c>
      <c r="BY511" s="462">
        <f t="shared" si="127"/>
        <v>0</v>
      </c>
      <c r="BZ511" s="462">
        <f t="shared" si="128"/>
        <v>0</v>
      </c>
      <c r="CA511" s="462">
        <f t="shared" si="129"/>
        <v>0</v>
      </c>
      <c r="CB511" s="462">
        <f t="shared" si="130"/>
        <v>0</v>
      </c>
      <c r="CC511" s="462">
        <f>IF(AT511&lt;&gt;0,SSHICHG*Y511,0)</f>
        <v>0</v>
      </c>
      <c r="CD511" s="462">
        <f>IF(AND(AT511&lt;&gt;0,AN511&lt;&gt;"NE"),VLOOKUP(AN511,Retirement_Rates,5,FALSE)*Y511,0)</f>
        <v>0</v>
      </c>
      <c r="CE511" s="462">
        <f>IF(AND(AT511&lt;&gt;0,AJ511&lt;&gt;"PF"),LifeCHG*Y511,0)</f>
        <v>0</v>
      </c>
      <c r="CF511" s="462">
        <f>IF(AND(AT511&lt;&gt;0,AM511="Y"),UICHG*Y511,0)</f>
        <v>0</v>
      </c>
      <c r="CG511" s="462">
        <f>IF(AND(AT511&lt;&gt;0,N511&lt;&gt;"NR"),DHRCHG*Y511,0)</f>
        <v>0</v>
      </c>
      <c r="CH511" s="462">
        <f>IF(AT511&lt;&gt;0,WCCHG*Y511,0)</f>
        <v>0</v>
      </c>
      <c r="CI511" s="462">
        <f>IF(OR(AND(AT511&lt;&gt;0,AJ511&lt;&gt;"PF",AN511&lt;&gt;"NE",AG511&lt;&gt;"A"),AND(AL511="E",OR(AT511=1,AT511=3))),SickCHG*Y511,0)</f>
        <v>0</v>
      </c>
      <c r="CJ511" s="462">
        <f t="shared" si="131"/>
        <v>0</v>
      </c>
      <c r="CK511" s="462" t="str">
        <f t="shared" si="132"/>
        <v/>
      </c>
      <c r="CL511" s="462">
        <f t="shared" si="133"/>
        <v>0</v>
      </c>
      <c r="CM511" s="462">
        <f t="shared" si="134"/>
        <v>0</v>
      </c>
      <c r="CN511" s="462" t="str">
        <f t="shared" si="135"/>
        <v>0486-00</v>
      </c>
    </row>
    <row r="512" spans="1:92" ht="15" thickBot="1" x14ac:dyDescent="0.35">
      <c r="A512" s="376" t="s">
        <v>161</v>
      </c>
      <c r="B512" s="376" t="s">
        <v>162</v>
      </c>
      <c r="C512" s="376" t="s">
        <v>1193</v>
      </c>
      <c r="D512" s="376" t="s">
        <v>1185</v>
      </c>
      <c r="E512" s="376" t="s">
        <v>1140</v>
      </c>
      <c r="F512" s="377" t="s">
        <v>166</v>
      </c>
      <c r="G512" s="376" t="s">
        <v>1141</v>
      </c>
      <c r="H512" s="378"/>
      <c r="I512" s="378"/>
      <c r="J512" s="376" t="s">
        <v>168</v>
      </c>
      <c r="K512" s="376" t="s">
        <v>1186</v>
      </c>
      <c r="L512" s="376" t="s">
        <v>166</v>
      </c>
      <c r="M512" s="376" t="s">
        <v>201</v>
      </c>
      <c r="N512" s="376" t="s">
        <v>291</v>
      </c>
      <c r="O512" s="379">
        <v>0</v>
      </c>
      <c r="P512" s="460">
        <v>1</v>
      </c>
      <c r="Q512" s="460">
        <v>0</v>
      </c>
      <c r="R512" s="380">
        <v>0</v>
      </c>
      <c r="S512" s="460">
        <v>0</v>
      </c>
      <c r="T512" s="380">
        <v>0</v>
      </c>
      <c r="U512" s="380">
        <v>0</v>
      </c>
      <c r="V512" s="380">
        <v>0</v>
      </c>
      <c r="W512" s="380">
        <v>0</v>
      </c>
      <c r="X512" s="380">
        <v>0</v>
      </c>
      <c r="Y512" s="380">
        <v>0</v>
      </c>
      <c r="Z512" s="380">
        <v>0</v>
      </c>
      <c r="AA512" s="378"/>
      <c r="AB512" s="376" t="s">
        <v>45</v>
      </c>
      <c r="AC512" s="376" t="s">
        <v>45</v>
      </c>
      <c r="AD512" s="378"/>
      <c r="AE512" s="378"/>
      <c r="AF512" s="378"/>
      <c r="AG512" s="378"/>
      <c r="AH512" s="379">
        <v>0</v>
      </c>
      <c r="AI512" s="379">
        <v>0</v>
      </c>
      <c r="AJ512" s="378"/>
      <c r="AK512" s="378"/>
      <c r="AL512" s="376" t="s">
        <v>180</v>
      </c>
      <c r="AM512" s="378"/>
      <c r="AN512" s="378"/>
      <c r="AO512" s="379">
        <v>0</v>
      </c>
      <c r="AP512" s="460">
        <v>0</v>
      </c>
      <c r="AQ512" s="460">
        <v>0</v>
      </c>
      <c r="AR512" s="459"/>
      <c r="AS512" s="462">
        <f t="shared" si="119"/>
        <v>0</v>
      </c>
      <c r="AT512">
        <f t="shared" si="120"/>
        <v>0</v>
      </c>
      <c r="AU512" s="462" t="str">
        <f>IF(AT512=0,"",IF(AND(AT512=1,M512="F",SUMIF(C2:C698,C512,AS2:AS698)&lt;=1),SUMIF(C2:C698,C512,AS2:AS698),IF(AND(AT512=1,M512="F",SUMIF(C2:C698,C512,AS2:AS698)&gt;1),1,"")))</f>
        <v/>
      </c>
      <c r="AV512" s="462" t="str">
        <f>IF(AT512=0,"",IF(AND(AT512=3,M512="F",SUMIF(C2:C698,C512,AS2:AS698)&lt;=1),SUMIF(C2:C698,C512,AS2:AS698),IF(AND(AT512=3,M512="F",SUMIF(C2:C698,C512,AS2:AS698)&gt;1),1,"")))</f>
        <v/>
      </c>
      <c r="AW512" s="462">
        <f>SUMIF(C2:C698,C512,O2:O698)</f>
        <v>0</v>
      </c>
      <c r="AX512" s="462">
        <f>IF(AND(M512="F",AS512&lt;&gt;0),SUMIF(C2:C698,C512,W2:W698),0)</f>
        <v>0</v>
      </c>
      <c r="AY512" s="462" t="str">
        <f t="shared" si="121"/>
        <v/>
      </c>
      <c r="AZ512" s="462" t="str">
        <f t="shared" si="122"/>
        <v/>
      </c>
      <c r="BA512" s="462">
        <f t="shared" si="123"/>
        <v>0</v>
      </c>
      <c r="BB512" s="462">
        <f>IF(AND(AT512=1,AK512="E",AU512&gt;=0.75,AW512=1),Health,IF(AND(AT512=1,AK512="E",AU512&gt;=0.75),Health*P512,IF(AND(AT512=1,AK512="E",AU512&gt;=0.5,AW512=1),PTHealth,IF(AND(AT512=1,AK512="E",AU512&gt;=0.5),PTHealth*P512,0))))</f>
        <v>0</v>
      </c>
      <c r="BC512" s="462">
        <f>IF(AND(AT512=3,AK512="E",AV512&gt;=0.75,AW512=1),Health,IF(AND(AT512=3,AK512="E",AV512&gt;=0.75),Health*P512,IF(AND(AT512=3,AK512="E",AV512&gt;=0.5,AW512=1),PTHealth,IF(AND(AT512=3,AK512="E",AV512&gt;=0.5),PTHealth*P512,0))))</f>
        <v>0</v>
      </c>
      <c r="BD512" s="462">
        <f>IF(AND(AT512&lt;&gt;0,AX512&gt;=MAXSSDI),SSDI*MAXSSDI*P512,IF(AT512&lt;&gt;0,SSDI*W512,0))</f>
        <v>0</v>
      </c>
      <c r="BE512" s="462">
        <f>IF(AT512&lt;&gt;0,SSHI*W512,0)</f>
        <v>0</v>
      </c>
      <c r="BF512" s="462">
        <f>IF(AND(AT512&lt;&gt;0,AN512&lt;&gt;"NE"),VLOOKUP(AN512,Retirement_Rates,3,FALSE)*W512,0)</f>
        <v>0</v>
      </c>
      <c r="BG512" s="462">
        <f>IF(AND(AT512&lt;&gt;0,AJ512&lt;&gt;"PF"),Life*W512,0)</f>
        <v>0</v>
      </c>
      <c r="BH512" s="462">
        <f>IF(AND(AT512&lt;&gt;0,AM512="Y"),UI*W512,0)</f>
        <v>0</v>
      </c>
      <c r="BI512" s="462">
        <f>IF(AND(AT512&lt;&gt;0,N512&lt;&gt;"NR"),DHR*W512,0)</f>
        <v>0</v>
      </c>
      <c r="BJ512" s="462">
        <f>IF(AT512&lt;&gt;0,WC*W512,0)</f>
        <v>0</v>
      </c>
      <c r="BK512" s="462">
        <f>IF(OR(AND(AT512&lt;&gt;0,AJ512&lt;&gt;"PF",AN512&lt;&gt;"NE",AG512&lt;&gt;"A"),AND(AL512="E",OR(AT512=1,AT512=3))),Sick*W512,0)</f>
        <v>0</v>
      </c>
      <c r="BL512" s="462">
        <f t="shared" si="124"/>
        <v>0</v>
      </c>
      <c r="BM512" s="462">
        <f t="shared" si="125"/>
        <v>0</v>
      </c>
      <c r="BN512" s="462">
        <f>IF(AND(AT512=1,AK512="E",AU512&gt;=0.75,AW512=1),HealthBY,IF(AND(AT512=1,AK512="E",AU512&gt;=0.75),HealthBY*P512,IF(AND(AT512=1,AK512="E",AU512&gt;=0.5,AW512=1),PTHealthBY,IF(AND(AT512=1,AK512="E",AU512&gt;=0.5),PTHealthBY*P512,0))))</f>
        <v>0</v>
      </c>
      <c r="BO512" s="462">
        <f>IF(AND(AT512=3,AK512="E",AV512&gt;=0.75,AW512=1),HealthBY,IF(AND(AT512=3,AK512="E",AV512&gt;=0.75),HealthBY*P512,IF(AND(AT512=3,AK512="E",AV512&gt;=0.5,AW512=1),PTHealthBY,IF(AND(AT512=3,AK512="E",AV512&gt;=0.5),PTHealthBY*P512,0))))</f>
        <v>0</v>
      </c>
      <c r="BP512" s="462">
        <f>IF(AND(AT512&lt;&gt;0,(AX512+BA512)&gt;=MAXSSDIBY),SSDIBY*MAXSSDIBY*P512,IF(AT512&lt;&gt;0,SSDIBY*W512,0))</f>
        <v>0</v>
      </c>
      <c r="BQ512" s="462">
        <f>IF(AT512&lt;&gt;0,SSHIBY*W512,0)</f>
        <v>0</v>
      </c>
      <c r="BR512" s="462">
        <f>IF(AND(AT512&lt;&gt;0,AN512&lt;&gt;"NE"),VLOOKUP(AN512,Retirement_Rates,4,FALSE)*W512,0)</f>
        <v>0</v>
      </c>
      <c r="BS512" s="462">
        <f>IF(AND(AT512&lt;&gt;0,AJ512&lt;&gt;"PF"),LifeBY*W512,0)</f>
        <v>0</v>
      </c>
      <c r="BT512" s="462">
        <f>IF(AND(AT512&lt;&gt;0,AM512="Y"),UIBY*W512,0)</f>
        <v>0</v>
      </c>
      <c r="BU512" s="462">
        <f>IF(AND(AT512&lt;&gt;0,N512&lt;&gt;"NR"),DHRBY*W512,0)</f>
        <v>0</v>
      </c>
      <c r="BV512" s="462">
        <f>IF(AT512&lt;&gt;0,WCBY*W512,0)</f>
        <v>0</v>
      </c>
      <c r="BW512" s="462">
        <f>IF(OR(AND(AT512&lt;&gt;0,AJ512&lt;&gt;"PF",AN512&lt;&gt;"NE",AG512&lt;&gt;"A"),AND(AL512="E",OR(AT512=1,AT512=3))),SickBY*W512,0)</f>
        <v>0</v>
      </c>
      <c r="BX512" s="462">
        <f t="shared" si="126"/>
        <v>0</v>
      </c>
      <c r="BY512" s="462">
        <f t="shared" si="127"/>
        <v>0</v>
      </c>
      <c r="BZ512" s="462">
        <f t="shared" si="128"/>
        <v>0</v>
      </c>
      <c r="CA512" s="462">
        <f t="shared" si="129"/>
        <v>0</v>
      </c>
      <c r="CB512" s="462">
        <f t="shared" si="130"/>
        <v>0</v>
      </c>
      <c r="CC512" s="462">
        <f>IF(AT512&lt;&gt;0,SSHICHG*Y512,0)</f>
        <v>0</v>
      </c>
      <c r="CD512" s="462">
        <f>IF(AND(AT512&lt;&gt;0,AN512&lt;&gt;"NE"),VLOOKUP(AN512,Retirement_Rates,5,FALSE)*Y512,0)</f>
        <v>0</v>
      </c>
      <c r="CE512" s="462">
        <f>IF(AND(AT512&lt;&gt;0,AJ512&lt;&gt;"PF"),LifeCHG*Y512,0)</f>
        <v>0</v>
      </c>
      <c r="CF512" s="462">
        <f>IF(AND(AT512&lt;&gt;0,AM512="Y"),UICHG*Y512,0)</f>
        <v>0</v>
      </c>
      <c r="CG512" s="462">
        <f>IF(AND(AT512&lt;&gt;0,N512&lt;&gt;"NR"),DHRCHG*Y512,0)</f>
        <v>0</v>
      </c>
      <c r="CH512" s="462">
        <f>IF(AT512&lt;&gt;0,WCCHG*Y512,0)</f>
        <v>0</v>
      </c>
      <c r="CI512" s="462">
        <f>IF(OR(AND(AT512&lt;&gt;0,AJ512&lt;&gt;"PF",AN512&lt;&gt;"NE",AG512&lt;&gt;"A"),AND(AL512="E",OR(AT512=1,AT512=3))),SickCHG*Y512,0)</f>
        <v>0</v>
      </c>
      <c r="CJ512" s="462">
        <f t="shared" si="131"/>
        <v>0</v>
      </c>
      <c r="CK512" s="462" t="str">
        <f t="shared" si="132"/>
        <v/>
      </c>
      <c r="CL512" s="462">
        <f t="shared" si="133"/>
        <v>0</v>
      </c>
      <c r="CM512" s="462">
        <f t="shared" si="134"/>
        <v>0</v>
      </c>
      <c r="CN512" s="462" t="str">
        <f t="shared" si="135"/>
        <v>0486-00</v>
      </c>
    </row>
    <row r="513" spans="1:92" ht="15" thickBot="1" x14ac:dyDescent="0.35">
      <c r="A513" s="376" t="s">
        <v>161</v>
      </c>
      <c r="B513" s="376" t="s">
        <v>162</v>
      </c>
      <c r="C513" s="376" t="s">
        <v>1194</v>
      </c>
      <c r="D513" s="376" t="s">
        <v>1175</v>
      </c>
      <c r="E513" s="376" t="s">
        <v>1140</v>
      </c>
      <c r="F513" s="377" t="s">
        <v>166</v>
      </c>
      <c r="G513" s="376" t="s">
        <v>1141</v>
      </c>
      <c r="H513" s="378"/>
      <c r="I513" s="378"/>
      <c r="J513" s="376" t="s">
        <v>168</v>
      </c>
      <c r="K513" s="376" t="s">
        <v>1176</v>
      </c>
      <c r="L513" s="376" t="s">
        <v>166</v>
      </c>
      <c r="M513" s="376" t="s">
        <v>201</v>
      </c>
      <c r="N513" s="376" t="s">
        <v>291</v>
      </c>
      <c r="O513" s="379">
        <v>0</v>
      </c>
      <c r="P513" s="460">
        <v>1</v>
      </c>
      <c r="Q513" s="460">
        <v>0</v>
      </c>
      <c r="R513" s="380">
        <v>0</v>
      </c>
      <c r="S513" s="460">
        <v>0</v>
      </c>
      <c r="T513" s="380">
        <v>41931.5</v>
      </c>
      <c r="U513" s="380">
        <v>4771.3</v>
      </c>
      <c r="V513" s="380">
        <v>5995.6</v>
      </c>
      <c r="W513" s="380">
        <v>46702.8</v>
      </c>
      <c r="X513" s="380">
        <v>5995.6</v>
      </c>
      <c r="Y513" s="380">
        <v>46702.8</v>
      </c>
      <c r="Z513" s="380">
        <v>5995.6</v>
      </c>
      <c r="AA513" s="378"/>
      <c r="AB513" s="376" t="s">
        <v>45</v>
      </c>
      <c r="AC513" s="376" t="s">
        <v>45</v>
      </c>
      <c r="AD513" s="378"/>
      <c r="AE513" s="378"/>
      <c r="AF513" s="378"/>
      <c r="AG513" s="378"/>
      <c r="AH513" s="379">
        <v>0</v>
      </c>
      <c r="AI513" s="379">
        <v>0</v>
      </c>
      <c r="AJ513" s="378"/>
      <c r="AK513" s="378"/>
      <c r="AL513" s="376" t="s">
        <v>180</v>
      </c>
      <c r="AM513" s="378"/>
      <c r="AN513" s="378"/>
      <c r="AO513" s="379">
        <v>0</v>
      </c>
      <c r="AP513" s="460">
        <v>0</v>
      </c>
      <c r="AQ513" s="460">
        <v>0</v>
      </c>
      <c r="AR513" s="459"/>
      <c r="AS513" s="462">
        <f t="shared" si="119"/>
        <v>0</v>
      </c>
      <c r="AT513">
        <f t="shared" si="120"/>
        <v>0</v>
      </c>
      <c r="AU513" s="462" t="str">
        <f>IF(AT513=0,"",IF(AND(AT513=1,M513="F",SUMIF(C2:C698,C513,AS2:AS698)&lt;=1),SUMIF(C2:C698,C513,AS2:AS698),IF(AND(AT513=1,M513="F",SUMIF(C2:C698,C513,AS2:AS698)&gt;1),1,"")))</f>
        <v/>
      </c>
      <c r="AV513" s="462" t="str">
        <f>IF(AT513=0,"",IF(AND(AT513=3,M513="F",SUMIF(C2:C698,C513,AS2:AS698)&lt;=1),SUMIF(C2:C698,C513,AS2:AS698),IF(AND(AT513=3,M513="F",SUMIF(C2:C698,C513,AS2:AS698)&gt;1),1,"")))</f>
        <v/>
      </c>
      <c r="AW513" s="462">
        <f>SUMIF(C2:C698,C513,O2:O698)</f>
        <v>0</v>
      </c>
      <c r="AX513" s="462">
        <f>IF(AND(M513="F",AS513&lt;&gt;0),SUMIF(C2:C698,C513,W2:W698),0)</f>
        <v>0</v>
      </c>
      <c r="AY513" s="462" t="str">
        <f t="shared" si="121"/>
        <v/>
      </c>
      <c r="AZ513" s="462" t="str">
        <f t="shared" si="122"/>
        <v/>
      </c>
      <c r="BA513" s="462">
        <f t="shared" si="123"/>
        <v>0</v>
      </c>
      <c r="BB513" s="462">
        <f>IF(AND(AT513=1,AK513="E",AU513&gt;=0.75,AW513=1),Health,IF(AND(AT513=1,AK513="E",AU513&gt;=0.75),Health*P513,IF(AND(AT513=1,AK513="E",AU513&gt;=0.5,AW513=1),PTHealth,IF(AND(AT513=1,AK513="E",AU513&gt;=0.5),PTHealth*P513,0))))</f>
        <v>0</v>
      </c>
      <c r="BC513" s="462">
        <f>IF(AND(AT513=3,AK513="E",AV513&gt;=0.75,AW513=1),Health,IF(AND(AT513=3,AK513="E",AV513&gt;=0.75),Health*P513,IF(AND(AT513=3,AK513="E",AV513&gt;=0.5,AW513=1),PTHealth,IF(AND(AT513=3,AK513="E",AV513&gt;=0.5),PTHealth*P513,0))))</f>
        <v>0</v>
      </c>
      <c r="BD513" s="462">
        <f>IF(AND(AT513&lt;&gt;0,AX513&gt;=MAXSSDI),SSDI*MAXSSDI*P513,IF(AT513&lt;&gt;0,SSDI*W513,0))</f>
        <v>0</v>
      </c>
      <c r="BE513" s="462">
        <f>IF(AT513&lt;&gt;0,SSHI*W513,0)</f>
        <v>0</v>
      </c>
      <c r="BF513" s="462">
        <f>IF(AND(AT513&lt;&gt;0,AN513&lt;&gt;"NE"),VLOOKUP(AN513,Retirement_Rates,3,FALSE)*W513,0)</f>
        <v>0</v>
      </c>
      <c r="BG513" s="462">
        <f>IF(AND(AT513&lt;&gt;0,AJ513&lt;&gt;"PF"),Life*W513,0)</f>
        <v>0</v>
      </c>
      <c r="BH513" s="462">
        <f>IF(AND(AT513&lt;&gt;0,AM513="Y"),UI*W513,0)</f>
        <v>0</v>
      </c>
      <c r="BI513" s="462">
        <f>IF(AND(AT513&lt;&gt;0,N513&lt;&gt;"NR"),DHR*W513,0)</f>
        <v>0</v>
      </c>
      <c r="BJ513" s="462">
        <f>IF(AT513&lt;&gt;0,WC*W513,0)</f>
        <v>0</v>
      </c>
      <c r="BK513" s="462">
        <f>IF(OR(AND(AT513&lt;&gt;0,AJ513&lt;&gt;"PF",AN513&lt;&gt;"NE",AG513&lt;&gt;"A"),AND(AL513="E",OR(AT513=1,AT513=3))),Sick*W513,0)</f>
        <v>0</v>
      </c>
      <c r="BL513" s="462">
        <f t="shared" si="124"/>
        <v>0</v>
      </c>
      <c r="BM513" s="462">
        <f t="shared" si="125"/>
        <v>0</v>
      </c>
      <c r="BN513" s="462">
        <f>IF(AND(AT513=1,AK513="E",AU513&gt;=0.75,AW513=1),HealthBY,IF(AND(AT513=1,AK513="E",AU513&gt;=0.75),HealthBY*P513,IF(AND(AT513=1,AK513="E",AU513&gt;=0.5,AW513=1),PTHealthBY,IF(AND(AT513=1,AK513="E",AU513&gt;=0.5),PTHealthBY*P513,0))))</f>
        <v>0</v>
      </c>
      <c r="BO513" s="462">
        <f>IF(AND(AT513=3,AK513="E",AV513&gt;=0.75,AW513=1),HealthBY,IF(AND(AT513=3,AK513="E",AV513&gt;=0.75),HealthBY*P513,IF(AND(AT513=3,AK513="E",AV513&gt;=0.5,AW513=1),PTHealthBY,IF(AND(AT513=3,AK513="E",AV513&gt;=0.5),PTHealthBY*P513,0))))</f>
        <v>0</v>
      </c>
      <c r="BP513" s="462">
        <f>IF(AND(AT513&lt;&gt;0,(AX513+BA513)&gt;=MAXSSDIBY),SSDIBY*MAXSSDIBY*P513,IF(AT513&lt;&gt;0,SSDIBY*W513,0))</f>
        <v>0</v>
      </c>
      <c r="BQ513" s="462">
        <f>IF(AT513&lt;&gt;0,SSHIBY*W513,0)</f>
        <v>0</v>
      </c>
      <c r="BR513" s="462">
        <f>IF(AND(AT513&lt;&gt;0,AN513&lt;&gt;"NE"),VLOOKUP(AN513,Retirement_Rates,4,FALSE)*W513,0)</f>
        <v>0</v>
      </c>
      <c r="BS513" s="462">
        <f>IF(AND(AT513&lt;&gt;0,AJ513&lt;&gt;"PF"),LifeBY*W513,0)</f>
        <v>0</v>
      </c>
      <c r="BT513" s="462">
        <f>IF(AND(AT513&lt;&gt;0,AM513="Y"),UIBY*W513,0)</f>
        <v>0</v>
      </c>
      <c r="BU513" s="462">
        <f>IF(AND(AT513&lt;&gt;0,N513&lt;&gt;"NR"),DHRBY*W513,0)</f>
        <v>0</v>
      </c>
      <c r="BV513" s="462">
        <f>IF(AT513&lt;&gt;0,WCBY*W513,0)</f>
        <v>0</v>
      </c>
      <c r="BW513" s="462">
        <f>IF(OR(AND(AT513&lt;&gt;0,AJ513&lt;&gt;"PF",AN513&lt;&gt;"NE",AG513&lt;&gt;"A"),AND(AL513="E",OR(AT513=1,AT513=3))),SickBY*W513,0)</f>
        <v>0</v>
      </c>
      <c r="BX513" s="462">
        <f t="shared" si="126"/>
        <v>0</v>
      </c>
      <c r="BY513" s="462">
        <f t="shared" si="127"/>
        <v>0</v>
      </c>
      <c r="BZ513" s="462">
        <f t="shared" si="128"/>
        <v>0</v>
      </c>
      <c r="CA513" s="462">
        <f t="shared" si="129"/>
        <v>0</v>
      </c>
      <c r="CB513" s="462">
        <f t="shared" si="130"/>
        <v>0</v>
      </c>
      <c r="CC513" s="462">
        <f>IF(AT513&lt;&gt;0,SSHICHG*Y513,0)</f>
        <v>0</v>
      </c>
      <c r="CD513" s="462">
        <f>IF(AND(AT513&lt;&gt;0,AN513&lt;&gt;"NE"),VLOOKUP(AN513,Retirement_Rates,5,FALSE)*Y513,0)</f>
        <v>0</v>
      </c>
      <c r="CE513" s="462">
        <f>IF(AND(AT513&lt;&gt;0,AJ513&lt;&gt;"PF"),LifeCHG*Y513,0)</f>
        <v>0</v>
      </c>
      <c r="CF513" s="462">
        <f>IF(AND(AT513&lt;&gt;0,AM513="Y"),UICHG*Y513,0)</f>
        <v>0</v>
      </c>
      <c r="CG513" s="462">
        <f>IF(AND(AT513&lt;&gt;0,N513&lt;&gt;"NR"),DHRCHG*Y513,0)</f>
        <v>0</v>
      </c>
      <c r="CH513" s="462">
        <f>IF(AT513&lt;&gt;0,WCCHG*Y513,0)</f>
        <v>0</v>
      </c>
      <c r="CI513" s="462">
        <f>IF(OR(AND(AT513&lt;&gt;0,AJ513&lt;&gt;"PF",AN513&lt;&gt;"NE",AG513&lt;&gt;"A"),AND(AL513="E",OR(AT513=1,AT513=3))),SickCHG*Y513,0)</f>
        <v>0</v>
      </c>
      <c r="CJ513" s="462">
        <f t="shared" si="131"/>
        <v>0</v>
      </c>
      <c r="CK513" s="462" t="str">
        <f t="shared" si="132"/>
        <v/>
      </c>
      <c r="CL513" s="462">
        <f t="shared" si="133"/>
        <v>46702.8</v>
      </c>
      <c r="CM513" s="462">
        <f t="shared" si="134"/>
        <v>5995.6</v>
      </c>
      <c r="CN513" s="462" t="str">
        <f t="shared" si="135"/>
        <v>0486-00</v>
      </c>
    </row>
    <row r="514" spans="1:92" ht="15" thickBot="1" x14ac:dyDescent="0.35">
      <c r="A514" s="376" t="s">
        <v>161</v>
      </c>
      <c r="B514" s="376" t="s">
        <v>162</v>
      </c>
      <c r="C514" s="376" t="s">
        <v>1195</v>
      </c>
      <c r="D514" s="376" t="s">
        <v>1196</v>
      </c>
      <c r="E514" s="376" t="s">
        <v>1140</v>
      </c>
      <c r="F514" s="377" t="s">
        <v>166</v>
      </c>
      <c r="G514" s="376" t="s">
        <v>1141</v>
      </c>
      <c r="H514" s="378"/>
      <c r="I514" s="378"/>
      <c r="J514" s="376" t="s">
        <v>168</v>
      </c>
      <c r="K514" s="376" t="s">
        <v>1197</v>
      </c>
      <c r="L514" s="376" t="s">
        <v>166</v>
      </c>
      <c r="M514" s="376" t="s">
        <v>201</v>
      </c>
      <c r="N514" s="376" t="s">
        <v>291</v>
      </c>
      <c r="O514" s="379">
        <v>0</v>
      </c>
      <c r="P514" s="460">
        <v>1</v>
      </c>
      <c r="Q514" s="460">
        <v>0</v>
      </c>
      <c r="R514" s="380">
        <v>0</v>
      </c>
      <c r="S514" s="460">
        <v>0</v>
      </c>
      <c r="T514" s="380">
        <v>0</v>
      </c>
      <c r="U514" s="380">
        <v>0</v>
      </c>
      <c r="V514" s="380">
        <v>0</v>
      </c>
      <c r="W514" s="380">
        <v>0</v>
      </c>
      <c r="X514" s="380">
        <v>0</v>
      </c>
      <c r="Y514" s="380">
        <v>0</v>
      </c>
      <c r="Z514" s="380">
        <v>0</v>
      </c>
      <c r="AA514" s="378"/>
      <c r="AB514" s="376" t="s">
        <v>45</v>
      </c>
      <c r="AC514" s="376" t="s">
        <v>45</v>
      </c>
      <c r="AD514" s="378"/>
      <c r="AE514" s="378"/>
      <c r="AF514" s="378"/>
      <c r="AG514" s="378"/>
      <c r="AH514" s="379">
        <v>0</v>
      </c>
      <c r="AI514" s="379">
        <v>0</v>
      </c>
      <c r="AJ514" s="378"/>
      <c r="AK514" s="378"/>
      <c r="AL514" s="376" t="s">
        <v>180</v>
      </c>
      <c r="AM514" s="378"/>
      <c r="AN514" s="378"/>
      <c r="AO514" s="379">
        <v>0</v>
      </c>
      <c r="AP514" s="460">
        <v>0</v>
      </c>
      <c r="AQ514" s="460">
        <v>0</v>
      </c>
      <c r="AR514" s="459"/>
      <c r="AS514" s="462">
        <f t="shared" si="119"/>
        <v>0</v>
      </c>
      <c r="AT514">
        <f t="shared" si="120"/>
        <v>0</v>
      </c>
      <c r="AU514" s="462" t="str">
        <f>IF(AT514=0,"",IF(AND(AT514=1,M514="F",SUMIF(C2:C698,C514,AS2:AS698)&lt;=1),SUMIF(C2:C698,C514,AS2:AS698),IF(AND(AT514=1,M514="F",SUMIF(C2:C698,C514,AS2:AS698)&gt;1),1,"")))</f>
        <v/>
      </c>
      <c r="AV514" s="462" t="str">
        <f>IF(AT514=0,"",IF(AND(AT514=3,M514="F",SUMIF(C2:C698,C514,AS2:AS698)&lt;=1),SUMIF(C2:C698,C514,AS2:AS698),IF(AND(AT514=3,M514="F",SUMIF(C2:C698,C514,AS2:AS698)&gt;1),1,"")))</f>
        <v/>
      </c>
      <c r="AW514" s="462">
        <f>SUMIF(C2:C698,C514,O2:O698)</f>
        <v>0</v>
      </c>
      <c r="AX514" s="462">
        <f>IF(AND(M514="F",AS514&lt;&gt;0),SUMIF(C2:C698,C514,W2:W698),0)</f>
        <v>0</v>
      </c>
      <c r="AY514" s="462" t="str">
        <f t="shared" si="121"/>
        <v/>
      </c>
      <c r="AZ514" s="462" t="str">
        <f t="shared" si="122"/>
        <v/>
      </c>
      <c r="BA514" s="462">
        <f t="shared" si="123"/>
        <v>0</v>
      </c>
      <c r="BB514" s="462">
        <f>IF(AND(AT514=1,AK514="E",AU514&gt;=0.75,AW514=1),Health,IF(AND(AT514=1,AK514="E",AU514&gt;=0.75),Health*P514,IF(AND(AT514=1,AK514="E",AU514&gt;=0.5,AW514=1),PTHealth,IF(AND(AT514=1,AK514="E",AU514&gt;=0.5),PTHealth*P514,0))))</f>
        <v>0</v>
      </c>
      <c r="BC514" s="462">
        <f>IF(AND(AT514=3,AK514="E",AV514&gt;=0.75,AW514=1),Health,IF(AND(AT514=3,AK514="E",AV514&gt;=0.75),Health*P514,IF(AND(AT514=3,AK514="E",AV514&gt;=0.5,AW514=1),PTHealth,IF(AND(AT514=3,AK514="E",AV514&gt;=0.5),PTHealth*P514,0))))</f>
        <v>0</v>
      </c>
      <c r="BD514" s="462">
        <f>IF(AND(AT514&lt;&gt;0,AX514&gt;=MAXSSDI),SSDI*MAXSSDI*P514,IF(AT514&lt;&gt;0,SSDI*W514,0))</f>
        <v>0</v>
      </c>
      <c r="BE514" s="462">
        <f>IF(AT514&lt;&gt;0,SSHI*W514,0)</f>
        <v>0</v>
      </c>
      <c r="BF514" s="462">
        <f>IF(AND(AT514&lt;&gt;0,AN514&lt;&gt;"NE"),VLOOKUP(AN514,Retirement_Rates,3,FALSE)*W514,0)</f>
        <v>0</v>
      </c>
      <c r="BG514" s="462">
        <f>IF(AND(AT514&lt;&gt;0,AJ514&lt;&gt;"PF"),Life*W514,0)</f>
        <v>0</v>
      </c>
      <c r="BH514" s="462">
        <f>IF(AND(AT514&lt;&gt;0,AM514="Y"),UI*W514,0)</f>
        <v>0</v>
      </c>
      <c r="BI514" s="462">
        <f>IF(AND(AT514&lt;&gt;0,N514&lt;&gt;"NR"),DHR*W514,0)</f>
        <v>0</v>
      </c>
      <c r="BJ514" s="462">
        <f>IF(AT514&lt;&gt;0,WC*W514,0)</f>
        <v>0</v>
      </c>
      <c r="BK514" s="462">
        <f>IF(OR(AND(AT514&lt;&gt;0,AJ514&lt;&gt;"PF",AN514&lt;&gt;"NE",AG514&lt;&gt;"A"),AND(AL514="E",OR(AT514=1,AT514=3))),Sick*W514,0)</f>
        <v>0</v>
      </c>
      <c r="BL514" s="462">
        <f t="shared" si="124"/>
        <v>0</v>
      </c>
      <c r="BM514" s="462">
        <f t="shared" si="125"/>
        <v>0</v>
      </c>
      <c r="BN514" s="462">
        <f>IF(AND(AT514=1,AK514="E",AU514&gt;=0.75,AW514=1),HealthBY,IF(AND(AT514=1,AK514="E",AU514&gt;=0.75),HealthBY*P514,IF(AND(AT514=1,AK514="E",AU514&gt;=0.5,AW514=1),PTHealthBY,IF(AND(AT514=1,AK514="E",AU514&gt;=0.5),PTHealthBY*P514,0))))</f>
        <v>0</v>
      </c>
      <c r="BO514" s="462">
        <f>IF(AND(AT514=3,AK514="E",AV514&gt;=0.75,AW514=1),HealthBY,IF(AND(AT514=3,AK514="E",AV514&gt;=0.75),HealthBY*P514,IF(AND(AT514=3,AK514="E",AV514&gt;=0.5,AW514=1),PTHealthBY,IF(AND(AT514=3,AK514="E",AV514&gt;=0.5),PTHealthBY*P514,0))))</f>
        <v>0</v>
      </c>
      <c r="BP514" s="462">
        <f>IF(AND(AT514&lt;&gt;0,(AX514+BA514)&gt;=MAXSSDIBY),SSDIBY*MAXSSDIBY*P514,IF(AT514&lt;&gt;0,SSDIBY*W514,0))</f>
        <v>0</v>
      </c>
      <c r="BQ514" s="462">
        <f>IF(AT514&lt;&gt;0,SSHIBY*W514,0)</f>
        <v>0</v>
      </c>
      <c r="BR514" s="462">
        <f>IF(AND(AT514&lt;&gt;0,AN514&lt;&gt;"NE"),VLOOKUP(AN514,Retirement_Rates,4,FALSE)*W514,0)</f>
        <v>0</v>
      </c>
      <c r="BS514" s="462">
        <f>IF(AND(AT514&lt;&gt;0,AJ514&lt;&gt;"PF"),LifeBY*W514,0)</f>
        <v>0</v>
      </c>
      <c r="BT514" s="462">
        <f>IF(AND(AT514&lt;&gt;0,AM514="Y"),UIBY*W514,0)</f>
        <v>0</v>
      </c>
      <c r="BU514" s="462">
        <f>IF(AND(AT514&lt;&gt;0,N514&lt;&gt;"NR"),DHRBY*W514,0)</f>
        <v>0</v>
      </c>
      <c r="BV514" s="462">
        <f>IF(AT514&lt;&gt;0,WCBY*W514,0)</f>
        <v>0</v>
      </c>
      <c r="BW514" s="462">
        <f>IF(OR(AND(AT514&lt;&gt;0,AJ514&lt;&gt;"PF",AN514&lt;&gt;"NE",AG514&lt;&gt;"A"),AND(AL514="E",OR(AT514=1,AT514=3))),SickBY*W514,0)</f>
        <v>0</v>
      </c>
      <c r="BX514" s="462">
        <f t="shared" si="126"/>
        <v>0</v>
      </c>
      <c r="BY514" s="462">
        <f t="shared" si="127"/>
        <v>0</v>
      </c>
      <c r="BZ514" s="462">
        <f t="shared" si="128"/>
        <v>0</v>
      </c>
      <c r="CA514" s="462">
        <f t="shared" si="129"/>
        <v>0</v>
      </c>
      <c r="CB514" s="462">
        <f t="shared" si="130"/>
        <v>0</v>
      </c>
      <c r="CC514" s="462">
        <f>IF(AT514&lt;&gt;0,SSHICHG*Y514,0)</f>
        <v>0</v>
      </c>
      <c r="CD514" s="462">
        <f>IF(AND(AT514&lt;&gt;0,AN514&lt;&gt;"NE"),VLOOKUP(AN514,Retirement_Rates,5,FALSE)*Y514,0)</f>
        <v>0</v>
      </c>
      <c r="CE514" s="462">
        <f>IF(AND(AT514&lt;&gt;0,AJ514&lt;&gt;"PF"),LifeCHG*Y514,0)</f>
        <v>0</v>
      </c>
      <c r="CF514" s="462">
        <f>IF(AND(AT514&lt;&gt;0,AM514="Y"),UICHG*Y514,0)</f>
        <v>0</v>
      </c>
      <c r="CG514" s="462">
        <f>IF(AND(AT514&lt;&gt;0,N514&lt;&gt;"NR"),DHRCHG*Y514,0)</f>
        <v>0</v>
      </c>
      <c r="CH514" s="462">
        <f>IF(AT514&lt;&gt;0,WCCHG*Y514,0)</f>
        <v>0</v>
      </c>
      <c r="CI514" s="462">
        <f>IF(OR(AND(AT514&lt;&gt;0,AJ514&lt;&gt;"PF",AN514&lt;&gt;"NE",AG514&lt;&gt;"A"),AND(AL514="E",OR(AT514=1,AT514=3))),SickCHG*Y514,0)</f>
        <v>0</v>
      </c>
      <c r="CJ514" s="462">
        <f t="shared" si="131"/>
        <v>0</v>
      </c>
      <c r="CK514" s="462" t="str">
        <f t="shared" si="132"/>
        <v/>
      </c>
      <c r="CL514" s="462">
        <f t="shared" si="133"/>
        <v>0</v>
      </c>
      <c r="CM514" s="462">
        <f t="shared" si="134"/>
        <v>0</v>
      </c>
      <c r="CN514" s="462" t="str">
        <f t="shared" si="135"/>
        <v>0486-00</v>
      </c>
    </row>
    <row r="515" spans="1:92" ht="15" thickBot="1" x14ac:dyDescent="0.35">
      <c r="A515" s="376" t="s">
        <v>161</v>
      </c>
      <c r="B515" s="376" t="s">
        <v>162</v>
      </c>
      <c r="C515" s="376" t="s">
        <v>1198</v>
      </c>
      <c r="D515" s="376" t="s">
        <v>1175</v>
      </c>
      <c r="E515" s="376" t="s">
        <v>1140</v>
      </c>
      <c r="F515" s="377" t="s">
        <v>166</v>
      </c>
      <c r="G515" s="376" t="s">
        <v>1141</v>
      </c>
      <c r="H515" s="378"/>
      <c r="I515" s="378"/>
      <c r="J515" s="376" t="s">
        <v>168</v>
      </c>
      <c r="K515" s="376" t="s">
        <v>1176</v>
      </c>
      <c r="L515" s="376" t="s">
        <v>166</v>
      </c>
      <c r="M515" s="376" t="s">
        <v>201</v>
      </c>
      <c r="N515" s="376" t="s">
        <v>291</v>
      </c>
      <c r="O515" s="379">
        <v>0</v>
      </c>
      <c r="P515" s="460">
        <v>1</v>
      </c>
      <c r="Q515" s="460">
        <v>0</v>
      </c>
      <c r="R515" s="380">
        <v>0</v>
      </c>
      <c r="S515" s="460">
        <v>0</v>
      </c>
      <c r="T515" s="380">
        <v>0</v>
      </c>
      <c r="U515" s="380">
        <v>0</v>
      </c>
      <c r="V515" s="380">
        <v>0</v>
      </c>
      <c r="W515" s="380">
        <v>0</v>
      </c>
      <c r="X515" s="380">
        <v>0</v>
      </c>
      <c r="Y515" s="380">
        <v>0</v>
      </c>
      <c r="Z515" s="380">
        <v>0</v>
      </c>
      <c r="AA515" s="378"/>
      <c r="AB515" s="376" t="s">
        <v>45</v>
      </c>
      <c r="AC515" s="376" t="s">
        <v>45</v>
      </c>
      <c r="AD515" s="378"/>
      <c r="AE515" s="378"/>
      <c r="AF515" s="378"/>
      <c r="AG515" s="378"/>
      <c r="AH515" s="379">
        <v>0</v>
      </c>
      <c r="AI515" s="379">
        <v>0</v>
      </c>
      <c r="AJ515" s="378"/>
      <c r="AK515" s="378"/>
      <c r="AL515" s="376" t="s">
        <v>180</v>
      </c>
      <c r="AM515" s="378"/>
      <c r="AN515" s="378"/>
      <c r="AO515" s="379">
        <v>0</v>
      </c>
      <c r="AP515" s="460">
        <v>0</v>
      </c>
      <c r="AQ515" s="460">
        <v>0</v>
      </c>
      <c r="AR515" s="459"/>
      <c r="AS515" s="462">
        <f t="shared" ref="AS515:AS578" si="136">IF(((AO515/80)*AP515*P515)&gt;1,AQ515,((AO515/80)*AP515*P515))</f>
        <v>0</v>
      </c>
      <c r="AT515">
        <f t="shared" ref="AT515:AT578" si="137">IF(AND(M515="F",N515&lt;&gt;"NG",AS515&lt;&gt;0,AND(AR515&lt;&gt;6,AR515&lt;&gt;36,AR515&lt;&gt;56),AG515&lt;&gt;"A",OR(AG515="H",AJ515="FS")),1,IF(AND(M515="F",N515&lt;&gt;"NG",AS515&lt;&gt;0,AG515="A"),3,0))</f>
        <v>0</v>
      </c>
      <c r="AU515" s="462" t="str">
        <f>IF(AT515=0,"",IF(AND(AT515=1,M515="F",SUMIF(C2:C698,C515,AS2:AS698)&lt;=1),SUMIF(C2:C698,C515,AS2:AS698),IF(AND(AT515=1,M515="F",SUMIF(C2:C698,C515,AS2:AS698)&gt;1),1,"")))</f>
        <v/>
      </c>
      <c r="AV515" s="462" t="str">
        <f>IF(AT515=0,"",IF(AND(AT515=3,M515="F",SUMIF(C2:C698,C515,AS2:AS698)&lt;=1),SUMIF(C2:C698,C515,AS2:AS698),IF(AND(AT515=3,M515="F",SUMIF(C2:C698,C515,AS2:AS698)&gt;1),1,"")))</f>
        <v/>
      </c>
      <c r="AW515" s="462">
        <f>SUMIF(C2:C698,C515,O2:O698)</f>
        <v>0</v>
      </c>
      <c r="AX515" s="462">
        <f>IF(AND(M515="F",AS515&lt;&gt;0),SUMIF(C2:C698,C515,W2:W698),0)</f>
        <v>0</v>
      </c>
      <c r="AY515" s="462" t="str">
        <f t="shared" ref="AY515:AY578" si="138">IF(AT515=1,W515,"")</f>
        <v/>
      </c>
      <c r="AZ515" s="462" t="str">
        <f t="shared" ref="AZ515:AZ578" si="139">IF(AT515=3,W515,"")</f>
        <v/>
      </c>
      <c r="BA515" s="462">
        <f t="shared" ref="BA515:BA578" si="140">IF(AT515=1,Y515-W515,0)</f>
        <v>0</v>
      </c>
      <c r="BB515" s="462">
        <f>IF(AND(AT515=1,AK515="E",AU515&gt;=0.75,AW515=1),Health,IF(AND(AT515=1,AK515="E",AU515&gt;=0.75),Health*P515,IF(AND(AT515=1,AK515="E",AU515&gt;=0.5,AW515=1),PTHealth,IF(AND(AT515=1,AK515="E",AU515&gt;=0.5),PTHealth*P515,0))))</f>
        <v>0</v>
      </c>
      <c r="BC515" s="462">
        <f>IF(AND(AT515=3,AK515="E",AV515&gt;=0.75,AW515=1),Health,IF(AND(AT515=3,AK515="E",AV515&gt;=0.75),Health*P515,IF(AND(AT515=3,AK515="E",AV515&gt;=0.5,AW515=1),PTHealth,IF(AND(AT515=3,AK515="E",AV515&gt;=0.5),PTHealth*P515,0))))</f>
        <v>0</v>
      </c>
      <c r="BD515" s="462">
        <f>IF(AND(AT515&lt;&gt;0,AX515&gt;=MAXSSDI),SSDI*MAXSSDI*P515,IF(AT515&lt;&gt;0,SSDI*W515,0))</f>
        <v>0</v>
      </c>
      <c r="BE515" s="462">
        <f>IF(AT515&lt;&gt;0,SSHI*W515,0)</f>
        <v>0</v>
      </c>
      <c r="BF515" s="462">
        <f>IF(AND(AT515&lt;&gt;0,AN515&lt;&gt;"NE"),VLOOKUP(AN515,Retirement_Rates,3,FALSE)*W515,0)</f>
        <v>0</v>
      </c>
      <c r="BG515" s="462">
        <f>IF(AND(AT515&lt;&gt;0,AJ515&lt;&gt;"PF"),Life*W515,0)</f>
        <v>0</v>
      </c>
      <c r="BH515" s="462">
        <f>IF(AND(AT515&lt;&gt;0,AM515="Y"),UI*W515,0)</f>
        <v>0</v>
      </c>
      <c r="BI515" s="462">
        <f>IF(AND(AT515&lt;&gt;0,N515&lt;&gt;"NR"),DHR*W515,0)</f>
        <v>0</v>
      </c>
      <c r="BJ515" s="462">
        <f>IF(AT515&lt;&gt;0,WC*W515,0)</f>
        <v>0</v>
      </c>
      <c r="BK515" s="462">
        <f>IF(OR(AND(AT515&lt;&gt;0,AJ515&lt;&gt;"PF",AN515&lt;&gt;"NE",AG515&lt;&gt;"A"),AND(AL515="E",OR(AT515=1,AT515=3))),Sick*W515,0)</f>
        <v>0</v>
      </c>
      <c r="BL515" s="462">
        <f t="shared" ref="BL515:BL578" si="141">IF(AT515=1,SUM(BD515:BK515),0)</f>
        <v>0</v>
      </c>
      <c r="BM515" s="462">
        <f t="shared" ref="BM515:BM578" si="142">IF(AT515=3,SUM(BD515:BK515),0)</f>
        <v>0</v>
      </c>
      <c r="BN515" s="462">
        <f>IF(AND(AT515=1,AK515="E",AU515&gt;=0.75,AW515=1),HealthBY,IF(AND(AT515=1,AK515="E",AU515&gt;=0.75),HealthBY*P515,IF(AND(AT515=1,AK515="E",AU515&gt;=0.5,AW515=1),PTHealthBY,IF(AND(AT515=1,AK515="E",AU515&gt;=0.5),PTHealthBY*P515,0))))</f>
        <v>0</v>
      </c>
      <c r="BO515" s="462">
        <f>IF(AND(AT515=3,AK515="E",AV515&gt;=0.75,AW515=1),HealthBY,IF(AND(AT515=3,AK515="E",AV515&gt;=0.75),HealthBY*P515,IF(AND(AT515=3,AK515="E",AV515&gt;=0.5,AW515=1),PTHealthBY,IF(AND(AT515=3,AK515="E",AV515&gt;=0.5),PTHealthBY*P515,0))))</f>
        <v>0</v>
      </c>
      <c r="BP515" s="462">
        <f>IF(AND(AT515&lt;&gt;0,(AX515+BA515)&gt;=MAXSSDIBY),SSDIBY*MAXSSDIBY*P515,IF(AT515&lt;&gt;0,SSDIBY*W515,0))</f>
        <v>0</v>
      </c>
      <c r="BQ515" s="462">
        <f>IF(AT515&lt;&gt;0,SSHIBY*W515,0)</f>
        <v>0</v>
      </c>
      <c r="BR515" s="462">
        <f>IF(AND(AT515&lt;&gt;0,AN515&lt;&gt;"NE"),VLOOKUP(AN515,Retirement_Rates,4,FALSE)*W515,0)</f>
        <v>0</v>
      </c>
      <c r="BS515" s="462">
        <f>IF(AND(AT515&lt;&gt;0,AJ515&lt;&gt;"PF"),LifeBY*W515,0)</f>
        <v>0</v>
      </c>
      <c r="BT515" s="462">
        <f>IF(AND(AT515&lt;&gt;0,AM515="Y"),UIBY*W515,0)</f>
        <v>0</v>
      </c>
      <c r="BU515" s="462">
        <f>IF(AND(AT515&lt;&gt;0,N515&lt;&gt;"NR"),DHRBY*W515,0)</f>
        <v>0</v>
      </c>
      <c r="BV515" s="462">
        <f>IF(AT515&lt;&gt;0,WCBY*W515,0)</f>
        <v>0</v>
      </c>
      <c r="BW515" s="462">
        <f>IF(OR(AND(AT515&lt;&gt;0,AJ515&lt;&gt;"PF",AN515&lt;&gt;"NE",AG515&lt;&gt;"A"),AND(AL515="E",OR(AT515=1,AT515=3))),SickBY*W515,0)</f>
        <v>0</v>
      </c>
      <c r="BX515" s="462">
        <f t="shared" ref="BX515:BX578" si="143">IF(AT515=1,SUM(BP515:BW515),0)</f>
        <v>0</v>
      </c>
      <c r="BY515" s="462">
        <f t="shared" ref="BY515:BY578" si="144">IF(AT515=3,SUM(BP515:BW515),0)</f>
        <v>0</v>
      </c>
      <c r="BZ515" s="462">
        <f t="shared" ref="BZ515:BZ578" si="145">IF(AT515=1,BN515-BB515,0)</f>
        <v>0</v>
      </c>
      <c r="CA515" s="462">
        <f t="shared" ref="CA515:CA578" si="146">IF(AT515=3,BO515-BC515,0)</f>
        <v>0</v>
      </c>
      <c r="CB515" s="462">
        <f t="shared" ref="CB515:CB578" si="147">BP515-BD515</f>
        <v>0</v>
      </c>
      <c r="CC515" s="462">
        <f>IF(AT515&lt;&gt;0,SSHICHG*Y515,0)</f>
        <v>0</v>
      </c>
      <c r="CD515" s="462">
        <f>IF(AND(AT515&lt;&gt;0,AN515&lt;&gt;"NE"),VLOOKUP(AN515,Retirement_Rates,5,FALSE)*Y515,0)</f>
        <v>0</v>
      </c>
      <c r="CE515" s="462">
        <f>IF(AND(AT515&lt;&gt;0,AJ515&lt;&gt;"PF"),LifeCHG*Y515,0)</f>
        <v>0</v>
      </c>
      <c r="CF515" s="462">
        <f>IF(AND(AT515&lt;&gt;0,AM515="Y"),UICHG*Y515,0)</f>
        <v>0</v>
      </c>
      <c r="CG515" s="462">
        <f>IF(AND(AT515&lt;&gt;0,N515&lt;&gt;"NR"),DHRCHG*Y515,0)</f>
        <v>0</v>
      </c>
      <c r="CH515" s="462">
        <f>IF(AT515&lt;&gt;0,WCCHG*Y515,0)</f>
        <v>0</v>
      </c>
      <c r="CI515" s="462">
        <f>IF(OR(AND(AT515&lt;&gt;0,AJ515&lt;&gt;"PF",AN515&lt;&gt;"NE",AG515&lt;&gt;"A"),AND(AL515="E",OR(AT515=1,AT515=3))),SickCHG*Y515,0)</f>
        <v>0</v>
      </c>
      <c r="CJ515" s="462">
        <f t="shared" ref="CJ515:CJ578" si="148">IF(AT515=1,SUM(CB515:CI515),0)</f>
        <v>0</v>
      </c>
      <c r="CK515" s="462" t="str">
        <f t="shared" ref="CK515:CK578" si="149">IF(AT515=3,SUM(CB515:CI515),"")</f>
        <v/>
      </c>
      <c r="CL515" s="462">
        <f t="shared" ref="CL515:CL578" si="150">IF(OR(N515="NG",AG515="D"),(T515+U515),"")</f>
        <v>0</v>
      </c>
      <c r="CM515" s="462">
        <f t="shared" ref="CM515:CM578" si="151">IF(OR(N515="NG",AG515="D"),V515,"")</f>
        <v>0</v>
      </c>
      <c r="CN515" s="462" t="str">
        <f t="shared" ref="CN515:CN578" si="152">E515 &amp; "-" &amp; F515</f>
        <v>0486-00</v>
      </c>
    </row>
    <row r="516" spans="1:92" ht="15" thickBot="1" x14ac:dyDescent="0.35">
      <c r="A516" s="376" t="s">
        <v>161</v>
      </c>
      <c r="B516" s="376" t="s">
        <v>162</v>
      </c>
      <c r="C516" s="376" t="s">
        <v>1199</v>
      </c>
      <c r="D516" s="376" t="s">
        <v>1150</v>
      </c>
      <c r="E516" s="376" t="s">
        <v>1140</v>
      </c>
      <c r="F516" s="377" t="s">
        <v>166</v>
      </c>
      <c r="G516" s="376" t="s">
        <v>1141</v>
      </c>
      <c r="H516" s="378"/>
      <c r="I516" s="378"/>
      <c r="J516" s="376" t="s">
        <v>168</v>
      </c>
      <c r="K516" s="376" t="s">
        <v>1151</v>
      </c>
      <c r="L516" s="376" t="s">
        <v>166</v>
      </c>
      <c r="M516" s="376" t="s">
        <v>201</v>
      </c>
      <c r="N516" s="376" t="s">
        <v>291</v>
      </c>
      <c r="O516" s="379">
        <v>0</v>
      </c>
      <c r="P516" s="460">
        <v>1</v>
      </c>
      <c r="Q516" s="460">
        <v>0</v>
      </c>
      <c r="R516" s="380">
        <v>0</v>
      </c>
      <c r="S516" s="460">
        <v>0</v>
      </c>
      <c r="T516" s="380">
        <v>0</v>
      </c>
      <c r="U516" s="380">
        <v>0</v>
      </c>
      <c r="V516" s="380">
        <v>0</v>
      </c>
      <c r="W516" s="380">
        <v>0</v>
      </c>
      <c r="X516" s="380">
        <v>0</v>
      </c>
      <c r="Y516" s="380">
        <v>0</v>
      </c>
      <c r="Z516" s="380">
        <v>0</v>
      </c>
      <c r="AA516" s="378"/>
      <c r="AB516" s="376" t="s">
        <v>45</v>
      </c>
      <c r="AC516" s="376" t="s">
        <v>45</v>
      </c>
      <c r="AD516" s="378"/>
      <c r="AE516" s="378"/>
      <c r="AF516" s="378"/>
      <c r="AG516" s="378"/>
      <c r="AH516" s="379">
        <v>0</v>
      </c>
      <c r="AI516" s="379">
        <v>0</v>
      </c>
      <c r="AJ516" s="378"/>
      <c r="AK516" s="378"/>
      <c r="AL516" s="376" t="s">
        <v>180</v>
      </c>
      <c r="AM516" s="378"/>
      <c r="AN516" s="378"/>
      <c r="AO516" s="379">
        <v>0</v>
      </c>
      <c r="AP516" s="460">
        <v>0</v>
      </c>
      <c r="AQ516" s="460">
        <v>0</v>
      </c>
      <c r="AR516" s="459"/>
      <c r="AS516" s="462">
        <f t="shared" si="136"/>
        <v>0</v>
      </c>
      <c r="AT516">
        <f t="shared" si="137"/>
        <v>0</v>
      </c>
      <c r="AU516" s="462" t="str">
        <f>IF(AT516=0,"",IF(AND(AT516=1,M516="F",SUMIF(C2:C698,C516,AS2:AS698)&lt;=1),SUMIF(C2:C698,C516,AS2:AS698),IF(AND(AT516=1,M516="F",SUMIF(C2:C698,C516,AS2:AS698)&gt;1),1,"")))</f>
        <v/>
      </c>
      <c r="AV516" s="462" t="str">
        <f>IF(AT516=0,"",IF(AND(AT516=3,M516="F",SUMIF(C2:C698,C516,AS2:AS698)&lt;=1),SUMIF(C2:C698,C516,AS2:AS698),IF(AND(AT516=3,M516="F",SUMIF(C2:C698,C516,AS2:AS698)&gt;1),1,"")))</f>
        <v/>
      </c>
      <c r="AW516" s="462">
        <f>SUMIF(C2:C698,C516,O2:O698)</f>
        <v>0</v>
      </c>
      <c r="AX516" s="462">
        <f>IF(AND(M516="F",AS516&lt;&gt;0),SUMIF(C2:C698,C516,W2:W698),0)</f>
        <v>0</v>
      </c>
      <c r="AY516" s="462" t="str">
        <f t="shared" si="138"/>
        <v/>
      </c>
      <c r="AZ516" s="462" t="str">
        <f t="shared" si="139"/>
        <v/>
      </c>
      <c r="BA516" s="462">
        <f t="shared" si="140"/>
        <v>0</v>
      </c>
      <c r="BB516" s="462">
        <f>IF(AND(AT516=1,AK516="E",AU516&gt;=0.75,AW516=1),Health,IF(AND(AT516=1,AK516="E",AU516&gt;=0.75),Health*P516,IF(AND(AT516=1,AK516="E",AU516&gt;=0.5,AW516=1),PTHealth,IF(AND(AT516=1,AK516="E",AU516&gt;=0.5),PTHealth*P516,0))))</f>
        <v>0</v>
      </c>
      <c r="BC516" s="462">
        <f>IF(AND(AT516=3,AK516="E",AV516&gt;=0.75,AW516=1),Health,IF(AND(AT516=3,AK516="E",AV516&gt;=0.75),Health*P516,IF(AND(AT516=3,AK516="E",AV516&gt;=0.5,AW516=1),PTHealth,IF(AND(AT516=3,AK516="E",AV516&gt;=0.5),PTHealth*P516,0))))</f>
        <v>0</v>
      </c>
      <c r="BD516" s="462">
        <f>IF(AND(AT516&lt;&gt;0,AX516&gt;=MAXSSDI),SSDI*MAXSSDI*P516,IF(AT516&lt;&gt;0,SSDI*W516,0))</f>
        <v>0</v>
      </c>
      <c r="BE516" s="462">
        <f>IF(AT516&lt;&gt;0,SSHI*W516,0)</f>
        <v>0</v>
      </c>
      <c r="BF516" s="462">
        <f>IF(AND(AT516&lt;&gt;0,AN516&lt;&gt;"NE"),VLOOKUP(AN516,Retirement_Rates,3,FALSE)*W516,0)</f>
        <v>0</v>
      </c>
      <c r="BG516" s="462">
        <f>IF(AND(AT516&lt;&gt;0,AJ516&lt;&gt;"PF"),Life*W516,0)</f>
        <v>0</v>
      </c>
      <c r="BH516" s="462">
        <f>IF(AND(AT516&lt;&gt;0,AM516="Y"),UI*W516,0)</f>
        <v>0</v>
      </c>
      <c r="BI516" s="462">
        <f>IF(AND(AT516&lt;&gt;0,N516&lt;&gt;"NR"),DHR*W516,0)</f>
        <v>0</v>
      </c>
      <c r="BJ516" s="462">
        <f>IF(AT516&lt;&gt;0,WC*W516,0)</f>
        <v>0</v>
      </c>
      <c r="BK516" s="462">
        <f>IF(OR(AND(AT516&lt;&gt;0,AJ516&lt;&gt;"PF",AN516&lt;&gt;"NE",AG516&lt;&gt;"A"),AND(AL516="E",OR(AT516=1,AT516=3))),Sick*W516,0)</f>
        <v>0</v>
      </c>
      <c r="BL516" s="462">
        <f t="shared" si="141"/>
        <v>0</v>
      </c>
      <c r="BM516" s="462">
        <f t="shared" si="142"/>
        <v>0</v>
      </c>
      <c r="BN516" s="462">
        <f>IF(AND(AT516=1,AK516="E",AU516&gt;=0.75,AW516=1),HealthBY,IF(AND(AT516=1,AK516="E",AU516&gt;=0.75),HealthBY*P516,IF(AND(AT516=1,AK516="E",AU516&gt;=0.5,AW516=1),PTHealthBY,IF(AND(AT516=1,AK516="E",AU516&gt;=0.5),PTHealthBY*P516,0))))</f>
        <v>0</v>
      </c>
      <c r="BO516" s="462">
        <f>IF(AND(AT516=3,AK516="E",AV516&gt;=0.75,AW516=1),HealthBY,IF(AND(AT516=3,AK516="E",AV516&gt;=0.75),HealthBY*P516,IF(AND(AT516=3,AK516="E",AV516&gt;=0.5,AW516=1),PTHealthBY,IF(AND(AT516=3,AK516="E",AV516&gt;=0.5),PTHealthBY*P516,0))))</f>
        <v>0</v>
      </c>
      <c r="BP516" s="462">
        <f>IF(AND(AT516&lt;&gt;0,(AX516+BA516)&gt;=MAXSSDIBY),SSDIBY*MAXSSDIBY*P516,IF(AT516&lt;&gt;0,SSDIBY*W516,0))</f>
        <v>0</v>
      </c>
      <c r="BQ516" s="462">
        <f>IF(AT516&lt;&gt;0,SSHIBY*W516,0)</f>
        <v>0</v>
      </c>
      <c r="BR516" s="462">
        <f>IF(AND(AT516&lt;&gt;0,AN516&lt;&gt;"NE"),VLOOKUP(AN516,Retirement_Rates,4,FALSE)*W516,0)</f>
        <v>0</v>
      </c>
      <c r="BS516" s="462">
        <f>IF(AND(AT516&lt;&gt;0,AJ516&lt;&gt;"PF"),LifeBY*W516,0)</f>
        <v>0</v>
      </c>
      <c r="BT516" s="462">
        <f>IF(AND(AT516&lt;&gt;0,AM516="Y"),UIBY*W516,0)</f>
        <v>0</v>
      </c>
      <c r="BU516" s="462">
        <f>IF(AND(AT516&lt;&gt;0,N516&lt;&gt;"NR"),DHRBY*W516,0)</f>
        <v>0</v>
      </c>
      <c r="BV516" s="462">
        <f>IF(AT516&lt;&gt;0,WCBY*W516,0)</f>
        <v>0</v>
      </c>
      <c r="BW516" s="462">
        <f>IF(OR(AND(AT516&lt;&gt;0,AJ516&lt;&gt;"PF",AN516&lt;&gt;"NE",AG516&lt;&gt;"A"),AND(AL516="E",OR(AT516=1,AT516=3))),SickBY*W516,0)</f>
        <v>0</v>
      </c>
      <c r="BX516" s="462">
        <f t="shared" si="143"/>
        <v>0</v>
      </c>
      <c r="BY516" s="462">
        <f t="shared" si="144"/>
        <v>0</v>
      </c>
      <c r="BZ516" s="462">
        <f t="shared" si="145"/>
        <v>0</v>
      </c>
      <c r="CA516" s="462">
        <f t="shared" si="146"/>
        <v>0</v>
      </c>
      <c r="CB516" s="462">
        <f t="shared" si="147"/>
        <v>0</v>
      </c>
      <c r="CC516" s="462">
        <f>IF(AT516&lt;&gt;0,SSHICHG*Y516,0)</f>
        <v>0</v>
      </c>
      <c r="CD516" s="462">
        <f>IF(AND(AT516&lt;&gt;0,AN516&lt;&gt;"NE"),VLOOKUP(AN516,Retirement_Rates,5,FALSE)*Y516,0)</f>
        <v>0</v>
      </c>
      <c r="CE516" s="462">
        <f>IF(AND(AT516&lt;&gt;0,AJ516&lt;&gt;"PF"),LifeCHG*Y516,0)</f>
        <v>0</v>
      </c>
      <c r="CF516" s="462">
        <f>IF(AND(AT516&lt;&gt;0,AM516="Y"),UICHG*Y516,0)</f>
        <v>0</v>
      </c>
      <c r="CG516" s="462">
        <f>IF(AND(AT516&lt;&gt;0,N516&lt;&gt;"NR"),DHRCHG*Y516,0)</f>
        <v>0</v>
      </c>
      <c r="CH516" s="462">
        <f>IF(AT516&lt;&gt;0,WCCHG*Y516,0)</f>
        <v>0</v>
      </c>
      <c r="CI516" s="462">
        <f>IF(OR(AND(AT516&lt;&gt;0,AJ516&lt;&gt;"PF",AN516&lt;&gt;"NE",AG516&lt;&gt;"A"),AND(AL516="E",OR(AT516=1,AT516=3))),SickCHG*Y516,0)</f>
        <v>0</v>
      </c>
      <c r="CJ516" s="462">
        <f t="shared" si="148"/>
        <v>0</v>
      </c>
      <c r="CK516" s="462" t="str">
        <f t="shared" si="149"/>
        <v/>
      </c>
      <c r="CL516" s="462">
        <f t="shared" si="150"/>
        <v>0</v>
      </c>
      <c r="CM516" s="462">
        <f t="shared" si="151"/>
        <v>0</v>
      </c>
      <c r="CN516" s="462" t="str">
        <f t="shared" si="152"/>
        <v>0486-00</v>
      </c>
    </row>
    <row r="517" spans="1:92" ht="15" thickBot="1" x14ac:dyDescent="0.35">
      <c r="A517" s="376" t="s">
        <v>161</v>
      </c>
      <c r="B517" s="376" t="s">
        <v>162</v>
      </c>
      <c r="C517" s="376" t="s">
        <v>1200</v>
      </c>
      <c r="D517" s="376" t="s">
        <v>1185</v>
      </c>
      <c r="E517" s="376" t="s">
        <v>1140</v>
      </c>
      <c r="F517" s="377" t="s">
        <v>166</v>
      </c>
      <c r="G517" s="376" t="s">
        <v>1141</v>
      </c>
      <c r="H517" s="378"/>
      <c r="I517" s="378"/>
      <c r="J517" s="376" t="s">
        <v>168</v>
      </c>
      <c r="K517" s="376" t="s">
        <v>1186</v>
      </c>
      <c r="L517" s="376" t="s">
        <v>166</v>
      </c>
      <c r="M517" s="376" t="s">
        <v>201</v>
      </c>
      <c r="N517" s="376" t="s">
        <v>291</v>
      </c>
      <c r="O517" s="379">
        <v>0</v>
      </c>
      <c r="P517" s="460">
        <v>1</v>
      </c>
      <c r="Q517" s="460">
        <v>0</v>
      </c>
      <c r="R517" s="380">
        <v>0</v>
      </c>
      <c r="S517" s="460">
        <v>0</v>
      </c>
      <c r="T517" s="380">
        <v>0</v>
      </c>
      <c r="U517" s="380">
        <v>0</v>
      </c>
      <c r="V517" s="380">
        <v>0</v>
      </c>
      <c r="W517" s="380">
        <v>0</v>
      </c>
      <c r="X517" s="380">
        <v>0</v>
      </c>
      <c r="Y517" s="380">
        <v>0</v>
      </c>
      <c r="Z517" s="380">
        <v>0</v>
      </c>
      <c r="AA517" s="378"/>
      <c r="AB517" s="376" t="s">
        <v>45</v>
      </c>
      <c r="AC517" s="376" t="s">
        <v>45</v>
      </c>
      <c r="AD517" s="378"/>
      <c r="AE517" s="378"/>
      <c r="AF517" s="378"/>
      <c r="AG517" s="378"/>
      <c r="AH517" s="379">
        <v>0</v>
      </c>
      <c r="AI517" s="379">
        <v>0</v>
      </c>
      <c r="AJ517" s="378"/>
      <c r="AK517" s="378"/>
      <c r="AL517" s="376" t="s">
        <v>180</v>
      </c>
      <c r="AM517" s="378"/>
      <c r="AN517" s="378"/>
      <c r="AO517" s="379">
        <v>0</v>
      </c>
      <c r="AP517" s="460">
        <v>0</v>
      </c>
      <c r="AQ517" s="460">
        <v>0</v>
      </c>
      <c r="AR517" s="459"/>
      <c r="AS517" s="462">
        <f t="shared" si="136"/>
        <v>0</v>
      </c>
      <c r="AT517">
        <f t="shared" si="137"/>
        <v>0</v>
      </c>
      <c r="AU517" s="462" t="str">
        <f>IF(AT517=0,"",IF(AND(AT517=1,M517="F",SUMIF(C2:C698,C517,AS2:AS698)&lt;=1),SUMIF(C2:C698,C517,AS2:AS698),IF(AND(AT517=1,M517="F",SUMIF(C2:C698,C517,AS2:AS698)&gt;1),1,"")))</f>
        <v/>
      </c>
      <c r="AV517" s="462" t="str">
        <f>IF(AT517=0,"",IF(AND(AT517=3,M517="F",SUMIF(C2:C698,C517,AS2:AS698)&lt;=1),SUMIF(C2:C698,C517,AS2:AS698),IF(AND(AT517=3,M517="F",SUMIF(C2:C698,C517,AS2:AS698)&gt;1),1,"")))</f>
        <v/>
      </c>
      <c r="AW517" s="462">
        <f>SUMIF(C2:C698,C517,O2:O698)</f>
        <v>0</v>
      </c>
      <c r="AX517" s="462">
        <f>IF(AND(M517="F",AS517&lt;&gt;0),SUMIF(C2:C698,C517,W2:W698),0)</f>
        <v>0</v>
      </c>
      <c r="AY517" s="462" t="str">
        <f t="shared" si="138"/>
        <v/>
      </c>
      <c r="AZ517" s="462" t="str">
        <f t="shared" si="139"/>
        <v/>
      </c>
      <c r="BA517" s="462">
        <f t="shared" si="140"/>
        <v>0</v>
      </c>
      <c r="BB517" s="462">
        <f>IF(AND(AT517=1,AK517="E",AU517&gt;=0.75,AW517=1),Health,IF(AND(AT517=1,AK517="E",AU517&gt;=0.75),Health*P517,IF(AND(AT517=1,AK517="E",AU517&gt;=0.5,AW517=1),PTHealth,IF(AND(AT517=1,AK517="E",AU517&gt;=0.5),PTHealth*P517,0))))</f>
        <v>0</v>
      </c>
      <c r="BC517" s="462">
        <f>IF(AND(AT517=3,AK517="E",AV517&gt;=0.75,AW517=1),Health,IF(AND(AT517=3,AK517="E",AV517&gt;=0.75),Health*P517,IF(AND(AT517=3,AK517="E",AV517&gt;=0.5,AW517=1),PTHealth,IF(AND(AT517=3,AK517="E",AV517&gt;=0.5),PTHealth*P517,0))))</f>
        <v>0</v>
      </c>
      <c r="BD517" s="462">
        <f>IF(AND(AT517&lt;&gt;0,AX517&gt;=MAXSSDI),SSDI*MAXSSDI*P517,IF(AT517&lt;&gt;0,SSDI*W517,0))</f>
        <v>0</v>
      </c>
      <c r="BE517" s="462">
        <f>IF(AT517&lt;&gt;0,SSHI*W517,0)</f>
        <v>0</v>
      </c>
      <c r="BF517" s="462">
        <f>IF(AND(AT517&lt;&gt;0,AN517&lt;&gt;"NE"),VLOOKUP(AN517,Retirement_Rates,3,FALSE)*W517,0)</f>
        <v>0</v>
      </c>
      <c r="BG517" s="462">
        <f>IF(AND(AT517&lt;&gt;0,AJ517&lt;&gt;"PF"),Life*W517,0)</f>
        <v>0</v>
      </c>
      <c r="BH517" s="462">
        <f>IF(AND(AT517&lt;&gt;0,AM517="Y"),UI*W517,0)</f>
        <v>0</v>
      </c>
      <c r="BI517" s="462">
        <f>IF(AND(AT517&lt;&gt;0,N517&lt;&gt;"NR"),DHR*W517,0)</f>
        <v>0</v>
      </c>
      <c r="BJ517" s="462">
        <f>IF(AT517&lt;&gt;0,WC*W517,0)</f>
        <v>0</v>
      </c>
      <c r="BK517" s="462">
        <f>IF(OR(AND(AT517&lt;&gt;0,AJ517&lt;&gt;"PF",AN517&lt;&gt;"NE",AG517&lt;&gt;"A"),AND(AL517="E",OR(AT517=1,AT517=3))),Sick*W517,0)</f>
        <v>0</v>
      </c>
      <c r="BL517" s="462">
        <f t="shared" si="141"/>
        <v>0</v>
      </c>
      <c r="BM517" s="462">
        <f t="shared" si="142"/>
        <v>0</v>
      </c>
      <c r="BN517" s="462">
        <f>IF(AND(AT517=1,AK517="E",AU517&gt;=0.75,AW517=1),HealthBY,IF(AND(AT517=1,AK517="E",AU517&gt;=0.75),HealthBY*P517,IF(AND(AT517=1,AK517="E",AU517&gt;=0.5,AW517=1),PTHealthBY,IF(AND(AT517=1,AK517="E",AU517&gt;=0.5),PTHealthBY*P517,0))))</f>
        <v>0</v>
      </c>
      <c r="BO517" s="462">
        <f>IF(AND(AT517=3,AK517="E",AV517&gt;=0.75,AW517=1),HealthBY,IF(AND(AT517=3,AK517="E",AV517&gt;=0.75),HealthBY*P517,IF(AND(AT517=3,AK517="E",AV517&gt;=0.5,AW517=1),PTHealthBY,IF(AND(AT517=3,AK517="E",AV517&gt;=0.5),PTHealthBY*P517,0))))</f>
        <v>0</v>
      </c>
      <c r="BP517" s="462">
        <f>IF(AND(AT517&lt;&gt;0,(AX517+BA517)&gt;=MAXSSDIBY),SSDIBY*MAXSSDIBY*P517,IF(AT517&lt;&gt;0,SSDIBY*W517,0))</f>
        <v>0</v>
      </c>
      <c r="BQ517" s="462">
        <f>IF(AT517&lt;&gt;0,SSHIBY*W517,0)</f>
        <v>0</v>
      </c>
      <c r="BR517" s="462">
        <f>IF(AND(AT517&lt;&gt;0,AN517&lt;&gt;"NE"),VLOOKUP(AN517,Retirement_Rates,4,FALSE)*W517,0)</f>
        <v>0</v>
      </c>
      <c r="BS517" s="462">
        <f>IF(AND(AT517&lt;&gt;0,AJ517&lt;&gt;"PF"),LifeBY*W517,0)</f>
        <v>0</v>
      </c>
      <c r="BT517" s="462">
        <f>IF(AND(AT517&lt;&gt;0,AM517="Y"),UIBY*W517,0)</f>
        <v>0</v>
      </c>
      <c r="BU517" s="462">
        <f>IF(AND(AT517&lt;&gt;0,N517&lt;&gt;"NR"),DHRBY*W517,0)</f>
        <v>0</v>
      </c>
      <c r="BV517" s="462">
        <f>IF(AT517&lt;&gt;0,WCBY*W517,0)</f>
        <v>0</v>
      </c>
      <c r="BW517" s="462">
        <f>IF(OR(AND(AT517&lt;&gt;0,AJ517&lt;&gt;"PF",AN517&lt;&gt;"NE",AG517&lt;&gt;"A"),AND(AL517="E",OR(AT517=1,AT517=3))),SickBY*W517,0)</f>
        <v>0</v>
      </c>
      <c r="BX517" s="462">
        <f t="shared" si="143"/>
        <v>0</v>
      </c>
      <c r="BY517" s="462">
        <f t="shared" si="144"/>
        <v>0</v>
      </c>
      <c r="BZ517" s="462">
        <f t="shared" si="145"/>
        <v>0</v>
      </c>
      <c r="CA517" s="462">
        <f t="shared" si="146"/>
        <v>0</v>
      </c>
      <c r="CB517" s="462">
        <f t="shared" si="147"/>
        <v>0</v>
      </c>
      <c r="CC517" s="462">
        <f>IF(AT517&lt;&gt;0,SSHICHG*Y517,0)</f>
        <v>0</v>
      </c>
      <c r="CD517" s="462">
        <f>IF(AND(AT517&lt;&gt;0,AN517&lt;&gt;"NE"),VLOOKUP(AN517,Retirement_Rates,5,FALSE)*Y517,0)</f>
        <v>0</v>
      </c>
      <c r="CE517" s="462">
        <f>IF(AND(AT517&lt;&gt;0,AJ517&lt;&gt;"PF"),LifeCHG*Y517,0)</f>
        <v>0</v>
      </c>
      <c r="CF517" s="462">
        <f>IF(AND(AT517&lt;&gt;0,AM517="Y"),UICHG*Y517,0)</f>
        <v>0</v>
      </c>
      <c r="CG517" s="462">
        <f>IF(AND(AT517&lt;&gt;0,N517&lt;&gt;"NR"),DHRCHG*Y517,0)</f>
        <v>0</v>
      </c>
      <c r="CH517" s="462">
        <f>IF(AT517&lt;&gt;0,WCCHG*Y517,0)</f>
        <v>0</v>
      </c>
      <c r="CI517" s="462">
        <f>IF(OR(AND(AT517&lt;&gt;0,AJ517&lt;&gt;"PF",AN517&lt;&gt;"NE",AG517&lt;&gt;"A"),AND(AL517="E",OR(AT517=1,AT517=3))),SickCHG*Y517,0)</f>
        <v>0</v>
      </c>
      <c r="CJ517" s="462">
        <f t="shared" si="148"/>
        <v>0</v>
      </c>
      <c r="CK517" s="462" t="str">
        <f t="shared" si="149"/>
        <v/>
      </c>
      <c r="CL517" s="462">
        <f t="shared" si="150"/>
        <v>0</v>
      </c>
      <c r="CM517" s="462">
        <f t="shared" si="151"/>
        <v>0</v>
      </c>
      <c r="CN517" s="462" t="str">
        <f t="shared" si="152"/>
        <v>0486-00</v>
      </c>
    </row>
    <row r="518" spans="1:92" ht="15" thickBot="1" x14ac:dyDescent="0.35">
      <c r="A518" s="376" t="s">
        <v>161</v>
      </c>
      <c r="B518" s="376" t="s">
        <v>162</v>
      </c>
      <c r="C518" s="376" t="s">
        <v>1201</v>
      </c>
      <c r="D518" s="376" t="s">
        <v>1169</v>
      </c>
      <c r="E518" s="376" t="s">
        <v>1140</v>
      </c>
      <c r="F518" s="377" t="s">
        <v>166</v>
      </c>
      <c r="G518" s="376" t="s">
        <v>1141</v>
      </c>
      <c r="H518" s="378"/>
      <c r="I518" s="378"/>
      <c r="J518" s="376" t="s">
        <v>168</v>
      </c>
      <c r="K518" s="376" t="s">
        <v>1170</v>
      </c>
      <c r="L518" s="376" t="s">
        <v>166</v>
      </c>
      <c r="M518" s="376" t="s">
        <v>201</v>
      </c>
      <c r="N518" s="376" t="s">
        <v>291</v>
      </c>
      <c r="O518" s="379">
        <v>0</v>
      </c>
      <c r="P518" s="460">
        <v>1</v>
      </c>
      <c r="Q518" s="460">
        <v>0</v>
      </c>
      <c r="R518" s="380">
        <v>0</v>
      </c>
      <c r="S518" s="460">
        <v>0</v>
      </c>
      <c r="T518" s="380">
        <v>0</v>
      </c>
      <c r="U518" s="380">
        <v>0</v>
      </c>
      <c r="V518" s="380">
        <v>0</v>
      </c>
      <c r="W518" s="380">
        <v>0</v>
      </c>
      <c r="X518" s="380">
        <v>0</v>
      </c>
      <c r="Y518" s="380">
        <v>0</v>
      </c>
      <c r="Z518" s="380">
        <v>0</v>
      </c>
      <c r="AA518" s="378"/>
      <c r="AB518" s="376" t="s">
        <v>45</v>
      </c>
      <c r="AC518" s="376" t="s">
        <v>45</v>
      </c>
      <c r="AD518" s="378"/>
      <c r="AE518" s="378"/>
      <c r="AF518" s="378"/>
      <c r="AG518" s="378"/>
      <c r="AH518" s="379">
        <v>0</v>
      </c>
      <c r="AI518" s="379">
        <v>0</v>
      </c>
      <c r="AJ518" s="378"/>
      <c r="AK518" s="378"/>
      <c r="AL518" s="376" t="s">
        <v>180</v>
      </c>
      <c r="AM518" s="378"/>
      <c r="AN518" s="378"/>
      <c r="AO518" s="379">
        <v>0</v>
      </c>
      <c r="AP518" s="460">
        <v>0</v>
      </c>
      <c r="AQ518" s="460">
        <v>0</v>
      </c>
      <c r="AR518" s="459"/>
      <c r="AS518" s="462">
        <f t="shared" si="136"/>
        <v>0</v>
      </c>
      <c r="AT518">
        <f t="shared" si="137"/>
        <v>0</v>
      </c>
      <c r="AU518" s="462" t="str">
        <f>IF(AT518=0,"",IF(AND(AT518=1,M518="F",SUMIF(C2:C698,C518,AS2:AS698)&lt;=1),SUMIF(C2:C698,C518,AS2:AS698),IF(AND(AT518=1,M518="F",SUMIF(C2:C698,C518,AS2:AS698)&gt;1),1,"")))</f>
        <v/>
      </c>
      <c r="AV518" s="462" t="str">
        <f>IF(AT518=0,"",IF(AND(AT518=3,M518="F",SUMIF(C2:C698,C518,AS2:AS698)&lt;=1),SUMIF(C2:C698,C518,AS2:AS698),IF(AND(AT518=3,M518="F",SUMIF(C2:C698,C518,AS2:AS698)&gt;1),1,"")))</f>
        <v/>
      </c>
      <c r="AW518" s="462">
        <f>SUMIF(C2:C698,C518,O2:O698)</f>
        <v>0</v>
      </c>
      <c r="AX518" s="462">
        <f>IF(AND(M518="F",AS518&lt;&gt;0),SUMIF(C2:C698,C518,W2:W698),0)</f>
        <v>0</v>
      </c>
      <c r="AY518" s="462" t="str">
        <f t="shared" si="138"/>
        <v/>
      </c>
      <c r="AZ518" s="462" t="str">
        <f t="shared" si="139"/>
        <v/>
      </c>
      <c r="BA518" s="462">
        <f t="shared" si="140"/>
        <v>0</v>
      </c>
      <c r="BB518" s="462">
        <f>IF(AND(AT518=1,AK518="E",AU518&gt;=0.75,AW518=1),Health,IF(AND(AT518=1,AK518="E",AU518&gt;=0.75),Health*P518,IF(AND(AT518=1,AK518="E",AU518&gt;=0.5,AW518=1),PTHealth,IF(AND(AT518=1,AK518="E",AU518&gt;=0.5),PTHealth*P518,0))))</f>
        <v>0</v>
      </c>
      <c r="BC518" s="462">
        <f>IF(AND(AT518=3,AK518="E",AV518&gt;=0.75,AW518=1),Health,IF(AND(AT518=3,AK518="E",AV518&gt;=0.75),Health*P518,IF(AND(AT518=3,AK518="E",AV518&gt;=0.5,AW518=1),PTHealth,IF(AND(AT518=3,AK518="E",AV518&gt;=0.5),PTHealth*P518,0))))</f>
        <v>0</v>
      </c>
      <c r="BD518" s="462">
        <f>IF(AND(AT518&lt;&gt;0,AX518&gt;=MAXSSDI),SSDI*MAXSSDI*P518,IF(AT518&lt;&gt;0,SSDI*W518,0))</f>
        <v>0</v>
      </c>
      <c r="BE518" s="462">
        <f>IF(AT518&lt;&gt;0,SSHI*W518,0)</f>
        <v>0</v>
      </c>
      <c r="BF518" s="462">
        <f>IF(AND(AT518&lt;&gt;0,AN518&lt;&gt;"NE"),VLOOKUP(AN518,Retirement_Rates,3,FALSE)*W518,0)</f>
        <v>0</v>
      </c>
      <c r="BG518" s="462">
        <f>IF(AND(AT518&lt;&gt;0,AJ518&lt;&gt;"PF"),Life*W518,0)</f>
        <v>0</v>
      </c>
      <c r="BH518" s="462">
        <f>IF(AND(AT518&lt;&gt;0,AM518="Y"),UI*W518,0)</f>
        <v>0</v>
      </c>
      <c r="BI518" s="462">
        <f>IF(AND(AT518&lt;&gt;0,N518&lt;&gt;"NR"),DHR*W518,0)</f>
        <v>0</v>
      </c>
      <c r="BJ518" s="462">
        <f>IF(AT518&lt;&gt;0,WC*W518,0)</f>
        <v>0</v>
      </c>
      <c r="BK518" s="462">
        <f>IF(OR(AND(AT518&lt;&gt;0,AJ518&lt;&gt;"PF",AN518&lt;&gt;"NE",AG518&lt;&gt;"A"),AND(AL518="E",OR(AT518=1,AT518=3))),Sick*W518,0)</f>
        <v>0</v>
      </c>
      <c r="BL518" s="462">
        <f t="shared" si="141"/>
        <v>0</v>
      </c>
      <c r="BM518" s="462">
        <f t="shared" si="142"/>
        <v>0</v>
      </c>
      <c r="BN518" s="462">
        <f>IF(AND(AT518=1,AK518="E",AU518&gt;=0.75,AW518=1),HealthBY,IF(AND(AT518=1,AK518="E",AU518&gt;=0.75),HealthBY*P518,IF(AND(AT518=1,AK518="E",AU518&gt;=0.5,AW518=1),PTHealthBY,IF(AND(AT518=1,AK518="E",AU518&gt;=0.5),PTHealthBY*P518,0))))</f>
        <v>0</v>
      </c>
      <c r="BO518" s="462">
        <f>IF(AND(AT518=3,AK518="E",AV518&gt;=0.75,AW518=1),HealthBY,IF(AND(AT518=3,AK518="E",AV518&gt;=0.75),HealthBY*P518,IF(AND(AT518=3,AK518="E",AV518&gt;=0.5,AW518=1),PTHealthBY,IF(AND(AT518=3,AK518="E",AV518&gt;=0.5),PTHealthBY*P518,0))))</f>
        <v>0</v>
      </c>
      <c r="BP518" s="462">
        <f>IF(AND(AT518&lt;&gt;0,(AX518+BA518)&gt;=MAXSSDIBY),SSDIBY*MAXSSDIBY*P518,IF(AT518&lt;&gt;0,SSDIBY*W518,0))</f>
        <v>0</v>
      </c>
      <c r="BQ518" s="462">
        <f>IF(AT518&lt;&gt;0,SSHIBY*W518,0)</f>
        <v>0</v>
      </c>
      <c r="BR518" s="462">
        <f>IF(AND(AT518&lt;&gt;0,AN518&lt;&gt;"NE"),VLOOKUP(AN518,Retirement_Rates,4,FALSE)*W518,0)</f>
        <v>0</v>
      </c>
      <c r="BS518" s="462">
        <f>IF(AND(AT518&lt;&gt;0,AJ518&lt;&gt;"PF"),LifeBY*W518,0)</f>
        <v>0</v>
      </c>
      <c r="BT518" s="462">
        <f>IF(AND(AT518&lt;&gt;0,AM518="Y"),UIBY*W518,0)</f>
        <v>0</v>
      </c>
      <c r="BU518" s="462">
        <f>IF(AND(AT518&lt;&gt;0,N518&lt;&gt;"NR"),DHRBY*W518,0)</f>
        <v>0</v>
      </c>
      <c r="BV518" s="462">
        <f>IF(AT518&lt;&gt;0,WCBY*W518,0)</f>
        <v>0</v>
      </c>
      <c r="BW518" s="462">
        <f>IF(OR(AND(AT518&lt;&gt;0,AJ518&lt;&gt;"PF",AN518&lt;&gt;"NE",AG518&lt;&gt;"A"),AND(AL518="E",OR(AT518=1,AT518=3))),SickBY*W518,0)</f>
        <v>0</v>
      </c>
      <c r="BX518" s="462">
        <f t="shared" si="143"/>
        <v>0</v>
      </c>
      <c r="BY518" s="462">
        <f t="shared" si="144"/>
        <v>0</v>
      </c>
      <c r="BZ518" s="462">
        <f t="shared" si="145"/>
        <v>0</v>
      </c>
      <c r="CA518" s="462">
        <f t="shared" si="146"/>
        <v>0</v>
      </c>
      <c r="CB518" s="462">
        <f t="shared" si="147"/>
        <v>0</v>
      </c>
      <c r="CC518" s="462">
        <f>IF(AT518&lt;&gt;0,SSHICHG*Y518,0)</f>
        <v>0</v>
      </c>
      <c r="CD518" s="462">
        <f>IF(AND(AT518&lt;&gt;0,AN518&lt;&gt;"NE"),VLOOKUP(AN518,Retirement_Rates,5,FALSE)*Y518,0)</f>
        <v>0</v>
      </c>
      <c r="CE518" s="462">
        <f>IF(AND(AT518&lt;&gt;0,AJ518&lt;&gt;"PF"),LifeCHG*Y518,0)</f>
        <v>0</v>
      </c>
      <c r="CF518" s="462">
        <f>IF(AND(AT518&lt;&gt;0,AM518="Y"),UICHG*Y518,0)</f>
        <v>0</v>
      </c>
      <c r="CG518" s="462">
        <f>IF(AND(AT518&lt;&gt;0,N518&lt;&gt;"NR"),DHRCHG*Y518,0)</f>
        <v>0</v>
      </c>
      <c r="CH518" s="462">
        <f>IF(AT518&lt;&gt;0,WCCHG*Y518,0)</f>
        <v>0</v>
      </c>
      <c r="CI518" s="462">
        <f>IF(OR(AND(AT518&lt;&gt;0,AJ518&lt;&gt;"PF",AN518&lt;&gt;"NE",AG518&lt;&gt;"A"),AND(AL518="E",OR(AT518=1,AT518=3))),SickCHG*Y518,0)</f>
        <v>0</v>
      </c>
      <c r="CJ518" s="462">
        <f t="shared" si="148"/>
        <v>0</v>
      </c>
      <c r="CK518" s="462" t="str">
        <f t="shared" si="149"/>
        <v/>
      </c>
      <c r="CL518" s="462">
        <f t="shared" si="150"/>
        <v>0</v>
      </c>
      <c r="CM518" s="462">
        <f t="shared" si="151"/>
        <v>0</v>
      </c>
      <c r="CN518" s="462" t="str">
        <f t="shared" si="152"/>
        <v>0486-00</v>
      </c>
    </row>
    <row r="519" spans="1:92" ht="15" thickBot="1" x14ac:dyDescent="0.35">
      <c r="A519" s="376" t="s">
        <v>161</v>
      </c>
      <c r="B519" s="376" t="s">
        <v>162</v>
      </c>
      <c r="C519" s="376" t="s">
        <v>1202</v>
      </c>
      <c r="D519" s="376" t="s">
        <v>1150</v>
      </c>
      <c r="E519" s="376" t="s">
        <v>1140</v>
      </c>
      <c r="F519" s="377" t="s">
        <v>166</v>
      </c>
      <c r="G519" s="376" t="s">
        <v>1141</v>
      </c>
      <c r="H519" s="378"/>
      <c r="I519" s="378"/>
      <c r="J519" s="376" t="s">
        <v>168</v>
      </c>
      <c r="K519" s="376" t="s">
        <v>1151</v>
      </c>
      <c r="L519" s="376" t="s">
        <v>166</v>
      </c>
      <c r="M519" s="376" t="s">
        <v>201</v>
      </c>
      <c r="N519" s="376" t="s">
        <v>291</v>
      </c>
      <c r="O519" s="379">
        <v>0</v>
      </c>
      <c r="P519" s="460">
        <v>1</v>
      </c>
      <c r="Q519" s="460">
        <v>0</v>
      </c>
      <c r="R519" s="380">
        <v>0</v>
      </c>
      <c r="S519" s="460">
        <v>0</v>
      </c>
      <c r="T519" s="380">
        <v>0</v>
      </c>
      <c r="U519" s="380">
        <v>0</v>
      </c>
      <c r="V519" s="380">
        <v>0</v>
      </c>
      <c r="W519" s="380">
        <v>0</v>
      </c>
      <c r="X519" s="380">
        <v>0</v>
      </c>
      <c r="Y519" s="380">
        <v>0</v>
      </c>
      <c r="Z519" s="380">
        <v>0</v>
      </c>
      <c r="AA519" s="378"/>
      <c r="AB519" s="376" t="s">
        <v>45</v>
      </c>
      <c r="AC519" s="376" t="s">
        <v>45</v>
      </c>
      <c r="AD519" s="378"/>
      <c r="AE519" s="378"/>
      <c r="AF519" s="378"/>
      <c r="AG519" s="378"/>
      <c r="AH519" s="379">
        <v>0</v>
      </c>
      <c r="AI519" s="379">
        <v>0</v>
      </c>
      <c r="AJ519" s="378"/>
      <c r="AK519" s="378"/>
      <c r="AL519" s="376" t="s">
        <v>180</v>
      </c>
      <c r="AM519" s="378"/>
      <c r="AN519" s="378"/>
      <c r="AO519" s="379">
        <v>0</v>
      </c>
      <c r="AP519" s="460">
        <v>0</v>
      </c>
      <c r="AQ519" s="460">
        <v>0</v>
      </c>
      <c r="AR519" s="459"/>
      <c r="AS519" s="462">
        <f t="shared" si="136"/>
        <v>0</v>
      </c>
      <c r="AT519">
        <f t="shared" si="137"/>
        <v>0</v>
      </c>
      <c r="AU519" s="462" t="str">
        <f>IF(AT519=0,"",IF(AND(AT519=1,M519="F",SUMIF(C2:C698,C519,AS2:AS698)&lt;=1),SUMIF(C2:C698,C519,AS2:AS698),IF(AND(AT519=1,M519="F",SUMIF(C2:C698,C519,AS2:AS698)&gt;1),1,"")))</f>
        <v/>
      </c>
      <c r="AV519" s="462" t="str">
        <f>IF(AT519=0,"",IF(AND(AT519=3,M519="F",SUMIF(C2:C698,C519,AS2:AS698)&lt;=1),SUMIF(C2:C698,C519,AS2:AS698),IF(AND(AT519=3,M519="F",SUMIF(C2:C698,C519,AS2:AS698)&gt;1),1,"")))</f>
        <v/>
      </c>
      <c r="AW519" s="462">
        <f>SUMIF(C2:C698,C519,O2:O698)</f>
        <v>0</v>
      </c>
      <c r="AX519" s="462">
        <f>IF(AND(M519="F",AS519&lt;&gt;0),SUMIF(C2:C698,C519,W2:W698),0)</f>
        <v>0</v>
      </c>
      <c r="AY519" s="462" t="str">
        <f t="shared" si="138"/>
        <v/>
      </c>
      <c r="AZ519" s="462" t="str">
        <f t="shared" si="139"/>
        <v/>
      </c>
      <c r="BA519" s="462">
        <f t="shared" si="140"/>
        <v>0</v>
      </c>
      <c r="BB519" s="462">
        <f>IF(AND(AT519=1,AK519="E",AU519&gt;=0.75,AW519=1),Health,IF(AND(AT519=1,AK519="E",AU519&gt;=0.75),Health*P519,IF(AND(AT519=1,AK519="E",AU519&gt;=0.5,AW519=1),PTHealth,IF(AND(AT519=1,AK519="E",AU519&gt;=0.5),PTHealth*P519,0))))</f>
        <v>0</v>
      </c>
      <c r="BC519" s="462">
        <f>IF(AND(AT519=3,AK519="E",AV519&gt;=0.75,AW519=1),Health,IF(AND(AT519=3,AK519="E",AV519&gt;=0.75),Health*P519,IF(AND(AT519=3,AK519="E",AV519&gt;=0.5,AW519=1),PTHealth,IF(AND(AT519=3,AK519="E",AV519&gt;=0.5),PTHealth*P519,0))))</f>
        <v>0</v>
      </c>
      <c r="BD519" s="462">
        <f>IF(AND(AT519&lt;&gt;0,AX519&gt;=MAXSSDI),SSDI*MAXSSDI*P519,IF(AT519&lt;&gt;0,SSDI*W519,0))</f>
        <v>0</v>
      </c>
      <c r="BE519" s="462">
        <f>IF(AT519&lt;&gt;0,SSHI*W519,0)</f>
        <v>0</v>
      </c>
      <c r="BF519" s="462">
        <f>IF(AND(AT519&lt;&gt;0,AN519&lt;&gt;"NE"),VLOOKUP(AN519,Retirement_Rates,3,FALSE)*W519,0)</f>
        <v>0</v>
      </c>
      <c r="BG519" s="462">
        <f>IF(AND(AT519&lt;&gt;0,AJ519&lt;&gt;"PF"),Life*W519,0)</f>
        <v>0</v>
      </c>
      <c r="BH519" s="462">
        <f>IF(AND(AT519&lt;&gt;0,AM519="Y"),UI*W519,0)</f>
        <v>0</v>
      </c>
      <c r="BI519" s="462">
        <f>IF(AND(AT519&lt;&gt;0,N519&lt;&gt;"NR"),DHR*W519,0)</f>
        <v>0</v>
      </c>
      <c r="BJ519" s="462">
        <f>IF(AT519&lt;&gt;0,WC*W519,0)</f>
        <v>0</v>
      </c>
      <c r="BK519" s="462">
        <f>IF(OR(AND(AT519&lt;&gt;0,AJ519&lt;&gt;"PF",AN519&lt;&gt;"NE",AG519&lt;&gt;"A"),AND(AL519="E",OR(AT519=1,AT519=3))),Sick*W519,0)</f>
        <v>0</v>
      </c>
      <c r="BL519" s="462">
        <f t="shared" si="141"/>
        <v>0</v>
      </c>
      <c r="BM519" s="462">
        <f t="shared" si="142"/>
        <v>0</v>
      </c>
      <c r="BN519" s="462">
        <f>IF(AND(AT519=1,AK519="E",AU519&gt;=0.75,AW519=1),HealthBY,IF(AND(AT519=1,AK519="E",AU519&gt;=0.75),HealthBY*P519,IF(AND(AT519=1,AK519="E",AU519&gt;=0.5,AW519=1),PTHealthBY,IF(AND(AT519=1,AK519="E",AU519&gt;=0.5),PTHealthBY*P519,0))))</f>
        <v>0</v>
      </c>
      <c r="BO519" s="462">
        <f>IF(AND(AT519=3,AK519="E",AV519&gt;=0.75,AW519=1),HealthBY,IF(AND(AT519=3,AK519="E",AV519&gt;=0.75),HealthBY*P519,IF(AND(AT519=3,AK519="E",AV519&gt;=0.5,AW519=1),PTHealthBY,IF(AND(AT519=3,AK519="E",AV519&gt;=0.5),PTHealthBY*P519,0))))</f>
        <v>0</v>
      </c>
      <c r="BP519" s="462">
        <f>IF(AND(AT519&lt;&gt;0,(AX519+BA519)&gt;=MAXSSDIBY),SSDIBY*MAXSSDIBY*P519,IF(AT519&lt;&gt;0,SSDIBY*W519,0))</f>
        <v>0</v>
      </c>
      <c r="BQ519" s="462">
        <f>IF(AT519&lt;&gt;0,SSHIBY*W519,0)</f>
        <v>0</v>
      </c>
      <c r="BR519" s="462">
        <f>IF(AND(AT519&lt;&gt;0,AN519&lt;&gt;"NE"),VLOOKUP(AN519,Retirement_Rates,4,FALSE)*W519,0)</f>
        <v>0</v>
      </c>
      <c r="BS519" s="462">
        <f>IF(AND(AT519&lt;&gt;0,AJ519&lt;&gt;"PF"),LifeBY*W519,0)</f>
        <v>0</v>
      </c>
      <c r="BT519" s="462">
        <f>IF(AND(AT519&lt;&gt;0,AM519="Y"),UIBY*W519,0)</f>
        <v>0</v>
      </c>
      <c r="BU519" s="462">
        <f>IF(AND(AT519&lt;&gt;0,N519&lt;&gt;"NR"),DHRBY*W519,0)</f>
        <v>0</v>
      </c>
      <c r="BV519" s="462">
        <f>IF(AT519&lt;&gt;0,WCBY*W519,0)</f>
        <v>0</v>
      </c>
      <c r="BW519" s="462">
        <f>IF(OR(AND(AT519&lt;&gt;0,AJ519&lt;&gt;"PF",AN519&lt;&gt;"NE",AG519&lt;&gt;"A"),AND(AL519="E",OR(AT519=1,AT519=3))),SickBY*W519,0)</f>
        <v>0</v>
      </c>
      <c r="BX519" s="462">
        <f t="shared" si="143"/>
        <v>0</v>
      </c>
      <c r="BY519" s="462">
        <f t="shared" si="144"/>
        <v>0</v>
      </c>
      <c r="BZ519" s="462">
        <f t="shared" si="145"/>
        <v>0</v>
      </c>
      <c r="CA519" s="462">
        <f t="shared" si="146"/>
        <v>0</v>
      </c>
      <c r="CB519" s="462">
        <f t="shared" si="147"/>
        <v>0</v>
      </c>
      <c r="CC519" s="462">
        <f>IF(AT519&lt;&gt;0,SSHICHG*Y519,0)</f>
        <v>0</v>
      </c>
      <c r="CD519" s="462">
        <f>IF(AND(AT519&lt;&gt;0,AN519&lt;&gt;"NE"),VLOOKUP(AN519,Retirement_Rates,5,FALSE)*Y519,0)</f>
        <v>0</v>
      </c>
      <c r="CE519" s="462">
        <f>IF(AND(AT519&lt;&gt;0,AJ519&lt;&gt;"PF"),LifeCHG*Y519,0)</f>
        <v>0</v>
      </c>
      <c r="CF519" s="462">
        <f>IF(AND(AT519&lt;&gt;0,AM519="Y"),UICHG*Y519,0)</f>
        <v>0</v>
      </c>
      <c r="CG519" s="462">
        <f>IF(AND(AT519&lt;&gt;0,N519&lt;&gt;"NR"),DHRCHG*Y519,0)</f>
        <v>0</v>
      </c>
      <c r="CH519" s="462">
        <f>IF(AT519&lt;&gt;0,WCCHG*Y519,0)</f>
        <v>0</v>
      </c>
      <c r="CI519" s="462">
        <f>IF(OR(AND(AT519&lt;&gt;0,AJ519&lt;&gt;"PF",AN519&lt;&gt;"NE",AG519&lt;&gt;"A"),AND(AL519="E",OR(AT519=1,AT519=3))),SickCHG*Y519,0)</f>
        <v>0</v>
      </c>
      <c r="CJ519" s="462">
        <f t="shared" si="148"/>
        <v>0</v>
      </c>
      <c r="CK519" s="462" t="str">
        <f t="shared" si="149"/>
        <v/>
      </c>
      <c r="CL519" s="462">
        <f t="shared" si="150"/>
        <v>0</v>
      </c>
      <c r="CM519" s="462">
        <f t="shared" si="151"/>
        <v>0</v>
      </c>
      <c r="CN519" s="462" t="str">
        <f t="shared" si="152"/>
        <v>0486-00</v>
      </c>
    </row>
    <row r="520" spans="1:92" ht="15" thickBot="1" x14ac:dyDescent="0.35">
      <c r="A520" s="376" t="s">
        <v>161</v>
      </c>
      <c r="B520" s="376" t="s">
        <v>162</v>
      </c>
      <c r="C520" s="376" t="s">
        <v>1203</v>
      </c>
      <c r="D520" s="376" t="s">
        <v>1169</v>
      </c>
      <c r="E520" s="376" t="s">
        <v>1140</v>
      </c>
      <c r="F520" s="377" t="s">
        <v>166</v>
      </c>
      <c r="G520" s="376" t="s">
        <v>1141</v>
      </c>
      <c r="H520" s="378"/>
      <c r="I520" s="378"/>
      <c r="J520" s="376" t="s">
        <v>168</v>
      </c>
      <c r="K520" s="376" t="s">
        <v>1170</v>
      </c>
      <c r="L520" s="376" t="s">
        <v>166</v>
      </c>
      <c r="M520" s="376" t="s">
        <v>201</v>
      </c>
      <c r="N520" s="376" t="s">
        <v>291</v>
      </c>
      <c r="O520" s="379">
        <v>0</v>
      </c>
      <c r="P520" s="460">
        <v>1</v>
      </c>
      <c r="Q520" s="460">
        <v>0</v>
      </c>
      <c r="R520" s="380">
        <v>0</v>
      </c>
      <c r="S520" s="460">
        <v>0</v>
      </c>
      <c r="T520" s="380">
        <v>0</v>
      </c>
      <c r="U520" s="380">
        <v>0</v>
      </c>
      <c r="V520" s="380">
        <v>0</v>
      </c>
      <c r="W520" s="380">
        <v>0</v>
      </c>
      <c r="X520" s="380">
        <v>0</v>
      </c>
      <c r="Y520" s="380">
        <v>0</v>
      </c>
      <c r="Z520" s="380">
        <v>0</v>
      </c>
      <c r="AA520" s="378"/>
      <c r="AB520" s="376" t="s">
        <v>45</v>
      </c>
      <c r="AC520" s="376" t="s">
        <v>45</v>
      </c>
      <c r="AD520" s="378"/>
      <c r="AE520" s="378"/>
      <c r="AF520" s="378"/>
      <c r="AG520" s="378"/>
      <c r="AH520" s="379">
        <v>0</v>
      </c>
      <c r="AI520" s="379">
        <v>0</v>
      </c>
      <c r="AJ520" s="378"/>
      <c r="AK520" s="378"/>
      <c r="AL520" s="376" t="s">
        <v>180</v>
      </c>
      <c r="AM520" s="378"/>
      <c r="AN520" s="378"/>
      <c r="AO520" s="379">
        <v>0</v>
      </c>
      <c r="AP520" s="460">
        <v>0</v>
      </c>
      <c r="AQ520" s="460">
        <v>0</v>
      </c>
      <c r="AR520" s="459"/>
      <c r="AS520" s="462">
        <f t="shared" si="136"/>
        <v>0</v>
      </c>
      <c r="AT520">
        <f t="shared" si="137"/>
        <v>0</v>
      </c>
      <c r="AU520" s="462" t="str">
        <f>IF(AT520=0,"",IF(AND(AT520=1,M520="F",SUMIF(C2:C698,C520,AS2:AS698)&lt;=1),SUMIF(C2:C698,C520,AS2:AS698),IF(AND(AT520=1,M520="F",SUMIF(C2:C698,C520,AS2:AS698)&gt;1),1,"")))</f>
        <v/>
      </c>
      <c r="AV520" s="462" t="str">
        <f>IF(AT520=0,"",IF(AND(AT520=3,M520="F",SUMIF(C2:C698,C520,AS2:AS698)&lt;=1),SUMIF(C2:C698,C520,AS2:AS698),IF(AND(AT520=3,M520="F",SUMIF(C2:C698,C520,AS2:AS698)&gt;1),1,"")))</f>
        <v/>
      </c>
      <c r="AW520" s="462">
        <f>SUMIF(C2:C698,C520,O2:O698)</f>
        <v>0</v>
      </c>
      <c r="AX520" s="462">
        <f>IF(AND(M520="F",AS520&lt;&gt;0),SUMIF(C2:C698,C520,W2:W698),0)</f>
        <v>0</v>
      </c>
      <c r="AY520" s="462" t="str">
        <f t="shared" si="138"/>
        <v/>
      </c>
      <c r="AZ520" s="462" t="str">
        <f t="shared" si="139"/>
        <v/>
      </c>
      <c r="BA520" s="462">
        <f t="shared" si="140"/>
        <v>0</v>
      </c>
      <c r="BB520" s="462">
        <f>IF(AND(AT520=1,AK520="E",AU520&gt;=0.75,AW520=1),Health,IF(AND(AT520=1,AK520="E",AU520&gt;=0.75),Health*P520,IF(AND(AT520=1,AK520="E",AU520&gt;=0.5,AW520=1),PTHealth,IF(AND(AT520=1,AK520="E",AU520&gt;=0.5),PTHealth*P520,0))))</f>
        <v>0</v>
      </c>
      <c r="BC520" s="462">
        <f>IF(AND(AT520=3,AK520="E",AV520&gt;=0.75,AW520=1),Health,IF(AND(AT520=3,AK520="E",AV520&gt;=0.75),Health*P520,IF(AND(AT520=3,AK520="E",AV520&gt;=0.5,AW520=1),PTHealth,IF(AND(AT520=3,AK520="E",AV520&gt;=0.5),PTHealth*P520,0))))</f>
        <v>0</v>
      </c>
      <c r="BD520" s="462">
        <f>IF(AND(AT520&lt;&gt;0,AX520&gt;=MAXSSDI),SSDI*MAXSSDI*P520,IF(AT520&lt;&gt;0,SSDI*W520,0))</f>
        <v>0</v>
      </c>
      <c r="BE520" s="462">
        <f>IF(AT520&lt;&gt;0,SSHI*W520,0)</f>
        <v>0</v>
      </c>
      <c r="BF520" s="462">
        <f>IF(AND(AT520&lt;&gt;0,AN520&lt;&gt;"NE"),VLOOKUP(AN520,Retirement_Rates,3,FALSE)*W520,0)</f>
        <v>0</v>
      </c>
      <c r="BG520" s="462">
        <f>IF(AND(AT520&lt;&gt;0,AJ520&lt;&gt;"PF"),Life*W520,0)</f>
        <v>0</v>
      </c>
      <c r="BH520" s="462">
        <f>IF(AND(AT520&lt;&gt;0,AM520="Y"),UI*W520,0)</f>
        <v>0</v>
      </c>
      <c r="BI520" s="462">
        <f>IF(AND(AT520&lt;&gt;0,N520&lt;&gt;"NR"),DHR*W520,0)</f>
        <v>0</v>
      </c>
      <c r="BJ520" s="462">
        <f>IF(AT520&lt;&gt;0,WC*W520,0)</f>
        <v>0</v>
      </c>
      <c r="BK520" s="462">
        <f>IF(OR(AND(AT520&lt;&gt;0,AJ520&lt;&gt;"PF",AN520&lt;&gt;"NE",AG520&lt;&gt;"A"),AND(AL520="E",OR(AT520=1,AT520=3))),Sick*W520,0)</f>
        <v>0</v>
      </c>
      <c r="BL520" s="462">
        <f t="shared" si="141"/>
        <v>0</v>
      </c>
      <c r="BM520" s="462">
        <f t="shared" si="142"/>
        <v>0</v>
      </c>
      <c r="BN520" s="462">
        <f>IF(AND(AT520=1,AK520="E",AU520&gt;=0.75,AW520=1),HealthBY,IF(AND(AT520=1,AK520="E",AU520&gt;=0.75),HealthBY*P520,IF(AND(AT520=1,AK520="E",AU520&gt;=0.5,AW520=1),PTHealthBY,IF(AND(AT520=1,AK520="E",AU520&gt;=0.5),PTHealthBY*P520,0))))</f>
        <v>0</v>
      </c>
      <c r="BO520" s="462">
        <f>IF(AND(AT520=3,AK520="E",AV520&gt;=0.75,AW520=1),HealthBY,IF(AND(AT520=3,AK520="E",AV520&gt;=0.75),HealthBY*P520,IF(AND(AT520=3,AK520="E",AV520&gt;=0.5,AW520=1),PTHealthBY,IF(AND(AT520=3,AK520="E",AV520&gt;=0.5),PTHealthBY*P520,0))))</f>
        <v>0</v>
      </c>
      <c r="BP520" s="462">
        <f>IF(AND(AT520&lt;&gt;0,(AX520+BA520)&gt;=MAXSSDIBY),SSDIBY*MAXSSDIBY*P520,IF(AT520&lt;&gt;0,SSDIBY*W520,0))</f>
        <v>0</v>
      </c>
      <c r="BQ520" s="462">
        <f>IF(AT520&lt;&gt;0,SSHIBY*W520,0)</f>
        <v>0</v>
      </c>
      <c r="BR520" s="462">
        <f>IF(AND(AT520&lt;&gt;0,AN520&lt;&gt;"NE"),VLOOKUP(AN520,Retirement_Rates,4,FALSE)*W520,0)</f>
        <v>0</v>
      </c>
      <c r="BS520" s="462">
        <f>IF(AND(AT520&lt;&gt;0,AJ520&lt;&gt;"PF"),LifeBY*W520,0)</f>
        <v>0</v>
      </c>
      <c r="BT520" s="462">
        <f>IF(AND(AT520&lt;&gt;0,AM520="Y"),UIBY*W520,0)</f>
        <v>0</v>
      </c>
      <c r="BU520" s="462">
        <f>IF(AND(AT520&lt;&gt;0,N520&lt;&gt;"NR"),DHRBY*W520,0)</f>
        <v>0</v>
      </c>
      <c r="BV520" s="462">
        <f>IF(AT520&lt;&gt;0,WCBY*W520,0)</f>
        <v>0</v>
      </c>
      <c r="BW520" s="462">
        <f>IF(OR(AND(AT520&lt;&gt;0,AJ520&lt;&gt;"PF",AN520&lt;&gt;"NE",AG520&lt;&gt;"A"),AND(AL520="E",OR(AT520=1,AT520=3))),SickBY*W520,0)</f>
        <v>0</v>
      </c>
      <c r="BX520" s="462">
        <f t="shared" si="143"/>
        <v>0</v>
      </c>
      <c r="BY520" s="462">
        <f t="shared" si="144"/>
        <v>0</v>
      </c>
      <c r="BZ520" s="462">
        <f t="shared" si="145"/>
        <v>0</v>
      </c>
      <c r="CA520" s="462">
        <f t="shared" si="146"/>
        <v>0</v>
      </c>
      <c r="CB520" s="462">
        <f t="shared" si="147"/>
        <v>0</v>
      </c>
      <c r="CC520" s="462">
        <f>IF(AT520&lt;&gt;0,SSHICHG*Y520,0)</f>
        <v>0</v>
      </c>
      <c r="CD520" s="462">
        <f>IF(AND(AT520&lt;&gt;0,AN520&lt;&gt;"NE"),VLOOKUP(AN520,Retirement_Rates,5,FALSE)*Y520,0)</f>
        <v>0</v>
      </c>
      <c r="CE520" s="462">
        <f>IF(AND(AT520&lt;&gt;0,AJ520&lt;&gt;"PF"),LifeCHG*Y520,0)</f>
        <v>0</v>
      </c>
      <c r="CF520" s="462">
        <f>IF(AND(AT520&lt;&gt;0,AM520="Y"),UICHG*Y520,0)</f>
        <v>0</v>
      </c>
      <c r="CG520" s="462">
        <f>IF(AND(AT520&lt;&gt;0,N520&lt;&gt;"NR"),DHRCHG*Y520,0)</f>
        <v>0</v>
      </c>
      <c r="CH520" s="462">
        <f>IF(AT520&lt;&gt;0,WCCHG*Y520,0)</f>
        <v>0</v>
      </c>
      <c r="CI520" s="462">
        <f>IF(OR(AND(AT520&lt;&gt;0,AJ520&lt;&gt;"PF",AN520&lt;&gt;"NE",AG520&lt;&gt;"A"),AND(AL520="E",OR(AT520=1,AT520=3))),SickCHG*Y520,0)</f>
        <v>0</v>
      </c>
      <c r="CJ520" s="462">
        <f t="shared" si="148"/>
        <v>0</v>
      </c>
      <c r="CK520" s="462" t="str">
        <f t="shared" si="149"/>
        <v/>
      </c>
      <c r="CL520" s="462">
        <f t="shared" si="150"/>
        <v>0</v>
      </c>
      <c r="CM520" s="462">
        <f t="shared" si="151"/>
        <v>0</v>
      </c>
      <c r="CN520" s="462" t="str">
        <f t="shared" si="152"/>
        <v>0486-00</v>
      </c>
    </row>
    <row r="521" spans="1:92" ht="15" thickBot="1" x14ac:dyDescent="0.35">
      <c r="A521" s="376" t="s">
        <v>161</v>
      </c>
      <c r="B521" s="376" t="s">
        <v>162</v>
      </c>
      <c r="C521" s="376" t="s">
        <v>1204</v>
      </c>
      <c r="D521" s="376" t="s">
        <v>1147</v>
      </c>
      <c r="E521" s="376" t="s">
        <v>1140</v>
      </c>
      <c r="F521" s="377" t="s">
        <v>166</v>
      </c>
      <c r="G521" s="376" t="s">
        <v>1141</v>
      </c>
      <c r="H521" s="378"/>
      <c r="I521" s="378"/>
      <c r="J521" s="376" t="s">
        <v>168</v>
      </c>
      <c r="K521" s="376" t="s">
        <v>1148</v>
      </c>
      <c r="L521" s="376" t="s">
        <v>166</v>
      </c>
      <c r="M521" s="376" t="s">
        <v>201</v>
      </c>
      <c r="N521" s="376" t="s">
        <v>291</v>
      </c>
      <c r="O521" s="379">
        <v>0</v>
      </c>
      <c r="P521" s="460">
        <v>1</v>
      </c>
      <c r="Q521" s="460">
        <v>0</v>
      </c>
      <c r="R521" s="380">
        <v>0</v>
      </c>
      <c r="S521" s="460">
        <v>0</v>
      </c>
      <c r="T521" s="380">
        <v>0</v>
      </c>
      <c r="U521" s="380">
        <v>0</v>
      </c>
      <c r="V521" s="380">
        <v>0</v>
      </c>
      <c r="W521" s="380">
        <v>0</v>
      </c>
      <c r="X521" s="380">
        <v>0</v>
      </c>
      <c r="Y521" s="380">
        <v>0</v>
      </c>
      <c r="Z521" s="380">
        <v>0</v>
      </c>
      <c r="AA521" s="378"/>
      <c r="AB521" s="376" t="s">
        <v>45</v>
      </c>
      <c r="AC521" s="376" t="s">
        <v>45</v>
      </c>
      <c r="AD521" s="378"/>
      <c r="AE521" s="378"/>
      <c r="AF521" s="378"/>
      <c r="AG521" s="378"/>
      <c r="AH521" s="379">
        <v>0</v>
      </c>
      <c r="AI521" s="379">
        <v>0</v>
      </c>
      <c r="AJ521" s="378"/>
      <c r="AK521" s="378"/>
      <c r="AL521" s="376" t="s">
        <v>180</v>
      </c>
      <c r="AM521" s="378"/>
      <c r="AN521" s="378"/>
      <c r="AO521" s="379">
        <v>0</v>
      </c>
      <c r="AP521" s="460">
        <v>0</v>
      </c>
      <c r="AQ521" s="460">
        <v>0</v>
      </c>
      <c r="AR521" s="459"/>
      <c r="AS521" s="462">
        <f t="shared" si="136"/>
        <v>0</v>
      </c>
      <c r="AT521">
        <f t="shared" si="137"/>
        <v>0</v>
      </c>
      <c r="AU521" s="462" t="str">
        <f>IF(AT521=0,"",IF(AND(AT521=1,M521="F",SUMIF(C2:C698,C521,AS2:AS698)&lt;=1),SUMIF(C2:C698,C521,AS2:AS698),IF(AND(AT521=1,M521="F",SUMIF(C2:C698,C521,AS2:AS698)&gt;1),1,"")))</f>
        <v/>
      </c>
      <c r="AV521" s="462" t="str">
        <f>IF(AT521=0,"",IF(AND(AT521=3,M521="F",SUMIF(C2:C698,C521,AS2:AS698)&lt;=1),SUMIF(C2:C698,C521,AS2:AS698),IF(AND(AT521=3,M521="F",SUMIF(C2:C698,C521,AS2:AS698)&gt;1),1,"")))</f>
        <v/>
      </c>
      <c r="AW521" s="462">
        <f>SUMIF(C2:C698,C521,O2:O698)</f>
        <v>0</v>
      </c>
      <c r="AX521" s="462">
        <f>IF(AND(M521="F",AS521&lt;&gt;0),SUMIF(C2:C698,C521,W2:W698),0)</f>
        <v>0</v>
      </c>
      <c r="AY521" s="462" t="str">
        <f t="shared" si="138"/>
        <v/>
      </c>
      <c r="AZ521" s="462" t="str">
        <f t="shared" si="139"/>
        <v/>
      </c>
      <c r="BA521" s="462">
        <f t="shared" si="140"/>
        <v>0</v>
      </c>
      <c r="BB521" s="462">
        <f>IF(AND(AT521=1,AK521="E",AU521&gt;=0.75,AW521=1),Health,IF(AND(AT521=1,AK521="E",AU521&gt;=0.75),Health*P521,IF(AND(AT521=1,AK521="E",AU521&gt;=0.5,AW521=1),PTHealth,IF(AND(AT521=1,AK521="E",AU521&gt;=0.5),PTHealth*P521,0))))</f>
        <v>0</v>
      </c>
      <c r="BC521" s="462">
        <f>IF(AND(AT521=3,AK521="E",AV521&gt;=0.75,AW521=1),Health,IF(AND(AT521=3,AK521="E",AV521&gt;=0.75),Health*P521,IF(AND(AT521=3,AK521="E",AV521&gt;=0.5,AW521=1),PTHealth,IF(AND(AT521=3,AK521="E",AV521&gt;=0.5),PTHealth*P521,0))))</f>
        <v>0</v>
      </c>
      <c r="BD521" s="462">
        <f>IF(AND(AT521&lt;&gt;0,AX521&gt;=MAXSSDI),SSDI*MAXSSDI*P521,IF(AT521&lt;&gt;0,SSDI*W521,0))</f>
        <v>0</v>
      </c>
      <c r="BE521" s="462">
        <f>IF(AT521&lt;&gt;0,SSHI*W521,0)</f>
        <v>0</v>
      </c>
      <c r="BF521" s="462">
        <f>IF(AND(AT521&lt;&gt;0,AN521&lt;&gt;"NE"),VLOOKUP(AN521,Retirement_Rates,3,FALSE)*W521,0)</f>
        <v>0</v>
      </c>
      <c r="BG521" s="462">
        <f>IF(AND(AT521&lt;&gt;0,AJ521&lt;&gt;"PF"),Life*W521,0)</f>
        <v>0</v>
      </c>
      <c r="BH521" s="462">
        <f>IF(AND(AT521&lt;&gt;0,AM521="Y"),UI*W521,0)</f>
        <v>0</v>
      </c>
      <c r="BI521" s="462">
        <f>IF(AND(AT521&lt;&gt;0,N521&lt;&gt;"NR"),DHR*W521,0)</f>
        <v>0</v>
      </c>
      <c r="BJ521" s="462">
        <f>IF(AT521&lt;&gt;0,WC*W521,0)</f>
        <v>0</v>
      </c>
      <c r="BK521" s="462">
        <f>IF(OR(AND(AT521&lt;&gt;0,AJ521&lt;&gt;"PF",AN521&lt;&gt;"NE",AG521&lt;&gt;"A"),AND(AL521="E",OR(AT521=1,AT521=3))),Sick*W521,0)</f>
        <v>0</v>
      </c>
      <c r="BL521" s="462">
        <f t="shared" si="141"/>
        <v>0</v>
      </c>
      <c r="BM521" s="462">
        <f t="shared" si="142"/>
        <v>0</v>
      </c>
      <c r="BN521" s="462">
        <f>IF(AND(AT521=1,AK521="E",AU521&gt;=0.75,AW521=1),HealthBY,IF(AND(AT521=1,AK521="E",AU521&gt;=0.75),HealthBY*P521,IF(AND(AT521=1,AK521="E",AU521&gt;=0.5,AW521=1),PTHealthBY,IF(AND(AT521=1,AK521="E",AU521&gt;=0.5),PTHealthBY*P521,0))))</f>
        <v>0</v>
      </c>
      <c r="BO521" s="462">
        <f>IF(AND(AT521=3,AK521="E",AV521&gt;=0.75,AW521=1),HealthBY,IF(AND(AT521=3,AK521="E",AV521&gt;=0.75),HealthBY*P521,IF(AND(AT521=3,AK521="E",AV521&gt;=0.5,AW521=1),PTHealthBY,IF(AND(AT521=3,AK521="E",AV521&gt;=0.5),PTHealthBY*P521,0))))</f>
        <v>0</v>
      </c>
      <c r="BP521" s="462">
        <f>IF(AND(AT521&lt;&gt;0,(AX521+BA521)&gt;=MAXSSDIBY),SSDIBY*MAXSSDIBY*P521,IF(AT521&lt;&gt;0,SSDIBY*W521,0))</f>
        <v>0</v>
      </c>
      <c r="BQ521" s="462">
        <f>IF(AT521&lt;&gt;0,SSHIBY*W521,0)</f>
        <v>0</v>
      </c>
      <c r="BR521" s="462">
        <f>IF(AND(AT521&lt;&gt;0,AN521&lt;&gt;"NE"),VLOOKUP(AN521,Retirement_Rates,4,FALSE)*W521,0)</f>
        <v>0</v>
      </c>
      <c r="BS521" s="462">
        <f>IF(AND(AT521&lt;&gt;0,AJ521&lt;&gt;"PF"),LifeBY*W521,0)</f>
        <v>0</v>
      </c>
      <c r="BT521" s="462">
        <f>IF(AND(AT521&lt;&gt;0,AM521="Y"),UIBY*W521,0)</f>
        <v>0</v>
      </c>
      <c r="BU521" s="462">
        <f>IF(AND(AT521&lt;&gt;0,N521&lt;&gt;"NR"),DHRBY*W521,0)</f>
        <v>0</v>
      </c>
      <c r="BV521" s="462">
        <f>IF(AT521&lt;&gt;0,WCBY*W521,0)</f>
        <v>0</v>
      </c>
      <c r="BW521" s="462">
        <f>IF(OR(AND(AT521&lt;&gt;0,AJ521&lt;&gt;"PF",AN521&lt;&gt;"NE",AG521&lt;&gt;"A"),AND(AL521="E",OR(AT521=1,AT521=3))),SickBY*W521,0)</f>
        <v>0</v>
      </c>
      <c r="BX521" s="462">
        <f t="shared" si="143"/>
        <v>0</v>
      </c>
      <c r="BY521" s="462">
        <f t="shared" si="144"/>
        <v>0</v>
      </c>
      <c r="BZ521" s="462">
        <f t="shared" si="145"/>
        <v>0</v>
      </c>
      <c r="CA521" s="462">
        <f t="shared" si="146"/>
        <v>0</v>
      </c>
      <c r="CB521" s="462">
        <f t="shared" si="147"/>
        <v>0</v>
      </c>
      <c r="CC521" s="462">
        <f>IF(AT521&lt;&gt;0,SSHICHG*Y521,0)</f>
        <v>0</v>
      </c>
      <c r="CD521" s="462">
        <f>IF(AND(AT521&lt;&gt;0,AN521&lt;&gt;"NE"),VLOOKUP(AN521,Retirement_Rates,5,FALSE)*Y521,0)</f>
        <v>0</v>
      </c>
      <c r="CE521" s="462">
        <f>IF(AND(AT521&lt;&gt;0,AJ521&lt;&gt;"PF"),LifeCHG*Y521,0)</f>
        <v>0</v>
      </c>
      <c r="CF521" s="462">
        <f>IF(AND(AT521&lt;&gt;0,AM521="Y"),UICHG*Y521,0)</f>
        <v>0</v>
      </c>
      <c r="CG521" s="462">
        <f>IF(AND(AT521&lt;&gt;0,N521&lt;&gt;"NR"),DHRCHG*Y521,0)</f>
        <v>0</v>
      </c>
      <c r="CH521" s="462">
        <f>IF(AT521&lt;&gt;0,WCCHG*Y521,0)</f>
        <v>0</v>
      </c>
      <c r="CI521" s="462">
        <f>IF(OR(AND(AT521&lt;&gt;0,AJ521&lt;&gt;"PF",AN521&lt;&gt;"NE",AG521&lt;&gt;"A"),AND(AL521="E",OR(AT521=1,AT521=3))),SickCHG*Y521,0)</f>
        <v>0</v>
      </c>
      <c r="CJ521" s="462">
        <f t="shared" si="148"/>
        <v>0</v>
      </c>
      <c r="CK521" s="462" t="str">
        <f t="shared" si="149"/>
        <v/>
      </c>
      <c r="CL521" s="462">
        <f t="shared" si="150"/>
        <v>0</v>
      </c>
      <c r="CM521" s="462">
        <f t="shared" si="151"/>
        <v>0</v>
      </c>
      <c r="CN521" s="462" t="str">
        <f t="shared" si="152"/>
        <v>0486-00</v>
      </c>
    </row>
    <row r="522" spans="1:92" ht="15" thickBot="1" x14ac:dyDescent="0.35">
      <c r="A522" s="376" t="s">
        <v>161</v>
      </c>
      <c r="B522" s="376" t="s">
        <v>162</v>
      </c>
      <c r="C522" s="376" t="s">
        <v>1205</v>
      </c>
      <c r="D522" s="376" t="s">
        <v>1159</v>
      </c>
      <c r="E522" s="376" t="s">
        <v>1140</v>
      </c>
      <c r="F522" s="377" t="s">
        <v>166</v>
      </c>
      <c r="G522" s="376" t="s">
        <v>1141</v>
      </c>
      <c r="H522" s="378"/>
      <c r="I522" s="378"/>
      <c r="J522" s="376" t="s">
        <v>168</v>
      </c>
      <c r="K522" s="376" t="s">
        <v>1160</v>
      </c>
      <c r="L522" s="376" t="s">
        <v>166</v>
      </c>
      <c r="M522" s="376" t="s">
        <v>201</v>
      </c>
      <c r="N522" s="376" t="s">
        <v>291</v>
      </c>
      <c r="O522" s="379">
        <v>0</v>
      </c>
      <c r="P522" s="460">
        <v>1</v>
      </c>
      <c r="Q522" s="460">
        <v>0</v>
      </c>
      <c r="R522" s="380">
        <v>0</v>
      </c>
      <c r="S522" s="460">
        <v>0</v>
      </c>
      <c r="T522" s="380">
        <v>0</v>
      </c>
      <c r="U522" s="380">
        <v>0</v>
      </c>
      <c r="V522" s="380">
        <v>0</v>
      </c>
      <c r="W522" s="380">
        <v>0</v>
      </c>
      <c r="X522" s="380">
        <v>0</v>
      </c>
      <c r="Y522" s="380">
        <v>0</v>
      </c>
      <c r="Z522" s="380">
        <v>0</v>
      </c>
      <c r="AA522" s="378"/>
      <c r="AB522" s="376" t="s">
        <v>45</v>
      </c>
      <c r="AC522" s="376" t="s">
        <v>45</v>
      </c>
      <c r="AD522" s="378"/>
      <c r="AE522" s="378"/>
      <c r="AF522" s="378"/>
      <c r="AG522" s="378"/>
      <c r="AH522" s="379">
        <v>0</v>
      </c>
      <c r="AI522" s="379">
        <v>0</v>
      </c>
      <c r="AJ522" s="378"/>
      <c r="AK522" s="378"/>
      <c r="AL522" s="376" t="s">
        <v>180</v>
      </c>
      <c r="AM522" s="378"/>
      <c r="AN522" s="378"/>
      <c r="AO522" s="379">
        <v>0</v>
      </c>
      <c r="AP522" s="460">
        <v>0</v>
      </c>
      <c r="AQ522" s="460">
        <v>0</v>
      </c>
      <c r="AR522" s="459"/>
      <c r="AS522" s="462">
        <f t="shared" si="136"/>
        <v>0</v>
      </c>
      <c r="AT522">
        <f t="shared" si="137"/>
        <v>0</v>
      </c>
      <c r="AU522" s="462" t="str">
        <f>IF(AT522=0,"",IF(AND(AT522=1,M522="F",SUMIF(C2:C698,C522,AS2:AS698)&lt;=1),SUMIF(C2:C698,C522,AS2:AS698),IF(AND(AT522=1,M522="F",SUMIF(C2:C698,C522,AS2:AS698)&gt;1),1,"")))</f>
        <v/>
      </c>
      <c r="AV522" s="462" t="str">
        <f>IF(AT522=0,"",IF(AND(AT522=3,M522="F",SUMIF(C2:C698,C522,AS2:AS698)&lt;=1),SUMIF(C2:C698,C522,AS2:AS698),IF(AND(AT522=3,M522="F",SUMIF(C2:C698,C522,AS2:AS698)&gt;1),1,"")))</f>
        <v/>
      </c>
      <c r="AW522" s="462">
        <f>SUMIF(C2:C698,C522,O2:O698)</f>
        <v>0</v>
      </c>
      <c r="AX522" s="462">
        <f>IF(AND(M522="F",AS522&lt;&gt;0),SUMIF(C2:C698,C522,W2:W698),0)</f>
        <v>0</v>
      </c>
      <c r="AY522" s="462" t="str">
        <f t="shared" si="138"/>
        <v/>
      </c>
      <c r="AZ522" s="462" t="str">
        <f t="shared" si="139"/>
        <v/>
      </c>
      <c r="BA522" s="462">
        <f t="shared" si="140"/>
        <v>0</v>
      </c>
      <c r="BB522" s="462">
        <f>IF(AND(AT522=1,AK522="E",AU522&gt;=0.75,AW522=1),Health,IF(AND(AT522=1,AK522="E",AU522&gt;=0.75),Health*P522,IF(AND(AT522=1,AK522="E",AU522&gt;=0.5,AW522=1),PTHealth,IF(AND(AT522=1,AK522="E",AU522&gt;=0.5),PTHealth*P522,0))))</f>
        <v>0</v>
      </c>
      <c r="BC522" s="462">
        <f>IF(AND(AT522=3,AK522="E",AV522&gt;=0.75,AW522=1),Health,IF(AND(AT522=3,AK522="E",AV522&gt;=0.75),Health*P522,IF(AND(AT522=3,AK522="E",AV522&gt;=0.5,AW522=1),PTHealth,IF(AND(AT522=3,AK522="E",AV522&gt;=0.5),PTHealth*P522,0))))</f>
        <v>0</v>
      </c>
      <c r="BD522" s="462">
        <f>IF(AND(AT522&lt;&gt;0,AX522&gt;=MAXSSDI),SSDI*MAXSSDI*P522,IF(AT522&lt;&gt;0,SSDI*W522,0))</f>
        <v>0</v>
      </c>
      <c r="BE522" s="462">
        <f>IF(AT522&lt;&gt;0,SSHI*W522,0)</f>
        <v>0</v>
      </c>
      <c r="BF522" s="462">
        <f>IF(AND(AT522&lt;&gt;0,AN522&lt;&gt;"NE"),VLOOKUP(AN522,Retirement_Rates,3,FALSE)*W522,0)</f>
        <v>0</v>
      </c>
      <c r="BG522" s="462">
        <f>IF(AND(AT522&lt;&gt;0,AJ522&lt;&gt;"PF"),Life*W522,0)</f>
        <v>0</v>
      </c>
      <c r="BH522" s="462">
        <f>IF(AND(AT522&lt;&gt;0,AM522="Y"),UI*W522,0)</f>
        <v>0</v>
      </c>
      <c r="BI522" s="462">
        <f>IF(AND(AT522&lt;&gt;0,N522&lt;&gt;"NR"),DHR*W522,0)</f>
        <v>0</v>
      </c>
      <c r="BJ522" s="462">
        <f>IF(AT522&lt;&gt;0,WC*W522,0)</f>
        <v>0</v>
      </c>
      <c r="BK522" s="462">
        <f>IF(OR(AND(AT522&lt;&gt;0,AJ522&lt;&gt;"PF",AN522&lt;&gt;"NE",AG522&lt;&gt;"A"),AND(AL522="E",OR(AT522=1,AT522=3))),Sick*W522,0)</f>
        <v>0</v>
      </c>
      <c r="BL522" s="462">
        <f t="shared" si="141"/>
        <v>0</v>
      </c>
      <c r="BM522" s="462">
        <f t="shared" si="142"/>
        <v>0</v>
      </c>
      <c r="BN522" s="462">
        <f>IF(AND(AT522=1,AK522="E",AU522&gt;=0.75,AW522=1),HealthBY,IF(AND(AT522=1,AK522="E",AU522&gt;=0.75),HealthBY*P522,IF(AND(AT522=1,AK522="E",AU522&gt;=0.5,AW522=1),PTHealthBY,IF(AND(AT522=1,AK522="E",AU522&gt;=0.5),PTHealthBY*P522,0))))</f>
        <v>0</v>
      </c>
      <c r="BO522" s="462">
        <f>IF(AND(AT522=3,AK522="E",AV522&gt;=0.75,AW522=1),HealthBY,IF(AND(AT522=3,AK522="E",AV522&gt;=0.75),HealthBY*P522,IF(AND(AT522=3,AK522="E",AV522&gt;=0.5,AW522=1),PTHealthBY,IF(AND(AT522=3,AK522="E",AV522&gt;=0.5),PTHealthBY*P522,0))))</f>
        <v>0</v>
      </c>
      <c r="BP522" s="462">
        <f>IF(AND(AT522&lt;&gt;0,(AX522+BA522)&gt;=MAXSSDIBY),SSDIBY*MAXSSDIBY*P522,IF(AT522&lt;&gt;0,SSDIBY*W522,0))</f>
        <v>0</v>
      </c>
      <c r="BQ522" s="462">
        <f>IF(AT522&lt;&gt;0,SSHIBY*W522,0)</f>
        <v>0</v>
      </c>
      <c r="BR522" s="462">
        <f>IF(AND(AT522&lt;&gt;0,AN522&lt;&gt;"NE"),VLOOKUP(AN522,Retirement_Rates,4,FALSE)*W522,0)</f>
        <v>0</v>
      </c>
      <c r="BS522" s="462">
        <f>IF(AND(AT522&lt;&gt;0,AJ522&lt;&gt;"PF"),LifeBY*W522,0)</f>
        <v>0</v>
      </c>
      <c r="BT522" s="462">
        <f>IF(AND(AT522&lt;&gt;0,AM522="Y"),UIBY*W522,0)</f>
        <v>0</v>
      </c>
      <c r="BU522" s="462">
        <f>IF(AND(AT522&lt;&gt;0,N522&lt;&gt;"NR"),DHRBY*W522,0)</f>
        <v>0</v>
      </c>
      <c r="BV522" s="462">
        <f>IF(AT522&lt;&gt;0,WCBY*W522,0)</f>
        <v>0</v>
      </c>
      <c r="BW522" s="462">
        <f>IF(OR(AND(AT522&lt;&gt;0,AJ522&lt;&gt;"PF",AN522&lt;&gt;"NE",AG522&lt;&gt;"A"),AND(AL522="E",OR(AT522=1,AT522=3))),SickBY*W522,0)</f>
        <v>0</v>
      </c>
      <c r="BX522" s="462">
        <f t="shared" si="143"/>
        <v>0</v>
      </c>
      <c r="BY522" s="462">
        <f t="shared" si="144"/>
        <v>0</v>
      </c>
      <c r="BZ522" s="462">
        <f t="shared" si="145"/>
        <v>0</v>
      </c>
      <c r="CA522" s="462">
        <f t="shared" si="146"/>
        <v>0</v>
      </c>
      <c r="CB522" s="462">
        <f t="shared" si="147"/>
        <v>0</v>
      </c>
      <c r="CC522" s="462">
        <f>IF(AT522&lt;&gt;0,SSHICHG*Y522,0)</f>
        <v>0</v>
      </c>
      <c r="CD522" s="462">
        <f>IF(AND(AT522&lt;&gt;0,AN522&lt;&gt;"NE"),VLOOKUP(AN522,Retirement_Rates,5,FALSE)*Y522,0)</f>
        <v>0</v>
      </c>
      <c r="CE522" s="462">
        <f>IF(AND(AT522&lt;&gt;0,AJ522&lt;&gt;"PF"),LifeCHG*Y522,0)</f>
        <v>0</v>
      </c>
      <c r="CF522" s="462">
        <f>IF(AND(AT522&lt;&gt;0,AM522="Y"),UICHG*Y522,0)</f>
        <v>0</v>
      </c>
      <c r="CG522" s="462">
        <f>IF(AND(AT522&lt;&gt;0,N522&lt;&gt;"NR"),DHRCHG*Y522,0)</f>
        <v>0</v>
      </c>
      <c r="CH522" s="462">
        <f>IF(AT522&lt;&gt;0,WCCHG*Y522,0)</f>
        <v>0</v>
      </c>
      <c r="CI522" s="462">
        <f>IF(OR(AND(AT522&lt;&gt;0,AJ522&lt;&gt;"PF",AN522&lt;&gt;"NE",AG522&lt;&gt;"A"),AND(AL522="E",OR(AT522=1,AT522=3))),SickCHG*Y522,0)</f>
        <v>0</v>
      </c>
      <c r="CJ522" s="462">
        <f t="shared" si="148"/>
        <v>0</v>
      </c>
      <c r="CK522" s="462" t="str">
        <f t="shared" si="149"/>
        <v/>
      </c>
      <c r="CL522" s="462">
        <f t="shared" si="150"/>
        <v>0</v>
      </c>
      <c r="CM522" s="462">
        <f t="shared" si="151"/>
        <v>0</v>
      </c>
      <c r="CN522" s="462" t="str">
        <f t="shared" si="152"/>
        <v>0486-00</v>
      </c>
    </row>
    <row r="523" spans="1:92" ht="15" thickBot="1" x14ac:dyDescent="0.35">
      <c r="A523" s="376" t="s">
        <v>161</v>
      </c>
      <c r="B523" s="376" t="s">
        <v>162</v>
      </c>
      <c r="C523" s="376" t="s">
        <v>1206</v>
      </c>
      <c r="D523" s="376" t="s">
        <v>1169</v>
      </c>
      <c r="E523" s="376" t="s">
        <v>1140</v>
      </c>
      <c r="F523" s="377" t="s">
        <v>166</v>
      </c>
      <c r="G523" s="376" t="s">
        <v>1141</v>
      </c>
      <c r="H523" s="378"/>
      <c r="I523" s="378"/>
      <c r="J523" s="376" t="s">
        <v>168</v>
      </c>
      <c r="K523" s="376" t="s">
        <v>1170</v>
      </c>
      <c r="L523" s="376" t="s">
        <v>166</v>
      </c>
      <c r="M523" s="376" t="s">
        <v>201</v>
      </c>
      <c r="N523" s="376" t="s">
        <v>291</v>
      </c>
      <c r="O523" s="379">
        <v>0</v>
      </c>
      <c r="P523" s="460">
        <v>1</v>
      </c>
      <c r="Q523" s="460">
        <v>0</v>
      </c>
      <c r="R523" s="380">
        <v>0</v>
      </c>
      <c r="S523" s="460">
        <v>0</v>
      </c>
      <c r="T523" s="380">
        <v>0</v>
      </c>
      <c r="U523" s="380">
        <v>0</v>
      </c>
      <c r="V523" s="380">
        <v>0</v>
      </c>
      <c r="W523" s="380">
        <v>0</v>
      </c>
      <c r="X523" s="380">
        <v>0</v>
      </c>
      <c r="Y523" s="380">
        <v>0</v>
      </c>
      <c r="Z523" s="380">
        <v>0</v>
      </c>
      <c r="AA523" s="378"/>
      <c r="AB523" s="376" t="s">
        <v>45</v>
      </c>
      <c r="AC523" s="376" t="s">
        <v>45</v>
      </c>
      <c r="AD523" s="378"/>
      <c r="AE523" s="378"/>
      <c r="AF523" s="378"/>
      <c r="AG523" s="378"/>
      <c r="AH523" s="379">
        <v>0</v>
      </c>
      <c r="AI523" s="379">
        <v>0</v>
      </c>
      <c r="AJ523" s="378"/>
      <c r="AK523" s="378"/>
      <c r="AL523" s="376" t="s">
        <v>180</v>
      </c>
      <c r="AM523" s="378"/>
      <c r="AN523" s="378"/>
      <c r="AO523" s="379">
        <v>0</v>
      </c>
      <c r="AP523" s="460">
        <v>0</v>
      </c>
      <c r="AQ523" s="460">
        <v>0</v>
      </c>
      <c r="AR523" s="459"/>
      <c r="AS523" s="462">
        <f t="shared" si="136"/>
        <v>0</v>
      </c>
      <c r="AT523">
        <f t="shared" si="137"/>
        <v>0</v>
      </c>
      <c r="AU523" s="462" t="str">
        <f>IF(AT523=0,"",IF(AND(AT523=1,M523="F",SUMIF(C2:C698,C523,AS2:AS698)&lt;=1),SUMIF(C2:C698,C523,AS2:AS698),IF(AND(AT523=1,M523="F",SUMIF(C2:C698,C523,AS2:AS698)&gt;1),1,"")))</f>
        <v/>
      </c>
      <c r="AV523" s="462" t="str">
        <f>IF(AT523=0,"",IF(AND(AT523=3,M523="F",SUMIF(C2:C698,C523,AS2:AS698)&lt;=1),SUMIF(C2:C698,C523,AS2:AS698),IF(AND(AT523=3,M523="F",SUMIF(C2:C698,C523,AS2:AS698)&gt;1),1,"")))</f>
        <v/>
      </c>
      <c r="AW523" s="462">
        <f>SUMIF(C2:C698,C523,O2:O698)</f>
        <v>0</v>
      </c>
      <c r="AX523" s="462">
        <f>IF(AND(M523="F",AS523&lt;&gt;0),SUMIF(C2:C698,C523,W2:W698),0)</f>
        <v>0</v>
      </c>
      <c r="AY523" s="462" t="str">
        <f t="shared" si="138"/>
        <v/>
      </c>
      <c r="AZ523" s="462" t="str">
        <f t="shared" si="139"/>
        <v/>
      </c>
      <c r="BA523" s="462">
        <f t="shared" si="140"/>
        <v>0</v>
      </c>
      <c r="BB523" s="462">
        <f>IF(AND(AT523=1,AK523="E",AU523&gt;=0.75,AW523=1),Health,IF(AND(AT523=1,AK523="E",AU523&gt;=0.75),Health*P523,IF(AND(AT523=1,AK523="E",AU523&gt;=0.5,AW523=1),PTHealth,IF(AND(AT523=1,AK523="E",AU523&gt;=0.5),PTHealth*P523,0))))</f>
        <v>0</v>
      </c>
      <c r="BC523" s="462">
        <f>IF(AND(AT523=3,AK523="E",AV523&gt;=0.75,AW523=1),Health,IF(AND(AT523=3,AK523="E",AV523&gt;=0.75),Health*P523,IF(AND(AT523=3,AK523="E",AV523&gt;=0.5,AW523=1),PTHealth,IF(AND(AT523=3,AK523="E",AV523&gt;=0.5),PTHealth*P523,0))))</f>
        <v>0</v>
      </c>
      <c r="BD523" s="462">
        <f>IF(AND(AT523&lt;&gt;0,AX523&gt;=MAXSSDI),SSDI*MAXSSDI*P523,IF(AT523&lt;&gt;0,SSDI*W523,0))</f>
        <v>0</v>
      </c>
      <c r="BE523" s="462">
        <f>IF(AT523&lt;&gt;0,SSHI*W523,0)</f>
        <v>0</v>
      </c>
      <c r="BF523" s="462">
        <f>IF(AND(AT523&lt;&gt;0,AN523&lt;&gt;"NE"),VLOOKUP(AN523,Retirement_Rates,3,FALSE)*W523,0)</f>
        <v>0</v>
      </c>
      <c r="BG523" s="462">
        <f>IF(AND(AT523&lt;&gt;0,AJ523&lt;&gt;"PF"),Life*W523,0)</f>
        <v>0</v>
      </c>
      <c r="BH523" s="462">
        <f>IF(AND(AT523&lt;&gt;0,AM523="Y"),UI*W523,0)</f>
        <v>0</v>
      </c>
      <c r="BI523" s="462">
        <f>IF(AND(AT523&lt;&gt;0,N523&lt;&gt;"NR"),DHR*W523,0)</f>
        <v>0</v>
      </c>
      <c r="BJ523" s="462">
        <f>IF(AT523&lt;&gt;0,WC*W523,0)</f>
        <v>0</v>
      </c>
      <c r="BK523" s="462">
        <f>IF(OR(AND(AT523&lt;&gt;0,AJ523&lt;&gt;"PF",AN523&lt;&gt;"NE",AG523&lt;&gt;"A"),AND(AL523="E",OR(AT523=1,AT523=3))),Sick*W523,0)</f>
        <v>0</v>
      </c>
      <c r="BL523" s="462">
        <f t="shared" si="141"/>
        <v>0</v>
      </c>
      <c r="BM523" s="462">
        <f t="shared" si="142"/>
        <v>0</v>
      </c>
      <c r="BN523" s="462">
        <f>IF(AND(AT523=1,AK523="E",AU523&gt;=0.75,AW523=1),HealthBY,IF(AND(AT523=1,AK523="E",AU523&gt;=0.75),HealthBY*P523,IF(AND(AT523=1,AK523="E",AU523&gt;=0.5,AW523=1),PTHealthBY,IF(AND(AT523=1,AK523="E",AU523&gt;=0.5),PTHealthBY*P523,0))))</f>
        <v>0</v>
      </c>
      <c r="BO523" s="462">
        <f>IF(AND(AT523=3,AK523="E",AV523&gt;=0.75,AW523=1),HealthBY,IF(AND(AT523=3,AK523="E",AV523&gt;=0.75),HealthBY*P523,IF(AND(AT523=3,AK523="E",AV523&gt;=0.5,AW523=1),PTHealthBY,IF(AND(AT523=3,AK523="E",AV523&gt;=0.5),PTHealthBY*P523,0))))</f>
        <v>0</v>
      </c>
      <c r="BP523" s="462">
        <f>IF(AND(AT523&lt;&gt;0,(AX523+BA523)&gt;=MAXSSDIBY),SSDIBY*MAXSSDIBY*P523,IF(AT523&lt;&gt;0,SSDIBY*W523,0))</f>
        <v>0</v>
      </c>
      <c r="BQ523" s="462">
        <f>IF(AT523&lt;&gt;0,SSHIBY*W523,0)</f>
        <v>0</v>
      </c>
      <c r="BR523" s="462">
        <f>IF(AND(AT523&lt;&gt;0,AN523&lt;&gt;"NE"),VLOOKUP(AN523,Retirement_Rates,4,FALSE)*W523,0)</f>
        <v>0</v>
      </c>
      <c r="BS523" s="462">
        <f>IF(AND(AT523&lt;&gt;0,AJ523&lt;&gt;"PF"),LifeBY*W523,0)</f>
        <v>0</v>
      </c>
      <c r="BT523" s="462">
        <f>IF(AND(AT523&lt;&gt;0,AM523="Y"),UIBY*W523,0)</f>
        <v>0</v>
      </c>
      <c r="BU523" s="462">
        <f>IF(AND(AT523&lt;&gt;0,N523&lt;&gt;"NR"),DHRBY*W523,0)</f>
        <v>0</v>
      </c>
      <c r="BV523" s="462">
        <f>IF(AT523&lt;&gt;0,WCBY*W523,0)</f>
        <v>0</v>
      </c>
      <c r="BW523" s="462">
        <f>IF(OR(AND(AT523&lt;&gt;0,AJ523&lt;&gt;"PF",AN523&lt;&gt;"NE",AG523&lt;&gt;"A"),AND(AL523="E",OR(AT523=1,AT523=3))),SickBY*W523,0)</f>
        <v>0</v>
      </c>
      <c r="BX523" s="462">
        <f t="shared" si="143"/>
        <v>0</v>
      </c>
      <c r="BY523" s="462">
        <f t="shared" si="144"/>
        <v>0</v>
      </c>
      <c r="BZ523" s="462">
        <f t="shared" si="145"/>
        <v>0</v>
      </c>
      <c r="CA523" s="462">
        <f t="shared" si="146"/>
        <v>0</v>
      </c>
      <c r="CB523" s="462">
        <f t="shared" si="147"/>
        <v>0</v>
      </c>
      <c r="CC523" s="462">
        <f>IF(AT523&lt;&gt;0,SSHICHG*Y523,0)</f>
        <v>0</v>
      </c>
      <c r="CD523" s="462">
        <f>IF(AND(AT523&lt;&gt;0,AN523&lt;&gt;"NE"),VLOOKUP(AN523,Retirement_Rates,5,FALSE)*Y523,0)</f>
        <v>0</v>
      </c>
      <c r="CE523" s="462">
        <f>IF(AND(AT523&lt;&gt;0,AJ523&lt;&gt;"PF"),LifeCHG*Y523,0)</f>
        <v>0</v>
      </c>
      <c r="CF523" s="462">
        <f>IF(AND(AT523&lt;&gt;0,AM523="Y"),UICHG*Y523,0)</f>
        <v>0</v>
      </c>
      <c r="CG523" s="462">
        <f>IF(AND(AT523&lt;&gt;0,N523&lt;&gt;"NR"),DHRCHG*Y523,0)</f>
        <v>0</v>
      </c>
      <c r="CH523" s="462">
        <f>IF(AT523&lt;&gt;0,WCCHG*Y523,0)</f>
        <v>0</v>
      </c>
      <c r="CI523" s="462">
        <f>IF(OR(AND(AT523&lt;&gt;0,AJ523&lt;&gt;"PF",AN523&lt;&gt;"NE",AG523&lt;&gt;"A"),AND(AL523="E",OR(AT523=1,AT523=3))),SickCHG*Y523,0)</f>
        <v>0</v>
      </c>
      <c r="CJ523" s="462">
        <f t="shared" si="148"/>
        <v>0</v>
      </c>
      <c r="CK523" s="462" t="str">
        <f t="shared" si="149"/>
        <v/>
      </c>
      <c r="CL523" s="462">
        <f t="shared" si="150"/>
        <v>0</v>
      </c>
      <c r="CM523" s="462">
        <f t="shared" si="151"/>
        <v>0</v>
      </c>
      <c r="CN523" s="462" t="str">
        <f t="shared" si="152"/>
        <v>0486-00</v>
      </c>
    </row>
    <row r="524" spans="1:92" ht="15" thickBot="1" x14ac:dyDescent="0.35">
      <c r="A524" s="376" t="s">
        <v>161</v>
      </c>
      <c r="B524" s="376" t="s">
        <v>162</v>
      </c>
      <c r="C524" s="376" t="s">
        <v>1207</v>
      </c>
      <c r="D524" s="376" t="s">
        <v>1156</v>
      </c>
      <c r="E524" s="376" t="s">
        <v>1140</v>
      </c>
      <c r="F524" s="377" t="s">
        <v>166</v>
      </c>
      <c r="G524" s="376" t="s">
        <v>1141</v>
      </c>
      <c r="H524" s="378"/>
      <c r="I524" s="378"/>
      <c r="J524" s="376" t="s">
        <v>168</v>
      </c>
      <c r="K524" s="376" t="s">
        <v>1157</v>
      </c>
      <c r="L524" s="376" t="s">
        <v>166</v>
      </c>
      <c r="M524" s="376" t="s">
        <v>201</v>
      </c>
      <c r="N524" s="376" t="s">
        <v>291</v>
      </c>
      <c r="O524" s="379">
        <v>0</v>
      </c>
      <c r="P524" s="460">
        <v>1</v>
      </c>
      <c r="Q524" s="460">
        <v>0</v>
      </c>
      <c r="R524" s="380">
        <v>0</v>
      </c>
      <c r="S524" s="460">
        <v>0</v>
      </c>
      <c r="T524" s="380">
        <v>0</v>
      </c>
      <c r="U524" s="380">
        <v>0</v>
      </c>
      <c r="V524" s="380">
        <v>0</v>
      </c>
      <c r="W524" s="380">
        <v>0</v>
      </c>
      <c r="X524" s="380">
        <v>0</v>
      </c>
      <c r="Y524" s="380">
        <v>0</v>
      </c>
      <c r="Z524" s="380">
        <v>0</v>
      </c>
      <c r="AA524" s="378"/>
      <c r="AB524" s="376" t="s">
        <v>45</v>
      </c>
      <c r="AC524" s="376" t="s">
        <v>45</v>
      </c>
      <c r="AD524" s="378"/>
      <c r="AE524" s="378"/>
      <c r="AF524" s="378"/>
      <c r="AG524" s="378"/>
      <c r="AH524" s="379">
        <v>0</v>
      </c>
      <c r="AI524" s="379">
        <v>0</v>
      </c>
      <c r="AJ524" s="378"/>
      <c r="AK524" s="378"/>
      <c r="AL524" s="376" t="s">
        <v>180</v>
      </c>
      <c r="AM524" s="378"/>
      <c r="AN524" s="378"/>
      <c r="AO524" s="379">
        <v>0</v>
      </c>
      <c r="AP524" s="460">
        <v>0</v>
      </c>
      <c r="AQ524" s="460">
        <v>0</v>
      </c>
      <c r="AR524" s="459"/>
      <c r="AS524" s="462">
        <f t="shared" si="136"/>
        <v>0</v>
      </c>
      <c r="AT524">
        <f t="shared" si="137"/>
        <v>0</v>
      </c>
      <c r="AU524" s="462" t="str">
        <f>IF(AT524=0,"",IF(AND(AT524=1,M524="F",SUMIF(C2:C698,C524,AS2:AS698)&lt;=1),SUMIF(C2:C698,C524,AS2:AS698),IF(AND(AT524=1,M524="F",SUMIF(C2:C698,C524,AS2:AS698)&gt;1),1,"")))</f>
        <v/>
      </c>
      <c r="AV524" s="462" t="str">
        <f>IF(AT524=0,"",IF(AND(AT524=3,M524="F",SUMIF(C2:C698,C524,AS2:AS698)&lt;=1),SUMIF(C2:C698,C524,AS2:AS698),IF(AND(AT524=3,M524="F",SUMIF(C2:C698,C524,AS2:AS698)&gt;1),1,"")))</f>
        <v/>
      </c>
      <c r="AW524" s="462">
        <f>SUMIF(C2:C698,C524,O2:O698)</f>
        <v>0</v>
      </c>
      <c r="AX524" s="462">
        <f>IF(AND(M524="F",AS524&lt;&gt;0),SUMIF(C2:C698,C524,W2:W698),0)</f>
        <v>0</v>
      </c>
      <c r="AY524" s="462" t="str">
        <f t="shared" si="138"/>
        <v/>
      </c>
      <c r="AZ524" s="462" t="str">
        <f t="shared" si="139"/>
        <v/>
      </c>
      <c r="BA524" s="462">
        <f t="shared" si="140"/>
        <v>0</v>
      </c>
      <c r="BB524" s="462">
        <f>IF(AND(AT524=1,AK524="E",AU524&gt;=0.75,AW524=1),Health,IF(AND(AT524=1,AK524="E",AU524&gt;=0.75),Health*P524,IF(AND(AT524=1,AK524="E",AU524&gt;=0.5,AW524=1),PTHealth,IF(AND(AT524=1,AK524="E",AU524&gt;=0.5),PTHealth*P524,0))))</f>
        <v>0</v>
      </c>
      <c r="BC524" s="462">
        <f>IF(AND(AT524=3,AK524="E",AV524&gt;=0.75,AW524=1),Health,IF(AND(AT524=3,AK524="E",AV524&gt;=0.75),Health*P524,IF(AND(AT524=3,AK524="E",AV524&gt;=0.5,AW524=1),PTHealth,IF(AND(AT524=3,AK524="E",AV524&gt;=0.5),PTHealth*P524,0))))</f>
        <v>0</v>
      </c>
      <c r="BD524" s="462">
        <f>IF(AND(AT524&lt;&gt;0,AX524&gt;=MAXSSDI),SSDI*MAXSSDI*P524,IF(AT524&lt;&gt;0,SSDI*W524,0))</f>
        <v>0</v>
      </c>
      <c r="BE524" s="462">
        <f>IF(AT524&lt;&gt;0,SSHI*W524,0)</f>
        <v>0</v>
      </c>
      <c r="BF524" s="462">
        <f>IF(AND(AT524&lt;&gt;0,AN524&lt;&gt;"NE"),VLOOKUP(AN524,Retirement_Rates,3,FALSE)*W524,0)</f>
        <v>0</v>
      </c>
      <c r="BG524" s="462">
        <f>IF(AND(AT524&lt;&gt;0,AJ524&lt;&gt;"PF"),Life*W524,0)</f>
        <v>0</v>
      </c>
      <c r="BH524" s="462">
        <f>IF(AND(AT524&lt;&gt;0,AM524="Y"),UI*W524,0)</f>
        <v>0</v>
      </c>
      <c r="BI524" s="462">
        <f>IF(AND(AT524&lt;&gt;0,N524&lt;&gt;"NR"),DHR*W524,0)</f>
        <v>0</v>
      </c>
      <c r="BJ524" s="462">
        <f>IF(AT524&lt;&gt;0,WC*W524,0)</f>
        <v>0</v>
      </c>
      <c r="BK524" s="462">
        <f>IF(OR(AND(AT524&lt;&gt;0,AJ524&lt;&gt;"PF",AN524&lt;&gt;"NE",AG524&lt;&gt;"A"),AND(AL524="E",OR(AT524=1,AT524=3))),Sick*W524,0)</f>
        <v>0</v>
      </c>
      <c r="BL524" s="462">
        <f t="shared" si="141"/>
        <v>0</v>
      </c>
      <c r="BM524" s="462">
        <f t="shared" si="142"/>
        <v>0</v>
      </c>
      <c r="BN524" s="462">
        <f>IF(AND(AT524=1,AK524="E",AU524&gt;=0.75,AW524=1),HealthBY,IF(AND(AT524=1,AK524="E",AU524&gt;=0.75),HealthBY*P524,IF(AND(AT524=1,AK524="E",AU524&gt;=0.5,AW524=1),PTHealthBY,IF(AND(AT524=1,AK524="E",AU524&gt;=0.5),PTHealthBY*P524,0))))</f>
        <v>0</v>
      </c>
      <c r="BO524" s="462">
        <f>IF(AND(AT524=3,AK524="E",AV524&gt;=0.75,AW524=1),HealthBY,IF(AND(AT524=3,AK524="E",AV524&gt;=0.75),HealthBY*P524,IF(AND(AT524=3,AK524="E",AV524&gt;=0.5,AW524=1),PTHealthBY,IF(AND(AT524=3,AK524="E",AV524&gt;=0.5),PTHealthBY*P524,0))))</f>
        <v>0</v>
      </c>
      <c r="BP524" s="462">
        <f>IF(AND(AT524&lt;&gt;0,(AX524+BA524)&gt;=MAXSSDIBY),SSDIBY*MAXSSDIBY*P524,IF(AT524&lt;&gt;0,SSDIBY*W524,0))</f>
        <v>0</v>
      </c>
      <c r="BQ524" s="462">
        <f>IF(AT524&lt;&gt;0,SSHIBY*W524,0)</f>
        <v>0</v>
      </c>
      <c r="BR524" s="462">
        <f>IF(AND(AT524&lt;&gt;0,AN524&lt;&gt;"NE"),VLOOKUP(AN524,Retirement_Rates,4,FALSE)*W524,0)</f>
        <v>0</v>
      </c>
      <c r="BS524" s="462">
        <f>IF(AND(AT524&lt;&gt;0,AJ524&lt;&gt;"PF"),LifeBY*W524,0)</f>
        <v>0</v>
      </c>
      <c r="BT524" s="462">
        <f>IF(AND(AT524&lt;&gt;0,AM524="Y"),UIBY*W524,0)</f>
        <v>0</v>
      </c>
      <c r="BU524" s="462">
        <f>IF(AND(AT524&lt;&gt;0,N524&lt;&gt;"NR"),DHRBY*W524,0)</f>
        <v>0</v>
      </c>
      <c r="BV524" s="462">
        <f>IF(AT524&lt;&gt;0,WCBY*W524,0)</f>
        <v>0</v>
      </c>
      <c r="BW524" s="462">
        <f>IF(OR(AND(AT524&lt;&gt;0,AJ524&lt;&gt;"PF",AN524&lt;&gt;"NE",AG524&lt;&gt;"A"),AND(AL524="E",OR(AT524=1,AT524=3))),SickBY*W524,0)</f>
        <v>0</v>
      </c>
      <c r="BX524" s="462">
        <f t="shared" si="143"/>
        <v>0</v>
      </c>
      <c r="BY524" s="462">
        <f t="shared" si="144"/>
        <v>0</v>
      </c>
      <c r="BZ524" s="462">
        <f t="shared" si="145"/>
        <v>0</v>
      </c>
      <c r="CA524" s="462">
        <f t="shared" si="146"/>
        <v>0</v>
      </c>
      <c r="CB524" s="462">
        <f t="shared" si="147"/>
        <v>0</v>
      </c>
      <c r="CC524" s="462">
        <f>IF(AT524&lt;&gt;0,SSHICHG*Y524,0)</f>
        <v>0</v>
      </c>
      <c r="CD524" s="462">
        <f>IF(AND(AT524&lt;&gt;0,AN524&lt;&gt;"NE"),VLOOKUP(AN524,Retirement_Rates,5,FALSE)*Y524,0)</f>
        <v>0</v>
      </c>
      <c r="CE524" s="462">
        <f>IF(AND(AT524&lt;&gt;0,AJ524&lt;&gt;"PF"),LifeCHG*Y524,0)</f>
        <v>0</v>
      </c>
      <c r="CF524" s="462">
        <f>IF(AND(AT524&lt;&gt;0,AM524="Y"),UICHG*Y524,0)</f>
        <v>0</v>
      </c>
      <c r="CG524" s="462">
        <f>IF(AND(AT524&lt;&gt;0,N524&lt;&gt;"NR"),DHRCHG*Y524,0)</f>
        <v>0</v>
      </c>
      <c r="CH524" s="462">
        <f>IF(AT524&lt;&gt;0,WCCHG*Y524,0)</f>
        <v>0</v>
      </c>
      <c r="CI524" s="462">
        <f>IF(OR(AND(AT524&lt;&gt;0,AJ524&lt;&gt;"PF",AN524&lt;&gt;"NE",AG524&lt;&gt;"A"),AND(AL524="E",OR(AT524=1,AT524=3))),SickCHG*Y524,0)</f>
        <v>0</v>
      </c>
      <c r="CJ524" s="462">
        <f t="shared" si="148"/>
        <v>0</v>
      </c>
      <c r="CK524" s="462" t="str">
        <f t="shared" si="149"/>
        <v/>
      </c>
      <c r="CL524" s="462">
        <f t="shared" si="150"/>
        <v>0</v>
      </c>
      <c r="CM524" s="462">
        <f t="shared" si="151"/>
        <v>0</v>
      </c>
      <c r="CN524" s="462" t="str">
        <f t="shared" si="152"/>
        <v>0486-00</v>
      </c>
    </row>
    <row r="525" spans="1:92" ht="15" thickBot="1" x14ac:dyDescent="0.35">
      <c r="A525" s="376" t="s">
        <v>161</v>
      </c>
      <c r="B525" s="376" t="s">
        <v>162</v>
      </c>
      <c r="C525" s="376" t="s">
        <v>1208</v>
      </c>
      <c r="D525" s="376" t="s">
        <v>1175</v>
      </c>
      <c r="E525" s="376" t="s">
        <v>1140</v>
      </c>
      <c r="F525" s="377" t="s">
        <v>166</v>
      </c>
      <c r="G525" s="376" t="s">
        <v>1141</v>
      </c>
      <c r="H525" s="378"/>
      <c r="I525" s="378"/>
      <c r="J525" s="376" t="s">
        <v>168</v>
      </c>
      <c r="K525" s="376" t="s">
        <v>1176</v>
      </c>
      <c r="L525" s="376" t="s">
        <v>166</v>
      </c>
      <c r="M525" s="376" t="s">
        <v>201</v>
      </c>
      <c r="N525" s="376" t="s">
        <v>291</v>
      </c>
      <c r="O525" s="379">
        <v>0</v>
      </c>
      <c r="P525" s="460">
        <v>1</v>
      </c>
      <c r="Q525" s="460">
        <v>0</v>
      </c>
      <c r="R525" s="380">
        <v>0</v>
      </c>
      <c r="S525" s="460">
        <v>0</v>
      </c>
      <c r="T525" s="380">
        <v>0</v>
      </c>
      <c r="U525" s="380">
        <v>0</v>
      </c>
      <c r="V525" s="380">
        <v>0</v>
      </c>
      <c r="W525" s="380">
        <v>0</v>
      </c>
      <c r="X525" s="380">
        <v>0</v>
      </c>
      <c r="Y525" s="380">
        <v>0</v>
      </c>
      <c r="Z525" s="380">
        <v>0</v>
      </c>
      <c r="AA525" s="378"/>
      <c r="AB525" s="376" t="s">
        <v>45</v>
      </c>
      <c r="AC525" s="376" t="s">
        <v>45</v>
      </c>
      <c r="AD525" s="378"/>
      <c r="AE525" s="378"/>
      <c r="AF525" s="378"/>
      <c r="AG525" s="378"/>
      <c r="AH525" s="379">
        <v>0</v>
      </c>
      <c r="AI525" s="379">
        <v>0</v>
      </c>
      <c r="AJ525" s="378"/>
      <c r="AK525" s="378"/>
      <c r="AL525" s="376" t="s">
        <v>180</v>
      </c>
      <c r="AM525" s="378"/>
      <c r="AN525" s="378"/>
      <c r="AO525" s="379">
        <v>0</v>
      </c>
      <c r="AP525" s="460">
        <v>0</v>
      </c>
      <c r="AQ525" s="460">
        <v>0</v>
      </c>
      <c r="AR525" s="459"/>
      <c r="AS525" s="462">
        <f t="shared" si="136"/>
        <v>0</v>
      </c>
      <c r="AT525">
        <f t="shared" si="137"/>
        <v>0</v>
      </c>
      <c r="AU525" s="462" t="str">
        <f>IF(AT525=0,"",IF(AND(AT525=1,M525="F",SUMIF(C2:C698,C525,AS2:AS698)&lt;=1),SUMIF(C2:C698,C525,AS2:AS698),IF(AND(AT525=1,M525="F",SUMIF(C2:C698,C525,AS2:AS698)&gt;1),1,"")))</f>
        <v/>
      </c>
      <c r="AV525" s="462" t="str">
        <f>IF(AT525=0,"",IF(AND(AT525=3,M525="F",SUMIF(C2:C698,C525,AS2:AS698)&lt;=1),SUMIF(C2:C698,C525,AS2:AS698),IF(AND(AT525=3,M525="F",SUMIF(C2:C698,C525,AS2:AS698)&gt;1),1,"")))</f>
        <v/>
      </c>
      <c r="AW525" s="462">
        <f>SUMIF(C2:C698,C525,O2:O698)</f>
        <v>0</v>
      </c>
      <c r="AX525" s="462">
        <f>IF(AND(M525="F",AS525&lt;&gt;0),SUMIF(C2:C698,C525,W2:W698),0)</f>
        <v>0</v>
      </c>
      <c r="AY525" s="462" t="str">
        <f t="shared" si="138"/>
        <v/>
      </c>
      <c r="AZ525" s="462" t="str">
        <f t="shared" si="139"/>
        <v/>
      </c>
      <c r="BA525" s="462">
        <f t="shared" si="140"/>
        <v>0</v>
      </c>
      <c r="BB525" s="462">
        <f>IF(AND(AT525=1,AK525="E",AU525&gt;=0.75,AW525=1),Health,IF(AND(AT525=1,AK525="E",AU525&gt;=0.75),Health*P525,IF(AND(AT525=1,AK525="E",AU525&gt;=0.5,AW525=1),PTHealth,IF(AND(AT525=1,AK525="E",AU525&gt;=0.5),PTHealth*P525,0))))</f>
        <v>0</v>
      </c>
      <c r="BC525" s="462">
        <f>IF(AND(AT525=3,AK525="E",AV525&gt;=0.75,AW525=1),Health,IF(AND(AT525=3,AK525="E",AV525&gt;=0.75),Health*P525,IF(AND(AT525=3,AK525="E",AV525&gt;=0.5,AW525=1),PTHealth,IF(AND(AT525=3,AK525="E",AV525&gt;=0.5),PTHealth*P525,0))))</f>
        <v>0</v>
      </c>
      <c r="BD525" s="462">
        <f>IF(AND(AT525&lt;&gt;0,AX525&gt;=MAXSSDI),SSDI*MAXSSDI*P525,IF(AT525&lt;&gt;0,SSDI*W525,0))</f>
        <v>0</v>
      </c>
      <c r="BE525" s="462">
        <f>IF(AT525&lt;&gt;0,SSHI*W525,0)</f>
        <v>0</v>
      </c>
      <c r="BF525" s="462">
        <f>IF(AND(AT525&lt;&gt;0,AN525&lt;&gt;"NE"),VLOOKUP(AN525,Retirement_Rates,3,FALSE)*W525,0)</f>
        <v>0</v>
      </c>
      <c r="BG525" s="462">
        <f>IF(AND(AT525&lt;&gt;0,AJ525&lt;&gt;"PF"),Life*W525,0)</f>
        <v>0</v>
      </c>
      <c r="BH525" s="462">
        <f>IF(AND(AT525&lt;&gt;0,AM525="Y"),UI*W525,0)</f>
        <v>0</v>
      </c>
      <c r="BI525" s="462">
        <f>IF(AND(AT525&lt;&gt;0,N525&lt;&gt;"NR"),DHR*W525,0)</f>
        <v>0</v>
      </c>
      <c r="BJ525" s="462">
        <f>IF(AT525&lt;&gt;0,WC*W525,0)</f>
        <v>0</v>
      </c>
      <c r="BK525" s="462">
        <f>IF(OR(AND(AT525&lt;&gt;0,AJ525&lt;&gt;"PF",AN525&lt;&gt;"NE",AG525&lt;&gt;"A"),AND(AL525="E",OR(AT525=1,AT525=3))),Sick*W525,0)</f>
        <v>0</v>
      </c>
      <c r="BL525" s="462">
        <f t="shared" si="141"/>
        <v>0</v>
      </c>
      <c r="BM525" s="462">
        <f t="shared" si="142"/>
        <v>0</v>
      </c>
      <c r="BN525" s="462">
        <f>IF(AND(AT525=1,AK525="E",AU525&gt;=0.75,AW525=1),HealthBY,IF(AND(AT525=1,AK525="E",AU525&gt;=0.75),HealthBY*P525,IF(AND(AT525=1,AK525="E",AU525&gt;=0.5,AW525=1),PTHealthBY,IF(AND(AT525=1,AK525="E",AU525&gt;=0.5),PTHealthBY*P525,0))))</f>
        <v>0</v>
      </c>
      <c r="BO525" s="462">
        <f>IF(AND(AT525=3,AK525="E",AV525&gt;=0.75,AW525=1),HealthBY,IF(AND(AT525=3,AK525="E",AV525&gt;=0.75),HealthBY*P525,IF(AND(AT525=3,AK525="E",AV525&gt;=0.5,AW525=1),PTHealthBY,IF(AND(AT525=3,AK525="E",AV525&gt;=0.5),PTHealthBY*P525,0))))</f>
        <v>0</v>
      </c>
      <c r="BP525" s="462">
        <f>IF(AND(AT525&lt;&gt;0,(AX525+BA525)&gt;=MAXSSDIBY),SSDIBY*MAXSSDIBY*P525,IF(AT525&lt;&gt;0,SSDIBY*W525,0))</f>
        <v>0</v>
      </c>
      <c r="BQ525" s="462">
        <f>IF(AT525&lt;&gt;0,SSHIBY*W525,0)</f>
        <v>0</v>
      </c>
      <c r="BR525" s="462">
        <f>IF(AND(AT525&lt;&gt;0,AN525&lt;&gt;"NE"),VLOOKUP(AN525,Retirement_Rates,4,FALSE)*W525,0)</f>
        <v>0</v>
      </c>
      <c r="BS525" s="462">
        <f>IF(AND(AT525&lt;&gt;0,AJ525&lt;&gt;"PF"),LifeBY*W525,0)</f>
        <v>0</v>
      </c>
      <c r="BT525" s="462">
        <f>IF(AND(AT525&lt;&gt;0,AM525="Y"),UIBY*W525,0)</f>
        <v>0</v>
      </c>
      <c r="BU525" s="462">
        <f>IF(AND(AT525&lt;&gt;0,N525&lt;&gt;"NR"),DHRBY*W525,0)</f>
        <v>0</v>
      </c>
      <c r="BV525" s="462">
        <f>IF(AT525&lt;&gt;0,WCBY*W525,0)</f>
        <v>0</v>
      </c>
      <c r="BW525" s="462">
        <f>IF(OR(AND(AT525&lt;&gt;0,AJ525&lt;&gt;"PF",AN525&lt;&gt;"NE",AG525&lt;&gt;"A"),AND(AL525="E",OR(AT525=1,AT525=3))),SickBY*W525,0)</f>
        <v>0</v>
      </c>
      <c r="BX525" s="462">
        <f t="shared" si="143"/>
        <v>0</v>
      </c>
      <c r="BY525" s="462">
        <f t="shared" si="144"/>
        <v>0</v>
      </c>
      <c r="BZ525" s="462">
        <f t="shared" si="145"/>
        <v>0</v>
      </c>
      <c r="CA525" s="462">
        <f t="shared" si="146"/>
        <v>0</v>
      </c>
      <c r="CB525" s="462">
        <f t="shared" si="147"/>
        <v>0</v>
      </c>
      <c r="CC525" s="462">
        <f>IF(AT525&lt;&gt;0,SSHICHG*Y525,0)</f>
        <v>0</v>
      </c>
      <c r="CD525" s="462">
        <f>IF(AND(AT525&lt;&gt;0,AN525&lt;&gt;"NE"),VLOOKUP(AN525,Retirement_Rates,5,FALSE)*Y525,0)</f>
        <v>0</v>
      </c>
      <c r="CE525" s="462">
        <f>IF(AND(AT525&lt;&gt;0,AJ525&lt;&gt;"PF"),LifeCHG*Y525,0)</f>
        <v>0</v>
      </c>
      <c r="CF525" s="462">
        <f>IF(AND(AT525&lt;&gt;0,AM525="Y"),UICHG*Y525,0)</f>
        <v>0</v>
      </c>
      <c r="CG525" s="462">
        <f>IF(AND(AT525&lt;&gt;0,N525&lt;&gt;"NR"),DHRCHG*Y525,0)</f>
        <v>0</v>
      </c>
      <c r="CH525" s="462">
        <f>IF(AT525&lt;&gt;0,WCCHG*Y525,0)</f>
        <v>0</v>
      </c>
      <c r="CI525" s="462">
        <f>IF(OR(AND(AT525&lt;&gt;0,AJ525&lt;&gt;"PF",AN525&lt;&gt;"NE",AG525&lt;&gt;"A"),AND(AL525="E",OR(AT525=1,AT525=3))),SickCHG*Y525,0)</f>
        <v>0</v>
      </c>
      <c r="CJ525" s="462">
        <f t="shared" si="148"/>
        <v>0</v>
      </c>
      <c r="CK525" s="462" t="str">
        <f t="shared" si="149"/>
        <v/>
      </c>
      <c r="CL525" s="462">
        <f t="shared" si="150"/>
        <v>0</v>
      </c>
      <c r="CM525" s="462">
        <f t="shared" si="151"/>
        <v>0</v>
      </c>
      <c r="CN525" s="462" t="str">
        <f t="shared" si="152"/>
        <v>0486-00</v>
      </c>
    </row>
    <row r="526" spans="1:92" ht="15" thickBot="1" x14ac:dyDescent="0.35">
      <c r="A526" s="376" t="s">
        <v>161</v>
      </c>
      <c r="B526" s="376" t="s">
        <v>162</v>
      </c>
      <c r="C526" s="376" t="s">
        <v>1209</v>
      </c>
      <c r="D526" s="376" t="s">
        <v>647</v>
      </c>
      <c r="E526" s="376" t="s">
        <v>1140</v>
      </c>
      <c r="F526" s="377" t="s">
        <v>166</v>
      </c>
      <c r="G526" s="376" t="s">
        <v>1141</v>
      </c>
      <c r="H526" s="378"/>
      <c r="I526" s="378"/>
      <c r="J526" s="376" t="s">
        <v>185</v>
      </c>
      <c r="K526" s="376" t="s">
        <v>648</v>
      </c>
      <c r="L526" s="376" t="s">
        <v>166</v>
      </c>
      <c r="M526" s="376" t="s">
        <v>201</v>
      </c>
      <c r="N526" s="376" t="s">
        <v>291</v>
      </c>
      <c r="O526" s="379">
        <v>0</v>
      </c>
      <c r="P526" s="460">
        <v>1</v>
      </c>
      <c r="Q526" s="460">
        <v>0</v>
      </c>
      <c r="R526" s="380">
        <v>0</v>
      </c>
      <c r="S526" s="460">
        <v>0</v>
      </c>
      <c r="T526" s="380">
        <v>0</v>
      </c>
      <c r="U526" s="380">
        <v>0</v>
      </c>
      <c r="V526" s="380">
        <v>0</v>
      </c>
      <c r="W526" s="380">
        <v>0</v>
      </c>
      <c r="X526" s="380">
        <v>0</v>
      </c>
      <c r="Y526" s="380">
        <v>0</v>
      </c>
      <c r="Z526" s="380">
        <v>0</v>
      </c>
      <c r="AA526" s="378"/>
      <c r="AB526" s="376" t="s">
        <v>45</v>
      </c>
      <c r="AC526" s="376" t="s">
        <v>45</v>
      </c>
      <c r="AD526" s="378"/>
      <c r="AE526" s="378"/>
      <c r="AF526" s="378"/>
      <c r="AG526" s="378"/>
      <c r="AH526" s="379">
        <v>0</v>
      </c>
      <c r="AI526" s="379">
        <v>0</v>
      </c>
      <c r="AJ526" s="378"/>
      <c r="AK526" s="378"/>
      <c r="AL526" s="376" t="s">
        <v>180</v>
      </c>
      <c r="AM526" s="378"/>
      <c r="AN526" s="378"/>
      <c r="AO526" s="379">
        <v>0</v>
      </c>
      <c r="AP526" s="460">
        <v>0</v>
      </c>
      <c r="AQ526" s="460">
        <v>0</v>
      </c>
      <c r="AR526" s="459"/>
      <c r="AS526" s="462">
        <f t="shared" si="136"/>
        <v>0</v>
      </c>
      <c r="AT526">
        <f t="shared" si="137"/>
        <v>0</v>
      </c>
      <c r="AU526" s="462" t="str">
        <f>IF(AT526=0,"",IF(AND(AT526=1,M526="F",SUMIF(C2:C698,C526,AS2:AS698)&lt;=1),SUMIF(C2:C698,C526,AS2:AS698),IF(AND(AT526=1,M526="F",SUMIF(C2:C698,C526,AS2:AS698)&gt;1),1,"")))</f>
        <v/>
      </c>
      <c r="AV526" s="462" t="str">
        <f>IF(AT526=0,"",IF(AND(AT526=3,M526="F",SUMIF(C2:C698,C526,AS2:AS698)&lt;=1),SUMIF(C2:C698,C526,AS2:AS698),IF(AND(AT526=3,M526="F",SUMIF(C2:C698,C526,AS2:AS698)&gt;1),1,"")))</f>
        <v/>
      </c>
      <c r="AW526" s="462">
        <f>SUMIF(C2:C698,C526,O2:O698)</f>
        <v>0</v>
      </c>
      <c r="AX526" s="462">
        <f>IF(AND(M526="F",AS526&lt;&gt;0),SUMIF(C2:C698,C526,W2:W698),0)</f>
        <v>0</v>
      </c>
      <c r="AY526" s="462" t="str">
        <f t="shared" si="138"/>
        <v/>
      </c>
      <c r="AZ526" s="462" t="str">
        <f t="shared" si="139"/>
        <v/>
      </c>
      <c r="BA526" s="462">
        <f t="shared" si="140"/>
        <v>0</v>
      </c>
      <c r="BB526" s="462">
        <f>IF(AND(AT526=1,AK526="E",AU526&gt;=0.75,AW526=1),Health,IF(AND(AT526=1,AK526="E",AU526&gt;=0.75),Health*P526,IF(AND(AT526=1,AK526="E",AU526&gt;=0.5,AW526=1),PTHealth,IF(AND(AT526=1,AK526="E",AU526&gt;=0.5),PTHealth*P526,0))))</f>
        <v>0</v>
      </c>
      <c r="BC526" s="462">
        <f>IF(AND(AT526=3,AK526="E",AV526&gt;=0.75,AW526=1),Health,IF(AND(AT526=3,AK526="E",AV526&gt;=0.75),Health*P526,IF(AND(AT526=3,AK526="E",AV526&gt;=0.5,AW526=1),PTHealth,IF(AND(AT526=3,AK526="E",AV526&gt;=0.5),PTHealth*P526,0))))</f>
        <v>0</v>
      </c>
      <c r="BD526" s="462">
        <f>IF(AND(AT526&lt;&gt;0,AX526&gt;=MAXSSDI),SSDI*MAXSSDI*P526,IF(AT526&lt;&gt;0,SSDI*W526,0))</f>
        <v>0</v>
      </c>
      <c r="BE526" s="462">
        <f>IF(AT526&lt;&gt;0,SSHI*W526,0)</f>
        <v>0</v>
      </c>
      <c r="BF526" s="462">
        <f>IF(AND(AT526&lt;&gt;0,AN526&lt;&gt;"NE"),VLOOKUP(AN526,Retirement_Rates,3,FALSE)*W526,0)</f>
        <v>0</v>
      </c>
      <c r="BG526" s="462">
        <f>IF(AND(AT526&lt;&gt;0,AJ526&lt;&gt;"PF"),Life*W526,0)</f>
        <v>0</v>
      </c>
      <c r="BH526" s="462">
        <f>IF(AND(AT526&lt;&gt;0,AM526="Y"),UI*W526,0)</f>
        <v>0</v>
      </c>
      <c r="BI526" s="462">
        <f>IF(AND(AT526&lt;&gt;0,N526&lt;&gt;"NR"),DHR*W526,0)</f>
        <v>0</v>
      </c>
      <c r="BJ526" s="462">
        <f>IF(AT526&lt;&gt;0,WC*W526,0)</f>
        <v>0</v>
      </c>
      <c r="BK526" s="462">
        <f>IF(OR(AND(AT526&lt;&gt;0,AJ526&lt;&gt;"PF",AN526&lt;&gt;"NE",AG526&lt;&gt;"A"),AND(AL526="E",OR(AT526=1,AT526=3))),Sick*W526,0)</f>
        <v>0</v>
      </c>
      <c r="BL526" s="462">
        <f t="shared" si="141"/>
        <v>0</v>
      </c>
      <c r="BM526" s="462">
        <f t="shared" si="142"/>
        <v>0</v>
      </c>
      <c r="BN526" s="462">
        <f>IF(AND(AT526=1,AK526="E",AU526&gt;=0.75,AW526=1),HealthBY,IF(AND(AT526=1,AK526="E",AU526&gt;=0.75),HealthBY*P526,IF(AND(AT526=1,AK526="E",AU526&gt;=0.5,AW526=1),PTHealthBY,IF(AND(AT526=1,AK526="E",AU526&gt;=0.5),PTHealthBY*P526,0))))</f>
        <v>0</v>
      </c>
      <c r="BO526" s="462">
        <f>IF(AND(AT526=3,AK526="E",AV526&gt;=0.75,AW526=1),HealthBY,IF(AND(AT526=3,AK526="E",AV526&gt;=0.75),HealthBY*P526,IF(AND(AT526=3,AK526="E",AV526&gt;=0.5,AW526=1),PTHealthBY,IF(AND(AT526=3,AK526="E",AV526&gt;=0.5),PTHealthBY*P526,0))))</f>
        <v>0</v>
      </c>
      <c r="BP526" s="462">
        <f>IF(AND(AT526&lt;&gt;0,(AX526+BA526)&gt;=MAXSSDIBY),SSDIBY*MAXSSDIBY*P526,IF(AT526&lt;&gt;0,SSDIBY*W526,0))</f>
        <v>0</v>
      </c>
      <c r="BQ526" s="462">
        <f>IF(AT526&lt;&gt;0,SSHIBY*W526,0)</f>
        <v>0</v>
      </c>
      <c r="BR526" s="462">
        <f>IF(AND(AT526&lt;&gt;0,AN526&lt;&gt;"NE"),VLOOKUP(AN526,Retirement_Rates,4,FALSE)*W526,0)</f>
        <v>0</v>
      </c>
      <c r="BS526" s="462">
        <f>IF(AND(AT526&lt;&gt;0,AJ526&lt;&gt;"PF"),LifeBY*W526,0)</f>
        <v>0</v>
      </c>
      <c r="BT526" s="462">
        <f>IF(AND(AT526&lt;&gt;0,AM526="Y"),UIBY*W526,0)</f>
        <v>0</v>
      </c>
      <c r="BU526" s="462">
        <f>IF(AND(AT526&lt;&gt;0,N526&lt;&gt;"NR"),DHRBY*W526,0)</f>
        <v>0</v>
      </c>
      <c r="BV526" s="462">
        <f>IF(AT526&lt;&gt;0,WCBY*W526,0)</f>
        <v>0</v>
      </c>
      <c r="BW526" s="462">
        <f>IF(OR(AND(AT526&lt;&gt;0,AJ526&lt;&gt;"PF",AN526&lt;&gt;"NE",AG526&lt;&gt;"A"),AND(AL526="E",OR(AT526=1,AT526=3))),SickBY*W526,0)</f>
        <v>0</v>
      </c>
      <c r="BX526" s="462">
        <f t="shared" si="143"/>
        <v>0</v>
      </c>
      <c r="BY526" s="462">
        <f t="shared" si="144"/>
        <v>0</v>
      </c>
      <c r="BZ526" s="462">
        <f t="shared" si="145"/>
        <v>0</v>
      </c>
      <c r="CA526" s="462">
        <f t="shared" si="146"/>
        <v>0</v>
      </c>
      <c r="CB526" s="462">
        <f t="shared" si="147"/>
        <v>0</v>
      </c>
      <c r="CC526" s="462">
        <f>IF(AT526&lt;&gt;0,SSHICHG*Y526,0)</f>
        <v>0</v>
      </c>
      <c r="CD526" s="462">
        <f>IF(AND(AT526&lt;&gt;0,AN526&lt;&gt;"NE"),VLOOKUP(AN526,Retirement_Rates,5,FALSE)*Y526,0)</f>
        <v>0</v>
      </c>
      <c r="CE526" s="462">
        <f>IF(AND(AT526&lt;&gt;0,AJ526&lt;&gt;"PF"),LifeCHG*Y526,0)</f>
        <v>0</v>
      </c>
      <c r="CF526" s="462">
        <f>IF(AND(AT526&lt;&gt;0,AM526="Y"),UICHG*Y526,0)</f>
        <v>0</v>
      </c>
      <c r="CG526" s="462">
        <f>IF(AND(AT526&lt;&gt;0,N526&lt;&gt;"NR"),DHRCHG*Y526,0)</f>
        <v>0</v>
      </c>
      <c r="CH526" s="462">
        <f>IF(AT526&lt;&gt;0,WCCHG*Y526,0)</f>
        <v>0</v>
      </c>
      <c r="CI526" s="462">
        <f>IF(OR(AND(AT526&lt;&gt;0,AJ526&lt;&gt;"PF",AN526&lt;&gt;"NE",AG526&lt;&gt;"A"),AND(AL526="E",OR(AT526=1,AT526=3))),SickCHG*Y526,0)</f>
        <v>0</v>
      </c>
      <c r="CJ526" s="462">
        <f t="shared" si="148"/>
        <v>0</v>
      </c>
      <c r="CK526" s="462" t="str">
        <f t="shared" si="149"/>
        <v/>
      </c>
      <c r="CL526" s="462">
        <f t="shared" si="150"/>
        <v>0</v>
      </c>
      <c r="CM526" s="462">
        <f t="shared" si="151"/>
        <v>0</v>
      </c>
      <c r="CN526" s="462" t="str">
        <f t="shared" si="152"/>
        <v>0486-00</v>
      </c>
    </row>
    <row r="527" spans="1:92" ht="15" thickBot="1" x14ac:dyDescent="0.35">
      <c r="A527" s="376" t="s">
        <v>161</v>
      </c>
      <c r="B527" s="376" t="s">
        <v>162</v>
      </c>
      <c r="C527" s="376" t="s">
        <v>1210</v>
      </c>
      <c r="D527" s="376" t="s">
        <v>1185</v>
      </c>
      <c r="E527" s="376" t="s">
        <v>1140</v>
      </c>
      <c r="F527" s="377" t="s">
        <v>166</v>
      </c>
      <c r="G527" s="376" t="s">
        <v>1141</v>
      </c>
      <c r="H527" s="378"/>
      <c r="I527" s="378"/>
      <c r="J527" s="376" t="s">
        <v>168</v>
      </c>
      <c r="K527" s="376" t="s">
        <v>1186</v>
      </c>
      <c r="L527" s="376" t="s">
        <v>166</v>
      </c>
      <c r="M527" s="376" t="s">
        <v>201</v>
      </c>
      <c r="N527" s="376" t="s">
        <v>291</v>
      </c>
      <c r="O527" s="379">
        <v>0</v>
      </c>
      <c r="P527" s="460">
        <v>1</v>
      </c>
      <c r="Q527" s="460">
        <v>0</v>
      </c>
      <c r="R527" s="380">
        <v>0</v>
      </c>
      <c r="S527" s="460">
        <v>0</v>
      </c>
      <c r="T527" s="380">
        <v>0</v>
      </c>
      <c r="U527" s="380">
        <v>0</v>
      </c>
      <c r="V527" s="380">
        <v>0</v>
      </c>
      <c r="W527" s="380">
        <v>0</v>
      </c>
      <c r="X527" s="380">
        <v>0</v>
      </c>
      <c r="Y527" s="380">
        <v>0</v>
      </c>
      <c r="Z527" s="380">
        <v>0</v>
      </c>
      <c r="AA527" s="378"/>
      <c r="AB527" s="376" t="s">
        <v>45</v>
      </c>
      <c r="AC527" s="376" t="s">
        <v>45</v>
      </c>
      <c r="AD527" s="378"/>
      <c r="AE527" s="378"/>
      <c r="AF527" s="378"/>
      <c r="AG527" s="378"/>
      <c r="AH527" s="379">
        <v>0</v>
      </c>
      <c r="AI527" s="379">
        <v>0</v>
      </c>
      <c r="AJ527" s="378"/>
      <c r="AK527" s="378"/>
      <c r="AL527" s="376" t="s">
        <v>180</v>
      </c>
      <c r="AM527" s="378"/>
      <c r="AN527" s="378"/>
      <c r="AO527" s="379">
        <v>0</v>
      </c>
      <c r="AP527" s="460">
        <v>0</v>
      </c>
      <c r="AQ527" s="460">
        <v>0</v>
      </c>
      <c r="AR527" s="459"/>
      <c r="AS527" s="462">
        <f t="shared" si="136"/>
        <v>0</v>
      </c>
      <c r="AT527">
        <f t="shared" si="137"/>
        <v>0</v>
      </c>
      <c r="AU527" s="462" t="str">
        <f>IF(AT527=0,"",IF(AND(AT527=1,M527="F",SUMIF(C2:C698,C527,AS2:AS698)&lt;=1),SUMIF(C2:C698,C527,AS2:AS698),IF(AND(AT527=1,M527="F",SUMIF(C2:C698,C527,AS2:AS698)&gt;1),1,"")))</f>
        <v/>
      </c>
      <c r="AV527" s="462" t="str">
        <f>IF(AT527=0,"",IF(AND(AT527=3,M527="F",SUMIF(C2:C698,C527,AS2:AS698)&lt;=1),SUMIF(C2:C698,C527,AS2:AS698),IF(AND(AT527=3,M527="F",SUMIF(C2:C698,C527,AS2:AS698)&gt;1),1,"")))</f>
        <v/>
      </c>
      <c r="AW527" s="462">
        <f>SUMIF(C2:C698,C527,O2:O698)</f>
        <v>0</v>
      </c>
      <c r="AX527" s="462">
        <f>IF(AND(M527="F",AS527&lt;&gt;0),SUMIF(C2:C698,C527,W2:W698),0)</f>
        <v>0</v>
      </c>
      <c r="AY527" s="462" t="str">
        <f t="shared" si="138"/>
        <v/>
      </c>
      <c r="AZ527" s="462" t="str">
        <f t="shared" si="139"/>
        <v/>
      </c>
      <c r="BA527" s="462">
        <f t="shared" si="140"/>
        <v>0</v>
      </c>
      <c r="BB527" s="462">
        <f>IF(AND(AT527=1,AK527="E",AU527&gt;=0.75,AW527=1),Health,IF(AND(AT527=1,AK527="E",AU527&gt;=0.75),Health*P527,IF(AND(AT527=1,AK527="E",AU527&gt;=0.5,AW527=1),PTHealth,IF(AND(AT527=1,AK527="E",AU527&gt;=0.5),PTHealth*P527,0))))</f>
        <v>0</v>
      </c>
      <c r="BC527" s="462">
        <f>IF(AND(AT527=3,AK527="E",AV527&gt;=0.75,AW527=1),Health,IF(AND(AT527=3,AK527="E",AV527&gt;=0.75),Health*P527,IF(AND(AT527=3,AK527="E",AV527&gt;=0.5,AW527=1),PTHealth,IF(AND(AT527=3,AK527="E",AV527&gt;=0.5),PTHealth*P527,0))))</f>
        <v>0</v>
      </c>
      <c r="BD527" s="462">
        <f>IF(AND(AT527&lt;&gt;0,AX527&gt;=MAXSSDI),SSDI*MAXSSDI*P527,IF(AT527&lt;&gt;0,SSDI*W527,0))</f>
        <v>0</v>
      </c>
      <c r="BE527" s="462">
        <f>IF(AT527&lt;&gt;0,SSHI*W527,0)</f>
        <v>0</v>
      </c>
      <c r="BF527" s="462">
        <f>IF(AND(AT527&lt;&gt;0,AN527&lt;&gt;"NE"),VLOOKUP(AN527,Retirement_Rates,3,FALSE)*W527,0)</f>
        <v>0</v>
      </c>
      <c r="BG527" s="462">
        <f>IF(AND(AT527&lt;&gt;0,AJ527&lt;&gt;"PF"),Life*W527,0)</f>
        <v>0</v>
      </c>
      <c r="BH527" s="462">
        <f>IF(AND(AT527&lt;&gt;0,AM527="Y"),UI*W527,0)</f>
        <v>0</v>
      </c>
      <c r="BI527" s="462">
        <f>IF(AND(AT527&lt;&gt;0,N527&lt;&gt;"NR"),DHR*W527,0)</f>
        <v>0</v>
      </c>
      <c r="BJ527" s="462">
        <f>IF(AT527&lt;&gt;0,WC*W527,0)</f>
        <v>0</v>
      </c>
      <c r="BK527" s="462">
        <f>IF(OR(AND(AT527&lt;&gt;0,AJ527&lt;&gt;"PF",AN527&lt;&gt;"NE",AG527&lt;&gt;"A"),AND(AL527="E",OR(AT527=1,AT527=3))),Sick*W527,0)</f>
        <v>0</v>
      </c>
      <c r="BL527" s="462">
        <f t="shared" si="141"/>
        <v>0</v>
      </c>
      <c r="BM527" s="462">
        <f t="shared" si="142"/>
        <v>0</v>
      </c>
      <c r="BN527" s="462">
        <f>IF(AND(AT527=1,AK527="E",AU527&gt;=0.75,AW527=1),HealthBY,IF(AND(AT527=1,AK527="E",AU527&gt;=0.75),HealthBY*P527,IF(AND(AT527=1,AK527="E",AU527&gt;=0.5,AW527=1),PTHealthBY,IF(AND(AT527=1,AK527="E",AU527&gt;=0.5),PTHealthBY*P527,0))))</f>
        <v>0</v>
      </c>
      <c r="BO527" s="462">
        <f>IF(AND(AT527=3,AK527="E",AV527&gt;=0.75,AW527=1),HealthBY,IF(AND(AT527=3,AK527="E",AV527&gt;=0.75),HealthBY*P527,IF(AND(AT527=3,AK527="E",AV527&gt;=0.5,AW527=1),PTHealthBY,IF(AND(AT527=3,AK527="E",AV527&gt;=0.5),PTHealthBY*P527,0))))</f>
        <v>0</v>
      </c>
      <c r="BP527" s="462">
        <f>IF(AND(AT527&lt;&gt;0,(AX527+BA527)&gt;=MAXSSDIBY),SSDIBY*MAXSSDIBY*P527,IF(AT527&lt;&gt;0,SSDIBY*W527,0))</f>
        <v>0</v>
      </c>
      <c r="BQ527" s="462">
        <f>IF(AT527&lt;&gt;0,SSHIBY*W527,0)</f>
        <v>0</v>
      </c>
      <c r="BR527" s="462">
        <f>IF(AND(AT527&lt;&gt;0,AN527&lt;&gt;"NE"),VLOOKUP(AN527,Retirement_Rates,4,FALSE)*W527,0)</f>
        <v>0</v>
      </c>
      <c r="BS527" s="462">
        <f>IF(AND(AT527&lt;&gt;0,AJ527&lt;&gt;"PF"),LifeBY*W527,0)</f>
        <v>0</v>
      </c>
      <c r="BT527" s="462">
        <f>IF(AND(AT527&lt;&gt;0,AM527="Y"),UIBY*W527,0)</f>
        <v>0</v>
      </c>
      <c r="BU527" s="462">
        <f>IF(AND(AT527&lt;&gt;0,N527&lt;&gt;"NR"),DHRBY*W527,0)</f>
        <v>0</v>
      </c>
      <c r="BV527" s="462">
        <f>IF(AT527&lt;&gt;0,WCBY*W527,0)</f>
        <v>0</v>
      </c>
      <c r="BW527" s="462">
        <f>IF(OR(AND(AT527&lt;&gt;0,AJ527&lt;&gt;"PF",AN527&lt;&gt;"NE",AG527&lt;&gt;"A"),AND(AL527="E",OR(AT527=1,AT527=3))),SickBY*W527,0)</f>
        <v>0</v>
      </c>
      <c r="BX527" s="462">
        <f t="shared" si="143"/>
        <v>0</v>
      </c>
      <c r="BY527" s="462">
        <f t="shared" si="144"/>
        <v>0</v>
      </c>
      <c r="BZ527" s="462">
        <f t="shared" si="145"/>
        <v>0</v>
      </c>
      <c r="CA527" s="462">
        <f t="shared" si="146"/>
        <v>0</v>
      </c>
      <c r="CB527" s="462">
        <f t="shared" si="147"/>
        <v>0</v>
      </c>
      <c r="CC527" s="462">
        <f>IF(AT527&lt;&gt;0,SSHICHG*Y527,0)</f>
        <v>0</v>
      </c>
      <c r="CD527" s="462">
        <f>IF(AND(AT527&lt;&gt;0,AN527&lt;&gt;"NE"),VLOOKUP(AN527,Retirement_Rates,5,FALSE)*Y527,0)</f>
        <v>0</v>
      </c>
      <c r="CE527" s="462">
        <f>IF(AND(AT527&lt;&gt;0,AJ527&lt;&gt;"PF"),LifeCHG*Y527,0)</f>
        <v>0</v>
      </c>
      <c r="CF527" s="462">
        <f>IF(AND(AT527&lt;&gt;0,AM527="Y"),UICHG*Y527,0)</f>
        <v>0</v>
      </c>
      <c r="CG527" s="462">
        <f>IF(AND(AT527&lt;&gt;0,N527&lt;&gt;"NR"),DHRCHG*Y527,0)</f>
        <v>0</v>
      </c>
      <c r="CH527" s="462">
        <f>IF(AT527&lt;&gt;0,WCCHG*Y527,0)</f>
        <v>0</v>
      </c>
      <c r="CI527" s="462">
        <f>IF(OR(AND(AT527&lt;&gt;0,AJ527&lt;&gt;"PF",AN527&lt;&gt;"NE",AG527&lt;&gt;"A"),AND(AL527="E",OR(AT527=1,AT527=3))),SickCHG*Y527,0)</f>
        <v>0</v>
      </c>
      <c r="CJ527" s="462">
        <f t="shared" si="148"/>
        <v>0</v>
      </c>
      <c r="CK527" s="462" t="str">
        <f t="shared" si="149"/>
        <v/>
      </c>
      <c r="CL527" s="462">
        <f t="shared" si="150"/>
        <v>0</v>
      </c>
      <c r="CM527" s="462">
        <f t="shared" si="151"/>
        <v>0</v>
      </c>
      <c r="CN527" s="462" t="str">
        <f t="shared" si="152"/>
        <v>0486-00</v>
      </c>
    </row>
    <row r="528" spans="1:92" ht="15" thickBot="1" x14ac:dyDescent="0.35">
      <c r="A528" s="376" t="s">
        <v>161</v>
      </c>
      <c r="B528" s="376" t="s">
        <v>162</v>
      </c>
      <c r="C528" s="376" t="s">
        <v>1211</v>
      </c>
      <c r="D528" s="376" t="s">
        <v>1185</v>
      </c>
      <c r="E528" s="376" t="s">
        <v>1140</v>
      </c>
      <c r="F528" s="377" t="s">
        <v>166</v>
      </c>
      <c r="G528" s="376" t="s">
        <v>1141</v>
      </c>
      <c r="H528" s="378"/>
      <c r="I528" s="378"/>
      <c r="J528" s="376" t="s">
        <v>168</v>
      </c>
      <c r="K528" s="376" t="s">
        <v>1186</v>
      </c>
      <c r="L528" s="376" t="s">
        <v>166</v>
      </c>
      <c r="M528" s="376" t="s">
        <v>201</v>
      </c>
      <c r="N528" s="376" t="s">
        <v>291</v>
      </c>
      <c r="O528" s="379">
        <v>0</v>
      </c>
      <c r="P528" s="460">
        <v>1</v>
      </c>
      <c r="Q528" s="460">
        <v>0</v>
      </c>
      <c r="R528" s="380">
        <v>0</v>
      </c>
      <c r="S528" s="460">
        <v>0</v>
      </c>
      <c r="T528" s="380">
        <v>0</v>
      </c>
      <c r="U528" s="380">
        <v>0</v>
      </c>
      <c r="V528" s="380">
        <v>0</v>
      </c>
      <c r="W528" s="380">
        <v>0</v>
      </c>
      <c r="X528" s="380">
        <v>0</v>
      </c>
      <c r="Y528" s="380">
        <v>0</v>
      </c>
      <c r="Z528" s="380">
        <v>0</v>
      </c>
      <c r="AA528" s="378"/>
      <c r="AB528" s="376" t="s">
        <v>45</v>
      </c>
      <c r="AC528" s="376" t="s">
        <v>45</v>
      </c>
      <c r="AD528" s="378"/>
      <c r="AE528" s="378"/>
      <c r="AF528" s="378"/>
      <c r="AG528" s="378"/>
      <c r="AH528" s="379">
        <v>0</v>
      </c>
      <c r="AI528" s="379">
        <v>0</v>
      </c>
      <c r="AJ528" s="378"/>
      <c r="AK528" s="378"/>
      <c r="AL528" s="376" t="s">
        <v>180</v>
      </c>
      <c r="AM528" s="378"/>
      <c r="AN528" s="378"/>
      <c r="AO528" s="379">
        <v>0</v>
      </c>
      <c r="AP528" s="460">
        <v>0</v>
      </c>
      <c r="AQ528" s="460">
        <v>0</v>
      </c>
      <c r="AR528" s="459"/>
      <c r="AS528" s="462">
        <f t="shared" si="136"/>
        <v>0</v>
      </c>
      <c r="AT528">
        <f t="shared" si="137"/>
        <v>0</v>
      </c>
      <c r="AU528" s="462" t="str">
        <f>IF(AT528=0,"",IF(AND(AT528=1,M528="F",SUMIF(C2:C698,C528,AS2:AS698)&lt;=1),SUMIF(C2:C698,C528,AS2:AS698),IF(AND(AT528=1,M528="F",SUMIF(C2:C698,C528,AS2:AS698)&gt;1),1,"")))</f>
        <v/>
      </c>
      <c r="AV528" s="462" t="str">
        <f>IF(AT528=0,"",IF(AND(AT528=3,M528="F",SUMIF(C2:C698,C528,AS2:AS698)&lt;=1),SUMIF(C2:C698,C528,AS2:AS698),IF(AND(AT528=3,M528="F",SUMIF(C2:C698,C528,AS2:AS698)&gt;1),1,"")))</f>
        <v/>
      </c>
      <c r="AW528" s="462">
        <f>SUMIF(C2:C698,C528,O2:O698)</f>
        <v>0</v>
      </c>
      <c r="AX528" s="462">
        <f>IF(AND(M528="F",AS528&lt;&gt;0),SUMIF(C2:C698,C528,W2:W698),0)</f>
        <v>0</v>
      </c>
      <c r="AY528" s="462" t="str">
        <f t="shared" si="138"/>
        <v/>
      </c>
      <c r="AZ528" s="462" t="str">
        <f t="shared" si="139"/>
        <v/>
      </c>
      <c r="BA528" s="462">
        <f t="shared" si="140"/>
        <v>0</v>
      </c>
      <c r="BB528" s="462">
        <f>IF(AND(AT528=1,AK528="E",AU528&gt;=0.75,AW528=1),Health,IF(AND(AT528=1,AK528="E",AU528&gt;=0.75),Health*P528,IF(AND(AT528=1,AK528="E",AU528&gt;=0.5,AW528=1),PTHealth,IF(AND(AT528=1,AK528="E",AU528&gt;=0.5),PTHealth*P528,0))))</f>
        <v>0</v>
      </c>
      <c r="BC528" s="462">
        <f>IF(AND(AT528=3,AK528="E",AV528&gt;=0.75,AW528=1),Health,IF(AND(AT528=3,AK528="E",AV528&gt;=0.75),Health*P528,IF(AND(AT528=3,AK528="E",AV528&gt;=0.5,AW528=1),PTHealth,IF(AND(AT528=3,AK528="E",AV528&gt;=0.5),PTHealth*P528,0))))</f>
        <v>0</v>
      </c>
      <c r="BD528" s="462">
        <f>IF(AND(AT528&lt;&gt;0,AX528&gt;=MAXSSDI),SSDI*MAXSSDI*P528,IF(AT528&lt;&gt;0,SSDI*W528,0))</f>
        <v>0</v>
      </c>
      <c r="BE528" s="462">
        <f>IF(AT528&lt;&gt;0,SSHI*W528,0)</f>
        <v>0</v>
      </c>
      <c r="BF528" s="462">
        <f>IF(AND(AT528&lt;&gt;0,AN528&lt;&gt;"NE"),VLOOKUP(AN528,Retirement_Rates,3,FALSE)*W528,0)</f>
        <v>0</v>
      </c>
      <c r="BG528" s="462">
        <f>IF(AND(AT528&lt;&gt;0,AJ528&lt;&gt;"PF"),Life*W528,0)</f>
        <v>0</v>
      </c>
      <c r="BH528" s="462">
        <f>IF(AND(AT528&lt;&gt;0,AM528="Y"),UI*W528,0)</f>
        <v>0</v>
      </c>
      <c r="BI528" s="462">
        <f>IF(AND(AT528&lt;&gt;0,N528&lt;&gt;"NR"),DHR*W528,0)</f>
        <v>0</v>
      </c>
      <c r="BJ528" s="462">
        <f>IF(AT528&lt;&gt;0,WC*W528,0)</f>
        <v>0</v>
      </c>
      <c r="BK528" s="462">
        <f>IF(OR(AND(AT528&lt;&gt;0,AJ528&lt;&gt;"PF",AN528&lt;&gt;"NE",AG528&lt;&gt;"A"),AND(AL528="E",OR(AT528=1,AT528=3))),Sick*W528,0)</f>
        <v>0</v>
      </c>
      <c r="BL528" s="462">
        <f t="shared" si="141"/>
        <v>0</v>
      </c>
      <c r="BM528" s="462">
        <f t="shared" si="142"/>
        <v>0</v>
      </c>
      <c r="BN528" s="462">
        <f>IF(AND(AT528=1,AK528="E",AU528&gt;=0.75,AW528=1),HealthBY,IF(AND(AT528=1,AK528="E",AU528&gt;=0.75),HealthBY*P528,IF(AND(AT528=1,AK528="E",AU528&gt;=0.5,AW528=1),PTHealthBY,IF(AND(AT528=1,AK528="E",AU528&gt;=0.5),PTHealthBY*P528,0))))</f>
        <v>0</v>
      </c>
      <c r="BO528" s="462">
        <f>IF(AND(AT528=3,AK528="E",AV528&gt;=0.75,AW528=1),HealthBY,IF(AND(AT528=3,AK528="E",AV528&gt;=0.75),HealthBY*P528,IF(AND(AT528=3,AK528="E",AV528&gt;=0.5,AW528=1),PTHealthBY,IF(AND(AT528=3,AK528="E",AV528&gt;=0.5),PTHealthBY*P528,0))))</f>
        <v>0</v>
      </c>
      <c r="BP528" s="462">
        <f>IF(AND(AT528&lt;&gt;0,(AX528+BA528)&gt;=MAXSSDIBY),SSDIBY*MAXSSDIBY*P528,IF(AT528&lt;&gt;0,SSDIBY*W528,0))</f>
        <v>0</v>
      </c>
      <c r="BQ528" s="462">
        <f>IF(AT528&lt;&gt;0,SSHIBY*W528,0)</f>
        <v>0</v>
      </c>
      <c r="BR528" s="462">
        <f>IF(AND(AT528&lt;&gt;0,AN528&lt;&gt;"NE"),VLOOKUP(AN528,Retirement_Rates,4,FALSE)*W528,0)</f>
        <v>0</v>
      </c>
      <c r="BS528" s="462">
        <f>IF(AND(AT528&lt;&gt;0,AJ528&lt;&gt;"PF"),LifeBY*W528,0)</f>
        <v>0</v>
      </c>
      <c r="BT528" s="462">
        <f>IF(AND(AT528&lt;&gt;0,AM528="Y"),UIBY*W528,0)</f>
        <v>0</v>
      </c>
      <c r="BU528" s="462">
        <f>IF(AND(AT528&lt;&gt;0,N528&lt;&gt;"NR"),DHRBY*W528,0)</f>
        <v>0</v>
      </c>
      <c r="BV528" s="462">
        <f>IF(AT528&lt;&gt;0,WCBY*W528,0)</f>
        <v>0</v>
      </c>
      <c r="BW528" s="462">
        <f>IF(OR(AND(AT528&lt;&gt;0,AJ528&lt;&gt;"PF",AN528&lt;&gt;"NE",AG528&lt;&gt;"A"),AND(AL528="E",OR(AT528=1,AT528=3))),SickBY*W528,0)</f>
        <v>0</v>
      </c>
      <c r="BX528" s="462">
        <f t="shared" si="143"/>
        <v>0</v>
      </c>
      <c r="BY528" s="462">
        <f t="shared" si="144"/>
        <v>0</v>
      </c>
      <c r="BZ528" s="462">
        <f t="shared" si="145"/>
        <v>0</v>
      </c>
      <c r="CA528" s="462">
        <f t="shared" si="146"/>
        <v>0</v>
      </c>
      <c r="CB528" s="462">
        <f t="shared" si="147"/>
        <v>0</v>
      </c>
      <c r="CC528" s="462">
        <f>IF(AT528&lt;&gt;0,SSHICHG*Y528,0)</f>
        <v>0</v>
      </c>
      <c r="CD528" s="462">
        <f>IF(AND(AT528&lt;&gt;0,AN528&lt;&gt;"NE"),VLOOKUP(AN528,Retirement_Rates,5,FALSE)*Y528,0)</f>
        <v>0</v>
      </c>
      <c r="CE528" s="462">
        <f>IF(AND(AT528&lt;&gt;0,AJ528&lt;&gt;"PF"),LifeCHG*Y528,0)</f>
        <v>0</v>
      </c>
      <c r="CF528" s="462">
        <f>IF(AND(AT528&lt;&gt;0,AM528="Y"),UICHG*Y528,0)</f>
        <v>0</v>
      </c>
      <c r="CG528" s="462">
        <f>IF(AND(AT528&lt;&gt;0,N528&lt;&gt;"NR"),DHRCHG*Y528,0)</f>
        <v>0</v>
      </c>
      <c r="CH528" s="462">
        <f>IF(AT528&lt;&gt;0,WCCHG*Y528,0)</f>
        <v>0</v>
      </c>
      <c r="CI528" s="462">
        <f>IF(OR(AND(AT528&lt;&gt;0,AJ528&lt;&gt;"PF",AN528&lt;&gt;"NE",AG528&lt;&gt;"A"),AND(AL528="E",OR(AT528=1,AT528=3))),SickCHG*Y528,0)</f>
        <v>0</v>
      </c>
      <c r="CJ528" s="462">
        <f t="shared" si="148"/>
        <v>0</v>
      </c>
      <c r="CK528" s="462" t="str">
        <f t="shared" si="149"/>
        <v/>
      </c>
      <c r="CL528" s="462">
        <f t="shared" si="150"/>
        <v>0</v>
      </c>
      <c r="CM528" s="462">
        <f t="shared" si="151"/>
        <v>0</v>
      </c>
      <c r="CN528" s="462" t="str">
        <f t="shared" si="152"/>
        <v>0486-00</v>
      </c>
    </row>
    <row r="529" spans="1:92" ht="15" thickBot="1" x14ac:dyDescent="0.35">
      <c r="A529" s="376" t="s">
        <v>161</v>
      </c>
      <c r="B529" s="376" t="s">
        <v>162</v>
      </c>
      <c r="C529" s="376" t="s">
        <v>1212</v>
      </c>
      <c r="D529" s="376" t="s">
        <v>1147</v>
      </c>
      <c r="E529" s="376" t="s">
        <v>1140</v>
      </c>
      <c r="F529" s="377" t="s">
        <v>166</v>
      </c>
      <c r="G529" s="376" t="s">
        <v>1141</v>
      </c>
      <c r="H529" s="378"/>
      <c r="I529" s="378"/>
      <c r="J529" s="376" t="s">
        <v>168</v>
      </c>
      <c r="K529" s="376" t="s">
        <v>1148</v>
      </c>
      <c r="L529" s="376" t="s">
        <v>166</v>
      </c>
      <c r="M529" s="376" t="s">
        <v>201</v>
      </c>
      <c r="N529" s="376" t="s">
        <v>291</v>
      </c>
      <c r="O529" s="379">
        <v>0</v>
      </c>
      <c r="P529" s="460">
        <v>1</v>
      </c>
      <c r="Q529" s="460">
        <v>0</v>
      </c>
      <c r="R529" s="380">
        <v>0</v>
      </c>
      <c r="S529" s="460">
        <v>0</v>
      </c>
      <c r="T529" s="380">
        <v>0</v>
      </c>
      <c r="U529" s="380">
        <v>0</v>
      </c>
      <c r="V529" s="380">
        <v>0</v>
      </c>
      <c r="W529" s="380">
        <v>0</v>
      </c>
      <c r="X529" s="380">
        <v>0</v>
      </c>
      <c r="Y529" s="380">
        <v>0</v>
      </c>
      <c r="Z529" s="380">
        <v>0</v>
      </c>
      <c r="AA529" s="378"/>
      <c r="AB529" s="376" t="s">
        <v>45</v>
      </c>
      <c r="AC529" s="376" t="s">
        <v>45</v>
      </c>
      <c r="AD529" s="378"/>
      <c r="AE529" s="378"/>
      <c r="AF529" s="378"/>
      <c r="AG529" s="378"/>
      <c r="AH529" s="379">
        <v>0</v>
      </c>
      <c r="AI529" s="379">
        <v>0</v>
      </c>
      <c r="AJ529" s="378"/>
      <c r="AK529" s="378"/>
      <c r="AL529" s="376" t="s">
        <v>180</v>
      </c>
      <c r="AM529" s="378"/>
      <c r="AN529" s="378"/>
      <c r="AO529" s="379">
        <v>0</v>
      </c>
      <c r="AP529" s="460">
        <v>0</v>
      </c>
      <c r="AQ529" s="460">
        <v>0</v>
      </c>
      <c r="AR529" s="459"/>
      <c r="AS529" s="462">
        <f t="shared" si="136"/>
        <v>0</v>
      </c>
      <c r="AT529">
        <f t="shared" si="137"/>
        <v>0</v>
      </c>
      <c r="AU529" s="462" t="str">
        <f>IF(AT529=0,"",IF(AND(AT529=1,M529="F",SUMIF(C2:C698,C529,AS2:AS698)&lt;=1),SUMIF(C2:C698,C529,AS2:AS698),IF(AND(AT529=1,M529="F",SUMIF(C2:C698,C529,AS2:AS698)&gt;1),1,"")))</f>
        <v/>
      </c>
      <c r="AV529" s="462" t="str">
        <f>IF(AT529=0,"",IF(AND(AT529=3,M529="F",SUMIF(C2:C698,C529,AS2:AS698)&lt;=1),SUMIF(C2:C698,C529,AS2:AS698),IF(AND(AT529=3,M529="F",SUMIF(C2:C698,C529,AS2:AS698)&gt;1),1,"")))</f>
        <v/>
      </c>
      <c r="AW529" s="462">
        <f>SUMIF(C2:C698,C529,O2:O698)</f>
        <v>0</v>
      </c>
      <c r="AX529" s="462">
        <f>IF(AND(M529="F",AS529&lt;&gt;0),SUMIF(C2:C698,C529,W2:W698),0)</f>
        <v>0</v>
      </c>
      <c r="AY529" s="462" t="str">
        <f t="shared" si="138"/>
        <v/>
      </c>
      <c r="AZ529" s="462" t="str">
        <f t="shared" si="139"/>
        <v/>
      </c>
      <c r="BA529" s="462">
        <f t="shared" si="140"/>
        <v>0</v>
      </c>
      <c r="BB529" s="462">
        <f>IF(AND(AT529=1,AK529="E",AU529&gt;=0.75,AW529=1),Health,IF(AND(AT529=1,AK529="E",AU529&gt;=0.75),Health*P529,IF(AND(AT529=1,AK529="E",AU529&gt;=0.5,AW529=1),PTHealth,IF(AND(AT529=1,AK529="E",AU529&gt;=0.5),PTHealth*P529,0))))</f>
        <v>0</v>
      </c>
      <c r="BC529" s="462">
        <f>IF(AND(AT529=3,AK529="E",AV529&gt;=0.75,AW529=1),Health,IF(AND(AT529=3,AK529="E",AV529&gt;=0.75),Health*P529,IF(AND(AT529=3,AK529="E",AV529&gt;=0.5,AW529=1),PTHealth,IF(AND(AT529=3,AK529="E",AV529&gt;=0.5),PTHealth*P529,0))))</f>
        <v>0</v>
      </c>
      <c r="BD529" s="462">
        <f>IF(AND(AT529&lt;&gt;0,AX529&gt;=MAXSSDI),SSDI*MAXSSDI*P529,IF(AT529&lt;&gt;0,SSDI*W529,0))</f>
        <v>0</v>
      </c>
      <c r="BE529" s="462">
        <f>IF(AT529&lt;&gt;0,SSHI*W529,0)</f>
        <v>0</v>
      </c>
      <c r="BF529" s="462">
        <f>IF(AND(AT529&lt;&gt;0,AN529&lt;&gt;"NE"),VLOOKUP(AN529,Retirement_Rates,3,FALSE)*W529,0)</f>
        <v>0</v>
      </c>
      <c r="BG529" s="462">
        <f>IF(AND(AT529&lt;&gt;0,AJ529&lt;&gt;"PF"),Life*W529,0)</f>
        <v>0</v>
      </c>
      <c r="BH529" s="462">
        <f>IF(AND(AT529&lt;&gt;0,AM529="Y"),UI*W529,0)</f>
        <v>0</v>
      </c>
      <c r="BI529" s="462">
        <f>IF(AND(AT529&lt;&gt;0,N529&lt;&gt;"NR"),DHR*W529,0)</f>
        <v>0</v>
      </c>
      <c r="BJ529" s="462">
        <f>IF(AT529&lt;&gt;0,WC*W529,0)</f>
        <v>0</v>
      </c>
      <c r="BK529" s="462">
        <f>IF(OR(AND(AT529&lt;&gt;0,AJ529&lt;&gt;"PF",AN529&lt;&gt;"NE",AG529&lt;&gt;"A"),AND(AL529="E",OR(AT529=1,AT529=3))),Sick*W529,0)</f>
        <v>0</v>
      </c>
      <c r="BL529" s="462">
        <f t="shared" si="141"/>
        <v>0</v>
      </c>
      <c r="BM529" s="462">
        <f t="shared" si="142"/>
        <v>0</v>
      </c>
      <c r="BN529" s="462">
        <f>IF(AND(AT529=1,AK529="E",AU529&gt;=0.75,AW529=1),HealthBY,IF(AND(AT529=1,AK529="E",AU529&gt;=0.75),HealthBY*P529,IF(AND(AT529=1,AK529="E",AU529&gt;=0.5,AW529=1),PTHealthBY,IF(AND(AT529=1,AK529="E",AU529&gt;=0.5),PTHealthBY*P529,0))))</f>
        <v>0</v>
      </c>
      <c r="BO529" s="462">
        <f>IF(AND(AT529=3,AK529="E",AV529&gt;=0.75,AW529=1),HealthBY,IF(AND(AT529=3,AK529="E",AV529&gt;=0.75),HealthBY*P529,IF(AND(AT529=3,AK529="E",AV529&gt;=0.5,AW529=1),PTHealthBY,IF(AND(AT529=3,AK529="E",AV529&gt;=0.5),PTHealthBY*P529,0))))</f>
        <v>0</v>
      </c>
      <c r="BP529" s="462">
        <f>IF(AND(AT529&lt;&gt;0,(AX529+BA529)&gt;=MAXSSDIBY),SSDIBY*MAXSSDIBY*P529,IF(AT529&lt;&gt;0,SSDIBY*W529,0))</f>
        <v>0</v>
      </c>
      <c r="BQ529" s="462">
        <f>IF(AT529&lt;&gt;0,SSHIBY*W529,0)</f>
        <v>0</v>
      </c>
      <c r="BR529" s="462">
        <f>IF(AND(AT529&lt;&gt;0,AN529&lt;&gt;"NE"),VLOOKUP(AN529,Retirement_Rates,4,FALSE)*W529,0)</f>
        <v>0</v>
      </c>
      <c r="BS529" s="462">
        <f>IF(AND(AT529&lt;&gt;0,AJ529&lt;&gt;"PF"),LifeBY*W529,0)</f>
        <v>0</v>
      </c>
      <c r="BT529" s="462">
        <f>IF(AND(AT529&lt;&gt;0,AM529="Y"),UIBY*W529,0)</f>
        <v>0</v>
      </c>
      <c r="BU529" s="462">
        <f>IF(AND(AT529&lt;&gt;0,N529&lt;&gt;"NR"),DHRBY*W529,0)</f>
        <v>0</v>
      </c>
      <c r="BV529" s="462">
        <f>IF(AT529&lt;&gt;0,WCBY*W529,0)</f>
        <v>0</v>
      </c>
      <c r="BW529" s="462">
        <f>IF(OR(AND(AT529&lt;&gt;0,AJ529&lt;&gt;"PF",AN529&lt;&gt;"NE",AG529&lt;&gt;"A"),AND(AL529="E",OR(AT529=1,AT529=3))),SickBY*W529,0)</f>
        <v>0</v>
      </c>
      <c r="BX529" s="462">
        <f t="shared" si="143"/>
        <v>0</v>
      </c>
      <c r="BY529" s="462">
        <f t="shared" si="144"/>
        <v>0</v>
      </c>
      <c r="BZ529" s="462">
        <f t="shared" si="145"/>
        <v>0</v>
      </c>
      <c r="CA529" s="462">
        <f t="shared" si="146"/>
        <v>0</v>
      </c>
      <c r="CB529" s="462">
        <f t="shared" si="147"/>
        <v>0</v>
      </c>
      <c r="CC529" s="462">
        <f>IF(AT529&lt;&gt;0,SSHICHG*Y529,0)</f>
        <v>0</v>
      </c>
      <c r="CD529" s="462">
        <f>IF(AND(AT529&lt;&gt;0,AN529&lt;&gt;"NE"),VLOOKUP(AN529,Retirement_Rates,5,FALSE)*Y529,0)</f>
        <v>0</v>
      </c>
      <c r="CE529" s="462">
        <f>IF(AND(AT529&lt;&gt;0,AJ529&lt;&gt;"PF"),LifeCHG*Y529,0)</f>
        <v>0</v>
      </c>
      <c r="CF529" s="462">
        <f>IF(AND(AT529&lt;&gt;0,AM529="Y"),UICHG*Y529,0)</f>
        <v>0</v>
      </c>
      <c r="CG529" s="462">
        <f>IF(AND(AT529&lt;&gt;0,N529&lt;&gt;"NR"),DHRCHG*Y529,0)</f>
        <v>0</v>
      </c>
      <c r="CH529" s="462">
        <f>IF(AT529&lt;&gt;0,WCCHG*Y529,0)</f>
        <v>0</v>
      </c>
      <c r="CI529" s="462">
        <f>IF(OR(AND(AT529&lt;&gt;0,AJ529&lt;&gt;"PF",AN529&lt;&gt;"NE",AG529&lt;&gt;"A"),AND(AL529="E",OR(AT529=1,AT529=3))),SickCHG*Y529,0)</f>
        <v>0</v>
      </c>
      <c r="CJ529" s="462">
        <f t="shared" si="148"/>
        <v>0</v>
      </c>
      <c r="CK529" s="462" t="str">
        <f t="shared" si="149"/>
        <v/>
      </c>
      <c r="CL529" s="462">
        <f t="shared" si="150"/>
        <v>0</v>
      </c>
      <c r="CM529" s="462">
        <f t="shared" si="151"/>
        <v>0</v>
      </c>
      <c r="CN529" s="462" t="str">
        <f t="shared" si="152"/>
        <v>0486-00</v>
      </c>
    </row>
    <row r="530" spans="1:92" ht="15" thickBot="1" x14ac:dyDescent="0.35">
      <c r="A530" s="376" t="s">
        <v>161</v>
      </c>
      <c r="B530" s="376" t="s">
        <v>162</v>
      </c>
      <c r="C530" s="376" t="s">
        <v>1213</v>
      </c>
      <c r="D530" s="376" t="s">
        <v>1163</v>
      </c>
      <c r="E530" s="376" t="s">
        <v>1140</v>
      </c>
      <c r="F530" s="377" t="s">
        <v>166</v>
      </c>
      <c r="G530" s="376" t="s">
        <v>1141</v>
      </c>
      <c r="H530" s="378"/>
      <c r="I530" s="378"/>
      <c r="J530" s="376" t="s">
        <v>168</v>
      </c>
      <c r="K530" s="376" t="s">
        <v>1164</v>
      </c>
      <c r="L530" s="376" t="s">
        <v>166</v>
      </c>
      <c r="M530" s="376" t="s">
        <v>201</v>
      </c>
      <c r="N530" s="376" t="s">
        <v>291</v>
      </c>
      <c r="O530" s="379">
        <v>0</v>
      </c>
      <c r="P530" s="460">
        <v>1</v>
      </c>
      <c r="Q530" s="460">
        <v>0</v>
      </c>
      <c r="R530" s="380">
        <v>0</v>
      </c>
      <c r="S530" s="460">
        <v>0</v>
      </c>
      <c r="T530" s="380">
        <v>0</v>
      </c>
      <c r="U530" s="380">
        <v>0</v>
      </c>
      <c r="V530" s="380">
        <v>0</v>
      </c>
      <c r="W530" s="380">
        <v>0</v>
      </c>
      <c r="X530" s="380">
        <v>0</v>
      </c>
      <c r="Y530" s="380">
        <v>0</v>
      </c>
      <c r="Z530" s="380">
        <v>0</v>
      </c>
      <c r="AA530" s="378"/>
      <c r="AB530" s="376" t="s">
        <v>45</v>
      </c>
      <c r="AC530" s="376" t="s">
        <v>45</v>
      </c>
      <c r="AD530" s="378"/>
      <c r="AE530" s="378"/>
      <c r="AF530" s="378"/>
      <c r="AG530" s="378"/>
      <c r="AH530" s="379">
        <v>0</v>
      </c>
      <c r="AI530" s="379">
        <v>0</v>
      </c>
      <c r="AJ530" s="378"/>
      <c r="AK530" s="378"/>
      <c r="AL530" s="376" t="s">
        <v>180</v>
      </c>
      <c r="AM530" s="378"/>
      <c r="AN530" s="378"/>
      <c r="AO530" s="379">
        <v>0</v>
      </c>
      <c r="AP530" s="460">
        <v>0</v>
      </c>
      <c r="AQ530" s="460">
        <v>0</v>
      </c>
      <c r="AR530" s="459"/>
      <c r="AS530" s="462">
        <f t="shared" si="136"/>
        <v>0</v>
      </c>
      <c r="AT530">
        <f t="shared" si="137"/>
        <v>0</v>
      </c>
      <c r="AU530" s="462" t="str">
        <f>IF(AT530=0,"",IF(AND(AT530=1,M530="F",SUMIF(C2:C698,C530,AS2:AS698)&lt;=1),SUMIF(C2:C698,C530,AS2:AS698),IF(AND(AT530=1,M530="F",SUMIF(C2:C698,C530,AS2:AS698)&gt;1),1,"")))</f>
        <v/>
      </c>
      <c r="AV530" s="462" t="str">
        <f>IF(AT530=0,"",IF(AND(AT530=3,M530="F",SUMIF(C2:C698,C530,AS2:AS698)&lt;=1),SUMIF(C2:C698,C530,AS2:AS698),IF(AND(AT530=3,M530="F",SUMIF(C2:C698,C530,AS2:AS698)&gt;1),1,"")))</f>
        <v/>
      </c>
      <c r="AW530" s="462">
        <f>SUMIF(C2:C698,C530,O2:O698)</f>
        <v>0</v>
      </c>
      <c r="AX530" s="462">
        <f>IF(AND(M530="F",AS530&lt;&gt;0),SUMIF(C2:C698,C530,W2:W698),0)</f>
        <v>0</v>
      </c>
      <c r="AY530" s="462" t="str">
        <f t="shared" si="138"/>
        <v/>
      </c>
      <c r="AZ530" s="462" t="str">
        <f t="shared" si="139"/>
        <v/>
      </c>
      <c r="BA530" s="462">
        <f t="shared" si="140"/>
        <v>0</v>
      </c>
      <c r="BB530" s="462">
        <f>IF(AND(AT530=1,AK530="E",AU530&gt;=0.75,AW530=1),Health,IF(AND(AT530=1,AK530="E",AU530&gt;=0.75),Health*P530,IF(AND(AT530=1,AK530="E",AU530&gt;=0.5,AW530=1),PTHealth,IF(AND(AT530=1,AK530="E",AU530&gt;=0.5),PTHealth*P530,0))))</f>
        <v>0</v>
      </c>
      <c r="BC530" s="462">
        <f>IF(AND(AT530=3,AK530="E",AV530&gt;=0.75,AW530=1),Health,IF(AND(AT530=3,AK530="E",AV530&gt;=0.75),Health*P530,IF(AND(AT530=3,AK530="E",AV530&gt;=0.5,AW530=1),PTHealth,IF(AND(AT530=3,AK530="E",AV530&gt;=0.5),PTHealth*P530,0))))</f>
        <v>0</v>
      </c>
      <c r="BD530" s="462">
        <f>IF(AND(AT530&lt;&gt;0,AX530&gt;=MAXSSDI),SSDI*MAXSSDI*P530,IF(AT530&lt;&gt;0,SSDI*W530,0))</f>
        <v>0</v>
      </c>
      <c r="BE530" s="462">
        <f>IF(AT530&lt;&gt;0,SSHI*W530,0)</f>
        <v>0</v>
      </c>
      <c r="BF530" s="462">
        <f>IF(AND(AT530&lt;&gt;0,AN530&lt;&gt;"NE"),VLOOKUP(AN530,Retirement_Rates,3,FALSE)*W530,0)</f>
        <v>0</v>
      </c>
      <c r="BG530" s="462">
        <f>IF(AND(AT530&lt;&gt;0,AJ530&lt;&gt;"PF"),Life*W530,0)</f>
        <v>0</v>
      </c>
      <c r="BH530" s="462">
        <f>IF(AND(AT530&lt;&gt;0,AM530="Y"),UI*W530,0)</f>
        <v>0</v>
      </c>
      <c r="BI530" s="462">
        <f>IF(AND(AT530&lt;&gt;0,N530&lt;&gt;"NR"),DHR*W530,0)</f>
        <v>0</v>
      </c>
      <c r="BJ530" s="462">
        <f>IF(AT530&lt;&gt;0,WC*W530,0)</f>
        <v>0</v>
      </c>
      <c r="BK530" s="462">
        <f>IF(OR(AND(AT530&lt;&gt;0,AJ530&lt;&gt;"PF",AN530&lt;&gt;"NE",AG530&lt;&gt;"A"),AND(AL530="E",OR(AT530=1,AT530=3))),Sick*W530,0)</f>
        <v>0</v>
      </c>
      <c r="BL530" s="462">
        <f t="shared" si="141"/>
        <v>0</v>
      </c>
      <c r="BM530" s="462">
        <f t="shared" si="142"/>
        <v>0</v>
      </c>
      <c r="BN530" s="462">
        <f>IF(AND(AT530=1,AK530="E",AU530&gt;=0.75,AW530=1),HealthBY,IF(AND(AT530=1,AK530="E",AU530&gt;=0.75),HealthBY*P530,IF(AND(AT530=1,AK530="E",AU530&gt;=0.5,AW530=1),PTHealthBY,IF(AND(AT530=1,AK530="E",AU530&gt;=0.5),PTHealthBY*P530,0))))</f>
        <v>0</v>
      </c>
      <c r="BO530" s="462">
        <f>IF(AND(AT530=3,AK530="E",AV530&gt;=0.75,AW530=1),HealthBY,IF(AND(AT530=3,AK530="E",AV530&gt;=0.75),HealthBY*P530,IF(AND(AT530=3,AK530="E",AV530&gt;=0.5,AW530=1),PTHealthBY,IF(AND(AT530=3,AK530="E",AV530&gt;=0.5),PTHealthBY*P530,0))))</f>
        <v>0</v>
      </c>
      <c r="BP530" s="462">
        <f>IF(AND(AT530&lt;&gt;0,(AX530+BA530)&gt;=MAXSSDIBY),SSDIBY*MAXSSDIBY*P530,IF(AT530&lt;&gt;0,SSDIBY*W530,0))</f>
        <v>0</v>
      </c>
      <c r="BQ530" s="462">
        <f>IF(AT530&lt;&gt;0,SSHIBY*W530,0)</f>
        <v>0</v>
      </c>
      <c r="BR530" s="462">
        <f>IF(AND(AT530&lt;&gt;0,AN530&lt;&gt;"NE"),VLOOKUP(AN530,Retirement_Rates,4,FALSE)*W530,0)</f>
        <v>0</v>
      </c>
      <c r="BS530" s="462">
        <f>IF(AND(AT530&lt;&gt;0,AJ530&lt;&gt;"PF"),LifeBY*W530,0)</f>
        <v>0</v>
      </c>
      <c r="BT530" s="462">
        <f>IF(AND(AT530&lt;&gt;0,AM530="Y"),UIBY*W530,0)</f>
        <v>0</v>
      </c>
      <c r="BU530" s="462">
        <f>IF(AND(AT530&lt;&gt;0,N530&lt;&gt;"NR"),DHRBY*W530,0)</f>
        <v>0</v>
      </c>
      <c r="BV530" s="462">
        <f>IF(AT530&lt;&gt;0,WCBY*W530,0)</f>
        <v>0</v>
      </c>
      <c r="BW530" s="462">
        <f>IF(OR(AND(AT530&lt;&gt;0,AJ530&lt;&gt;"PF",AN530&lt;&gt;"NE",AG530&lt;&gt;"A"),AND(AL530="E",OR(AT530=1,AT530=3))),SickBY*W530,0)</f>
        <v>0</v>
      </c>
      <c r="BX530" s="462">
        <f t="shared" si="143"/>
        <v>0</v>
      </c>
      <c r="BY530" s="462">
        <f t="shared" si="144"/>
        <v>0</v>
      </c>
      <c r="BZ530" s="462">
        <f t="shared" si="145"/>
        <v>0</v>
      </c>
      <c r="CA530" s="462">
        <f t="shared" si="146"/>
        <v>0</v>
      </c>
      <c r="CB530" s="462">
        <f t="shared" si="147"/>
        <v>0</v>
      </c>
      <c r="CC530" s="462">
        <f>IF(AT530&lt;&gt;0,SSHICHG*Y530,0)</f>
        <v>0</v>
      </c>
      <c r="CD530" s="462">
        <f>IF(AND(AT530&lt;&gt;0,AN530&lt;&gt;"NE"),VLOOKUP(AN530,Retirement_Rates,5,FALSE)*Y530,0)</f>
        <v>0</v>
      </c>
      <c r="CE530" s="462">
        <f>IF(AND(AT530&lt;&gt;0,AJ530&lt;&gt;"PF"),LifeCHG*Y530,0)</f>
        <v>0</v>
      </c>
      <c r="CF530" s="462">
        <f>IF(AND(AT530&lt;&gt;0,AM530="Y"),UICHG*Y530,0)</f>
        <v>0</v>
      </c>
      <c r="CG530" s="462">
        <f>IF(AND(AT530&lt;&gt;0,N530&lt;&gt;"NR"),DHRCHG*Y530,0)</f>
        <v>0</v>
      </c>
      <c r="CH530" s="462">
        <f>IF(AT530&lt;&gt;0,WCCHG*Y530,0)</f>
        <v>0</v>
      </c>
      <c r="CI530" s="462">
        <f>IF(OR(AND(AT530&lt;&gt;0,AJ530&lt;&gt;"PF",AN530&lt;&gt;"NE",AG530&lt;&gt;"A"),AND(AL530="E",OR(AT530=1,AT530=3))),SickCHG*Y530,0)</f>
        <v>0</v>
      </c>
      <c r="CJ530" s="462">
        <f t="shared" si="148"/>
        <v>0</v>
      </c>
      <c r="CK530" s="462" t="str">
        <f t="shared" si="149"/>
        <v/>
      </c>
      <c r="CL530" s="462">
        <f t="shared" si="150"/>
        <v>0</v>
      </c>
      <c r="CM530" s="462">
        <f t="shared" si="151"/>
        <v>0</v>
      </c>
      <c r="CN530" s="462" t="str">
        <f t="shared" si="152"/>
        <v>0486-00</v>
      </c>
    </row>
    <row r="531" spans="1:92" ht="15" thickBot="1" x14ac:dyDescent="0.35">
      <c r="A531" s="376" t="s">
        <v>161</v>
      </c>
      <c r="B531" s="376" t="s">
        <v>162</v>
      </c>
      <c r="C531" s="376" t="s">
        <v>1214</v>
      </c>
      <c r="D531" s="376" t="s">
        <v>647</v>
      </c>
      <c r="E531" s="376" t="s">
        <v>1140</v>
      </c>
      <c r="F531" s="377" t="s">
        <v>166</v>
      </c>
      <c r="G531" s="376" t="s">
        <v>1141</v>
      </c>
      <c r="H531" s="378"/>
      <c r="I531" s="378"/>
      <c r="J531" s="376" t="s">
        <v>168</v>
      </c>
      <c r="K531" s="376" t="s">
        <v>648</v>
      </c>
      <c r="L531" s="376" t="s">
        <v>166</v>
      </c>
      <c r="M531" s="376" t="s">
        <v>201</v>
      </c>
      <c r="N531" s="376" t="s">
        <v>291</v>
      </c>
      <c r="O531" s="379">
        <v>0</v>
      </c>
      <c r="P531" s="460">
        <v>1</v>
      </c>
      <c r="Q531" s="460">
        <v>0</v>
      </c>
      <c r="R531" s="380">
        <v>0</v>
      </c>
      <c r="S531" s="460">
        <v>0</v>
      </c>
      <c r="T531" s="380">
        <v>19977.099999999999</v>
      </c>
      <c r="U531" s="380">
        <v>5232.5</v>
      </c>
      <c r="V531" s="380">
        <v>2957.26</v>
      </c>
      <c r="W531" s="380">
        <v>25209.599999999999</v>
      </c>
      <c r="X531" s="380">
        <v>2957.26</v>
      </c>
      <c r="Y531" s="380">
        <v>25209.599999999999</v>
      </c>
      <c r="Z531" s="380">
        <v>2957.26</v>
      </c>
      <c r="AA531" s="378"/>
      <c r="AB531" s="376" t="s">
        <v>45</v>
      </c>
      <c r="AC531" s="376" t="s">
        <v>45</v>
      </c>
      <c r="AD531" s="378"/>
      <c r="AE531" s="378"/>
      <c r="AF531" s="378"/>
      <c r="AG531" s="378"/>
      <c r="AH531" s="379">
        <v>0</v>
      </c>
      <c r="AI531" s="379">
        <v>0</v>
      </c>
      <c r="AJ531" s="378"/>
      <c r="AK531" s="378"/>
      <c r="AL531" s="376" t="s">
        <v>180</v>
      </c>
      <c r="AM531" s="378"/>
      <c r="AN531" s="378"/>
      <c r="AO531" s="379">
        <v>0</v>
      </c>
      <c r="AP531" s="460">
        <v>0</v>
      </c>
      <c r="AQ531" s="460">
        <v>0</v>
      </c>
      <c r="AR531" s="459"/>
      <c r="AS531" s="462">
        <f t="shared" si="136"/>
        <v>0</v>
      </c>
      <c r="AT531">
        <f t="shared" si="137"/>
        <v>0</v>
      </c>
      <c r="AU531" s="462" t="str">
        <f>IF(AT531=0,"",IF(AND(AT531=1,M531="F",SUMIF(C2:C698,C531,AS2:AS698)&lt;=1),SUMIF(C2:C698,C531,AS2:AS698),IF(AND(AT531=1,M531="F",SUMIF(C2:C698,C531,AS2:AS698)&gt;1),1,"")))</f>
        <v/>
      </c>
      <c r="AV531" s="462" t="str">
        <f>IF(AT531=0,"",IF(AND(AT531=3,M531="F",SUMIF(C2:C698,C531,AS2:AS698)&lt;=1),SUMIF(C2:C698,C531,AS2:AS698),IF(AND(AT531=3,M531="F",SUMIF(C2:C698,C531,AS2:AS698)&gt;1),1,"")))</f>
        <v/>
      </c>
      <c r="AW531" s="462">
        <f>SUMIF(C2:C698,C531,O2:O698)</f>
        <v>0</v>
      </c>
      <c r="AX531" s="462">
        <f>IF(AND(M531="F",AS531&lt;&gt;0),SUMIF(C2:C698,C531,W2:W698),0)</f>
        <v>0</v>
      </c>
      <c r="AY531" s="462" t="str">
        <f t="shared" si="138"/>
        <v/>
      </c>
      <c r="AZ531" s="462" t="str">
        <f t="shared" si="139"/>
        <v/>
      </c>
      <c r="BA531" s="462">
        <f t="shared" si="140"/>
        <v>0</v>
      </c>
      <c r="BB531" s="462">
        <f>IF(AND(AT531=1,AK531="E",AU531&gt;=0.75,AW531=1),Health,IF(AND(AT531=1,AK531="E",AU531&gt;=0.75),Health*P531,IF(AND(AT531=1,AK531="E",AU531&gt;=0.5,AW531=1),PTHealth,IF(AND(AT531=1,AK531="E",AU531&gt;=0.5),PTHealth*P531,0))))</f>
        <v>0</v>
      </c>
      <c r="BC531" s="462">
        <f>IF(AND(AT531=3,AK531="E",AV531&gt;=0.75,AW531=1),Health,IF(AND(AT531=3,AK531="E",AV531&gt;=0.75),Health*P531,IF(AND(AT531=3,AK531="E",AV531&gt;=0.5,AW531=1),PTHealth,IF(AND(AT531=3,AK531="E",AV531&gt;=0.5),PTHealth*P531,0))))</f>
        <v>0</v>
      </c>
      <c r="BD531" s="462">
        <f>IF(AND(AT531&lt;&gt;0,AX531&gt;=MAXSSDI),SSDI*MAXSSDI*P531,IF(AT531&lt;&gt;0,SSDI*W531,0))</f>
        <v>0</v>
      </c>
      <c r="BE531" s="462">
        <f>IF(AT531&lt;&gt;0,SSHI*W531,0)</f>
        <v>0</v>
      </c>
      <c r="BF531" s="462">
        <f>IF(AND(AT531&lt;&gt;0,AN531&lt;&gt;"NE"),VLOOKUP(AN531,Retirement_Rates,3,FALSE)*W531,0)</f>
        <v>0</v>
      </c>
      <c r="BG531" s="462">
        <f>IF(AND(AT531&lt;&gt;0,AJ531&lt;&gt;"PF"),Life*W531,0)</f>
        <v>0</v>
      </c>
      <c r="BH531" s="462">
        <f>IF(AND(AT531&lt;&gt;0,AM531="Y"),UI*W531,0)</f>
        <v>0</v>
      </c>
      <c r="BI531" s="462">
        <f>IF(AND(AT531&lt;&gt;0,N531&lt;&gt;"NR"),DHR*W531,0)</f>
        <v>0</v>
      </c>
      <c r="BJ531" s="462">
        <f>IF(AT531&lt;&gt;0,WC*W531,0)</f>
        <v>0</v>
      </c>
      <c r="BK531" s="462">
        <f>IF(OR(AND(AT531&lt;&gt;0,AJ531&lt;&gt;"PF",AN531&lt;&gt;"NE",AG531&lt;&gt;"A"),AND(AL531="E",OR(AT531=1,AT531=3))),Sick*W531,0)</f>
        <v>0</v>
      </c>
      <c r="BL531" s="462">
        <f t="shared" si="141"/>
        <v>0</v>
      </c>
      <c r="BM531" s="462">
        <f t="shared" si="142"/>
        <v>0</v>
      </c>
      <c r="BN531" s="462">
        <f>IF(AND(AT531=1,AK531="E",AU531&gt;=0.75,AW531=1),HealthBY,IF(AND(AT531=1,AK531="E",AU531&gt;=0.75),HealthBY*P531,IF(AND(AT531=1,AK531="E",AU531&gt;=0.5,AW531=1),PTHealthBY,IF(AND(AT531=1,AK531="E",AU531&gt;=0.5),PTHealthBY*P531,0))))</f>
        <v>0</v>
      </c>
      <c r="BO531" s="462">
        <f>IF(AND(AT531=3,AK531="E",AV531&gt;=0.75,AW531=1),HealthBY,IF(AND(AT531=3,AK531="E",AV531&gt;=0.75),HealthBY*P531,IF(AND(AT531=3,AK531="E",AV531&gt;=0.5,AW531=1),PTHealthBY,IF(AND(AT531=3,AK531="E",AV531&gt;=0.5),PTHealthBY*P531,0))))</f>
        <v>0</v>
      </c>
      <c r="BP531" s="462">
        <f>IF(AND(AT531&lt;&gt;0,(AX531+BA531)&gt;=MAXSSDIBY),SSDIBY*MAXSSDIBY*P531,IF(AT531&lt;&gt;0,SSDIBY*W531,0))</f>
        <v>0</v>
      </c>
      <c r="BQ531" s="462">
        <f>IF(AT531&lt;&gt;0,SSHIBY*W531,0)</f>
        <v>0</v>
      </c>
      <c r="BR531" s="462">
        <f>IF(AND(AT531&lt;&gt;0,AN531&lt;&gt;"NE"),VLOOKUP(AN531,Retirement_Rates,4,FALSE)*W531,0)</f>
        <v>0</v>
      </c>
      <c r="BS531" s="462">
        <f>IF(AND(AT531&lt;&gt;0,AJ531&lt;&gt;"PF"),LifeBY*W531,0)</f>
        <v>0</v>
      </c>
      <c r="BT531" s="462">
        <f>IF(AND(AT531&lt;&gt;0,AM531="Y"),UIBY*W531,0)</f>
        <v>0</v>
      </c>
      <c r="BU531" s="462">
        <f>IF(AND(AT531&lt;&gt;0,N531&lt;&gt;"NR"),DHRBY*W531,0)</f>
        <v>0</v>
      </c>
      <c r="BV531" s="462">
        <f>IF(AT531&lt;&gt;0,WCBY*W531,0)</f>
        <v>0</v>
      </c>
      <c r="BW531" s="462">
        <f>IF(OR(AND(AT531&lt;&gt;0,AJ531&lt;&gt;"PF",AN531&lt;&gt;"NE",AG531&lt;&gt;"A"),AND(AL531="E",OR(AT531=1,AT531=3))),SickBY*W531,0)</f>
        <v>0</v>
      </c>
      <c r="BX531" s="462">
        <f t="shared" si="143"/>
        <v>0</v>
      </c>
      <c r="BY531" s="462">
        <f t="shared" si="144"/>
        <v>0</v>
      </c>
      <c r="BZ531" s="462">
        <f t="shared" si="145"/>
        <v>0</v>
      </c>
      <c r="CA531" s="462">
        <f t="shared" si="146"/>
        <v>0</v>
      </c>
      <c r="CB531" s="462">
        <f t="shared" si="147"/>
        <v>0</v>
      </c>
      <c r="CC531" s="462">
        <f>IF(AT531&lt;&gt;0,SSHICHG*Y531,0)</f>
        <v>0</v>
      </c>
      <c r="CD531" s="462">
        <f>IF(AND(AT531&lt;&gt;0,AN531&lt;&gt;"NE"),VLOOKUP(AN531,Retirement_Rates,5,FALSE)*Y531,0)</f>
        <v>0</v>
      </c>
      <c r="CE531" s="462">
        <f>IF(AND(AT531&lt;&gt;0,AJ531&lt;&gt;"PF"),LifeCHG*Y531,0)</f>
        <v>0</v>
      </c>
      <c r="CF531" s="462">
        <f>IF(AND(AT531&lt;&gt;0,AM531="Y"),UICHG*Y531,0)</f>
        <v>0</v>
      </c>
      <c r="CG531" s="462">
        <f>IF(AND(AT531&lt;&gt;0,N531&lt;&gt;"NR"),DHRCHG*Y531,0)</f>
        <v>0</v>
      </c>
      <c r="CH531" s="462">
        <f>IF(AT531&lt;&gt;0,WCCHG*Y531,0)</f>
        <v>0</v>
      </c>
      <c r="CI531" s="462">
        <f>IF(OR(AND(AT531&lt;&gt;0,AJ531&lt;&gt;"PF",AN531&lt;&gt;"NE",AG531&lt;&gt;"A"),AND(AL531="E",OR(AT531=1,AT531=3))),SickCHG*Y531,0)</f>
        <v>0</v>
      </c>
      <c r="CJ531" s="462">
        <f t="shared" si="148"/>
        <v>0</v>
      </c>
      <c r="CK531" s="462" t="str">
        <f t="shared" si="149"/>
        <v/>
      </c>
      <c r="CL531" s="462">
        <f t="shared" si="150"/>
        <v>25209.599999999999</v>
      </c>
      <c r="CM531" s="462">
        <f t="shared" si="151"/>
        <v>2957.26</v>
      </c>
      <c r="CN531" s="462" t="str">
        <f t="shared" si="152"/>
        <v>0486-00</v>
      </c>
    </row>
    <row r="532" spans="1:92" ht="15" thickBot="1" x14ac:dyDescent="0.35">
      <c r="A532" s="376" t="s">
        <v>161</v>
      </c>
      <c r="B532" s="376" t="s">
        <v>162</v>
      </c>
      <c r="C532" s="376" t="s">
        <v>1215</v>
      </c>
      <c r="D532" s="376" t="s">
        <v>647</v>
      </c>
      <c r="E532" s="376" t="s">
        <v>1140</v>
      </c>
      <c r="F532" s="377" t="s">
        <v>166</v>
      </c>
      <c r="G532" s="376" t="s">
        <v>1141</v>
      </c>
      <c r="H532" s="378"/>
      <c r="I532" s="378"/>
      <c r="J532" s="376" t="s">
        <v>168</v>
      </c>
      <c r="K532" s="376" t="s">
        <v>648</v>
      </c>
      <c r="L532" s="376" t="s">
        <v>166</v>
      </c>
      <c r="M532" s="376" t="s">
        <v>201</v>
      </c>
      <c r="N532" s="376" t="s">
        <v>291</v>
      </c>
      <c r="O532" s="379">
        <v>0</v>
      </c>
      <c r="P532" s="460">
        <v>1</v>
      </c>
      <c r="Q532" s="460">
        <v>0</v>
      </c>
      <c r="R532" s="380">
        <v>0</v>
      </c>
      <c r="S532" s="460">
        <v>0</v>
      </c>
      <c r="T532" s="380">
        <v>4239.3</v>
      </c>
      <c r="U532" s="380">
        <v>0</v>
      </c>
      <c r="V532" s="380">
        <v>4419.3900000000003</v>
      </c>
      <c r="W532" s="380">
        <v>4239.3</v>
      </c>
      <c r="X532" s="380">
        <v>4419.3900000000003</v>
      </c>
      <c r="Y532" s="380">
        <v>4239.3</v>
      </c>
      <c r="Z532" s="380">
        <v>4419.3900000000003</v>
      </c>
      <c r="AA532" s="378"/>
      <c r="AB532" s="376" t="s">
        <v>45</v>
      </c>
      <c r="AC532" s="376" t="s">
        <v>45</v>
      </c>
      <c r="AD532" s="378"/>
      <c r="AE532" s="378"/>
      <c r="AF532" s="378"/>
      <c r="AG532" s="378"/>
      <c r="AH532" s="379">
        <v>0</v>
      </c>
      <c r="AI532" s="379">
        <v>0</v>
      </c>
      <c r="AJ532" s="378"/>
      <c r="AK532" s="378"/>
      <c r="AL532" s="376" t="s">
        <v>180</v>
      </c>
      <c r="AM532" s="378"/>
      <c r="AN532" s="378"/>
      <c r="AO532" s="379">
        <v>0</v>
      </c>
      <c r="AP532" s="460">
        <v>0</v>
      </c>
      <c r="AQ532" s="460">
        <v>0</v>
      </c>
      <c r="AR532" s="459"/>
      <c r="AS532" s="462">
        <f t="shared" si="136"/>
        <v>0</v>
      </c>
      <c r="AT532">
        <f t="shared" si="137"/>
        <v>0</v>
      </c>
      <c r="AU532" s="462" t="str">
        <f>IF(AT532=0,"",IF(AND(AT532=1,M532="F",SUMIF(C2:C698,C532,AS2:AS698)&lt;=1),SUMIF(C2:C698,C532,AS2:AS698),IF(AND(AT532=1,M532="F",SUMIF(C2:C698,C532,AS2:AS698)&gt;1),1,"")))</f>
        <v/>
      </c>
      <c r="AV532" s="462" t="str">
        <f>IF(AT532=0,"",IF(AND(AT532=3,M532="F",SUMIF(C2:C698,C532,AS2:AS698)&lt;=1),SUMIF(C2:C698,C532,AS2:AS698),IF(AND(AT532=3,M532="F",SUMIF(C2:C698,C532,AS2:AS698)&gt;1),1,"")))</f>
        <v/>
      </c>
      <c r="AW532" s="462">
        <f>SUMIF(C2:C698,C532,O2:O698)</f>
        <v>0</v>
      </c>
      <c r="AX532" s="462">
        <f>IF(AND(M532="F",AS532&lt;&gt;0),SUMIF(C2:C698,C532,W2:W698),0)</f>
        <v>0</v>
      </c>
      <c r="AY532" s="462" t="str">
        <f t="shared" si="138"/>
        <v/>
      </c>
      <c r="AZ532" s="462" t="str">
        <f t="shared" si="139"/>
        <v/>
      </c>
      <c r="BA532" s="462">
        <f t="shared" si="140"/>
        <v>0</v>
      </c>
      <c r="BB532" s="462">
        <f>IF(AND(AT532=1,AK532="E",AU532&gt;=0.75,AW532=1),Health,IF(AND(AT532=1,AK532="E",AU532&gt;=0.75),Health*P532,IF(AND(AT532=1,AK532="E",AU532&gt;=0.5,AW532=1),PTHealth,IF(AND(AT532=1,AK532="E",AU532&gt;=0.5),PTHealth*P532,0))))</f>
        <v>0</v>
      </c>
      <c r="BC532" s="462">
        <f>IF(AND(AT532=3,AK532="E",AV532&gt;=0.75,AW532=1),Health,IF(AND(AT532=3,AK532="E",AV532&gt;=0.75),Health*P532,IF(AND(AT532=3,AK532="E",AV532&gt;=0.5,AW532=1),PTHealth,IF(AND(AT532=3,AK532="E",AV532&gt;=0.5),PTHealth*P532,0))))</f>
        <v>0</v>
      </c>
      <c r="BD532" s="462">
        <f>IF(AND(AT532&lt;&gt;0,AX532&gt;=MAXSSDI),SSDI*MAXSSDI*P532,IF(AT532&lt;&gt;0,SSDI*W532,0))</f>
        <v>0</v>
      </c>
      <c r="BE532" s="462">
        <f>IF(AT532&lt;&gt;0,SSHI*W532,0)</f>
        <v>0</v>
      </c>
      <c r="BF532" s="462">
        <f>IF(AND(AT532&lt;&gt;0,AN532&lt;&gt;"NE"),VLOOKUP(AN532,Retirement_Rates,3,FALSE)*W532,0)</f>
        <v>0</v>
      </c>
      <c r="BG532" s="462">
        <f>IF(AND(AT532&lt;&gt;0,AJ532&lt;&gt;"PF"),Life*W532,0)</f>
        <v>0</v>
      </c>
      <c r="BH532" s="462">
        <f>IF(AND(AT532&lt;&gt;0,AM532="Y"),UI*W532,0)</f>
        <v>0</v>
      </c>
      <c r="BI532" s="462">
        <f>IF(AND(AT532&lt;&gt;0,N532&lt;&gt;"NR"),DHR*W532,0)</f>
        <v>0</v>
      </c>
      <c r="BJ532" s="462">
        <f>IF(AT532&lt;&gt;0,WC*W532,0)</f>
        <v>0</v>
      </c>
      <c r="BK532" s="462">
        <f>IF(OR(AND(AT532&lt;&gt;0,AJ532&lt;&gt;"PF",AN532&lt;&gt;"NE",AG532&lt;&gt;"A"),AND(AL532="E",OR(AT532=1,AT532=3))),Sick*W532,0)</f>
        <v>0</v>
      </c>
      <c r="BL532" s="462">
        <f t="shared" si="141"/>
        <v>0</v>
      </c>
      <c r="BM532" s="462">
        <f t="shared" si="142"/>
        <v>0</v>
      </c>
      <c r="BN532" s="462">
        <f>IF(AND(AT532=1,AK532="E",AU532&gt;=0.75,AW532=1),HealthBY,IF(AND(AT532=1,AK532="E",AU532&gt;=0.75),HealthBY*P532,IF(AND(AT532=1,AK532="E",AU532&gt;=0.5,AW532=1),PTHealthBY,IF(AND(AT532=1,AK532="E",AU532&gt;=0.5),PTHealthBY*P532,0))))</f>
        <v>0</v>
      </c>
      <c r="BO532" s="462">
        <f>IF(AND(AT532=3,AK532="E",AV532&gt;=0.75,AW532=1),HealthBY,IF(AND(AT532=3,AK532="E",AV532&gt;=0.75),HealthBY*P532,IF(AND(AT532=3,AK532="E",AV532&gt;=0.5,AW532=1),PTHealthBY,IF(AND(AT532=3,AK532="E",AV532&gt;=0.5),PTHealthBY*P532,0))))</f>
        <v>0</v>
      </c>
      <c r="BP532" s="462">
        <f>IF(AND(AT532&lt;&gt;0,(AX532+BA532)&gt;=MAXSSDIBY),SSDIBY*MAXSSDIBY*P532,IF(AT532&lt;&gt;0,SSDIBY*W532,0))</f>
        <v>0</v>
      </c>
      <c r="BQ532" s="462">
        <f>IF(AT532&lt;&gt;0,SSHIBY*W532,0)</f>
        <v>0</v>
      </c>
      <c r="BR532" s="462">
        <f>IF(AND(AT532&lt;&gt;0,AN532&lt;&gt;"NE"),VLOOKUP(AN532,Retirement_Rates,4,FALSE)*W532,0)</f>
        <v>0</v>
      </c>
      <c r="BS532" s="462">
        <f>IF(AND(AT532&lt;&gt;0,AJ532&lt;&gt;"PF"),LifeBY*W532,0)</f>
        <v>0</v>
      </c>
      <c r="BT532" s="462">
        <f>IF(AND(AT532&lt;&gt;0,AM532="Y"),UIBY*W532,0)</f>
        <v>0</v>
      </c>
      <c r="BU532" s="462">
        <f>IF(AND(AT532&lt;&gt;0,N532&lt;&gt;"NR"),DHRBY*W532,0)</f>
        <v>0</v>
      </c>
      <c r="BV532" s="462">
        <f>IF(AT532&lt;&gt;0,WCBY*W532,0)</f>
        <v>0</v>
      </c>
      <c r="BW532" s="462">
        <f>IF(OR(AND(AT532&lt;&gt;0,AJ532&lt;&gt;"PF",AN532&lt;&gt;"NE",AG532&lt;&gt;"A"),AND(AL532="E",OR(AT532=1,AT532=3))),SickBY*W532,0)</f>
        <v>0</v>
      </c>
      <c r="BX532" s="462">
        <f t="shared" si="143"/>
        <v>0</v>
      </c>
      <c r="BY532" s="462">
        <f t="shared" si="144"/>
        <v>0</v>
      </c>
      <c r="BZ532" s="462">
        <f t="shared" si="145"/>
        <v>0</v>
      </c>
      <c r="CA532" s="462">
        <f t="shared" si="146"/>
        <v>0</v>
      </c>
      <c r="CB532" s="462">
        <f t="shared" si="147"/>
        <v>0</v>
      </c>
      <c r="CC532" s="462">
        <f>IF(AT532&lt;&gt;0,SSHICHG*Y532,0)</f>
        <v>0</v>
      </c>
      <c r="CD532" s="462">
        <f>IF(AND(AT532&lt;&gt;0,AN532&lt;&gt;"NE"),VLOOKUP(AN532,Retirement_Rates,5,FALSE)*Y532,0)</f>
        <v>0</v>
      </c>
      <c r="CE532" s="462">
        <f>IF(AND(AT532&lt;&gt;0,AJ532&lt;&gt;"PF"),LifeCHG*Y532,0)</f>
        <v>0</v>
      </c>
      <c r="CF532" s="462">
        <f>IF(AND(AT532&lt;&gt;0,AM532="Y"),UICHG*Y532,0)</f>
        <v>0</v>
      </c>
      <c r="CG532" s="462">
        <f>IF(AND(AT532&lt;&gt;0,N532&lt;&gt;"NR"),DHRCHG*Y532,0)</f>
        <v>0</v>
      </c>
      <c r="CH532" s="462">
        <f>IF(AT532&lt;&gt;0,WCCHG*Y532,0)</f>
        <v>0</v>
      </c>
      <c r="CI532" s="462">
        <f>IF(OR(AND(AT532&lt;&gt;0,AJ532&lt;&gt;"PF",AN532&lt;&gt;"NE",AG532&lt;&gt;"A"),AND(AL532="E",OR(AT532=1,AT532=3))),SickCHG*Y532,0)</f>
        <v>0</v>
      </c>
      <c r="CJ532" s="462">
        <f t="shared" si="148"/>
        <v>0</v>
      </c>
      <c r="CK532" s="462" t="str">
        <f t="shared" si="149"/>
        <v/>
      </c>
      <c r="CL532" s="462">
        <f t="shared" si="150"/>
        <v>4239.3</v>
      </c>
      <c r="CM532" s="462">
        <f t="shared" si="151"/>
        <v>4419.3900000000003</v>
      </c>
      <c r="CN532" s="462" t="str">
        <f t="shared" si="152"/>
        <v>0486-00</v>
      </c>
    </row>
    <row r="533" spans="1:92" ht="15" thickBot="1" x14ac:dyDescent="0.35">
      <c r="A533" s="376" t="s">
        <v>161</v>
      </c>
      <c r="B533" s="376" t="s">
        <v>162</v>
      </c>
      <c r="C533" s="376" t="s">
        <v>1216</v>
      </c>
      <c r="D533" s="376" t="s">
        <v>1163</v>
      </c>
      <c r="E533" s="376" t="s">
        <v>1140</v>
      </c>
      <c r="F533" s="377" t="s">
        <v>166</v>
      </c>
      <c r="G533" s="376" t="s">
        <v>1141</v>
      </c>
      <c r="H533" s="378"/>
      <c r="I533" s="378"/>
      <c r="J533" s="376" t="s">
        <v>168</v>
      </c>
      <c r="K533" s="376" t="s">
        <v>1164</v>
      </c>
      <c r="L533" s="376" t="s">
        <v>166</v>
      </c>
      <c r="M533" s="376" t="s">
        <v>201</v>
      </c>
      <c r="N533" s="376" t="s">
        <v>291</v>
      </c>
      <c r="O533" s="379">
        <v>0</v>
      </c>
      <c r="P533" s="460">
        <v>1</v>
      </c>
      <c r="Q533" s="460">
        <v>0</v>
      </c>
      <c r="R533" s="380">
        <v>0</v>
      </c>
      <c r="S533" s="460">
        <v>0</v>
      </c>
      <c r="T533" s="380">
        <v>0</v>
      </c>
      <c r="U533" s="380">
        <v>0</v>
      </c>
      <c r="V533" s="380">
        <v>0</v>
      </c>
      <c r="W533" s="380">
        <v>0</v>
      </c>
      <c r="X533" s="380">
        <v>0</v>
      </c>
      <c r="Y533" s="380">
        <v>0</v>
      </c>
      <c r="Z533" s="380">
        <v>0</v>
      </c>
      <c r="AA533" s="378"/>
      <c r="AB533" s="376" t="s">
        <v>45</v>
      </c>
      <c r="AC533" s="376" t="s">
        <v>45</v>
      </c>
      <c r="AD533" s="378"/>
      <c r="AE533" s="378"/>
      <c r="AF533" s="378"/>
      <c r="AG533" s="378"/>
      <c r="AH533" s="379">
        <v>0</v>
      </c>
      <c r="AI533" s="379">
        <v>0</v>
      </c>
      <c r="AJ533" s="378"/>
      <c r="AK533" s="378"/>
      <c r="AL533" s="376" t="s">
        <v>180</v>
      </c>
      <c r="AM533" s="378"/>
      <c r="AN533" s="378"/>
      <c r="AO533" s="379">
        <v>0</v>
      </c>
      <c r="AP533" s="460">
        <v>0</v>
      </c>
      <c r="AQ533" s="460">
        <v>0</v>
      </c>
      <c r="AR533" s="459"/>
      <c r="AS533" s="462">
        <f t="shared" si="136"/>
        <v>0</v>
      </c>
      <c r="AT533">
        <f t="shared" si="137"/>
        <v>0</v>
      </c>
      <c r="AU533" s="462" t="str">
        <f>IF(AT533=0,"",IF(AND(AT533=1,M533="F",SUMIF(C2:C698,C533,AS2:AS698)&lt;=1),SUMIF(C2:C698,C533,AS2:AS698),IF(AND(AT533=1,M533="F",SUMIF(C2:C698,C533,AS2:AS698)&gt;1),1,"")))</f>
        <v/>
      </c>
      <c r="AV533" s="462" t="str">
        <f>IF(AT533=0,"",IF(AND(AT533=3,M533="F",SUMIF(C2:C698,C533,AS2:AS698)&lt;=1),SUMIF(C2:C698,C533,AS2:AS698),IF(AND(AT533=3,M533="F",SUMIF(C2:C698,C533,AS2:AS698)&gt;1),1,"")))</f>
        <v/>
      </c>
      <c r="AW533" s="462">
        <f>SUMIF(C2:C698,C533,O2:O698)</f>
        <v>0</v>
      </c>
      <c r="AX533" s="462">
        <f>IF(AND(M533="F",AS533&lt;&gt;0),SUMIF(C2:C698,C533,W2:W698),0)</f>
        <v>0</v>
      </c>
      <c r="AY533" s="462" t="str">
        <f t="shared" si="138"/>
        <v/>
      </c>
      <c r="AZ533" s="462" t="str">
        <f t="shared" si="139"/>
        <v/>
      </c>
      <c r="BA533" s="462">
        <f t="shared" si="140"/>
        <v>0</v>
      </c>
      <c r="BB533" s="462">
        <f>IF(AND(AT533=1,AK533="E",AU533&gt;=0.75,AW533=1),Health,IF(AND(AT533=1,AK533="E",AU533&gt;=0.75),Health*P533,IF(AND(AT533=1,AK533="E",AU533&gt;=0.5,AW533=1),PTHealth,IF(AND(AT533=1,AK533="E",AU533&gt;=0.5),PTHealth*P533,0))))</f>
        <v>0</v>
      </c>
      <c r="BC533" s="462">
        <f>IF(AND(AT533=3,AK533="E",AV533&gt;=0.75,AW533=1),Health,IF(AND(AT533=3,AK533="E",AV533&gt;=0.75),Health*P533,IF(AND(AT533=3,AK533="E",AV533&gt;=0.5,AW533=1),PTHealth,IF(AND(AT533=3,AK533="E",AV533&gt;=0.5),PTHealth*P533,0))))</f>
        <v>0</v>
      </c>
      <c r="BD533" s="462">
        <f>IF(AND(AT533&lt;&gt;0,AX533&gt;=MAXSSDI),SSDI*MAXSSDI*P533,IF(AT533&lt;&gt;0,SSDI*W533,0))</f>
        <v>0</v>
      </c>
      <c r="BE533" s="462">
        <f>IF(AT533&lt;&gt;0,SSHI*W533,0)</f>
        <v>0</v>
      </c>
      <c r="BF533" s="462">
        <f>IF(AND(AT533&lt;&gt;0,AN533&lt;&gt;"NE"),VLOOKUP(AN533,Retirement_Rates,3,FALSE)*W533,0)</f>
        <v>0</v>
      </c>
      <c r="BG533" s="462">
        <f>IF(AND(AT533&lt;&gt;0,AJ533&lt;&gt;"PF"),Life*W533,0)</f>
        <v>0</v>
      </c>
      <c r="BH533" s="462">
        <f>IF(AND(AT533&lt;&gt;0,AM533="Y"),UI*W533,0)</f>
        <v>0</v>
      </c>
      <c r="BI533" s="462">
        <f>IF(AND(AT533&lt;&gt;0,N533&lt;&gt;"NR"),DHR*W533,0)</f>
        <v>0</v>
      </c>
      <c r="BJ533" s="462">
        <f>IF(AT533&lt;&gt;0,WC*W533,0)</f>
        <v>0</v>
      </c>
      <c r="BK533" s="462">
        <f>IF(OR(AND(AT533&lt;&gt;0,AJ533&lt;&gt;"PF",AN533&lt;&gt;"NE",AG533&lt;&gt;"A"),AND(AL533="E",OR(AT533=1,AT533=3))),Sick*W533,0)</f>
        <v>0</v>
      </c>
      <c r="BL533" s="462">
        <f t="shared" si="141"/>
        <v>0</v>
      </c>
      <c r="BM533" s="462">
        <f t="shared" si="142"/>
        <v>0</v>
      </c>
      <c r="BN533" s="462">
        <f>IF(AND(AT533=1,AK533="E",AU533&gt;=0.75,AW533=1),HealthBY,IF(AND(AT533=1,AK533="E",AU533&gt;=0.75),HealthBY*P533,IF(AND(AT533=1,AK533="E",AU533&gt;=0.5,AW533=1),PTHealthBY,IF(AND(AT533=1,AK533="E",AU533&gt;=0.5),PTHealthBY*P533,0))))</f>
        <v>0</v>
      </c>
      <c r="BO533" s="462">
        <f>IF(AND(AT533=3,AK533="E",AV533&gt;=0.75,AW533=1),HealthBY,IF(AND(AT533=3,AK533="E",AV533&gt;=0.75),HealthBY*P533,IF(AND(AT533=3,AK533="E",AV533&gt;=0.5,AW533=1),PTHealthBY,IF(AND(AT533=3,AK533="E",AV533&gt;=0.5),PTHealthBY*P533,0))))</f>
        <v>0</v>
      </c>
      <c r="BP533" s="462">
        <f>IF(AND(AT533&lt;&gt;0,(AX533+BA533)&gt;=MAXSSDIBY),SSDIBY*MAXSSDIBY*P533,IF(AT533&lt;&gt;0,SSDIBY*W533,0))</f>
        <v>0</v>
      </c>
      <c r="BQ533" s="462">
        <f>IF(AT533&lt;&gt;0,SSHIBY*W533,0)</f>
        <v>0</v>
      </c>
      <c r="BR533" s="462">
        <f>IF(AND(AT533&lt;&gt;0,AN533&lt;&gt;"NE"),VLOOKUP(AN533,Retirement_Rates,4,FALSE)*W533,0)</f>
        <v>0</v>
      </c>
      <c r="BS533" s="462">
        <f>IF(AND(AT533&lt;&gt;0,AJ533&lt;&gt;"PF"),LifeBY*W533,0)</f>
        <v>0</v>
      </c>
      <c r="BT533" s="462">
        <f>IF(AND(AT533&lt;&gt;0,AM533="Y"),UIBY*W533,0)</f>
        <v>0</v>
      </c>
      <c r="BU533" s="462">
        <f>IF(AND(AT533&lt;&gt;0,N533&lt;&gt;"NR"),DHRBY*W533,0)</f>
        <v>0</v>
      </c>
      <c r="BV533" s="462">
        <f>IF(AT533&lt;&gt;0,WCBY*W533,0)</f>
        <v>0</v>
      </c>
      <c r="BW533" s="462">
        <f>IF(OR(AND(AT533&lt;&gt;0,AJ533&lt;&gt;"PF",AN533&lt;&gt;"NE",AG533&lt;&gt;"A"),AND(AL533="E",OR(AT533=1,AT533=3))),SickBY*W533,0)</f>
        <v>0</v>
      </c>
      <c r="BX533" s="462">
        <f t="shared" si="143"/>
        <v>0</v>
      </c>
      <c r="BY533" s="462">
        <f t="shared" si="144"/>
        <v>0</v>
      </c>
      <c r="BZ533" s="462">
        <f t="shared" si="145"/>
        <v>0</v>
      </c>
      <c r="CA533" s="462">
        <f t="shared" si="146"/>
        <v>0</v>
      </c>
      <c r="CB533" s="462">
        <f t="shared" si="147"/>
        <v>0</v>
      </c>
      <c r="CC533" s="462">
        <f>IF(AT533&lt;&gt;0,SSHICHG*Y533,0)</f>
        <v>0</v>
      </c>
      <c r="CD533" s="462">
        <f>IF(AND(AT533&lt;&gt;0,AN533&lt;&gt;"NE"),VLOOKUP(AN533,Retirement_Rates,5,FALSE)*Y533,0)</f>
        <v>0</v>
      </c>
      <c r="CE533" s="462">
        <f>IF(AND(AT533&lt;&gt;0,AJ533&lt;&gt;"PF"),LifeCHG*Y533,0)</f>
        <v>0</v>
      </c>
      <c r="CF533" s="462">
        <f>IF(AND(AT533&lt;&gt;0,AM533="Y"),UICHG*Y533,0)</f>
        <v>0</v>
      </c>
      <c r="CG533" s="462">
        <f>IF(AND(AT533&lt;&gt;0,N533&lt;&gt;"NR"),DHRCHG*Y533,0)</f>
        <v>0</v>
      </c>
      <c r="CH533" s="462">
        <f>IF(AT533&lt;&gt;0,WCCHG*Y533,0)</f>
        <v>0</v>
      </c>
      <c r="CI533" s="462">
        <f>IF(OR(AND(AT533&lt;&gt;0,AJ533&lt;&gt;"PF",AN533&lt;&gt;"NE",AG533&lt;&gt;"A"),AND(AL533="E",OR(AT533=1,AT533=3))),SickCHG*Y533,0)</f>
        <v>0</v>
      </c>
      <c r="CJ533" s="462">
        <f t="shared" si="148"/>
        <v>0</v>
      </c>
      <c r="CK533" s="462" t="str">
        <f t="shared" si="149"/>
        <v/>
      </c>
      <c r="CL533" s="462">
        <f t="shared" si="150"/>
        <v>0</v>
      </c>
      <c r="CM533" s="462">
        <f t="shared" si="151"/>
        <v>0</v>
      </c>
      <c r="CN533" s="462" t="str">
        <f t="shared" si="152"/>
        <v>0486-00</v>
      </c>
    </row>
    <row r="534" spans="1:92" ht="15" thickBot="1" x14ac:dyDescent="0.35">
      <c r="A534" s="376" t="s">
        <v>161</v>
      </c>
      <c r="B534" s="376" t="s">
        <v>162</v>
      </c>
      <c r="C534" s="376" t="s">
        <v>1217</v>
      </c>
      <c r="D534" s="376" t="s">
        <v>1218</v>
      </c>
      <c r="E534" s="376" t="s">
        <v>1140</v>
      </c>
      <c r="F534" s="377" t="s">
        <v>166</v>
      </c>
      <c r="G534" s="376" t="s">
        <v>1141</v>
      </c>
      <c r="H534" s="378"/>
      <c r="I534" s="378"/>
      <c r="J534" s="376" t="s">
        <v>168</v>
      </c>
      <c r="K534" s="376" t="s">
        <v>1219</v>
      </c>
      <c r="L534" s="376" t="s">
        <v>166</v>
      </c>
      <c r="M534" s="376" t="s">
        <v>201</v>
      </c>
      <c r="N534" s="376" t="s">
        <v>291</v>
      </c>
      <c r="O534" s="379">
        <v>0</v>
      </c>
      <c r="P534" s="460">
        <v>1</v>
      </c>
      <c r="Q534" s="460">
        <v>0</v>
      </c>
      <c r="R534" s="380">
        <v>0</v>
      </c>
      <c r="S534" s="460">
        <v>0</v>
      </c>
      <c r="T534" s="380">
        <v>0</v>
      </c>
      <c r="U534" s="380">
        <v>0</v>
      </c>
      <c r="V534" s="380">
        <v>0</v>
      </c>
      <c r="W534" s="380">
        <v>0</v>
      </c>
      <c r="X534" s="380">
        <v>0</v>
      </c>
      <c r="Y534" s="380">
        <v>0</v>
      </c>
      <c r="Z534" s="380">
        <v>0</v>
      </c>
      <c r="AA534" s="378"/>
      <c r="AB534" s="376" t="s">
        <v>45</v>
      </c>
      <c r="AC534" s="376" t="s">
        <v>45</v>
      </c>
      <c r="AD534" s="378"/>
      <c r="AE534" s="378"/>
      <c r="AF534" s="378"/>
      <c r="AG534" s="378"/>
      <c r="AH534" s="379">
        <v>0</v>
      </c>
      <c r="AI534" s="379">
        <v>0</v>
      </c>
      <c r="AJ534" s="378"/>
      <c r="AK534" s="378"/>
      <c r="AL534" s="376" t="s">
        <v>180</v>
      </c>
      <c r="AM534" s="378"/>
      <c r="AN534" s="378"/>
      <c r="AO534" s="379">
        <v>0</v>
      </c>
      <c r="AP534" s="460">
        <v>0</v>
      </c>
      <c r="AQ534" s="460">
        <v>0</v>
      </c>
      <c r="AR534" s="459"/>
      <c r="AS534" s="462">
        <f t="shared" si="136"/>
        <v>0</v>
      </c>
      <c r="AT534">
        <f t="shared" si="137"/>
        <v>0</v>
      </c>
      <c r="AU534" s="462" t="str">
        <f>IF(AT534=0,"",IF(AND(AT534=1,M534="F",SUMIF(C2:C698,C534,AS2:AS698)&lt;=1),SUMIF(C2:C698,C534,AS2:AS698),IF(AND(AT534=1,M534="F",SUMIF(C2:C698,C534,AS2:AS698)&gt;1),1,"")))</f>
        <v/>
      </c>
      <c r="AV534" s="462" t="str">
        <f>IF(AT534=0,"",IF(AND(AT534=3,M534="F",SUMIF(C2:C698,C534,AS2:AS698)&lt;=1),SUMIF(C2:C698,C534,AS2:AS698),IF(AND(AT534=3,M534="F",SUMIF(C2:C698,C534,AS2:AS698)&gt;1),1,"")))</f>
        <v/>
      </c>
      <c r="AW534" s="462">
        <f>SUMIF(C2:C698,C534,O2:O698)</f>
        <v>0</v>
      </c>
      <c r="AX534" s="462">
        <f>IF(AND(M534="F",AS534&lt;&gt;0),SUMIF(C2:C698,C534,W2:W698),0)</f>
        <v>0</v>
      </c>
      <c r="AY534" s="462" t="str">
        <f t="shared" si="138"/>
        <v/>
      </c>
      <c r="AZ534" s="462" t="str">
        <f t="shared" si="139"/>
        <v/>
      </c>
      <c r="BA534" s="462">
        <f t="shared" si="140"/>
        <v>0</v>
      </c>
      <c r="BB534" s="462">
        <f>IF(AND(AT534=1,AK534="E",AU534&gt;=0.75,AW534=1),Health,IF(AND(AT534=1,AK534="E",AU534&gt;=0.75),Health*P534,IF(AND(AT534=1,AK534="E",AU534&gt;=0.5,AW534=1),PTHealth,IF(AND(AT534=1,AK534="E",AU534&gt;=0.5),PTHealth*P534,0))))</f>
        <v>0</v>
      </c>
      <c r="BC534" s="462">
        <f>IF(AND(AT534=3,AK534="E",AV534&gt;=0.75,AW534=1),Health,IF(AND(AT534=3,AK534="E",AV534&gt;=0.75),Health*P534,IF(AND(AT534=3,AK534="E",AV534&gt;=0.5,AW534=1),PTHealth,IF(AND(AT534=3,AK534="E",AV534&gt;=0.5),PTHealth*P534,0))))</f>
        <v>0</v>
      </c>
      <c r="BD534" s="462">
        <f>IF(AND(AT534&lt;&gt;0,AX534&gt;=MAXSSDI),SSDI*MAXSSDI*P534,IF(AT534&lt;&gt;0,SSDI*W534,0))</f>
        <v>0</v>
      </c>
      <c r="BE534" s="462">
        <f>IF(AT534&lt;&gt;0,SSHI*W534,0)</f>
        <v>0</v>
      </c>
      <c r="BF534" s="462">
        <f>IF(AND(AT534&lt;&gt;0,AN534&lt;&gt;"NE"),VLOOKUP(AN534,Retirement_Rates,3,FALSE)*W534,0)</f>
        <v>0</v>
      </c>
      <c r="BG534" s="462">
        <f>IF(AND(AT534&lt;&gt;0,AJ534&lt;&gt;"PF"),Life*W534,0)</f>
        <v>0</v>
      </c>
      <c r="BH534" s="462">
        <f>IF(AND(AT534&lt;&gt;0,AM534="Y"),UI*W534,0)</f>
        <v>0</v>
      </c>
      <c r="BI534" s="462">
        <f>IF(AND(AT534&lt;&gt;0,N534&lt;&gt;"NR"),DHR*W534,0)</f>
        <v>0</v>
      </c>
      <c r="BJ534" s="462">
        <f>IF(AT534&lt;&gt;0,WC*W534,0)</f>
        <v>0</v>
      </c>
      <c r="BK534" s="462">
        <f>IF(OR(AND(AT534&lt;&gt;0,AJ534&lt;&gt;"PF",AN534&lt;&gt;"NE",AG534&lt;&gt;"A"),AND(AL534="E",OR(AT534=1,AT534=3))),Sick*W534,0)</f>
        <v>0</v>
      </c>
      <c r="BL534" s="462">
        <f t="shared" si="141"/>
        <v>0</v>
      </c>
      <c r="BM534" s="462">
        <f t="shared" si="142"/>
        <v>0</v>
      </c>
      <c r="BN534" s="462">
        <f>IF(AND(AT534=1,AK534="E",AU534&gt;=0.75,AW534=1),HealthBY,IF(AND(AT534=1,AK534="E",AU534&gt;=0.75),HealthBY*P534,IF(AND(AT534=1,AK534="E",AU534&gt;=0.5,AW534=1),PTHealthBY,IF(AND(AT534=1,AK534="E",AU534&gt;=0.5),PTHealthBY*P534,0))))</f>
        <v>0</v>
      </c>
      <c r="BO534" s="462">
        <f>IF(AND(AT534=3,AK534="E",AV534&gt;=0.75,AW534=1),HealthBY,IF(AND(AT534=3,AK534="E",AV534&gt;=0.75),HealthBY*P534,IF(AND(AT534=3,AK534="E",AV534&gt;=0.5,AW534=1),PTHealthBY,IF(AND(AT534=3,AK534="E",AV534&gt;=0.5),PTHealthBY*P534,0))))</f>
        <v>0</v>
      </c>
      <c r="BP534" s="462">
        <f>IF(AND(AT534&lt;&gt;0,(AX534+BA534)&gt;=MAXSSDIBY),SSDIBY*MAXSSDIBY*P534,IF(AT534&lt;&gt;0,SSDIBY*W534,0))</f>
        <v>0</v>
      </c>
      <c r="BQ534" s="462">
        <f>IF(AT534&lt;&gt;0,SSHIBY*W534,0)</f>
        <v>0</v>
      </c>
      <c r="BR534" s="462">
        <f>IF(AND(AT534&lt;&gt;0,AN534&lt;&gt;"NE"),VLOOKUP(AN534,Retirement_Rates,4,FALSE)*W534,0)</f>
        <v>0</v>
      </c>
      <c r="BS534" s="462">
        <f>IF(AND(AT534&lt;&gt;0,AJ534&lt;&gt;"PF"),LifeBY*W534,0)</f>
        <v>0</v>
      </c>
      <c r="BT534" s="462">
        <f>IF(AND(AT534&lt;&gt;0,AM534="Y"),UIBY*W534,0)</f>
        <v>0</v>
      </c>
      <c r="BU534" s="462">
        <f>IF(AND(AT534&lt;&gt;0,N534&lt;&gt;"NR"),DHRBY*W534,0)</f>
        <v>0</v>
      </c>
      <c r="BV534" s="462">
        <f>IF(AT534&lt;&gt;0,WCBY*W534,0)</f>
        <v>0</v>
      </c>
      <c r="BW534" s="462">
        <f>IF(OR(AND(AT534&lt;&gt;0,AJ534&lt;&gt;"PF",AN534&lt;&gt;"NE",AG534&lt;&gt;"A"),AND(AL534="E",OR(AT534=1,AT534=3))),SickBY*W534,0)</f>
        <v>0</v>
      </c>
      <c r="BX534" s="462">
        <f t="shared" si="143"/>
        <v>0</v>
      </c>
      <c r="BY534" s="462">
        <f t="shared" si="144"/>
        <v>0</v>
      </c>
      <c r="BZ534" s="462">
        <f t="shared" si="145"/>
        <v>0</v>
      </c>
      <c r="CA534" s="462">
        <f t="shared" si="146"/>
        <v>0</v>
      </c>
      <c r="CB534" s="462">
        <f t="shared" si="147"/>
        <v>0</v>
      </c>
      <c r="CC534" s="462">
        <f>IF(AT534&lt;&gt;0,SSHICHG*Y534,0)</f>
        <v>0</v>
      </c>
      <c r="CD534" s="462">
        <f>IF(AND(AT534&lt;&gt;0,AN534&lt;&gt;"NE"),VLOOKUP(AN534,Retirement_Rates,5,FALSE)*Y534,0)</f>
        <v>0</v>
      </c>
      <c r="CE534" s="462">
        <f>IF(AND(AT534&lt;&gt;0,AJ534&lt;&gt;"PF"),LifeCHG*Y534,0)</f>
        <v>0</v>
      </c>
      <c r="CF534" s="462">
        <f>IF(AND(AT534&lt;&gt;0,AM534="Y"),UICHG*Y534,0)</f>
        <v>0</v>
      </c>
      <c r="CG534" s="462">
        <f>IF(AND(AT534&lt;&gt;0,N534&lt;&gt;"NR"),DHRCHG*Y534,0)</f>
        <v>0</v>
      </c>
      <c r="CH534" s="462">
        <f>IF(AT534&lt;&gt;0,WCCHG*Y534,0)</f>
        <v>0</v>
      </c>
      <c r="CI534" s="462">
        <f>IF(OR(AND(AT534&lt;&gt;0,AJ534&lt;&gt;"PF",AN534&lt;&gt;"NE",AG534&lt;&gt;"A"),AND(AL534="E",OR(AT534=1,AT534=3))),SickCHG*Y534,0)</f>
        <v>0</v>
      </c>
      <c r="CJ534" s="462">
        <f t="shared" si="148"/>
        <v>0</v>
      </c>
      <c r="CK534" s="462" t="str">
        <f t="shared" si="149"/>
        <v/>
      </c>
      <c r="CL534" s="462">
        <f t="shared" si="150"/>
        <v>0</v>
      </c>
      <c r="CM534" s="462">
        <f t="shared" si="151"/>
        <v>0</v>
      </c>
      <c r="CN534" s="462" t="str">
        <f t="shared" si="152"/>
        <v>0486-00</v>
      </c>
    </row>
    <row r="535" spans="1:92" ht="15" thickBot="1" x14ac:dyDescent="0.35">
      <c r="A535" s="376" t="s">
        <v>161</v>
      </c>
      <c r="B535" s="376" t="s">
        <v>162</v>
      </c>
      <c r="C535" s="376" t="s">
        <v>1220</v>
      </c>
      <c r="D535" s="376" t="s">
        <v>647</v>
      </c>
      <c r="E535" s="376" t="s">
        <v>1140</v>
      </c>
      <c r="F535" s="377" t="s">
        <v>166</v>
      </c>
      <c r="G535" s="376" t="s">
        <v>1141</v>
      </c>
      <c r="H535" s="378"/>
      <c r="I535" s="378"/>
      <c r="J535" s="376" t="s">
        <v>168</v>
      </c>
      <c r="K535" s="376" t="s">
        <v>648</v>
      </c>
      <c r="L535" s="376" t="s">
        <v>166</v>
      </c>
      <c r="M535" s="376" t="s">
        <v>170</v>
      </c>
      <c r="N535" s="376" t="s">
        <v>291</v>
      </c>
      <c r="O535" s="379">
        <v>0</v>
      </c>
      <c r="P535" s="460">
        <v>1</v>
      </c>
      <c r="Q535" s="460">
        <v>0</v>
      </c>
      <c r="R535" s="380">
        <v>0</v>
      </c>
      <c r="S535" s="460">
        <v>0</v>
      </c>
      <c r="T535" s="380">
        <v>40615.9</v>
      </c>
      <c r="U535" s="380">
        <v>11922.3</v>
      </c>
      <c r="V535" s="380">
        <v>5548</v>
      </c>
      <c r="W535" s="380">
        <v>52538.2</v>
      </c>
      <c r="X535" s="380">
        <v>5548</v>
      </c>
      <c r="Y535" s="380">
        <v>52538.2</v>
      </c>
      <c r="Z535" s="380">
        <v>5548</v>
      </c>
      <c r="AA535" s="378"/>
      <c r="AB535" s="376" t="s">
        <v>45</v>
      </c>
      <c r="AC535" s="376" t="s">
        <v>45</v>
      </c>
      <c r="AD535" s="378"/>
      <c r="AE535" s="378"/>
      <c r="AF535" s="378"/>
      <c r="AG535" s="378"/>
      <c r="AH535" s="379">
        <v>0</v>
      </c>
      <c r="AI535" s="379">
        <v>0</v>
      </c>
      <c r="AJ535" s="378"/>
      <c r="AK535" s="378"/>
      <c r="AL535" s="376" t="s">
        <v>180</v>
      </c>
      <c r="AM535" s="378"/>
      <c r="AN535" s="378"/>
      <c r="AO535" s="379">
        <v>0</v>
      </c>
      <c r="AP535" s="460">
        <v>0</v>
      </c>
      <c r="AQ535" s="460">
        <v>0</v>
      </c>
      <c r="AR535" s="459"/>
      <c r="AS535" s="462">
        <f t="shared" si="136"/>
        <v>0</v>
      </c>
      <c r="AT535">
        <f t="shared" si="137"/>
        <v>0</v>
      </c>
      <c r="AU535" s="462" t="str">
        <f>IF(AT535=0,"",IF(AND(AT535=1,M535="F",SUMIF(C2:C698,C535,AS2:AS698)&lt;=1),SUMIF(C2:C698,C535,AS2:AS698),IF(AND(AT535=1,M535="F",SUMIF(C2:C698,C535,AS2:AS698)&gt;1),1,"")))</f>
        <v/>
      </c>
      <c r="AV535" s="462" t="str">
        <f>IF(AT535=0,"",IF(AND(AT535=3,M535="F",SUMIF(C2:C698,C535,AS2:AS698)&lt;=1),SUMIF(C2:C698,C535,AS2:AS698),IF(AND(AT535=3,M535="F",SUMIF(C2:C698,C535,AS2:AS698)&gt;1),1,"")))</f>
        <v/>
      </c>
      <c r="AW535" s="462">
        <f>SUMIF(C2:C698,C535,O2:O698)</f>
        <v>0</v>
      </c>
      <c r="AX535" s="462">
        <f>IF(AND(M535="F",AS535&lt;&gt;0),SUMIF(C2:C698,C535,W2:W698),0)</f>
        <v>0</v>
      </c>
      <c r="AY535" s="462" t="str">
        <f t="shared" si="138"/>
        <v/>
      </c>
      <c r="AZ535" s="462" t="str">
        <f t="shared" si="139"/>
        <v/>
      </c>
      <c r="BA535" s="462">
        <f t="shared" si="140"/>
        <v>0</v>
      </c>
      <c r="BB535" s="462">
        <f>IF(AND(AT535=1,AK535="E",AU535&gt;=0.75,AW535=1),Health,IF(AND(AT535=1,AK535="E",AU535&gt;=0.75),Health*P535,IF(AND(AT535=1,AK535="E",AU535&gt;=0.5,AW535=1),PTHealth,IF(AND(AT535=1,AK535="E",AU535&gt;=0.5),PTHealth*P535,0))))</f>
        <v>0</v>
      </c>
      <c r="BC535" s="462">
        <f>IF(AND(AT535=3,AK535="E",AV535&gt;=0.75,AW535=1),Health,IF(AND(AT535=3,AK535="E",AV535&gt;=0.75),Health*P535,IF(AND(AT535=3,AK535="E",AV535&gt;=0.5,AW535=1),PTHealth,IF(AND(AT535=3,AK535="E",AV535&gt;=0.5),PTHealth*P535,0))))</f>
        <v>0</v>
      </c>
      <c r="BD535" s="462">
        <f>IF(AND(AT535&lt;&gt;0,AX535&gt;=MAXSSDI),SSDI*MAXSSDI*P535,IF(AT535&lt;&gt;0,SSDI*W535,0))</f>
        <v>0</v>
      </c>
      <c r="BE535" s="462">
        <f>IF(AT535&lt;&gt;0,SSHI*W535,0)</f>
        <v>0</v>
      </c>
      <c r="BF535" s="462">
        <f>IF(AND(AT535&lt;&gt;0,AN535&lt;&gt;"NE"),VLOOKUP(AN535,Retirement_Rates,3,FALSE)*W535,0)</f>
        <v>0</v>
      </c>
      <c r="BG535" s="462">
        <f>IF(AND(AT535&lt;&gt;0,AJ535&lt;&gt;"PF"),Life*W535,0)</f>
        <v>0</v>
      </c>
      <c r="BH535" s="462">
        <f>IF(AND(AT535&lt;&gt;0,AM535="Y"),UI*W535,0)</f>
        <v>0</v>
      </c>
      <c r="BI535" s="462">
        <f>IF(AND(AT535&lt;&gt;0,N535&lt;&gt;"NR"),DHR*W535,0)</f>
        <v>0</v>
      </c>
      <c r="BJ535" s="462">
        <f>IF(AT535&lt;&gt;0,WC*W535,0)</f>
        <v>0</v>
      </c>
      <c r="BK535" s="462">
        <f>IF(OR(AND(AT535&lt;&gt;0,AJ535&lt;&gt;"PF",AN535&lt;&gt;"NE",AG535&lt;&gt;"A"),AND(AL535="E",OR(AT535=1,AT535=3))),Sick*W535,0)</f>
        <v>0</v>
      </c>
      <c r="BL535" s="462">
        <f t="shared" si="141"/>
        <v>0</v>
      </c>
      <c r="BM535" s="462">
        <f t="shared" si="142"/>
        <v>0</v>
      </c>
      <c r="BN535" s="462">
        <f>IF(AND(AT535=1,AK535="E",AU535&gt;=0.75,AW535=1),HealthBY,IF(AND(AT535=1,AK535="E",AU535&gt;=0.75),HealthBY*P535,IF(AND(AT535=1,AK535="E",AU535&gt;=0.5,AW535=1),PTHealthBY,IF(AND(AT535=1,AK535="E",AU535&gt;=0.5),PTHealthBY*P535,0))))</f>
        <v>0</v>
      </c>
      <c r="BO535" s="462">
        <f>IF(AND(AT535=3,AK535="E",AV535&gt;=0.75,AW535=1),HealthBY,IF(AND(AT535=3,AK535="E",AV535&gt;=0.75),HealthBY*P535,IF(AND(AT535=3,AK535="E",AV535&gt;=0.5,AW535=1),PTHealthBY,IF(AND(AT535=3,AK535="E",AV535&gt;=0.5),PTHealthBY*P535,0))))</f>
        <v>0</v>
      </c>
      <c r="BP535" s="462">
        <f>IF(AND(AT535&lt;&gt;0,(AX535+BA535)&gt;=MAXSSDIBY),SSDIBY*MAXSSDIBY*P535,IF(AT535&lt;&gt;0,SSDIBY*W535,0))</f>
        <v>0</v>
      </c>
      <c r="BQ535" s="462">
        <f>IF(AT535&lt;&gt;0,SSHIBY*W535,0)</f>
        <v>0</v>
      </c>
      <c r="BR535" s="462">
        <f>IF(AND(AT535&lt;&gt;0,AN535&lt;&gt;"NE"),VLOOKUP(AN535,Retirement_Rates,4,FALSE)*W535,0)</f>
        <v>0</v>
      </c>
      <c r="BS535" s="462">
        <f>IF(AND(AT535&lt;&gt;0,AJ535&lt;&gt;"PF"),LifeBY*W535,0)</f>
        <v>0</v>
      </c>
      <c r="BT535" s="462">
        <f>IF(AND(AT535&lt;&gt;0,AM535="Y"),UIBY*W535,0)</f>
        <v>0</v>
      </c>
      <c r="BU535" s="462">
        <f>IF(AND(AT535&lt;&gt;0,N535&lt;&gt;"NR"),DHRBY*W535,0)</f>
        <v>0</v>
      </c>
      <c r="BV535" s="462">
        <f>IF(AT535&lt;&gt;0,WCBY*W535,0)</f>
        <v>0</v>
      </c>
      <c r="BW535" s="462">
        <f>IF(OR(AND(AT535&lt;&gt;0,AJ535&lt;&gt;"PF",AN535&lt;&gt;"NE",AG535&lt;&gt;"A"),AND(AL535="E",OR(AT535=1,AT535=3))),SickBY*W535,0)</f>
        <v>0</v>
      </c>
      <c r="BX535" s="462">
        <f t="shared" si="143"/>
        <v>0</v>
      </c>
      <c r="BY535" s="462">
        <f t="shared" si="144"/>
        <v>0</v>
      </c>
      <c r="BZ535" s="462">
        <f t="shared" si="145"/>
        <v>0</v>
      </c>
      <c r="CA535" s="462">
        <f t="shared" si="146"/>
        <v>0</v>
      </c>
      <c r="CB535" s="462">
        <f t="shared" si="147"/>
        <v>0</v>
      </c>
      <c r="CC535" s="462">
        <f>IF(AT535&lt;&gt;0,SSHICHG*Y535,0)</f>
        <v>0</v>
      </c>
      <c r="CD535" s="462">
        <f>IF(AND(AT535&lt;&gt;0,AN535&lt;&gt;"NE"),VLOOKUP(AN535,Retirement_Rates,5,FALSE)*Y535,0)</f>
        <v>0</v>
      </c>
      <c r="CE535" s="462">
        <f>IF(AND(AT535&lt;&gt;0,AJ535&lt;&gt;"PF"),LifeCHG*Y535,0)</f>
        <v>0</v>
      </c>
      <c r="CF535" s="462">
        <f>IF(AND(AT535&lt;&gt;0,AM535="Y"),UICHG*Y535,0)</f>
        <v>0</v>
      </c>
      <c r="CG535" s="462">
        <f>IF(AND(AT535&lt;&gt;0,N535&lt;&gt;"NR"),DHRCHG*Y535,0)</f>
        <v>0</v>
      </c>
      <c r="CH535" s="462">
        <f>IF(AT535&lt;&gt;0,WCCHG*Y535,0)</f>
        <v>0</v>
      </c>
      <c r="CI535" s="462">
        <f>IF(OR(AND(AT535&lt;&gt;0,AJ535&lt;&gt;"PF",AN535&lt;&gt;"NE",AG535&lt;&gt;"A"),AND(AL535="E",OR(AT535=1,AT535=3))),SickCHG*Y535,0)</f>
        <v>0</v>
      </c>
      <c r="CJ535" s="462">
        <f t="shared" si="148"/>
        <v>0</v>
      </c>
      <c r="CK535" s="462" t="str">
        <f t="shared" si="149"/>
        <v/>
      </c>
      <c r="CL535" s="462">
        <f t="shared" si="150"/>
        <v>52538.2</v>
      </c>
      <c r="CM535" s="462">
        <f t="shared" si="151"/>
        <v>5548</v>
      </c>
      <c r="CN535" s="462" t="str">
        <f t="shared" si="152"/>
        <v>0486-00</v>
      </c>
    </row>
    <row r="536" spans="1:92" ht="15" thickBot="1" x14ac:dyDescent="0.35">
      <c r="A536" s="376" t="s">
        <v>161</v>
      </c>
      <c r="B536" s="376" t="s">
        <v>162</v>
      </c>
      <c r="C536" s="376" t="s">
        <v>1221</v>
      </c>
      <c r="D536" s="376" t="s">
        <v>1181</v>
      </c>
      <c r="E536" s="376" t="s">
        <v>1140</v>
      </c>
      <c r="F536" s="377" t="s">
        <v>166</v>
      </c>
      <c r="G536" s="376" t="s">
        <v>1141</v>
      </c>
      <c r="H536" s="378"/>
      <c r="I536" s="378"/>
      <c r="J536" s="376" t="s">
        <v>168</v>
      </c>
      <c r="K536" s="376" t="s">
        <v>1182</v>
      </c>
      <c r="L536" s="376" t="s">
        <v>166</v>
      </c>
      <c r="M536" s="376" t="s">
        <v>201</v>
      </c>
      <c r="N536" s="376" t="s">
        <v>291</v>
      </c>
      <c r="O536" s="379">
        <v>0</v>
      </c>
      <c r="P536" s="460">
        <v>1</v>
      </c>
      <c r="Q536" s="460">
        <v>0</v>
      </c>
      <c r="R536" s="380">
        <v>0</v>
      </c>
      <c r="S536" s="460">
        <v>0</v>
      </c>
      <c r="T536" s="380">
        <v>0</v>
      </c>
      <c r="U536" s="380">
        <v>0</v>
      </c>
      <c r="V536" s="380">
        <v>0</v>
      </c>
      <c r="W536" s="380">
        <v>0</v>
      </c>
      <c r="X536" s="380">
        <v>0</v>
      </c>
      <c r="Y536" s="380">
        <v>0</v>
      </c>
      <c r="Z536" s="380">
        <v>0</v>
      </c>
      <c r="AA536" s="378"/>
      <c r="AB536" s="376" t="s">
        <v>45</v>
      </c>
      <c r="AC536" s="376" t="s">
        <v>45</v>
      </c>
      <c r="AD536" s="378"/>
      <c r="AE536" s="378"/>
      <c r="AF536" s="378"/>
      <c r="AG536" s="378"/>
      <c r="AH536" s="379">
        <v>0</v>
      </c>
      <c r="AI536" s="379">
        <v>0</v>
      </c>
      <c r="AJ536" s="378"/>
      <c r="AK536" s="378"/>
      <c r="AL536" s="376" t="s">
        <v>180</v>
      </c>
      <c r="AM536" s="378"/>
      <c r="AN536" s="378"/>
      <c r="AO536" s="379">
        <v>0</v>
      </c>
      <c r="AP536" s="460">
        <v>0</v>
      </c>
      <c r="AQ536" s="460">
        <v>0</v>
      </c>
      <c r="AR536" s="459"/>
      <c r="AS536" s="462">
        <f t="shared" si="136"/>
        <v>0</v>
      </c>
      <c r="AT536">
        <f t="shared" si="137"/>
        <v>0</v>
      </c>
      <c r="AU536" s="462" t="str">
        <f>IF(AT536=0,"",IF(AND(AT536=1,M536="F",SUMIF(C2:C698,C536,AS2:AS698)&lt;=1),SUMIF(C2:C698,C536,AS2:AS698),IF(AND(AT536=1,M536="F",SUMIF(C2:C698,C536,AS2:AS698)&gt;1),1,"")))</f>
        <v/>
      </c>
      <c r="AV536" s="462" t="str">
        <f>IF(AT536=0,"",IF(AND(AT536=3,M536="F",SUMIF(C2:C698,C536,AS2:AS698)&lt;=1),SUMIF(C2:C698,C536,AS2:AS698),IF(AND(AT536=3,M536="F",SUMIF(C2:C698,C536,AS2:AS698)&gt;1),1,"")))</f>
        <v/>
      </c>
      <c r="AW536" s="462">
        <f>SUMIF(C2:C698,C536,O2:O698)</f>
        <v>0</v>
      </c>
      <c r="AX536" s="462">
        <f>IF(AND(M536="F",AS536&lt;&gt;0),SUMIF(C2:C698,C536,W2:W698),0)</f>
        <v>0</v>
      </c>
      <c r="AY536" s="462" t="str">
        <f t="shared" si="138"/>
        <v/>
      </c>
      <c r="AZ536" s="462" t="str">
        <f t="shared" si="139"/>
        <v/>
      </c>
      <c r="BA536" s="462">
        <f t="shared" si="140"/>
        <v>0</v>
      </c>
      <c r="BB536" s="462">
        <f>IF(AND(AT536=1,AK536="E",AU536&gt;=0.75,AW536=1),Health,IF(AND(AT536=1,AK536="E",AU536&gt;=0.75),Health*P536,IF(AND(AT536=1,AK536="E",AU536&gt;=0.5,AW536=1),PTHealth,IF(AND(AT536=1,AK536="E",AU536&gt;=0.5),PTHealth*P536,0))))</f>
        <v>0</v>
      </c>
      <c r="BC536" s="462">
        <f>IF(AND(AT536=3,AK536="E",AV536&gt;=0.75,AW536=1),Health,IF(AND(AT536=3,AK536="E",AV536&gt;=0.75),Health*P536,IF(AND(AT536=3,AK536="E",AV536&gt;=0.5,AW536=1),PTHealth,IF(AND(AT536=3,AK536="E",AV536&gt;=0.5),PTHealth*P536,0))))</f>
        <v>0</v>
      </c>
      <c r="BD536" s="462">
        <f>IF(AND(AT536&lt;&gt;0,AX536&gt;=MAXSSDI),SSDI*MAXSSDI*P536,IF(AT536&lt;&gt;0,SSDI*W536,0))</f>
        <v>0</v>
      </c>
      <c r="BE536" s="462">
        <f>IF(AT536&lt;&gt;0,SSHI*W536,0)</f>
        <v>0</v>
      </c>
      <c r="BF536" s="462">
        <f>IF(AND(AT536&lt;&gt;0,AN536&lt;&gt;"NE"),VLOOKUP(AN536,Retirement_Rates,3,FALSE)*W536,0)</f>
        <v>0</v>
      </c>
      <c r="BG536" s="462">
        <f>IF(AND(AT536&lt;&gt;0,AJ536&lt;&gt;"PF"),Life*W536,0)</f>
        <v>0</v>
      </c>
      <c r="BH536" s="462">
        <f>IF(AND(AT536&lt;&gt;0,AM536="Y"),UI*W536,0)</f>
        <v>0</v>
      </c>
      <c r="BI536" s="462">
        <f>IF(AND(AT536&lt;&gt;0,N536&lt;&gt;"NR"),DHR*W536,0)</f>
        <v>0</v>
      </c>
      <c r="BJ536" s="462">
        <f>IF(AT536&lt;&gt;0,WC*W536,0)</f>
        <v>0</v>
      </c>
      <c r="BK536" s="462">
        <f>IF(OR(AND(AT536&lt;&gt;0,AJ536&lt;&gt;"PF",AN536&lt;&gt;"NE",AG536&lt;&gt;"A"),AND(AL536="E",OR(AT536=1,AT536=3))),Sick*W536,0)</f>
        <v>0</v>
      </c>
      <c r="BL536" s="462">
        <f t="shared" si="141"/>
        <v>0</v>
      </c>
      <c r="BM536" s="462">
        <f t="shared" si="142"/>
        <v>0</v>
      </c>
      <c r="BN536" s="462">
        <f>IF(AND(AT536=1,AK536="E",AU536&gt;=0.75,AW536=1),HealthBY,IF(AND(AT536=1,AK536="E",AU536&gt;=0.75),HealthBY*P536,IF(AND(AT536=1,AK536="E",AU536&gt;=0.5,AW536=1),PTHealthBY,IF(AND(AT536=1,AK536="E",AU536&gt;=0.5),PTHealthBY*P536,0))))</f>
        <v>0</v>
      </c>
      <c r="BO536" s="462">
        <f>IF(AND(AT536=3,AK536="E",AV536&gt;=0.75,AW536=1),HealthBY,IF(AND(AT536=3,AK536="E",AV536&gt;=0.75),HealthBY*P536,IF(AND(AT536=3,AK536="E",AV536&gt;=0.5,AW536=1),PTHealthBY,IF(AND(AT536=3,AK536="E",AV536&gt;=0.5),PTHealthBY*P536,0))))</f>
        <v>0</v>
      </c>
      <c r="BP536" s="462">
        <f>IF(AND(AT536&lt;&gt;0,(AX536+BA536)&gt;=MAXSSDIBY),SSDIBY*MAXSSDIBY*P536,IF(AT536&lt;&gt;0,SSDIBY*W536,0))</f>
        <v>0</v>
      </c>
      <c r="BQ536" s="462">
        <f>IF(AT536&lt;&gt;0,SSHIBY*W536,0)</f>
        <v>0</v>
      </c>
      <c r="BR536" s="462">
        <f>IF(AND(AT536&lt;&gt;0,AN536&lt;&gt;"NE"),VLOOKUP(AN536,Retirement_Rates,4,FALSE)*W536,0)</f>
        <v>0</v>
      </c>
      <c r="BS536" s="462">
        <f>IF(AND(AT536&lt;&gt;0,AJ536&lt;&gt;"PF"),LifeBY*W536,0)</f>
        <v>0</v>
      </c>
      <c r="BT536" s="462">
        <f>IF(AND(AT536&lt;&gt;0,AM536="Y"),UIBY*W536,0)</f>
        <v>0</v>
      </c>
      <c r="BU536" s="462">
        <f>IF(AND(AT536&lt;&gt;0,N536&lt;&gt;"NR"),DHRBY*W536,0)</f>
        <v>0</v>
      </c>
      <c r="BV536" s="462">
        <f>IF(AT536&lt;&gt;0,WCBY*W536,0)</f>
        <v>0</v>
      </c>
      <c r="BW536" s="462">
        <f>IF(OR(AND(AT536&lt;&gt;0,AJ536&lt;&gt;"PF",AN536&lt;&gt;"NE",AG536&lt;&gt;"A"),AND(AL536="E",OR(AT536=1,AT536=3))),SickBY*W536,0)</f>
        <v>0</v>
      </c>
      <c r="BX536" s="462">
        <f t="shared" si="143"/>
        <v>0</v>
      </c>
      <c r="BY536" s="462">
        <f t="shared" si="144"/>
        <v>0</v>
      </c>
      <c r="BZ536" s="462">
        <f t="shared" si="145"/>
        <v>0</v>
      </c>
      <c r="CA536" s="462">
        <f t="shared" si="146"/>
        <v>0</v>
      </c>
      <c r="CB536" s="462">
        <f t="shared" si="147"/>
        <v>0</v>
      </c>
      <c r="CC536" s="462">
        <f>IF(AT536&lt;&gt;0,SSHICHG*Y536,0)</f>
        <v>0</v>
      </c>
      <c r="CD536" s="462">
        <f>IF(AND(AT536&lt;&gt;0,AN536&lt;&gt;"NE"),VLOOKUP(AN536,Retirement_Rates,5,FALSE)*Y536,0)</f>
        <v>0</v>
      </c>
      <c r="CE536" s="462">
        <f>IF(AND(AT536&lt;&gt;0,AJ536&lt;&gt;"PF"),LifeCHG*Y536,0)</f>
        <v>0</v>
      </c>
      <c r="CF536" s="462">
        <f>IF(AND(AT536&lt;&gt;0,AM536="Y"),UICHG*Y536,0)</f>
        <v>0</v>
      </c>
      <c r="CG536" s="462">
        <f>IF(AND(AT536&lt;&gt;0,N536&lt;&gt;"NR"),DHRCHG*Y536,0)</f>
        <v>0</v>
      </c>
      <c r="CH536" s="462">
        <f>IF(AT536&lt;&gt;0,WCCHG*Y536,0)</f>
        <v>0</v>
      </c>
      <c r="CI536" s="462">
        <f>IF(OR(AND(AT536&lt;&gt;0,AJ536&lt;&gt;"PF",AN536&lt;&gt;"NE",AG536&lt;&gt;"A"),AND(AL536="E",OR(AT536=1,AT536=3))),SickCHG*Y536,0)</f>
        <v>0</v>
      </c>
      <c r="CJ536" s="462">
        <f t="shared" si="148"/>
        <v>0</v>
      </c>
      <c r="CK536" s="462" t="str">
        <f t="shared" si="149"/>
        <v/>
      </c>
      <c r="CL536" s="462">
        <f t="shared" si="150"/>
        <v>0</v>
      </c>
      <c r="CM536" s="462">
        <f t="shared" si="151"/>
        <v>0</v>
      </c>
      <c r="CN536" s="462" t="str">
        <f t="shared" si="152"/>
        <v>0486-00</v>
      </c>
    </row>
    <row r="537" spans="1:92" ht="15" thickBot="1" x14ac:dyDescent="0.35">
      <c r="A537" s="376" t="s">
        <v>161</v>
      </c>
      <c r="B537" s="376" t="s">
        <v>162</v>
      </c>
      <c r="C537" s="376" t="s">
        <v>1222</v>
      </c>
      <c r="D537" s="376" t="s">
        <v>1181</v>
      </c>
      <c r="E537" s="376" t="s">
        <v>1140</v>
      </c>
      <c r="F537" s="377" t="s">
        <v>166</v>
      </c>
      <c r="G537" s="376" t="s">
        <v>1141</v>
      </c>
      <c r="H537" s="378"/>
      <c r="I537" s="378"/>
      <c r="J537" s="376" t="s">
        <v>168</v>
      </c>
      <c r="K537" s="376" t="s">
        <v>1182</v>
      </c>
      <c r="L537" s="376" t="s">
        <v>166</v>
      </c>
      <c r="M537" s="376" t="s">
        <v>201</v>
      </c>
      <c r="N537" s="376" t="s">
        <v>291</v>
      </c>
      <c r="O537" s="379">
        <v>0</v>
      </c>
      <c r="P537" s="460">
        <v>1</v>
      </c>
      <c r="Q537" s="460">
        <v>0</v>
      </c>
      <c r="R537" s="380">
        <v>0</v>
      </c>
      <c r="S537" s="460">
        <v>0</v>
      </c>
      <c r="T537" s="380">
        <v>0</v>
      </c>
      <c r="U537" s="380">
        <v>0</v>
      </c>
      <c r="V537" s="380">
        <v>0</v>
      </c>
      <c r="W537" s="380">
        <v>0</v>
      </c>
      <c r="X537" s="380">
        <v>0</v>
      </c>
      <c r="Y537" s="380">
        <v>0</v>
      </c>
      <c r="Z537" s="380">
        <v>0</v>
      </c>
      <c r="AA537" s="378"/>
      <c r="AB537" s="376" t="s">
        <v>45</v>
      </c>
      <c r="AC537" s="376" t="s">
        <v>45</v>
      </c>
      <c r="AD537" s="378"/>
      <c r="AE537" s="378"/>
      <c r="AF537" s="378"/>
      <c r="AG537" s="378"/>
      <c r="AH537" s="379">
        <v>0</v>
      </c>
      <c r="AI537" s="379">
        <v>0</v>
      </c>
      <c r="AJ537" s="378"/>
      <c r="AK537" s="378"/>
      <c r="AL537" s="376" t="s">
        <v>180</v>
      </c>
      <c r="AM537" s="378"/>
      <c r="AN537" s="378"/>
      <c r="AO537" s="379">
        <v>0</v>
      </c>
      <c r="AP537" s="460">
        <v>0</v>
      </c>
      <c r="AQ537" s="460">
        <v>0</v>
      </c>
      <c r="AR537" s="459"/>
      <c r="AS537" s="462">
        <f t="shared" si="136"/>
        <v>0</v>
      </c>
      <c r="AT537">
        <f t="shared" si="137"/>
        <v>0</v>
      </c>
      <c r="AU537" s="462" t="str">
        <f>IF(AT537=0,"",IF(AND(AT537=1,M537="F",SUMIF(C2:C698,C537,AS2:AS698)&lt;=1),SUMIF(C2:C698,C537,AS2:AS698),IF(AND(AT537=1,M537="F",SUMIF(C2:C698,C537,AS2:AS698)&gt;1),1,"")))</f>
        <v/>
      </c>
      <c r="AV537" s="462" t="str">
        <f>IF(AT537=0,"",IF(AND(AT537=3,M537="F",SUMIF(C2:C698,C537,AS2:AS698)&lt;=1),SUMIF(C2:C698,C537,AS2:AS698),IF(AND(AT537=3,M537="F",SUMIF(C2:C698,C537,AS2:AS698)&gt;1),1,"")))</f>
        <v/>
      </c>
      <c r="AW537" s="462">
        <f>SUMIF(C2:C698,C537,O2:O698)</f>
        <v>0</v>
      </c>
      <c r="AX537" s="462">
        <f>IF(AND(M537="F",AS537&lt;&gt;0),SUMIF(C2:C698,C537,W2:W698),0)</f>
        <v>0</v>
      </c>
      <c r="AY537" s="462" t="str">
        <f t="shared" si="138"/>
        <v/>
      </c>
      <c r="AZ537" s="462" t="str">
        <f t="shared" si="139"/>
        <v/>
      </c>
      <c r="BA537" s="462">
        <f t="shared" si="140"/>
        <v>0</v>
      </c>
      <c r="BB537" s="462">
        <f>IF(AND(AT537=1,AK537="E",AU537&gt;=0.75,AW537=1),Health,IF(AND(AT537=1,AK537="E",AU537&gt;=0.75),Health*P537,IF(AND(AT537=1,AK537="E",AU537&gt;=0.5,AW537=1),PTHealth,IF(AND(AT537=1,AK537="E",AU537&gt;=0.5),PTHealth*P537,0))))</f>
        <v>0</v>
      </c>
      <c r="BC537" s="462">
        <f>IF(AND(AT537=3,AK537="E",AV537&gt;=0.75,AW537=1),Health,IF(AND(AT537=3,AK537="E",AV537&gt;=0.75),Health*P537,IF(AND(AT537=3,AK537="E",AV537&gt;=0.5,AW537=1),PTHealth,IF(AND(AT537=3,AK537="E",AV537&gt;=0.5),PTHealth*P537,0))))</f>
        <v>0</v>
      </c>
      <c r="BD537" s="462">
        <f>IF(AND(AT537&lt;&gt;0,AX537&gt;=MAXSSDI),SSDI*MAXSSDI*P537,IF(AT537&lt;&gt;0,SSDI*W537,0))</f>
        <v>0</v>
      </c>
      <c r="BE537" s="462">
        <f>IF(AT537&lt;&gt;0,SSHI*W537,0)</f>
        <v>0</v>
      </c>
      <c r="BF537" s="462">
        <f>IF(AND(AT537&lt;&gt;0,AN537&lt;&gt;"NE"),VLOOKUP(AN537,Retirement_Rates,3,FALSE)*W537,0)</f>
        <v>0</v>
      </c>
      <c r="BG537" s="462">
        <f>IF(AND(AT537&lt;&gt;0,AJ537&lt;&gt;"PF"),Life*W537,0)</f>
        <v>0</v>
      </c>
      <c r="BH537" s="462">
        <f>IF(AND(AT537&lt;&gt;0,AM537="Y"),UI*W537,0)</f>
        <v>0</v>
      </c>
      <c r="BI537" s="462">
        <f>IF(AND(AT537&lt;&gt;0,N537&lt;&gt;"NR"),DHR*W537,0)</f>
        <v>0</v>
      </c>
      <c r="BJ537" s="462">
        <f>IF(AT537&lt;&gt;0,WC*W537,0)</f>
        <v>0</v>
      </c>
      <c r="BK537" s="462">
        <f>IF(OR(AND(AT537&lt;&gt;0,AJ537&lt;&gt;"PF",AN537&lt;&gt;"NE",AG537&lt;&gt;"A"),AND(AL537="E",OR(AT537=1,AT537=3))),Sick*W537,0)</f>
        <v>0</v>
      </c>
      <c r="BL537" s="462">
        <f t="shared" si="141"/>
        <v>0</v>
      </c>
      <c r="BM537" s="462">
        <f t="shared" si="142"/>
        <v>0</v>
      </c>
      <c r="BN537" s="462">
        <f>IF(AND(AT537=1,AK537="E",AU537&gt;=0.75,AW537=1),HealthBY,IF(AND(AT537=1,AK537="E",AU537&gt;=0.75),HealthBY*P537,IF(AND(AT537=1,AK537="E",AU537&gt;=0.5,AW537=1),PTHealthBY,IF(AND(AT537=1,AK537="E",AU537&gt;=0.5),PTHealthBY*P537,0))))</f>
        <v>0</v>
      </c>
      <c r="BO537" s="462">
        <f>IF(AND(AT537=3,AK537="E",AV537&gt;=0.75,AW537=1),HealthBY,IF(AND(AT537=3,AK537="E",AV537&gt;=0.75),HealthBY*P537,IF(AND(AT537=3,AK537="E",AV537&gt;=0.5,AW537=1),PTHealthBY,IF(AND(AT537=3,AK537="E",AV537&gt;=0.5),PTHealthBY*P537,0))))</f>
        <v>0</v>
      </c>
      <c r="BP537" s="462">
        <f>IF(AND(AT537&lt;&gt;0,(AX537+BA537)&gt;=MAXSSDIBY),SSDIBY*MAXSSDIBY*P537,IF(AT537&lt;&gt;0,SSDIBY*W537,0))</f>
        <v>0</v>
      </c>
      <c r="BQ537" s="462">
        <f>IF(AT537&lt;&gt;0,SSHIBY*W537,0)</f>
        <v>0</v>
      </c>
      <c r="BR537" s="462">
        <f>IF(AND(AT537&lt;&gt;0,AN537&lt;&gt;"NE"),VLOOKUP(AN537,Retirement_Rates,4,FALSE)*W537,0)</f>
        <v>0</v>
      </c>
      <c r="BS537" s="462">
        <f>IF(AND(AT537&lt;&gt;0,AJ537&lt;&gt;"PF"),LifeBY*W537,0)</f>
        <v>0</v>
      </c>
      <c r="BT537" s="462">
        <f>IF(AND(AT537&lt;&gt;0,AM537="Y"),UIBY*W537,0)</f>
        <v>0</v>
      </c>
      <c r="BU537" s="462">
        <f>IF(AND(AT537&lt;&gt;0,N537&lt;&gt;"NR"),DHRBY*W537,0)</f>
        <v>0</v>
      </c>
      <c r="BV537" s="462">
        <f>IF(AT537&lt;&gt;0,WCBY*W537,0)</f>
        <v>0</v>
      </c>
      <c r="BW537" s="462">
        <f>IF(OR(AND(AT537&lt;&gt;0,AJ537&lt;&gt;"PF",AN537&lt;&gt;"NE",AG537&lt;&gt;"A"),AND(AL537="E",OR(AT537=1,AT537=3))),SickBY*W537,0)</f>
        <v>0</v>
      </c>
      <c r="BX537" s="462">
        <f t="shared" si="143"/>
        <v>0</v>
      </c>
      <c r="BY537" s="462">
        <f t="shared" si="144"/>
        <v>0</v>
      </c>
      <c r="BZ537" s="462">
        <f t="shared" si="145"/>
        <v>0</v>
      </c>
      <c r="CA537" s="462">
        <f t="shared" si="146"/>
        <v>0</v>
      </c>
      <c r="CB537" s="462">
        <f t="shared" si="147"/>
        <v>0</v>
      </c>
      <c r="CC537" s="462">
        <f>IF(AT537&lt;&gt;0,SSHICHG*Y537,0)</f>
        <v>0</v>
      </c>
      <c r="CD537" s="462">
        <f>IF(AND(AT537&lt;&gt;0,AN537&lt;&gt;"NE"),VLOOKUP(AN537,Retirement_Rates,5,FALSE)*Y537,0)</f>
        <v>0</v>
      </c>
      <c r="CE537" s="462">
        <f>IF(AND(AT537&lt;&gt;0,AJ537&lt;&gt;"PF"),LifeCHG*Y537,0)</f>
        <v>0</v>
      </c>
      <c r="CF537" s="462">
        <f>IF(AND(AT537&lt;&gt;0,AM537="Y"),UICHG*Y537,0)</f>
        <v>0</v>
      </c>
      <c r="CG537" s="462">
        <f>IF(AND(AT537&lt;&gt;0,N537&lt;&gt;"NR"),DHRCHG*Y537,0)</f>
        <v>0</v>
      </c>
      <c r="CH537" s="462">
        <f>IF(AT537&lt;&gt;0,WCCHG*Y537,0)</f>
        <v>0</v>
      </c>
      <c r="CI537" s="462">
        <f>IF(OR(AND(AT537&lt;&gt;0,AJ537&lt;&gt;"PF",AN537&lt;&gt;"NE",AG537&lt;&gt;"A"),AND(AL537="E",OR(AT537=1,AT537=3))),SickCHG*Y537,0)</f>
        <v>0</v>
      </c>
      <c r="CJ537" s="462">
        <f t="shared" si="148"/>
        <v>0</v>
      </c>
      <c r="CK537" s="462" t="str">
        <f t="shared" si="149"/>
        <v/>
      </c>
      <c r="CL537" s="462">
        <f t="shared" si="150"/>
        <v>0</v>
      </c>
      <c r="CM537" s="462">
        <f t="shared" si="151"/>
        <v>0</v>
      </c>
      <c r="CN537" s="462" t="str">
        <f t="shared" si="152"/>
        <v>0486-00</v>
      </c>
    </row>
    <row r="538" spans="1:92" ht="15" thickBot="1" x14ac:dyDescent="0.35">
      <c r="A538" s="376" t="s">
        <v>161</v>
      </c>
      <c r="B538" s="376" t="s">
        <v>162</v>
      </c>
      <c r="C538" s="376" t="s">
        <v>857</v>
      </c>
      <c r="D538" s="376" t="s">
        <v>858</v>
      </c>
      <c r="E538" s="376" t="s">
        <v>1140</v>
      </c>
      <c r="F538" s="377" t="s">
        <v>166</v>
      </c>
      <c r="G538" s="376" t="s">
        <v>1141</v>
      </c>
      <c r="H538" s="378"/>
      <c r="I538" s="378"/>
      <c r="J538" s="376" t="s">
        <v>168</v>
      </c>
      <c r="K538" s="376" t="s">
        <v>859</v>
      </c>
      <c r="L538" s="376" t="s">
        <v>166</v>
      </c>
      <c r="M538" s="376" t="s">
        <v>170</v>
      </c>
      <c r="N538" s="376" t="s">
        <v>291</v>
      </c>
      <c r="O538" s="379">
        <v>0</v>
      </c>
      <c r="P538" s="460">
        <v>1</v>
      </c>
      <c r="Q538" s="460">
        <v>0</v>
      </c>
      <c r="R538" s="380">
        <v>0</v>
      </c>
      <c r="S538" s="460">
        <v>0</v>
      </c>
      <c r="T538" s="380">
        <v>641102.55000000005</v>
      </c>
      <c r="U538" s="380">
        <v>20021.88</v>
      </c>
      <c r="V538" s="380">
        <v>348103.92</v>
      </c>
      <c r="W538" s="380">
        <v>661917.26</v>
      </c>
      <c r="X538" s="380">
        <v>348577.5</v>
      </c>
      <c r="Y538" s="380">
        <v>661917.26</v>
      </c>
      <c r="Z538" s="380">
        <v>348577.5</v>
      </c>
      <c r="AA538" s="378"/>
      <c r="AB538" s="376" t="s">
        <v>45</v>
      </c>
      <c r="AC538" s="376" t="s">
        <v>45</v>
      </c>
      <c r="AD538" s="378"/>
      <c r="AE538" s="378"/>
      <c r="AF538" s="378"/>
      <c r="AG538" s="378"/>
      <c r="AH538" s="379">
        <v>0</v>
      </c>
      <c r="AI538" s="379">
        <v>0</v>
      </c>
      <c r="AJ538" s="378"/>
      <c r="AK538" s="378"/>
      <c r="AL538" s="376" t="s">
        <v>180</v>
      </c>
      <c r="AM538" s="378"/>
      <c r="AN538" s="378"/>
      <c r="AO538" s="379">
        <v>0</v>
      </c>
      <c r="AP538" s="460">
        <v>0</v>
      </c>
      <c r="AQ538" s="460">
        <v>0</v>
      </c>
      <c r="AR538" s="459"/>
      <c r="AS538" s="462">
        <f t="shared" si="136"/>
        <v>0</v>
      </c>
      <c r="AT538">
        <f t="shared" si="137"/>
        <v>0</v>
      </c>
      <c r="AU538" s="462" t="str">
        <f>IF(AT538=0,"",IF(AND(AT538=1,M538="F",SUMIF(C2:C698,C538,AS2:AS698)&lt;=1),SUMIF(C2:C698,C538,AS2:AS698),IF(AND(AT538=1,M538="F",SUMIF(C2:C698,C538,AS2:AS698)&gt;1),1,"")))</f>
        <v/>
      </c>
      <c r="AV538" s="462" t="str">
        <f>IF(AT538=0,"",IF(AND(AT538=3,M538="F",SUMIF(C2:C698,C538,AS2:AS698)&lt;=1),SUMIF(C2:C698,C538,AS2:AS698),IF(AND(AT538=3,M538="F",SUMIF(C2:C698,C538,AS2:AS698)&gt;1),1,"")))</f>
        <v/>
      </c>
      <c r="AW538" s="462">
        <f>SUMIF(C2:C698,C538,O2:O698)</f>
        <v>0</v>
      </c>
      <c r="AX538" s="462">
        <f>IF(AND(M538="F",AS538&lt;&gt;0),SUMIF(C2:C698,C538,W2:W698),0)</f>
        <v>0</v>
      </c>
      <c r="AY538" s="462" t="str">
        <f t="shared" si="138"/>
        <v/>
      </c>
      <c r="AZ538" s="462" t="str">
        <f t="shared" si="139"/>
        <v/>
      </c>
      <c r="BA538" s="462">
        <f t="shared" si="140"/>
        <v>0</v>
      </c>
      <c r="BB538" s="462">
        <f>IF(AND(AT538=1,AK538="E",AU538&gt;=0.75,AW538=1),Health,IF(AND(AT538=1,AK538="E",AU538&gt;=0.75),Health*P538,IF(AND(AT538=1,AK538="E",AU538&gt;=0.5,AW538=1),PTHealth,IF(AND(AT538=1,AK538="E",AU538&gt;=0.5),PTHealth*P538,0))))</f>
        <v>0</v>
      </c>
      <c r="BC538" s="462">
        <f>IF(AND(AT538=3,AK538="E",AV538&gt;=0.75,AW538=1),Health,IF(AND(AT538=3,AK538="E",AV538&gt;=0.75),Health*P538,IF(AND(AT538=3,AK538="E",AV538&gt;=0.5,AW538=1),PTHealth,IF(AND(AT538=3,AK538="E",AV538&gt;=0.5),PTHealth*P538,0))))</f>
        <v>0</v>
      </c>
      <c r="BD538" s="462">
        <f>IF(AND(AT538&lt;&gt;0,AX538&gt;=MAXSSDI),SSDI*MAXSSDI*P538,IF(AT538&lt;&gt;0,SSDI*W538,0))</f>
        <v>0</v>
      </c>
      <c r="BE538" s="462">
        <f>IF(AT538&lt;&gt;0,SSHI*W538,0)</f>
        <v>0</v>
      </c>
      <c r="BF538" s="462">
        <f>IF(AND(AT538&lt;&gt;0,AN538&lt;&gt;"NE"),VLOOKUP(AN538,Retirement_Rates,3,FALSE)*W538,0)</f>
        <v>0</v>
      </c>
      <c r="BG538" s="462">
        <f>IF(AND(AT538&lt;&gt;0,AJ538&lt;&gt;"PF"),Life*W538,0)</f>
        <v>0</v>
      </c>
      <c r="BH538" s="462">
        <f>IF(AND(AT538&lt;&gt;0,AM538="Y"),UI*W538,0)</f>
        <v>0</v>
      </c>
      <c r="BI538" s="462">
        <f>IF(AND(AT538&lt;&gt;0,N538&lt;&gt;"NR"),DHR*W538,0)</f>
        <v>0</v>
      </c>
      <c r="BJ538" s="462">
        <f>IF(AT538&lt;&gt;0,WC*W538,0)</f>
        <v>0</v>
      </c>
      <c r="BK538" s="462">
        <f>IF(OR(AND(AT538&lt;&gt;0,AJ538&lt;&gt;"PF",AN538&lt;&gt;"NE",AG538&lt;&gt;"A"),AND(AL538="E",OR(AT538=1,AT538=3))),Sick*W538,0)</f>
        <v>0</v>
      </c>
      <c r="BL538" s="462">
        <f t="shared" si="141"/>
        <v>0</v>
      </c>
      <c r="BM538" s="462">
        <f t="shared" si="142"/>
        <v>0</v>
      </c>
      <c r="BN538" s="462">
        <f>IF(AND(AT538=1,AK538="E",AU538&gt;=0.75,AW538=1),HealthBY,IF(AND(AT538=1,AK538="E",AU538&gt;=0.75),HealthBY*P538,IF(AND(AT538=1,AK538="E",AU538&gt;=0.5,AW538=1),PTHealthBY,IF(AND(AT538=1,AK538="E",AU538&gt;=0.5),PTHealthBY*P538,0))))</f>
        <v>0</v>
      </c>
      <c r="BO538" s="462">
        <f>IF(AND(AT538=3,AK538="E",AV538&gt;=0.75,AW538=1),HealthBY,IF(AND(AT538=3,AK538="E",AV538&gt;=0.75),HealthBY*P538,IF(AND(AT538=3,AK538="E",AV538&gt;=0.5,AW538=1),PTHealthBY,IF(AND(AT538=3,AK538="E",AV538&gt;=0.5),PTHealthBY*P538,0))))</f>
        <v>0</v>
      </c>
      <c r="BP538" s="462">
        <f>IF(AND(AT538&lt;&gt;0,(AX538+BA538)&gt;=MAXSSDIBY),SSDIBY*MAXSSDIBY*P538,IF(AT538&lt;&gt;0,SSDIBY*W538,0))</f>
        <v>0</v>
      </c>
      <c r="BQ538" s="462">
        <f>IF(AT538&lt;&gt;0,SSHIBY*W538,0)</f>
        <v>0</v>
      </c>
      <c r="BR538" s="462">
        <f>IF(AND(AT538&lt;&gt;0,AN538&lt;&gt;"NE"),VLOOKUP(AN538,Retirement_Rates,4,FALSE)*W538,0)</f>
        <v>0</v>
      </c>
      <c r="BS538" s="462">
        <f>IF(AND(AT538&lt;&gt;0,AJ538&lt;&gt;"PF"),LifeBY*W538,0)</f>
        <v>0</v>
      </c>
      <c r="BT538" s="462">
        <f>IF(AND(AT538&lt;&gt;0,AM538="Y"),UIBY*W538,0)</f>
        <v>0</v>
      </c>
      <c r="BU538" s="462">
        <f>IF(AND(AT538&lt;&gt;0,N538&lt;&gt;"NR"),DHRBY*W538,0)</f>
        <v>0</v>
      </c>
      <c r="BV538" s="462">
        <f>IF(AT538&lt;&gt;0,WCBY*W538,0)</f>
        <v>0</v>
      </c>
      <c r="BW538" s="462">
        <f>IF(OR(AND(AT538&lt;&gt;0,AJ538&lt;&gt;"PF",AN538&lt;&gt;"NE",AG538&lt;&gt;"A"),AND(AL538="E",OR(AT538=1,AT538=3))),SickBY*W538,0)</f>
        <v>0</v>
      </c>
      <c r="BX538" s="462">
        <f t="shared" si="143"/>
        <v>0</v>
      </c>
      <c r="BY538" s="462">
        <f t="shared" si="144"/>
        <v>0</v>
      </c>
      <c r="BZ538" s="462">
        <f t="shared" si="145"/>
        <v>0</v>
      </c>
      <c r="CA538" s="462">
        <f t="shared" si="146"/>
        <v>0</v>
      </c>
      <c r="CB538" s="462">
        <f t="shared" si="147"/>
        <v>0</v>
      </c>
      <c r="CC538" s="462">
        <f>IF(AT538&lt;&gt;0,SSHICHG*Y538,0)</f>
        <v>0</v>
      </c>
      <c r="CD538" s="462">
        <f>IF(AND(AT538&lt;&gt;0,AN538&lt;&gt;"NE"),VLOOKUP(AN538,Retirement_Rates,5,FALSE)*Y538,0)</f>
        <v>0</v>
      </c>
      <c r="CE538" s="462">
        <f>IF(AND(AT538&lt;&gt;0,AJ538&lt;&gt;"PF"),LifeCHG*Y538,0)</f>
        <v>0</v>
      </c>
      <c r="CF538" s="462">
        <f>IF(AND(AT538&lt;&gt;0,AM538="Y"),UICHG*Y538,0)</f>
        <v>0</v>
      </c>
      <c r="CG538" s="462">
        <f>IF(AND(AT538&lt;&gt;0,N538&lt;&gt;"NR"),DHRCHG*Y538,0)</f>
        <v>0</v>
      </c>
      <c r="CH538" s="462">
        <f>IF(AT538&lt;&gt;0,WCCHG*Y538,0)</f>
        <v>0</v>
      </c>
      <c r="CI538" s="462">
        <f>IF(OR(AND(AT538&lt;&gt;0,AJ538&lt;&gt;"PF",AN538&lt;&gt;"NE",AG538&lt;&gt;"A"),AND(AL538="E",OR(AT538=1,AT538=3))),SickCHG*Y538,0)</f>
        <v>0</v>
      </c>
      <c r="CJ538" s="462">
        <f t="shared" si="148"/>
        <v>0</v>
      </c>
      <c r="CK538" s="462" t="str">
        <f t="shared" si="149"/>
        <v/>
      </c>
      <c r="CL538" s="462">
        <f t="shared" si="150"/>
        <v>661124.43000000005</v>
      </c>
      <c r="CM538" s="462">
        <f t="shared" si="151"/>
        <v>348103.92</v>
      </c>
      <c r="CN538" s="462" t="str">
        <f t="shared" si="152"/>
        <v>0486-00</v>
      </c>
    </row>
    <row r="539" spans="1:92" ht="15" thickBot="1" x14ac:dyDescent="0.35">
      <c r="A539" s="376" t="s">
        <v>161</v>
      </c>
      <c r="B539" s="376" t="s">
        <v>162</v>
      </c>
      <c r="C539" s="376" t="s">
        <v>1223</v>
      </c>
      <c r="D539" s="376" t="s">
        <v>1196</v>
      </c>
      <c r="E539" s="376" t="s">
        <v>1140</v>
      </c>
      <c r="F539" s="377" t="s">
        <v>166</v>
      </c>
      <c r="G539" s="376" t="s">
        <v>1141</v>
      </c>
      <c r="H539" s="378"/>
      <c r="I539" s="378"/>
      <c r="J539" s="376" t="s">
        <v>168</v>
      </c>
      <c r="K539" s="376" t="s">
        <v>1197</v>
      </c>
      <c r="L539" s="376" t="s">
        <v>166</v>
      </c>
      <c r="M539" s="376" t="s">
        <v>201</v>
      </c>
      <c r="N539" s="376" t="s">
        <v>291</v>
      </c>
      <c r="O539" s="379">
        <v>0</v>
      </c>
      <c r="P539" s="460">
        <v>1</v>
      </c>
      <c r="Q539" s="460">
        <v>0</v>
      </c>
      <c r="R539" s="380">
        <v>0</v>
      </c>
      <c r="S539" s="460">
        <v>0</v>
      </c>
      <c r="T539" s="380">
        <v>0</v>
      </c>
      <c r="U539" s="380">
        <v>0</v>
      </c>
      <c r="V539" s="380">
        <v>0</v>
      </c>
      <c r="W539" s="380">
        <v>0</v>
      </c>
      <c r="X539" s="380">
        <v>0</v>
      </c>
      <c r="Y539" s="380">
        <v>0</v>
      </c>
      <c r="Z539" s="380">
        <v>0</v>
      </c>
      <c r="AA539" s="378"/>
      <c r="AB539" s="376" t="s">
        <v>45</v>
      </c>
      <c r="AC539" s="376" t="s">
        <v>45</v>
      </c>
      <c r="AD539" s="378"/>
      <c r="AE539" s="378"/>
      <c r="AF539" s="378"/>
      <c r="AG539" s="378"/>
      <c r="AH539" s="379">
        <v>0</v>
      </c>
      <c r="AI539" s="379">
        <v>0</v>
      </c>
      <c r="AJ539" s="378"/>
      <c r="AK539" s="378"/>
      <c r="AL539" s="376" t="s">
        <v>180</v>
      </c>
      <c r="AM539" s="378"/>
      <c r="AN539" s="378"/>
      <c r="AO539" s="379">
        <v>0</v>
      </c>
      <c r="AP539" s="460">
        <v>0</v>
      </c>
      <c r="AQ539" s="460">
        <v>0</v>
      </c>
      <c r="AR539" s="459"/>
      <c r="AS539" s="462">
        <f t="shared" si="136"/>
        <v>0</v>
      </c>
      <c r="AT539">
        <f t="shared" si="137"/>
        <v>0</v>
      </c>
      <c r="AU539" s="462" t="str">
        <f>IF(AT539=0,"",IF(AND(AT539=1,M539="F",SUMIF(C2:C698,C539,AS2:AS698)&lt;=1),SUMIF(C2:C698,C539,AS2:AS698),IF(AND(AT539=1,M539="F",SUMIF(C2:C698,C539,AS2:AS698)&gt;1),1,"")))</f>
        <v/>
      </c>
      <c r="AV539" s="462" t="str">
        <f>IF(AT539=0,"",IF(AND(AT539=3,M539="F",SUMIF(C2:C698,C539,AS2:AS698)&lt;=1),SUMIF(C2:C698,C539,AS2:AS698),IF(AND(AT539=3,M539="F",SUMIF(C2:C698,C539,AS2:AS698)&gt;1),1,"")))</f>
        <v/>
      </c>
      <c r="AW539" s="462">
        <f>SUMIF(C2:C698,C539,O2:O698)</f>
        <v>0</v>
      </c>
      <c r="AX539" s="462">
        <f>IF(AND(M539="F",AS539&lt;&gt;0),SUMIF(C2:C698,C539,W2:W698),0)</f>
        <v>0</v>
      </c>
      <c r="AY539" s="462" t="str">
        <f t="shared" si="138"/>
        <v/>
      </c>
      <c r="AZ539" s="462" t="str">
        <f t="shared" si="139"/>
        <v/>
      </c>
      <c r="BA539" s="462">
        <f t="shared" si="140"/>
        <v>0</v>
      </c>
      <c r="BB539" s="462">
        <f>IF(AND(AT539=1,AK539="E",AU539&gt;=0.75,AW539=1),Health,IF(AND(AT539=1,AK539="E",AU539&gt;=0.75),Health*P539,IF(AND(AT539=1,AK539="E",AU539&gt;=0.5,AW539=1),PTHealth,IF(AND(AT539=1,AK539="E",AU539&gt;=0.5),PTHealth*P539,0))))</f>
        <v>0</v>
      </c>
      <c r="BC539" s="462">
        <f>IF(AND(AT539=3,AK539="E",AV539&gt;=0.75,AW539=1),Health,IF(AND(AT539=3,AK539="E",AV539&gt;=0.75),Health*P539,IF(AND(AT539=3,AK539="E",AV539&gt;=0.5,AW539=1),PTHealth,IF(AND(AT539=3,AK539="E",AV539&gt;=0.5),PTHealth*P539,0))))</f>
        <v>0</v>
      </c>
      <c r="BD539" s="462">
        <f>IF(AND(AT539&lt;&gt;0,AX539&gt;=MAXSSDI),SSDI*MAXSSDI*P539,IF(AT539&lt;&gt;0,SSDI*W539,0))</f>
        <v>0</v>
      </c>
      <c r="BE539" s="462">
        <f>IF(AT539&lt;&gt;0,SSHI*W539,0)</f>
        <v>0</v>
      </c>
      <c r="BF539" s="462">
        <f>IF(AND(AT539&lt;&gt;0,AN539&lt;&gt;"NE"),VLOOKUP(AN539,Retirement_Rates,3,FALSE)*W539,0)</f>
        <v>0</v>
      </c>
      <c r="BG539" s="462">
        <f>IF(AND(AT539&lt;&gt;0,AJ539&lt;&gt;"PF"),Life*W539,0)</f>
        <v>0</v>
      </c>
      <c r="BH539" s="462">
        <f>IF(AND(AT539&lt;&gt;0,AM539="Y"),UI*W539,0)</f>
        <v>0</v>
      </c>
      <c r="BI539" s="462">
        <f>IF(AND(AT539&lt;&gt;0,N539&lt;&gt;"NR"),DHR*W539,0)</f>
        <v>0</v>
      </c>
      <c r="BJ539" s="462">
        <f>IF(AT539&lt;&gt;0,WC*W539,0)</f>
        <v>0</v>
      </c>
      <c r="BK539" s="462">
        <f>IF(OR(AND(AT539&lt;&gt;0,AJ539&lt;&gt;"PF",AN539&lt;&gt;"NE",AG539&lt;&gt;"A"),AND(AL539="E",OR(AT539=1,AT539=3))),Sick*W539,0)</f>
        <v>0</v>
      </c>
      <c r="BL539" s="462">
        <f t="shared" si="141"/>
        <v>0</v>
      </c>
      <c r="BM539" s="462">
        <f t="shared" si="142"/>
        <v>0</v>
      </c>
      <c r="BN539" s="462">
        <f>IF(AND(AT539=1,AK539="E",AU539&gt;=0.75,AW539=1),HealthBY,IF(AND(AT539=1,AK539="E",AU539&gt;=0.75),HealthBY*P539,IF(AND(AT539=1,AK539="E",AU539&gt;=0.5,AW539=1),PTHealthBY,IF(AND(AT539=1,AK539="E",AU539&gt;=0.5),PTHealthBY*P539,0))))</f>
        <v>0</v>
      </c>
      <c r="BO539" s="462">
        <f>IF(AND(AT539=3,AK539="E",AV539&gt;=0.75,AW539=1),HealthBY,IF(AND(AT539=3,AK539="E",AV539&gt;=0.75),HealthBY*P539,IF(AND(AT539=3,AK539="E",AV539&gt;=0.5,AW539=1),PTHealthBY,IF(AND(AT539=3,AK539="E",AV539&gt;=0.5),PTHealthBY*P539,0))))</f>
        <v>0</v>
      </c>
      <c r="BP539" s="462">
        <f>IF(AND(AT539&lt;&gt;0,(AX539+BA539)&gt;=MAXSSDIBY),SSDIBY*MAXSSDIBY*P539,IF(AT539&lt;&gt;0,SSDIBY*W539,0))</f>
        <v>0</v>
      </c>
      <c r="BQ539" s="462">
        <f>IF(AT539&lt;&gt;0,SSHIBY*W539,0)</f>
        <v>0</v>
      </c>
      <c r="BR539" s="462">
        <f>IF(AND(AT539&lt;&gt;0,AN539&lt;&gt;"NE"),VLOOKUP(AN539,Retirement_Rates,4,FALSE)*W539,0)</f>
        <v>0</v>
      </c>
      <c r="BS539" s="462">
        <f>IF(AND(AT539&lt;&gt;0,AJ539&lt;&gt;"PF"),LifeBY*W539,0)</f>
        <v>0</v>
      </c>
      <c r="BT539" s="462">
        <f>IF(AND(AT539&lt;&gt;0,AM539="Y"),UIBY*W539,0)</f>
        <v>0</v>
      </c>
      <c r="BU539" s="462">
        <f>IF(AND(AT539&lt;&gt;0,N539&lt;&gt;"NR"),DHRBY*W539,0)</f>
        <v>0</v>
      </c>
      <c r="BV539" s="462">
        <f>IF(AT539&lt;&gt;0,WCBY*W539,0)</f>
        <v>0</v>
      </c>
      <c r="BW539" s="462">
        <f>IF(OR(AND(AT539&lt;&gt;0,AJ539&lt;&gt;"PF",AN539&lt;&gt;"NE",AG539&lt;&gt;"A"),AND(AL539="E",OR(AT539=1,AT539=3))),SickBY*W539,0)</f>
        <v>0</v>
      </c>
      <c r="BX539" s="462">
        <f t="shared" si="143"/>
        <v>0</v>
      </c>
      <c r="BY539" s="462">
        <f t="shared" si="144"/>
        <v>0</v>
      </c>
      <c r="BZ539" s="462">
        <f t="shared" si="145"/>
        <v>0</v>
      </c>
      <c r="CA539" s="462">
        <f t="shared" si="146"/>
        <v>0</v>
      </c>
      <c r="CB539" s="462">
        <f t="shared" si="147"/>
        <v>0</v>
      </c>
      <c r="CC539" s="462">
        <f>IF(AT539&lt;&gt;0,SSHICHG*Y539,0)</f>
        <v>0</v>
      </c>
      <c r="CD539" s="462">
        <f>IF(AND(AT539&lt;&gt;0,AN539&lt;&gt;"NE"),VLOOKUP(AN539,Retirement_Rates,5,FALSE)*Y539,0)</f>
        <v>0</v>
      </c>
      <c r="CE539" s="462">
        <f>IF(AND(AT539&lt;&gt;0,AJ539&lt;&gt;"PF"),LifeCHG*Y539,0)</f>
        <v>0</v>
      </c>
      <c r="CF539" s="462">
        <f>IF(AND(AT539&lt;&gt;0,AM539="Y"),UICHG*Y539,0)</f>
        <v>0</v>
      </c>
      <c r="CG539" s="462">
        <f>IF(AND(AT539&lt;&gt;0,N539&lt;&gt;"NR"),DHRCHG*Y539,0)</f>
        <v>0</v>
      </c>
      <c r="CH539" s="462">
        <f>IF(AT539&lt;&gt;0,WCCHG*Y539,0)</f>
        <v>0</v>
      </c>
      <c r="CI539" s="462">
        <f>IF(OR(AND(AT539&lt;&gt;0,AJ539&lt;&gt;"PF",AN539&lt;&gt;"NE",AG539&lt;&gt;"A"),AND(AL539="E",OR(AT539=1,AT539=3))),SickCHG*Y539,0)</f>
        <v>0</v>
      </c>
      <c r="CJ539" s="462">
        <f t="shared" si="148"/>
        <v>0</v>
      </c>
      <c r="CK539" s="462" t="str">
        <f t="shared" si="149"/>
        <v/>
      </c>
      <c r="CL539" s="462">
        <f t="shared" si="150"/>
        <v>0</v>
      </c>
      <c r="CM539" s="462">
        <f t="shared" si="151"/>
        <v>0</v>
      </c>
      <c r="CN539" s="462" t="str">
        <f t="shared" si="152"/>
        <v>0486-00</v>
      </c>
    </row>
    <row r="540" spans="1:92" ht="15" thickBot="1" x14ac:dyDescent="0.35">
      <c r="A540" s="376" t="s">
        <v>161</v>
      </c>
      <c r="B540" s="376" t="s">
        <v>162</v>
      </c>
      <c r="C540" s="376" t="s">
        <v>1224</v>
      </c>
      <c r="D540" s="376" t="s">
        <v>1150</v>
      </c>
      <c r="E540" s="376" t="s">
        <v>1140</v>
      </c>
      <c r="F540" s="377" t="s">
        <v>166</v>
      </c>
      <c r="G540" s="376" t="s">
        <v>1141</v>
      </c>
      <c r="H540" s="378"/>
      <c r="I540" s="378"/>
      <c r="J540" s="376" t="s">
        <v>168</v>
      </c>
      <c r="K540" s="376" t="s">
        <v>1151</v>
      </c>
      <c r="L540" s="376" t="s">
        <v>166</v>
      </c>
      <c r="M540" s="376" t="s">
        <v>201</v>
      </c>
      <c r="N540" s="376" t="s">
        <v>291</v>
      </c>
      <c r="O540" s="379">
        <v>0</v>
      </c>
      <c r="P540" s="460">
        <v>1</v>
      </c>
      <c r="Q540" s="460">
        <v>0</v>
      </c>
      <c r="R540" s="380">
        <v>0</v>
      </c>
      <c r="S540" s="460">
        <v>0</v>
      </c>
      <c r="T540" s="380">
        <v>0</v>
      </c>
      <c r="U540" s="380">
        <v>0</v>
      </c>
      <c r="V540" s="380">
        <v>0</v>
      </c>
      <c r="W540" s="380">
        <v>0</v>
      </c>
      <c r="X540" s="380">
        <v>0</v>
      </c>
      <c r="Y540" s="380">
        <v>0</v>
      </c>
      <c r="Z540" s="380">
        <v>0</v>
      </c>
      <c r="AA540" s="378"/>
      <c r="AB540" s="376" t="s">
        <v>45</v>
      </c>
      <c r="AC540" s="376" t="s">
        <v>45</v>
      </c>
      <c r="AD540" s="378"/>
      <c r="AE540" s="378"/>
      <c r="AF540" s="378"/>
      <c r="AG540" s="378"/>
      <c r="AH540" s="379">
        <v>0</v>
      </c>
      <c r="AI540" s="379">
        <v>0</v>
      </c>
      <c r="AJ540" s="378"/>
      <c r="AK540" s="378"/>
      <c r="AL540" s="376" t="s">
        <v>180</v>
      </c>
      <c r="AM540" s="378"/>
      <c r="AN540" s="378"/>
      <c r="AO540" s="379">
        <v>0</v>
      </c>
      <c r="AP540" s="460">
        <v>0</v>
      </c>
      <c r="AQ540" s="460">
        <v>0</v>
      </c>
      <c r="AR540" s="459"/>
      <c r="AS540" s="462">
        <f t="shared" si="136"/>
        <v>0</v>
      </c>
      <c r="AT540">
        <f t="shared" si="137"/>
        <v>0</v>
      </c>
      <c r="AU540" s="462" t="str">
        <f>IF(AT540=0,"",IF(AND(AT540=1,M540="F",SUMIF(C2:C698,C540,AS2:AS698)&lt;=1),SUMIF(C2:C698,C540,AS2:AS698),IF(AND(AT540=1,M540="F",SUMIF(C2:C698,C540,AS2:AS698)&gt;1),1,"")))</f>
        <v/>
      </c>
      <c r="AV540" s="462" t="str">
        <f>IF(AT540=0,"",IF(AND(AT540=3,M540="F",SUMIF(C2:C698,C540,AS2:AS698)&lt;=1),SUMIF(C2:C698,C540,AS2:AS698),IF(AND(AT540=3,M540="F",SUMIF(C2:C698,C540,AS2:AS698)&gt;1),1,"")))</f>
        <v/>
      </c>
      <c r="AW540" s="462">
        <f>SUMIF(C2:C698,C540,O2:O698)</f>
        <v>0</v>
      </c>
      <c r="AX540" s="462">
        <f>IF(AND(M540="F",AS540&lt;&gt;0),SUMIF(C2:C698,C540,W2:W698),0)</f>
        <v>0</v>
      </c>
      <c r="AY540" s="462" t="str">
        <f t="shared" si="138"/>
        <v/>
      </c>
      <c r="AZ540" s="462" t="str">
        <f t="shared" si="139"/>
        <v/>
      </c>
      <c r="BA540" s="462">
        <f t="shared" si="140"/>
        <v>0</v>
      </c>
      <c r="BB540" s="462">
        <f>IF(AND(AT540=1,AK540="E",AU540&gt;=0.75,AW540=1),Health,IF(AND(AT540=1,AK540="E",AU540&gt;=0.75),Health*P540,IF(AND(AT540=1,AK540="E",AU540&gt;=0.5,AW540=1),PTHealth,IF(AND(AT540=1,AK540="E",AU540&gt;=0.5),PTHealth*P540,0))))</f>
        <v>0</v>
      </c>
      <c r="BC540" s="462">
        <f>IF(AND(AT540=3,AK540="E",AV540&gt;=0.75,AW540=1),Health,IF(AND(AT540=3,AK540="E",AV540&gt;=0.75),Health*P540,IF(AND(AT540=3,AK540="E",AV540&gt;=0.5,AW540=1),PTHealth,IF(AND(AT540=3,AK540="E",AV540&gt;=0.5),PTHealth*P540,0))))</f>
        <v>0</v>
      </c>
      <c r="BD540" s="462">
        <f>IF(AND(AT540&lt;&gt;0,AX540&gt;=MAXSSDI),SSDI*MAXSSDI*P540,IF(AT540&lt;&gt;0,SSDI*W540,0))</f>
        <v>0</v>
      </c>
      <c r="BE540" s="462">
        <f>IF(AT540&lt;&gt;0,SSHI*W540,0)</f>
        <v>0</v>
      </c>
      <c r="BF540" s="462">
        <f>IF(AND(AT540&lt;&gt;0,AN540&lt;&gt;"NE"),VLOOKUP(AN540,Retirement_Rates,3,FALSE)*W540,0)</f>
        <v>0</v>
      </c>
      <c r="BG540" s="462">
        <f>IF(AND(AT540&lt;&gt;0,AJ540&lt;&gt;"PF"),Life*W540,0)</f>
        <v>0</v>
      </c>
      <c r="BH540" s="462">
        <f>IF(AND(AT540&lt;&gt;0,AM540="Y"),UI*W540,0)</f>
        <v>0</v>
      </c>
      <c r="BI540" s="462">
        <f>IF(AND(AT540&lt;&gt;0,N540&lt;&gt;"NR"),DHR*W540,0)</f>
        <v>0</v>
      </c>
      <c r="BJ540" s="462">
        <f>IF(AT540&lt;&gt;0,WC*W540,0)</f>
        <v>0</v>
      </c>
      <c r="BK540" s="462">
        <f>IF(OR(AND(AT540&lt;&gt;0,AJ540&lt;&gt;"PF",AN540&lt;&gt;"NE",AG540&lt;&gt;"A"),AND(AL540="E",OR(AT540=1,AT540=3))),Sick*W540,0)</f>
        <v>0</v>
      </c>
      <c r="BL540" s="462">
        <f t="shared" si="141"/>
        <v>0</v>
      </c>
      <c r="BM540" s="462">
        <f t="shared" si="142"/>
        <v>0</v>
      </c>
      <c r="BN540" s="462">
        <f>IF(AND(AT540=1,AK540="E",AU540&gt;=0.75,AW540=1),HealthBY,IF(AND(AT540=1,AK540="E",AU540&gt;=0.75),HealthBY*P540,IF(AND(AT540=1,AK540="E",AU540&gt;=0.5,AW540=1),PTHealthBY,IF(AND(AT540=1,AK540="E",AU540&gt;=0.5),PTHealthBY*P540,0))))</f>
        <v>0</v>
      </c>
      <c r="BO540" s="462">
        <f>IF(AND(AT540=3,AK540="E",AV540&gt;=0.75,AW540=1),HealthBY,IF(AND(AT540=3,AK540="E",AV540&gt;=0.75),HealthBY*P540,IF(AND(AT540=3,AK540="E",AV540&gt;=0.5,AW540=1),PTHealthBY,IF(AND(AT540=3,AK540="E",AV540&gt;=0.5),PTHealthBY*P540,0))))</f>
        <v>0</v>
      </c>
      <c r="BP540" s="462">
        <f>IF(AND(AT540&lt;&gt;0,(AX540+BA540)&gt;=MAXSSDIBY),SSDIBY*MAXSSDIBY*P540,IF(AT540&lt;&gt;0,SSDIBY*W540,0))</f>
        <v>0</v>
      </c>
      <c r="BQ540" s="462">
        <f>IF(AT540&lt;&gt;0,SSHIBY*W540,0)</f>
        <v>0</v>
      </c>
      <c r="BR540" s="462">
        <f>IF(AND(AT540&lt;&gt;0,AN540&lt;&gt;"NE"),VLOOKUP(AN540,Retirement_Rates,4,FALSE)*W540,0)</f>
        <v>0</v>
      </c>
      <c r="BS540" s="462">
        <f>IF(AND(AT540&lt;&gt;0,AJ540&lt;&gt;"PF"),LifeBY*W540,0)</f>
        <v>0</v>
      </c>
      <c r="BT540" s="462">
        <f>IF(AND(AT540&lt;&gt;0,AM540="Y"),UIBY*W540,0)</f>
        <v>0</v>
      </c>
      <c r="BU540" s="462">
        <f>IF(AND(AT540&lt;&gt;0,N540&lt;&gt;"NR"),DHRBY*W540,0)</f>
        <v>0</v>
      </c>
      <c r="BV540" s="462">
        <f>IF(AT540&lt;&gt;0,WCBY*W540,0)</f>
        <v>0</v>
      </c>
      <c r="BW540" s="462">
        <f>IF(OR(AND(AT540&lt;&gt;0,AJ540&lt;&gt;"PF",AN540&lt;&gt;"NE",AG540&lt;&gt;"A"),AND(AL540="E",OR(AT540=1,AT540=3))),SickBY*W540,0)</f>
        <v>0</v>
      </c>
      <c r="BX540" s="462">
        <f t="shared" si="143"/>
        <v>0</v>
      </c>
      <c r="BY540" s="462">
        <f t="shared" si="144"/>
        <v>0</v>
      </c>
      <c r="BZ540" s="462">
        <f t="shared" si="145"/>
        <v>0</v>
      </c>
      <c r="CA540" s="462">
        <f t="shared" si="146"/>
        <v>0</v>
      </c>
      <c r="CB540" s="462">
        <f t="shared" si="147"/>
        <v>0</v>
      </c>
      <c r="CC540" s="462">
        <f>IF(AT540&lt;&gt;0,SSHICHG*Y540,0)</f>
        <v>0</v>
      </c>
      <c r="CD540" s="462">
        <f>IF(AND(AT540&lt;&gt;0,AN540&lt;&gt;"NE"),VLOOKUP(AN540,Retirement_Rates,5,FALSE)*Y540,0)</f>
        <v>0</v>
      </c>
      <c r="CE540" s="462">
        <f>IF(AND(AT540&lt;&gt;0,AJ540&lt;&gt;"PF"),LifeCHG*Y540,0)</f>
        <v>0</v>
      </c>
      <c r="CF540" s="462">
        <f>IF(AND(AT540&lt;&gt;0,AM540="Y"),UICHG*Y540,0)</f>
        <v>0</v>
      </c>
      <c r="CG540" s="462">
        <f>IF(AND(AT540&lt;&gt;0,N540&lt;&gt;"NR"),DHRCHG*Y540,0)</f>
        <v>0</v>
      </c>
      <c r="CH540" s="462">
        <f>IF(AT540&lt;&gt;0,WCCHG*Y540,0)</f>
        <v>0</v>
      </c>
      <c r="CI540" s="462">
        <f>IF(OR(AND(AT540&lt;&gt;0,AJ540&lt;&gt;"PF",AN540&lt;&gt;"NE",AG540&lt;&gt;"A"),AND(AL540="E",OR(AT540=1,AT540=3))),SickCHG*Y540,0)</f>
        <v>0</v>
      </c>
      <c r="CJ540" s="462">
        <f t="shared" si="148"/>
        <v>0</v>
      </c>
      <c r="CK540" s="462" t="str">
        <f t="shared" si="149"/>
        <v/>
      </c>
      <c r="CL540" s="462">
        <f t="shared" si="150"/>
        <v>0</v>
      </c>
      <c r="CM540" s="462">
        <f t="shared" si="151"/>
        <v>0</v>
      </c>
      <c r="CN540" s="462" t="str">
        <f t="shared" si="152"/>
        <v>0486-00</v>
      </c>
    </row>
    <row r="541" spans="1:92" ht="15" thickBot="1" x14ac:dyDescent="0.35">
      <c r="A541" s="376" t="s">
        <v>161</v>
      </c>
      <c r="B541" s="376" t="s">
        <v>162</v>
      </c>
      <c r="C541" s="376" t="s">
        <v>1225</v>
      </c>
      <c r="D541" s="376" t="s">
        <v>1163</v>
      </c>
      <c r="E541" s="376" t="s">
        <v>1140</v>
      </c>
      <c r="F541" s="377" t="s">
        <v>166</v>
      </c>
      <c r="G541" s="376" t="s">
        <v>1141</v>
      </c>
      <c r="H541" s="378"/>
      <c r="I541" s="378"/>
      <c r="J541" s="376" t="s">
        <v>185</v>
      </c>
      <c r="K541" s="376" t="s">
        <v>1164</v>
      </c>
      <c r="L541" s="376" t="s">
        <v>166</v>
      </c>
      <c r="M541" s="376" t="s">
        <v>201</v>
      </c>
      <c r="N541" s="376" t="s">
        <v>291</v>
      </c>
      <c r="O541" s="379">
        <v>0</v>
      </c>
      <c r="P541" s="460">
        <v>1</v>
      </c>
      <c r="Q541" s="460">
        <v>0</v>
      </c>
      <c r="R541" s="380">
        <v>0</v>
      </c>
      <c r="S541" s="460">
        <v>0</v>
      </c>
      <c r="T541" s="380">
        <v>0</v>
      </c>
      <c r="U541" s="380">
        <v>0</v>
      </c>
      <c r="V541" s="380">
        <v>0</v>
      </c>
      <c r="W541" s="380">
        <v>0</v>
      </c>
      <c r="X541" s="380">
        <v>0</v>
      </c>
      <c r="Y541" s="380">
        <v>0</v>
      </c>
      <c r="Z541" s="380">
        <v>0</v>
      </c>
      <c r="AA541" s="378"/>
      <c r="AB541" s="376" t="s">
        <v>45</v>
      </c>
      <c r="AC541" s="376" t="s">
        <v>45</v>
      </c>
      <c r="AD541" s="378"/>
      <c r="AE541" s="378"/>
      <c r="AF541" s="378"/>
      <c r="AG541" s="378"/>
      <c r="AH541" s="379">
        <v>0</v>
      </c>
      <c r="AI541" s="379">
        <v>0</v>
      </c>
      <c r="AJ541" s="378"/>
      <c r="AK541" s="378"/>
      <c r="AL541" s="376" t="s">
        <v>180</v>
      </c>
      <c r="AM541" s="378"/>
      <c r="AN541" s="378"/>
      <c r="AO541" s="379">
        <v>0</v>
      </c>
      <c r="AP541" s="460">
        <v>0</v>
      </c>
      <c r="AQ541" s="460">
        <v>0</v>
      </c>
      <c r="AR541" s="459"/>
      <c r="AS541" s="462">
        <f t="shared" si="136"/>
        <v>0</v>
      </c>
      <c r="AT541">
        <f t="shared" si="137"/>
        <v>0</v>
      </c>
      <c r="AU541" s="462" t="str">
        <f>IF(AT541=0,"",IF(AND(AT541=1,M541="F",SUMIF(C2:C698,C541,AS2:AS698)&lt;=1),SUMIF(C2:C698,C541,AS2:AS698),IF(AND(AT541=1,M541="F",SUMIF(C2:C698,C541,AS2:AS698)&gt;1),1,"")))</f>
        <v/>
      </c>
      <c r="AV541" s="462" t="str">
        <f>IF(AT541=0,"",IF(AND(AT541=3,M541="F",SUMIF(C2:C698,C541,AS2:AS698)&lt;=1),SUMIF(C2:C698,C541,AS2:AS698),IF(AND(AT541=3,M541="F",SUMIF(C2:C698,C541,AS2:AS698)&gt;1),1,"")))</f>
        <v/>
      </c>
      <c r="AW541" s="462">
        <f>SUMIF(C2:C698,C541,O2:O698)</f>
        <v>0</v>
      </c>
      <c r="AX541" s="462">
        <f>IF(AND(M541="F",AS541&lt;&gt;0),SUMIF(C2:C698,C541,W2:W698),0)</f>
        <v>0</v>
      </c>
      <c r="AY541" s="462" t="str">
        <f t="shared" si="138"/>
        <v/>
      </c>
      <c r="AZ541" s="462" t="str">
        <f t="shared" si="139"/>
        <v/>
      </c>
      <c r="BA541" s="462">
        <f t="shared" si="140"/>
        <v>0</v>
      </c>
      <c r="BB541" s="462">
        <f>IF(AND(AT541=1,AK541="E",AU541&gt;=0.75,AW541=1),Health,IF(AND(AT541=1,AK541="E",AU541&gt;=0.75),Health*P541,IF(AND(AT541=1,AK541="E",AU541&gt;=0.5,AW541=1),PTHealth,IF(AND(AT541=1,AK541="E",AU541&gt;=0.5),PTHealth*P541,0))))</f>
        <v>0</v>
      </c>
      <c r="BC541" s="462">
        <f>IF(AND(AT541=3,AK541="E",AV541&gt;=0.75,AW541=1),Health,IF(AND(AT541=3,AK541="E",AV541&gt;=0.75),Health*P541,IF(AND(AT541=3,AK541="E",AV541&gt;=0.5,AW541=1),PTHealth,IF(AND(AT541=3,AK541="E",AV541&gt;=0.5),PTHealth*P541,0))))</f>
        <v>0</v>
      </c>
      <c r="BD541" s="462">
        <f>IF(AND(AT541&lt;&gt;0,AX541&gt;=MAXSSDI),SSDI*MAXSSDI*P541,IF(AT541&lt;&gt;0,SSDI*W541,0))</f>
        <v>0</v>
      </c>
      <c r="BE541" s="462">
        <f>IF(AT541&lt;&gt;0,SSHI*W541,0)</f>
        <v>0</v>
      </c>
      <c r="BF541" s="462">
        <f>IF(AND(AT541&lt;&gt;0,AN541&lt;&gt;"NE"),VLOOKUP(AN541,Retirement_Rates,3,FALSE)*W541,0)</f>
        <v>0</v>
      </c>
      <c r="BG541" s="462">
        <f>IF(AND(AT541&lt;&gt;0,AJ541&lt;&gt;"PF"),Life*W541,0)</f>
        <v>0</v>
      </c>
      <c r="BH541" s="462">
        <f>IF(AND(AT541&lt;&gt;0,AM541="Y"),UI*W541,0)</f>
        <v>0</v>
      </c>
      <c r="BI541" s="462">
        <f>IF(AND(AT541&lt;&gt;0,N541&lt;&gt;"NR"),DHR*W541,0)</f>
        <v>0</v>
      </c>
      <c r="BJ541" s="462">
        <f>IF(AT541&lt;&gt;0,WC*W541,0)</f>
        <v>0</v>
      </c>
      <c r="BK541" s="462">
        <f>IF(OR(AND(AT541&lt;&gt;0,AJ541&lt;&gt;"PF",AN541&lt;&gt;"NE",AG541&lt;&gt;"A"),AND(AL541="E",OR(AT541=1,AT541=3))),Sick*W541,0)</f>
        <v>0</v>
      </c>
      <c r="BL541" s="462">
        <f t="shared" si="141"/>
        <v>0</v>
      </c>
      <c r="BM541" s="462">
        <f t="shared" si="142"/>
        <v>0</v>
      </c>
      <c r="BN541" s="462">
        <f>IF(AND(AT541=1,AK541="E",AU541&gt;=0.75,AW541=1),HealthBY,IF(AND(AT541=1,AK541="E",AU541&gt;=0.75),HealthBY*P541,IF(AND(AT541=1,AK541="E",AU541&gt;=0.5,AW541=1),PTHealthBY,IF(AND(AT541=1,AK541="E",AU541&gt;=0.5),PTHealthBY*P541,0))))</f>
        <v>0</v>
      </c>
      <c r="BO541" s="462">
        <f>IF(AND(AT541=3,AK541="E",AV541&gt;=0.75,AW541=1),HealthBY,IF(AND(AT541=3,AK541="E",AV541&gt;=0.75),HealthBY*P541,IF(AND(AT541=3,AK541="E",AV541&gt;=0.5,AW541=1),PTHealthBY,IF(AND(AT541=3,AK541="E",AV541&gt;=0.5),PTHealthBY*P541,0))))</f>
        <v>0</v>
      </c>
      <c r="BP541" s="462">
        <f>IF(AND(AT541&lt;&gt;0,(AX541+BA541)&gt;=MAXSSDIBY),SSDIBY*MAXSSDIBY*P541,IF(AT541&lt;&gt;0,SSDIBY*W541,0))</f>
        <v>0</v>
      </c>
      <c r="BQ541" s="462">
        <f>IF(AT541&lt;&gt;0,SSHIBY*W541,0)</f>
        <v>0</v>
      </c>
      <c r="BR541" s="462">
        <f>IF(AND(AT541&lt;&gt;0,AN541&lt;&gt;"NE"),VLOOKUP(AN541,Retirement_Rates,4,FALSE)*W541,0)</f>
        <v>0</v>
      </c>
      <c r="BS541" s="462">
        <f>IF(AND(AT541&lt;&gt;0,AJ541&lt;&gt;"PF"),LifeBY*W541,0)</f>
        <v>0</v>
      </c>
      <c r="BT541" s="462">
        <f>IF(AND(AT541&lt;&gt;0,AM541="Y"),UIBY*W541,0)</f>
        <v>0</v>
      </c>
      <c r="BU541" s="462">
        <f>IF(AND(AT541&lt;&gt;0,N541&lt;&gt;"NR"),DHRBY*W541,0)</f>
        <v>0</v>
      </c>
      <c r="BV541" s="462">
        <f>IF(AT541&lt;&gt;0,WCBY*W541,0)</f>
        <v>0</v>
      </c>
      <c r="BW541" s="462">
        <f>IF(OR(AND(AT541&lt;&gt;0,AJ541&lt;&gt;"PF",AN541&lt;&gt;"NE",AG541&lt;&gt;"A"),AND(AL541="E",OR(AT541=1,AT541=3))),SickBY*W541,0)</f>
        <v>0</v>
      </c>
      <c r="BX541" s="462">
        <f t="shared" si="143"/>
        <v>0</v>
      </c>
      <c r="BY541" s="462">
        <f t="shared" si="144"/>
        <v>0</v>
      </c>
      <c r="BZ541" s="462">
        <f t="shared" si="145"/>
        <v>0</v>
      </c>
      <c r="CA541" s="462">
        <f t="shared" si="146"/>
        <v>0</v>
      </c>
      <c r="CB541" s="462">
        <f t="shared" si="147"/>
        <v>0</v>
      </c>
      <c r="CC541" s="462">
        <f>IF(AT541&lt;&gt;0,SSHICHG*Y541,0)</f>
        <v>0</v>
      </c>
      <c r="CD541" s="462">
        <f>IF(AND(AT541&lt;&gt;0,AN541&lt;&gt;"NE"),VLOOKUP(AN541,Retirement_Rates,5,FALSE)*Y541,0)</f>
        <v>0</v>
      </c>
      <c r="CE541" s="462">
        <f>IF(AND(AT541&lt;&gt;0,AJ541&lt;&gt;"PF"),LifeCHG*Y541,0)</f>
        <v>0</v>
      </c>
      <c r="CF541" s="462">
        <f>IF(AND(AT541&lt;&gt;0,AM541="Y"),UICHG*Y541,0)</f>
        <v>0</v>
      </c>
      <c r="CG541" s="462">
        <f>IF(AND(AT541&lt;&gt;0,N541&lt;&gt;"NR"),DHRCHG*Y541,0)</f>
        <v>0</v>
      </c>
      <c r="CH541" s="462">
        <f>IF(AT541&lt;&gt;0,WCCHG*Y541,0)</f>
        <v>0</v>
      </c>
      <c r="CI541" s="462">
        <f>IF(OR(AND(AT541&lt;&gt;0,AJ541&lt;&gt;"PF",AN541&lt;&gt;"NE",AG541&lt;&gt;"A"),AND(AL541="E",OR(AT541=1,AT541=3))),SickCHG*Y541,0)</f>
        <v>0</v>
      </c>
      <c r="CJ541" s="462">
        <f t="shared" si="148"/>
        <v>0</v>
      </c>
      <c r="CK541" s="462" t="str">
        <f t="shared" si="149"/>
        <v/>
      </c>
      <c r="CL541" s="462">
        <f t="shared" si="150"/>
        <v>0</v>
      </c>
      <c r="CM541" s="462">
        <f t="shared" si="151"/>
        <v>0</v>
      </c>
      <c r="CN541" s="462" t="str">
        <f t="shared" si="152"/>
        <v>0486-00</v>
      </c>
    </row>
    <row r="542" spans="1:92" ht="15" thickBot="1" x14ac:dyDescent="0.35">
      <c r="A542" s="376" t="s">
        <v>161</v>
      </c>
      <c r="B542" s="376" t="s">
        <v>162</v>
      </c>
      <c r="C542" s="376" t="s">
        <v>1226</v>
      </c>
      <c r="D542" s="376" t="s">
        <v>1153</v>
      </c>
      <c r="E542" s="376" t="s">
        <v>1140</v>
      </c>
      <c r="F542" s="377" t="s">
        <v>166</v>
      </c>
      <c r="G542" s="376" t="s">
        <v>1141</v>
      </c>
      <c r="H542" s="378"/>
      <c r="I542" s="378"/>
      <c r="J542" s="376" t="s">
        <v>168</v>
      </c>
      <c r="K542" s="376" t="s">
        <v>1154</v>
      </c>
      <c r="L542" s="376" t="s">
        <v>166</v>
      </c>
      <c r="M542" s="376" t="s">
        <v>201</v>
      </c>
      <c r="N542" s="376" t="s">
        <v>291</v>
      </c>
      <c r="O542" s="379">
        <v>0</v>
      </c>
      <c r="P542" s="460">
        <v>1</v>
      </c>
      <c r="Q542" s="460">
        <v>0</v>
      </c>
      <c r="R542" s="380">
        <v>0</v>
      </c>
      <c r="S542" s="460">
        <v>0</v>
      </c>
      <c r="T542" s="380">
        <v>0</v>
      </c>
      <c r="U542" s="380">
        <v>0</v>
      </c>
      <c r="V542" s="380">
        <v>0</v>
      </c>
      <c r="W542" s="380">
        <v>0</v>
      </c>
      <c r="X542" s="380">
        <v>0</v>
      </c>
      <c r="Y542" s="380">
        <v>0</v>
      </c>
      <c r="Z542" s="380">
        <v>0</v>
      </c>
      <c r="AA542" s="378"/>
      <c r="AB542" s="376" t="s">
        <v>45</v>
      </c>
      <c r="AC542" s="376" t="s">
        <v>45</v>
      </c>
      <c r="AD542" s="378"/>
      <c r="AE542" s="378"/>
      <c r="AF542" s="378"/>
      <c r="AG542" s="378"/>
      <c r="AH542" s="379">
        <v>0</v>
      </c>
      <c r="AI542" s="379">
        <v>0</v>
      </c>
      <c r="AJ542" s="378"/>
      <c r="AK542" s="378"/>
      <c r="AL542" s="376" t="s">
        <v>180</v>
      </c>
      <c r="AM542" s="378"/>
      <c r="AN542" s="378"/>
      <c r="AO542" s="379">
        <v>0</v>
      </c>
      <c r="AP542" s="460">
        <v>0</v>
      </c>
      <c r="AQ542" s="460">
        <v>0</v>
      </c>
      <c r="AR542" s="459"/>
      <c r="AS542" s="462">
        <f t="shared" si="136"/>
        <v>0</v>
      </c>
      <c r="AT542">
        <f t="shared" si="137"/>
        <v>0</v>
      </c>
      <c r="AU542" s="462" t="str">
        <f>IF(AT542=0,"",IF(AND(AT542=1,M542="F",SUMIF(C2:C698,C542,AS2:AS698)&lt;=1),SUMIF(C2:C698,C542,AS2:AS698),IF(AND(AT542=1,M542="F",SUMIF(C2:C698,C542,AS2:AS698)&gt;1),1,"")))</f>
        <v/>
      </c>
      <c r="AV542" s="462" t="str">
        <f>IF(AT542=0,"",IF(AND(AT542=3,M542="F",SUMIF(C2:C698,C542,AS2:AS698)&lt;=1),SUMIF(C2:C698,C542,AS2:AS698),IF(AND(AT542=3,M542="F",SUMIF(C2:C698,C542,AS2:AS698)&gt;1),1,"")))</f>
        <v/>
      </c>
      <c r="AW542" s="462">
        <f>SUMIF(C2:C698,C542,O2:O698)</f>
        <v>0</v>
      </c>
      <c r="AX542" s="462">
        <f>IF(AND(M542="F",AS542&lt;&gt;0),SUMIF(C2:C698,C542,W2:W698),0)</f>
        <v>0</v>
      </c>
      <c r="AY542" s="462" t="str">
        <f t="shared" si="138"/>
        <v/>
      </c>
      <c r="AZ542" s="462" t="str">
        <f t="shared" si="139"/>
        <v/>
      </c>
      <c r="BA542" s="462">
        <f t="shared" si="140"/>
        <v>0</v>
      </c>
      <c r="BB542" s="462">
        <f>IF(AND(AT542=1,AK542="E",AU542&gt;=0.75,AW542=1),Health,IF(AND(AT542=1,AK542="E",AU542&gt;=0.75),Health*P542,IF(AND(AT542=1,AK542="E",AU542&gt;=0.5,AW542=1),PTHealth,IF(AND(AT542=1,AK542="E",AU542&gt;=0.5),PTHealth*P542,0))))</f>
        <v>0</v>
      </c>
      <c r="BC542" s="462">
        <f>IF(AND(AT542=3,AK542="E",AV542&gt;=0.75,AW542=1),Health,IF(AND(AT542=3,AK542="E",AV542&gt;=0.75),Health*P542,IF(AND(AT542=3,AK542="E",AV542&gt;=0.5,AW542=1),PTHealth,IF(AND(AT542=3,AK542="E",AV542&gt;=0.5),PTHealth*P542,0))))</f>
        <v>0</v>
      </c>
      <c r="BD542" s="462">
        <f>IF(AND(AT542&lt;&gt;0,AX542&gt;=MAXSSDI),SSDI*MAXSSDI*P542,IF(AT542&lt;&gt;0,SSDI*W542,0))</f>
        <v>0</v>
      </c>
      <c r="BE542" s="462">
        <f>IF(AT542&lt;&gt;0,SSHI*W542,0)</f>
        <v>0</v>
      </c>
      <c r="BF542" s="462">
        <f>IF(AND(AT542&lt;&gt;0,AN542&lt;&gt;"NE"),VLOOKUP(AN542,Retirement_Rates,3,FALSE)*W542,0)</f>
        <v>0</v>
      </c>
      <c r="BG542" s="462">
        <f>IF(AND(AT542&lt;&gt;0,AJ542&lt;&gt;"PF"),Life*W542,0)</f>
        <v>0</v>
      </c>
      <c r="BH542" s="462">
        <f>IF(AND(AT542&lt;&gt;0,AM542="Y"),UI*W542,0)</f>
        <v>0</v>
      </c>
      <c r="BI542" s="462">
        <f>IF(AND(AT542&lt;&gt;0,N542&lt;&gt;"NR"),DHR*W542,0)</f>
        <v>0</v>
      </c>
      <c r="BJ542" s="462">
        <f>IF(AT542&lt;&gt;0,WC*W542,0)</f>
        <v>0</v>
      </c>
      <c r="BK542" s="462">
        <f>IF(OR(AND(AT542&lt;&gt;0,AJ542&lt;&gt;"PF",AN542&lt;&gt;"NE",AG542&lt;&gt;"A"),AND(AL542="E",OR(AT542=1,AT542=3))),Sick*W542,0)</f>
        <v>0</v>
      </c>
      <c r="BL542" s="462">
        <f t="shared" si="141"/>
        <v>0</v>
      </c>
      <c r="BM542" s="462">
        <f t="shared" si="142"/>
        <v>0</v>
      </c>
      <c r="BN542" s="462">
        <f>IF(AND(AT542=1,AK542="E",AU542&gt;=0.75,AW542=1),HealthBY,IF(AND(AT542=1,AK542="E",AU542&gt;=0.75),HealthBY*P542,IF(AND(AT542=1,AK542="E",AU542&gt;=0.5,AW542=1),PTHealthBY,IF(AND(AT542=1,AK542="E",AU542&gt;=0.5),PTHealthBY*P542,0))))</f>
        <v>0</v>
      </c>
      <c r="BO542" s="462">
        <f>IF(AND(AT542=3,AK542="E",AV542&gt;=0.75,AW542=1),HealthBY,IF(AND(AT542=3,AK542="E",AV542&gt;=0.75),HealthBY*P542,IF(AND(AT542=3,AK542="E",AV542&gt;=0.5,AW542=1),PTHealthBY,IF(AND(AT542=3,AK542="E",AV542&gt;=0.5),PTHealthBY*P542,0))))</f>
        <v>0</v>
      </c>
      <c r="BP542" s="462">
        <f>IF(AND(AT542&lt;&gt;0,(AX542+BA542)&gt;=MAXSSDIBY),SSDIBY*MAXSSDIBY*P542,IF(AT542&lt;&gt;0,SSDIBY*W542,0))</f>
        <v>0</v>
      </c>
      <c r="BQ542" s="462">
        <f>IF(AT542&lt;&gt;0,SSHIBY*W542,0)</f>
        <v>0</v>
      </c>
      <c r="BR542" s="462">
        <f>IF(AND(AT542&lt;&gt;0,AN542&lt;&gt;"NE"),VLOOKUP(AN542,Retirement_Rates,4,FALSE)*W542,0)</f>
        <v>0</v>
      </c>
      <c r="BS542" s="462">
        <f>IF(AND(AT542&lt;&gt;0,AJ542&lt;&gt;"PF"),LifeBY*W542,0)</f>
        <v>0</v>
      </c>
      <c r="BT542" s="462">
        <f>IF(AND(AT542&lt;&gt;0,AM542="Y"),UIBY*W542,0)</f>
        <v>0</v>
      </c>
      <c r="BU542" s="462">
        <f>IF(AND(AT542&lt;&gt;0,N542&lt;&gt;"NR"),DHRBY*W542,0)</f>
        <v>0</v>
      </c>
      <c r="BV542" s="462">
        <f>IF(AT542&lt;&gt;0,WCBY*W542,0)</f>
        <v>0</v>
      </c>
      <c r="BW542" s="462">
        <f>IF(OR(AND(AT542&lt;&gt;0,AJ542&lt;&gt;"PF",AN542&lt;&gt;"NE",AG542&lt;&gt;"A"),AND(AL542="E",OR(AT542=1,AT542=3))),SickBY*W542,0)</f>
        <v>0</v>
      </c>
      <c r="BX542" s="462">
        <f t="shared" si="143"/>
        <v>0</v>
      </c>
      <c r="BY542" s="462">
        <f t="shared" si="144"/>
        <v>0</v>
      </c>
      <c r="BZ542" s="462">
        <f t="shared" si="145"/>
        <v>0</v>
      </c>
      <c r="CA542" s="462">
        <f t="shared" si="146"/>
        <v>0</v>
      </c>
      <c r="CB542" s="462">
        <f t="shared" si="147"/>
        <v>0</v>
      </c>
      <c r="CC542" s="462">
        <f>IF(AT542&lt;&gt;0,SSHICHG*Y542,0)</f>
        <v>0</v>
      </c>
      <c r="CD542" s="462">
        <f>IF(AND(AT542&lt;&gt;0,AN542&lt;&gt;"NE"),VLOOKUP(AN542,Retirement_Rates,5,FALSE)*Y542,0)</f>
        <v>0</v>
      </c>
      <c r="CE542" s="462">
        <f>IF(AND(AT542&lt;&gt;0,AJ542&lt;&gt;"PF"),LifeCHG*Y542,0)</f>
        <v>0</v>
      </c>
      <c r="CF542" s="462">
        <f>IF(AND(AT542&lt;&gt;0,AM542="Y"),UICHG*Y542,0)</f>
        <v>0</v>
      </c>
      <c r="CG542" s="462">
        <f>IF(AND(AT542&lt;&gt;0,N542&lt;&gt;"NR"),DHRCHG*Y542,0)</f>
        <v>0</v>
      </c>
      <c r="CH542" s="462">
        <f>IF(AT542&lt;&gt;0,WCCHG*Y542,0)</f>
        <v>0</v>
      </c>
      <c r="CI542" s="462">
        <f>IF(OR(AND(AT542&lt;&gt;0,AJ542&lt;&gt;"PF",AN542&lt;&gt;"NE",AG542&lt;&gt;"A"),AND(AL542="E",OR(AT542=1,AT542=3))),SickCHG*Y542,0)</f>
        <v>0</v>
      </c>
      <c r="CJ542" s="462">
        <f t="shared" si="148"/>
        <v>0</v>
      </c>
      <c r="CK542" s="462" t="str">
        <f t="shared" si="149"/>
        <v/>
      </c>
      <c r="CL542" s="462">
        <f t="shared" si="150"/>
        <v>0</v>
      </c>
      <c r="CM542" s="462">
        <f t="shared" si="151"/>
        <v>0</v>
      </c>
      <c r="CN542" s="462" t="str">
        <f t="shared" si="152"/>
        <v>0486-00</v>
      </c>
    </row>
    <row r="543" spans="1:92" ht="15" thickBot="1" x14ac:dyDescent="0.35">
      <c r="A543" s="376" t="s">
        <v>161</v>
      </c>
      <c r="B543" s="376" t="s">
        <v>162</v>
      </c>
      <c r="C543" s="376" t="s">
        <v>1227</v>
      </c>
      <c r="D543" s="376" t="s">
        <v>1163</v>
      </c>
      <c r="E543" s="376" t="s">
        <v>1140</v>
      </c>
      <c r="F543" s="377" t="s">
        <v>166</v>
      </c>
      <c r="G543" s="376" t="s">
        <v>1141</v>
      </c>
      <c r="H543" s="378"/>
      <c r="I543" s="378"/>
      <c r="J543" s="376" t="s">
        <v>168</v>
      </c>
      <c r="K543" s="376" t="s">
        <v>1164</v>
      </c>
      <c r="L543" s="376" t="s">
        <v>166</v>
      </c>
      <c r="M543" s="376" t="s">
        <v>201</v>
      </c>
      <c r="N543" s="376" t="s">
        <v>291</v>
      </c>
      <c r="O543" s="379">
        <v>0</v>
      </c>
      <c r="P543" s="460">
        <v>1</v>
      </c>
      <c r="Q543" s="460">
        <v>0</v>
      </c>
      <c r="R543" s="380">
        <v>0</v>
      </c>
      <c r="S543" s="460">
        <v>0</v>
      </c>
      <c r="T543" s="380">
        <v>0</v>
      </c>
      <c r="U543" s="380">
        <v>0</v>
      </c>
      <c r="V543" s="380">
        <v>0</v>
      </c>
      <c r="W543" s="380">
        <v>0</v>
      </c>
      <c r="X543" s="380">
        <v>0</v>
      </c>
      <c r="Y543" s="380">
        <v>0</v>
      </c>
      <c r="Z543" s="380">
        <v>0</v>
      </c>
      <c r="AA543" s="378"/>
      <c r="AB543" s="376" t="s">
        <v>45</v>
      </c>
      <c r="AC543" s="376" t="s">
        <v>45</v>
      </c>
      <c r="AD543" s="378"/>
      <c r="AE543" s="378"/>
      <c r="AF543" s="378"/>
      <c r="AG543" s="378"/>
      <c r="AH543" s="379">
        <v>0</v>
      </c>
      <c r="AI543" s="379">
        <v>0</v>
      </c>
      <c r="AJ543" s="378"/>
      <c r="AK543" s="378"/>
      <c r="AL543" s="376" t="s">
        <v>180</v>
      </c>
      <c r="AM543" s="378"/>
      <c r="AN543" s="378"/>
      <c r="AO543" s="379">
        <v>0</v>
      </c>
      <c r="AP543" s="460">
        <v>0</v>
      </c>
      <c r="AQ543" s="460">
        <v>0</v>
      </c>
      <c r="AR543" s="459"/>
      <c r="AS543" s="462">
        <f t="shared" si="136"/>
        <v>0</v>
      </c>
      <c r="AT543">
        <f t="shared" si="137"/>
        <v>0</v>
      </c>
      <c r="AU543" s="462" t="str">
        <f>IF(AT543=0,"",IF(AND(AT543=1,M543="F",SUMIF(C2:C698,C543,AS2:AS698)&lt;=1),SUMIF(C2:C698,C543,AS2:AS698),IF(AND(AT543=1,M543="F",SUMIF(C2:C698,C543,AS2:AS698)&gt;1),1,"")))</f>
        <v/>
      </c>
      <c r="AV543" s="462" t="str">
        <f>IF(AT543=0,"",IF(AND(AT543=3,M543="F",SUMIF(C2:C698,C543,AS2:AS698)&lt;=1),SUMIF(C2:C698,C543,AS2:AS698),IF(AND(AT543=3,M543="F",SUMIF(C2:C698,C543,AS2:AS698)&gt;1),1,"")))</f>
        <v/>
      </c>
      <c r="AW543" s="462">
        <f>SUMIF(C2:C698,C543,O2:O698)</f>
        <v>0</v>
      </c>
      <c r="AX543" s="462">
        <f>IF(AND(M543="F",AS543&lt;&gt;0),SUMIF(C2:C698,C543,W2:W698),0)</f>
        <v>0</v>
      </c>
      <c r="AY543" s="462" t="str">
        <f t="shared" si="138"/>
        <v/>
      </c>
      <c r="AZ543" s="462" t="str">
        <f t="shared" si="139"/>
        <v/>
      </c>
      <c r="BA543" s="462">
        <f t="shared" si="140"/>
        <v>0</v>
      </c>
      <c r="BB543" s="462">
        <f>IF(AND(AT543=1,AK543="E",AU543&gt;=0.75,AW543=1),Health,IF(AND(AT543=1,AK543="E",AU543&gt;=0.75),Health*P543,IF(AND(AT543=1,AK543="E",AU543&gt;=0.5,AW543=1),PTHealth,IF(AND(AT543=1,AK543="E",AU543&gt;=0.5),PTHealth*P543,0))))</f>
        <v>0</v>
      </c>
      <c r="BC543" s="462">
        <f>IF(AND(AT543=3,AK543="E",AV543&gt;=0.75,AW543=1),Health,IF(AND(AT543=3,AK543="E",AV543&gt;=0.75),Health*P543,IF(AND(AT543=3,AK543="E",AV543&gt;=0.5,AW543=1),PTHealth,IF(AND(AT543=3,AK543="E",AV543&gt;=0.5),PTHealth*P543,0))))</f>
        <v>0</v>
      </c>
      <c r="BD543" s="462">
        <f>IF(AND(AT543&lt;&gt;0,AX543&gt;=MAXSSDI),SSDI*MAXSSDI*P543,IF(AT543&lt;&gt;0,SSDI*W543,0))</f>
        <v>0</v>
      </c>
      <c r="BE543" s="462">
        <f>IF(AT543&lt;&gt;0,SSHI*W543,0)</f>
        <v>0</v>
      </c>
      <c r="BF543" s="462">
        <f>IF(AND(AT543&lt;&gt;0,AN543&lt;&gt;"NE"),VLOOKUP(AN543,Retirement_Rates,3,FALSE)*W543,0)</f>
        <v>0</v>
      </c>
      <c r="BG543" s="462">
        <f>IF(AND(AT543&lt;&gt;0,AJ543&lt;&gt;"PF"),Life*W543,0)</f>
        <v>0</v>
      </c>
      <c r="BH543" s="462">
        <f>IF(AND(AT543&lt;&gt;0,AM543="Y"),UI*W543,0)</f>
        <v>0</v>
      </c>
      <c r="BI543" s="462">
        <f>IF(AND(AT543&lt;&gt;0,N543&lt;&gt;"NR"),DHR*W543,0)</f>
        <v>0</v>
      </c>
      <c r="BJ543" s="462">
        <f>IF(AT543&lt;&gt;0,WC*W543,0)</f>
        <v>0</v>
      </c>
      <c r="BK543" s="462">
        <f>IF(OR(AND(AT543&lt;&gt;0,AJ543&lt;&gt;"PF",AN543&lt;&gt;"NE",AG543&lt;&gt;"A"),AND(AL543="E",OR(AT543=1,AT543=3))),Sick*W543,0)</f>
        <v>0</v>
      </c>
      <c r="BL543" s="462">
        <f t="shared" si="141"/>
        <v>0</v>
      </c>
      <c r="BM543" s="462">
        <f t="shared" si="142"/>
        <v>0</v>
      </c>
      <c r="BN543" s="462">
        <f>IF(AND(AT543=1,AK543="E",AU543&gt;=0.75,AW543=1),HealthBY,IF(AND(AT543=1,AK543="E",AU543&gt;=0.75),HealthBY*P543,IF(AND(AT543=1,AK543="E",AU543&gt;=0.5,AW543=1),PTHealthBY,IF(AND(AT543=1,AK543="E",AU543&gt;=0.5),PTHealthBY*P543,0))))</f>
        <v>0</v>
      </c>
      <c r="BO543" s="462">
        <f>IF(AND(AT543=3,AK543="E",AV543&gt;=0.75,AW543=1),HealthBY,IF(AND(AT543=3,AK543="E",AV543&gt;=0.75),HealthBY*P543,IF(AND(AT543=3,AK543="E",AV543&gt;=0.5,AW543=1),PTHealthBY,IF(AND(AT543=3,AK543="E",AV543&gt;=0.5),PTHealthBY*P543,0))))</f>
        <v>0</v>
      </c>
      <c r="BP543" s="462">
        <f>IF(AND(AT543&lt;&gt;0,(AX543+BA543)&gt;=MAXSSDIBY),SSDIBY*MAXSSDIBY*P543,IF(AT543&lt;&gt;0,SSDIBY*W543,0))</f>
        <v>0</v>
      </c>
      <c r="BQ543" s="462">
        <f>IF(AT543&lt;&gt;0,SSHIBY*W543,0)</f>
        <v>0</v>
      </c>
      <c r="BR543" s="462">
        <f>IF(AND(AT543&lt;&gt;0,AN543&lt;&gt;"NE"),VLOOKUP(AN543,Retirement_Rates,4,FALSE)*W543,0)</f>
        <v>0</v>
      </c>
      <c r="BS543" s="462">
        <f>IF(AND(AT543&lt;&gt;0,AJ543&lt;&gt;"PF"),LifeBY*W543,0)</f>
        <v>0</v>
      </c>
      <c r="BT543" s="462">
        <f>IF(AND(AT543&lt;&gt;0,AM543="Y"),UIBY*W543,0)</f>
        <v>0</v>
      </c>
      <c r="BU543" s="462">
        <f>IF(AND(AT543&lt;&gt;0,N543&lt;&gt;"NR"),DHRBY*W543,0)</f>
        <v>0</v>
      </c>
      <c r="BV543" s="462">
        <f>IF(AT543&lt;&gt;0,WCBY*W543,0)</f>
        <v>0</v>
      </c>
      <c r="BW543" s="462">
        <f>IF(OR(AND(AT543&lt;&gt;0,AJ543&lt;&gt;"PF",AN543&lt;&gt;"NE",AG543&lt;&gt;"A"),AND(AL543="E",OR(AT543=1,AT543=3))),SickBY*W543,0)</f>
        <v>0</v>
      </c>
      <c r="BX543" s="462">
        <f t="shared" si="143"/>
        <v>0</v>
      </c>
      <c r="BY543" s="462">
        <f t="shared" si="144"/>
        <v>0</v>
      </c>
      <c r="BZ543" s="462">
        <f t="shared" si="145"/>
        <v>0</v>
      </c>
      <c r="CA543" s="462">
        <f t="shared" si="146"/>
        <v>0</v>
      </c>
      <c r="CB543" s="462">
        <f t="shared" si="147"/>
        <v>0</v>
      </c>
      <c r="CC543" s="462">
        <f>IF(AT543&lt;&gt;0,SSHICHG*Y543,0)</f>
        <v>0</v>
      </c>
      <c r="CD543" s="462">
        <f>IF(AND(AT543&lt;&gt;0,AN543&lt;&gt;"NE"),VLOOKUP(AN543,Retirement_Rates,5,FALSE)*Y543,0)</f>
        <v>0</v>
      </c>
      <c r="CE543" s="462">
        <f>IF(AND(AT543&lt;&gt;0,AJ543&lt;&gt;"PF"),LifeCHG*Y543,0)</f>
        <v>0</v>
      </c>
      <c r="CF543" s="462">
        <f>IF(AND(AT543&lt;&gt;0,AM543="Y"),UICHG*Y543,0)</f>
        <v>0</v>
      </c>
      <c r="CG543" s="462">
        <f>IF(AND(AT543&lt;&gt;0,N543&lt;&gt;"NR"),DHRCHG*Y543,0)</f>
        <v>0</v>
      </c>
      <c r="CH543" s="462">
        <f>IF(AT543&lt;&gt;0,WCCHG*Y543,0)</f>
        <v>0</v>
      </c>
      <c r="CI543" s="462">
        <f>IF(OR(AND(AT543&lt;&gt;0,AJ543&lt;&gt;"PF",AN543&lt;&gt;"NE",AG543&lt;&gt;"A"),AND(AL543="E",OR(AT543=1,AT543=3))),SickCHG*Y543,0)</f>
        <v>0</v>
      </c>
      <c r="CJ543" s="462">
        <f t="shared" si="148"/>
        <v>0</v>
      </c>
      <c r="CK543" s="462" t="str">
        <f t="shared" si="149"/>
        <v/>
      </c>
      <c r="CL543" s="462">
        <f t="shared" si="150"/>
        <v>0</v>
      </c>
      <c r="CM543" s="462">
        <f t="shared" si="151"/>
        <v>0</v>
      </c>
      <c r="CN543" s="462" t="str">
        <f t="shared" si="152"/>
        <v>0486-00</v>
      </c>
    </row>
    <row r="544" spans="1:92" ht="15" thickBot="1" x14ac:dyDescent="0.35">
      <c r="A544" s="376" t="s">
        <v>161</v>
      </c>
      <c r="B544" s="376" t="s">
        <v>162</v>
      </c>
      <c r="C544" s="376" t="s">
        <v>1228</v>
      </c>
      <c r="D544" s="376" t="s">
        <v>1169</v>
      </c>
      <c r="E544" s="376" t="s">
        <v>1140</v>
      </c>
      <c r="F544" s="377" t="s">
        <v>166</v>
      </c>
      <c r="G544" s="376" t="s">
        <v>1141</v>
      </c>
      <c r="H544" s="378"/>
      <c r="I544" s="378"/>
      <c r="J544" s="376" t="s">
        <v>168</v>
      </c>
      <c r="K544" s="376" t="s">
        <v>1170</v>
      </c>
      <c r="L544" s="376" t="s">
        <v>166</v>
      </c>
      <c r="M544" s="376" t="s">
        <v>201</v>
      </c>
      <c r="N544" s="376" t="s">
        <v>291</v>
      </c>
      <c r="O544" s="379">
        <v>0</v>
      </c>
      <c r="P544" s="460">
        <v>1</v>
      </c>
      <c r="Q544" s="460">
        <v>0</v>
      </c>
      <c r="R544" s="380">
        <v>0</v>
      </c>
      <c r="S544" s="460">
        <v>0</v>
      </c>
      <c r="T544" s="380">
        <v>0</v>
      </c>
      <c r="U544" s="380">
        <v>0</v>
      </c>
      <c r="V544" s="380">
        <v>0</v>
      </c>
      <c r="W544" s="380">
        <v>0</v>
      </c>
      <c r="X544" s="380">
        <v>0</v>
      </c>
      <c r="Y544" s="380">
        <v>0</v>
      </c>
      <c r="Z544" s="380">
        <v>0</v>
      </c>
      <c r="AA544" s="378"/>
      <c r="AB544" s="376" t="s">
        <v>45</v>
      </c>
      <c r="AC544" s="376" t="s">
        <v>45</v>
      </c>
      <c r="AD544" s="378"/>
      <c r="AE544" s="378"/>
      <c r="AF544" s="378"/>
      <c r="AG544" s="378"/>
      <c r="AH544" s="379">
        <v>0</v>
      </c>
      <c r="AI544" s="379">
        <v>0</v>
      </c>
      <c r="AJ544" s="378"/>
      <c r="AK544" s="378"/>
      <c r="AL544" s="376" t="s">
        <v>180</v>
      </c>
      <c r="AM544" s="378"/>
      <c r="AN544" s="378"/>
      <c r="AO544" s="379">
        <v>0</v>
      </c>
      <c r="AP544" s="460">
        <v>0</v>
      </c>
      <c r="AQ544" s="460">
        <v>0</v>
      </c>
      <c r="AR544" s="459"/>
      <c r="AS544" s="462">
        <f t="shared" si="136"/>
        <v>0</v>
      </c>
      <c r="AT544">
        <f t="shared" si="137"/>
        <v>0</v>
      </c>
      <c r="AU544" s="462" t="str">
        <f>IF(AT544=0,"",IF(AND(AT544=1,M544="F",SUMIF(C2:C698,C544,AS2:AS698)&lt;=1),SUMIF(C2:C698,C544,AS2:AS698),IF(AND(AT544=1,M544="F",SUMIF(C2:C698,C544,AS2:AS698)&gt;1),1,"")))</f>
        <v/>
      </c>
      <c r="AV544" s="462" t="str">
        <f>IF(AT544=0,"",IF(AND(AT544=3,M544="F",SUMIF(C2:C698,C544,AS2:AS698)&lt;=1),SUMIF(C2:C698,C544,AS2:AS698),IF(AND(AT544=3,M544="F",SUMIF(C2:C698,C544,AS2:AS698)&gt;1),1,"")))</f>
        <v/>
      </c>
      <c r="AW544" s="462">
        <f>SUMIF(C2:C698,C544,O2:O698)</f>
        <v>0</v>
      </c>
      <c r="AX544" s="462">
        <f>IF(AND(M544="F",AS544&lt;&gt;0),SUMIF(C2:C698,C544,W2:W698),0)</f>
        <v>0</v>
      </c>
      <c r="AY544" s="462" t="str">
        <f t="shared" si="138"/>
        <v/>
      </c>
      <c r="AZ544" s="462" t="str">
        <f t="shared" si="139"/>
        <v/>
      </c>
      <c r="BA544" s="462">
        <f t="shared" si="140"/>
        <v>0</v>
      </c>
      <c r="BB544" s="462">
        <f>IF(AND(AT544=1,AK544="E",AU544&gt;=0.75,AW544=1),Health,IF(AND(AT544=1,AK544="E",AU544&gt;=0.75),Health*P544,IF(AND(AT544=1,AK544="E",AU544&gt;=0.5,AW544=1),PTHealth,IF(AND(AT544=1,AK544="E",AU544&gt;=0.5),PTHealth*P544,0))))</f>
        <v>0</v>
      </c>
      <c r="BC544" s="462">
        <f>IF(AND(AT544=3,AK544="E",AV544&gt;=0.75,AW544=1),Health,IF(AND(AT544=3,AK544="E",AV544&gt;=0.75),Health*P544,IF(AND(AT544=3,AK544="E",AV544&gt;=0.5,AW544=1),PTHealth,IF(AND(AT544=3,AK544="E",AV544&gt;=0.5),PTHealth*P544,0))))</f>
        <v>0</v>
      </c>
      <c r="BD544" s="462">
        <f>IF(AND(AT544&lt;&gt;0,AX544&gt;=MAXSSDI),SSDI*MAXSSDI*P544,IF(AT544&lt;&gt;0,SSDI*W544,0))</f>
        <v>0</v>
      </c>
      <c r="BE544" s="462">
        <f>IF(AT544&lt;&gt;0,SSHI*W544,0)</f>
        <v>0</v>
      </c>
      <c r="BF544" s="462">
        <f>IF(AND(AT544&lt;&gt;0,AN544&lt;&gt;"NE"),VLOOKUP(AN544,Retirement_Rates,3,FALSE)*W544,0)</f>
        <v>0</v>
      </c>
      <c r="BG544" s="462">
        <f>IF(AND(AT544&lt;&gt;0,AJ544&lt;&gt;"PF"),Life*W544,0)</f>
        <v>0</v>
      </c>
      <c r="BH544" s="462">
        <f>IF(AND(AT544&lt;&gt;0,AM544="Y"),UI*W544,0)</f>
        <v>0</v>
      </c>
      <c r="BI544" s="462">
        <f>IF(AND(AT544&lt;&gt;0,N544&lt;&gt;"NR"),DHR*W544,0)</f>
        <v>0</v>
      </c>
      <c r="BJ544" s="462">
        <f>IF(AT544&lt;&gt;0,WC*W544,0)</f>
        <v>0</v>
      </c>
      <c r="BK544" s="462">
        <f>IF(OR(AND(AT544&lt;&gt;0,AJ544&lt;&gt;"PF",AN544&lt;&gt;"NE",AG544&lt;&gt;"A"),AND(AL544="E",OR(AT544=1,AT544=3))),Sick*W544,0)</f>
        <v>0</v>
      </c>
      <c r="BL544" s="462">
        <f t="shared" si="141"/>
        <v>0</v>
      </c>
      <c r="BM544" s="462">
        <f t="shared" si="142"/>
        <v>0</v>
      </c>
      <c r="BN544" s="462">
        <f>IF(AND(AT544=1,AK544="E",AU544&gt;=0.75,AW544=1),HealthBY,IF(AND(AT544=1,AK544="E",AU544&gt;=0.75),HealthBY*P544,IF(AND(AT544=1,AK544="E",AU544&gt;=0.5,AW544=1),PTHealthBY,IF(AND(AT544=1,AK544="E",AU544&gt;=0.5),PTHealthBY*P544,0))))</f>
        <v>0</v>
      </c>
      <c r="BO544" s="462">
        <f>IF(AND(AT544=3,AK544="E",AV544&gt;=0.75,AW544=1),HealthBY,IF(AND(AT544=3,AK544="E",AV544&gt;=0.75),HealthBY*P544,IF(AND(AT544=3,AK544="E",AV544&gt;=0.5,AW544=1),PTHealthBY,IF(AND(AT544=3,AK544="E",AV544&gt;=0.5),PTHealthBY*P544,0))))</f>
        <v>0</v>
      </c>
      <c r="BP544" s="462">
        <f>IF(AND(AT544&lt;&gt;0,(AX544+BA544)&gt;=MAXSSDIBY),SSDIBY*MAXSSDIBY*P544,IF(AT544&lt;&gt;0,SSDIBY*W544,0))</f>
        <v>0</v>
      </c>
      <c r="BQ544" s="462">
        <f>IF(AT544&lt;&gt;0,SSHIBY*W544,0)</f>
        <v>0</v>
      </c>
      <c r="BR544" s="462">
        <f>IF(AND(AT544&lt;&gt;0,AN544&lt;&gt;"NE"),VLOOKUP(AN544,Retirement_Rates,4,FALSE)*W544,0)</f>
        <v>0</v>
      </c>
      <c r="BS544" s="462">
        <f>IF(AND(AT544&lt;&gt;0,AJ544&lt;&gt;"PF"),LifeBY*W544,0)</f>
        <v>0</v>
      </c>
      <c r="BT544" s="462">
        <f>IF(AND(AT544&lt;&gt;0,AM544="Y"),UIBY*W544,0)</f>
        <v>0</v>
      </c>
      <c r="BU544" s="462">
        <f>IF(AND(AT544&lt;&gt;0,N544&lt;&gt;"NR"),DHRBY*W544,0)</f>
        <v>0</v>
      </c>
      <c r="BV544" s="462">
        <f>IF(AT544&lt;&gt;0,WCBY*W544,0)</f>
        <v>0</v>
      </c>
      <c r="BW544" s="462">
        <f>IF(OR(AND(AT544&lt;&gt;0,AJ544&lt;&gt;"PF",AN544&lt;&gt;"NE",AG544&lt;&gt;"A"),AND(AL544="E",OR(AT544=1,AT544=3))),SickBY*W544,0)</f>
        <v>0</v>
      </c>
      <c r="BX544" s="462">
        <f t="shared" si="143"/>
        <v>0</v>
      </c>
      <c r="BY544" s="462">
        <f t="shared" si="144"/>
        <v>0</v>
      </c>
      <c r="BZ544" s="462">
        <f t="shared" si="145"/>
        <v>0</v>
      </c>
      <c r="CA544" s="462">
        <f t="shared" si="146"/>
        <v>0</v>
      </c>
      <c r="CB544" s="462">
        <f t="shared" si="147"/>
        <v>0</v>
      </c>
      <c r="CC544" s="462">
        <f>IF(AT544&lt;&gt;0,SSHICHG*Y544,0)</f>
        <v>0</v>
      </c>
      <c r="CD544" s="462">
        <f>IF(AND(AT544&lt;&gt;0,AN544&lt;&gt;"NE"),VLOOKUP(AN544,Retirement_Rates,5,FALSE)*Y544,0)</f>
        <v>0</v>
      </c>
      <c r="CE544" s="462">
        <f>IF(AND(AT544&lt;&gt;0,AJ544&lt;&gt;"PF"),LifeCHG*Y544,0)</f>
        <v>0</v>
      </c>
      <c r="CF544" s="462">
        <f>IF(AND(AT544&lt;&gt;0,AM544="Y"),UICHG*Y544,0)</f>
        <v>0</v>
      </c>
      <c r="CG544" s="462">
        <f>IF(AND(AT544&lt;&gt;0,N544&lt;&gt;"NR"),DHRCHG*Y544,0)</f>
        <v>0</v>
      </c>
      <c r="CH544" s="462">
        <f>IF(AT544&lt;&gt;0,WCCHG*Y544,0)</f>
        <v>0</v>
      </c>
      <c r="CI544" s="462">
        <f>IF(OR(AND(AT544&lt;&gt;0,AJ544&lt;&gt;"PF",AN544&lt;&gt;"NE",AG544&lt;&gt;"A"),AND(AL544="E",OR(AT544=1,AT544=3))),SickCHG*Y544,0)</f>
        <v>0</v>
      </c>
      <c r="CJ544" s="462">
        <f t="shared" si="148"/>
        <v>0</v>
      </c>
      <c r="CK544" s="462" t="str">
        <f t="shared" si="149"/>
        <v/>
      </c>
      <c r="CL544" s="462">
        <f t="shared" si="150"/>
        <v>0</v>
      </c>
      <c r="CM544" s="462">
        <f t="shared" si="151"/>
        <v>0</v>
      </c>
      <c r="CN544" s="462" t="str">
        <f t="shared" si="152"/>
        <v>0486-00</v>
      </c>
    </row>
    <row r="545" spans="1:92" ht="15" thickBot="1" x14ac:dyDescent="0.35">
      <c r="A545" s="376" t="s">
        <v>161</v>
      </c>
      <c r="B545" s="376" t="s">
        <v>162</v>
      </c>
      <c r="C545" s="376" t="s">
        <v>1229</v>
      </c>
      <c r="D545" s="376" t="s">
        <v>1189</v>
      </c>
      <c r="E545" s="376" t="s">
        <v>1140</v>
      </c>
      <c r="F545" s="377" t="s">
        <v>166</v>
      </c>
      <c r="G545" s="376" t="s">
        <v>1141</v>
      </c>
      <c r="H545" s="378"/>
      <c r="I545" s="378"/>
      <c r="J545" s="376" t="s">
        <v>168</v>
      </c>
      <c r="K545" s="376" t="s">
        <v>1190</v>
      </c>
      <c r="L545" s="376" t="s">
        <v>166</v>
      </c>
      <c r="M545" s="376" t="s">
        <v>201</v>
      </c>
      <c r="N545" s="376" t="s">
        <v>291</v>
      </c>
      <c r="O545" s="379">
        <v>0</v>
      </c>
      <c r="P545" s="460">
        <v>1</v>
      </c>
      <c r="Q545" s="460">
        <v>0</v>
      </c>
      <c r="R545" s="380">
        <v>0</v>
      </c>
      <c r="S545" s="460">
        <v>0</v>
      </c>
      <c r="T545" s="380">
        <v>0</v>
      </c>
      <c r="U545" s="380">
        <v>0</v>
      </c>
      <c r="V545" s="380">
        <v>0</v>
      </c>
      <c r="W545" s="380">
        <v>0</v>
      </c>
      <c r="X545" s="380">
        <v>0</v>
      </c>
      <c r="Y545" s="380">
        <v>0</v>
      </c>
      <c r="Z545" s="380">
        <v>0</v>
      </c>
      <c r="AA545" s="378"/>
      <c r="AB545" s="376" t="s">
        <v>45</v>
      </c>
      <c r="AC545" s="376" t="s">
        <v>45</v>
      </c>
      <c r="AD545" s="378"/>
      <c r="AE545" s="378"/>
      <c r="AF545" s="378"/>
      <c r="AG545" s="378"/>
      <c r="AH545" s="379">
        <v>0</v>
      </c>
      <c r="AI545" s="379">
        <v>0</v>
      </c>
      <c r="AJ545" s="378"/>
      <c r="AK545" s="378"/>
      <c r="AL545" s="376" t="s">
        <v>180</v>
      </c>
      <c r="AM545" s="378"/>
      <c r="AN545" s="378"/>
      <c r="AO545" s="379">
        <v>0</v>
      </c>
      <c r="AP545" s="460">
        <v>0</v>
      </c>
      <c r="AQ545" s="460">
        <v>0</v>
      </c>
      <c r="AR545" s="459"/>
      <c r="AS545" s="462">
        <f t="shared" si="136"/>
        <v>0</v>
      </c>
      <c r="AT545">
        <f t="shared" si="137"/>
        <v>0</v>
      </c>
      <c r="AU545" s="462" t="str">
        <f>IF(AT545=0,"",IF(AND(AT545=1,M545="F",SUMIF(C2:C698,C545,AS2:AS698)&lt;=1),SUMIF(C2:C698,C545,AS2:AS698),IF(AND(AT545=1,M545="F",SUMIF(C2:C698,C545,AS2:AS698)&gt;1),1,"")))</f>
        <v/>
      </c>
      <c r="AV545" s="462" t="str">
        <f>IF(AT545=0,"",IF(AND(AT545=3,M545="F",SUMIF(C2:C698,C545,AS2:AS698)&lt;=1),SUMIF(C2:C698,C545,AS2:AS698),IF(AND(AT545=3,M545="F",SUMIF(C2:C698,C545,AS2:AS698)&gt;1),1,"")))</f>
        <v/>
      </c>
      <c r="AW545" s="462">
        <f>SUMIF(C2:C698,C545,O2:O698)</f>
        <v>0</v>
      </c>
      <c r="AX545" s="462">
        <f>IF(AND(M545="F",AS545&lt;&gt;0),SUMIF(C2:C698,C545,W2:W698),0)</f>
        <v>0</v>
      </c>
      <c r="AY545" s="462" t="str">
        <f t="shared" si="138"/>
        <v/>
      </c>
      <c r="AZ545" s="462" t="str">
        <f t="shared" si="139"/>
        <v/>
      </c>
      <c r="BA545" s="462">
        <f t="shared" si="140"/>
        <v>0</v>
      </c>
      <c r="BB545" s="462">
        <f>IF(AND(AT545=1,AK545="E",AU545&gt;=0.75,AW545=1),Health,IF(AND(AT545=1,AK545="E",AU545&gt;=0.75),Health*P545,IF(AND(AT545=1,AK545="E",AU545&gt;=0.5,AW545=1),PTHealth,IF(AND(AT545=1,AK545="E",AU545&gt;=0.5),PTHealth*P545,0))))</f>
        <v>0</v>
      </c>
      <c r="BC545" s="462">
        <f>IF(AND(AT545=3,AK545="E",AV545&gt;=0.75,AW545=1),Health,IF(AND(AT545=3,AK545="E",AV545&gt;=0.75),Health*P545,IF(AND(AT545=3,AK545="E",AV545&gt;=0.5,AW545=1),PTHealth,IF(AND(AT545=3,AK545="E",AV545&gt;=0.5),PTHealth*P545,0))))</f>
        <v>0</v>
      </c>
      <c r="BD545" s="462">
        <f>IF(AND(AT545&lt;&gt;0,AX545&gt;=MAXSSDI),SSDI*MAXSSDI*P545,IF(AT545&lt;&gt;0,SSDI*W545,0))</f>
        <v>0</v>
      </c>
      <c r="BE545" s="462">
        <f>IF(AT545&lt;&gt;0,SSHI*W545,0)</f>
        <v>0</v>
      </c>
      <c r="BF545" s="462">
        <f>IF(AND(AT545&lt;&gt;0,AN545&lt;&gt;"NE"),VLOOKUP(AN545,Retirement_Rates,3,FALSE)*W545,0)</f>
        <v>0</v>
      </c>
      <c r="BG545" s="462">
        <f>IF(AND(AT545&lt;&gt;0,AJ545&lt;&gt;"PF"),Life*W545,0)</f>
        <v>0</v>
      </c>
      <c r="BH545" s="462">
        <f>IF(AND(AT545&lt;&gt;0,AM545="Y"),UI*W545,0)</f>
        <v>0</v>
      </c>
      <c r="BI545" s="462">
        <f>IF(AND(AT545&lt;&gt;0,N545&lt;&gt;"NR"),DHR*W545,0)</f>
        <v>0</v>
      </c>
      <c r="BJ545" s="462">
        <f>IF(AT545&lt;&gt;0,WC*W545,0)</f>
        <v>0</v>
      </c>
      <c r="BK545" s="462">
        <f>IF(OR(AND(AT545&lt;&gt;0,AJ545&lt;&gt;"PF",AN545&lt;&gt;"NE",AG545&lt;&gt;"A"),AND(AL545="E",OR(AT545=1,AT545=3))),Sick*W545,0)</f>
        <v>0</v>
      </c>
      <c r="BL545" s="462">
        <f t="shared" si="141"/>
        <v>0</v>
      </c>
      <c r="BM545" s="462">
        <f t="shared" si="142"/>
        <v>0</v>
      </c>
      <c r="BN545" s="462">
        <f>IF(AND(AT545=1,AK545="E",AU545&gt;=0.75,AW545=1),HealthBY,IF(AND(AT545=1,AK545="E",AU545&gt;=0.75),HealthBY*P545,IF(AND(AT545=1,AK545="E",AU545&gt;=0.5,AW545=1),PTHealthBY,IF(AND(AT545=1,AK545="E",AU545&gt;=0.5),PTHealthBY*P545,0))))</f>
        <v>0</v>
      </c>
      <c r="BO545" s="462">
        <f>IF(AND(AT545=3,AK545="E",AV545&gt;=0.75,AW545=1),HealthBY,IF(AND(AT545=3,AK545="E",AV545&gt;=0.75),HealthBY*P545,IF(AND(AT545=3,AK545="E",AV545&gt;=0.5,AW545=1),PTHealthBY,IF(AND(AT545=3,AK545="E",AV545&gt;=0.5),PTHealthBY*P545,0))))</f>
        <v>0</v>
      </c>
      <c r="BP545" s="462">
        <f>IF(AND(AT545&lt;&gt;0,(AX545+BA545)&gt;=MAXSSDIBY),SSDIBY*MAXSSDIBY*P545,IF(AT545&lt;&gt;0,SSDIBY*W545,0))</f>
        <v>0</v>
      </c>
      <c r="BQ545" s="462">
        <f>IF(AT545&lt;&gt;0,SSHIBY*W545,0)</f>
        <v>0</v>
      </c>
      <c r="BR545" s="462">
        <f>IF(AND(AT545&lt;&gt;0,AN545&lt;&gt;"NE"),VLOOKUP(AN545,Retirement_Rates,4,FALSE)*W545,0)</f>
        <v>0</v>
      </c>
      <c r="BS545" s="462">
        <f>IF(AND(AT545&lt;&gt;0,AJ545&lt;&gt;"PF"),LifeBY*W545,0)</f>
        <v>0</v>
      </c>
      <c r="BT545" s="462">
        <f>IF(AND(AT545&lt;&gt;0,AM545="Y"),UIBY*W545,0)</f>
        <v>0</v>
      </c>
      <c r="BU545" s="462">
        <f>IF(AND(AT545&lt;&gt;0,N545&lt;&gt;"NR"),DHRBY*W545,0)</f>
        <v>0</v>
      </c>
      <c r="BV545" s="462">
        <f>IF(AT545&lt;&gt;0,WCBY*W545,0)</f>
        <v>0</v>
      </c>
      <c r="BW545" s="462">
        <f>IF(OR(AND(AT545&lt;&gt;0,AJ545&lt;&gt;"PF",AN545&lt;&gt;"NE",AG545&lt;&gt;"A"),AND(AL545="E",OR(AT545=1,AT545=3))),SickBY*W545,0)</f>
        <v>0</v>
      </c>
      <c r="BX545" s="462">
        <f t="shared" si="143"/>
        <v>0</v>
      </c>
      <c r="BY545" s="462">
        <f t="shared" si="144"/>
        <v>0</v>
      </c>
      <c r="BZ545" s="462">
        <f t="shared" si="145"/>
        <v>0</v>
      </c>
      <c r="CA545" s="462">
        <f t="shared" si="146"/>
        <v>0</v>
      </c>
      <c r="CB545" s="462">
        <f t="shared" si="147"/>
        <v>0</v>
      </c>
      <c r="CC545" s="462">
        <f>IF(AT545&lt;&gt;0,SSHICHG*Y545,0)</f>
        <v>0</v>
      </c>
      <c r="CD545" s="462">
        <f>IF(AND(AT545&lt;&gt;0,AN545&lt;&gt;"NE"),VLOOKUP(AN545,Retirement_Rates,5,FALSE)*Y545,0)</f>
        <v>0</v>
      </c>
      <c r="CE545" s="462">
        <f>IF(AND(AT545&lt;&gt;0,AJ545&lt;&gt;"PF"),LifeCHG*Y545,0)</f>
        <v>0</v>
      </c>
      <c r="CF545" s="462">
        <f>IF(AND(AT545&lt;&gt;0,AM545="Y"),UICHG*Y545,0)</f>
        <v>0</v>
      </c>
      <c r="CG545" s="462">
        <f>IF(AND(AT545&lt;&gt;0,N545&lt;&gt;"NR"),DHRCHG*Y545,0)</f>
        <v>0</v>
      </c>
      <c r="CH545" s="462">
        <f>IF(AT545&lt;&gt;0,WCCHG*Y545,0)</f>
        <v>0</v>
      </c>
      <c r="CI545" s="462">
        <f>IF(OR(AND(AT545&lt;&gt;0,AJ545&lt;&gt;"PF",AN545&lt;&gt;"NE",AG545&lt;&gt;"A"),AND(AL545="E",OR(AT545=1,AT545=3))),SickCHG*Y545,0)</f>
        <v>0</v>
      </c>
      <c r="CJ545" s="462">
        <f t="shared" si="148"/>
        <v>0</v>
      </c>
      <c r="CK545" s="462" t="str">
        <f t="shared" si="149"/>
        <v/>
      </c>
      <c r="CL545" s="462">
        <f t="shared" si="150"/>
        <v>0</v>
      </c>
      <c r="CM545" s="462">
        <f t="shared" si="151"/>
        <v>0</v>
      </c>
      <c r="CN545" s="462" t="str">
        <f t="shared" si="152"/>
        <v>0486-00</v>
      </c>
    </row>
    <row r="546" spans="1:92" ht="15" thickBot="1" x14ac:dyDescent="0.35">
      <c r="A546" s="376" t="s">
        <v>161</v>
      </c>
      <c r="B546" s="376" t="s">
        <v>162</v>
      </c>
      <c r="C546" s="376" t="s">
        <v>1230</v>
      </c>
      <c r="D546" s="376" t="s">
        <v>650</v>
      </c>
      <c r="E546" s="376" t="s">
        <v>1140</v>
      </c>
      <c r="F546" s="377" t="s">
        <v>166</v>
      </c>
      <c r="G546" s="376" t="s">
        <v>1141</v>
      </c>
      <c r="H546" s="378"/>
      <c r="I546" s="378"/>
      <c r="J546" s="376" t="s">
        <v>168</v>
      </c>
      <c r="K546" s="376" t="s">
        <v>652</v>
      </c>
      <c r="L546" s="376" t="s">
        <v>166</v>
      </c>
      <c r="M546" s="376" t="s">
        <v>201</v>
      </c>
      <c r="N546" s="376" t="s">
        <v>291</v>
      </c>
      <c r="O546" s="379">
        <v>0</v>
      </c>
      <c r="P546" s="460">
        <v>1</v>
      </c>
      <c r="Q546" s="460">
        <v>0</v>
      </c>
      <c r="R546" s="380">
        <v>0</v>
      </c>
      <c r="S546" s="460">
        <v>0</v>
      </c>
      <c r="T546" s="380">
        <v>61448.2</v>
      </c>
      <c r="U546" s="380">
        <v>394.67</v>
      </c>
      <c r="V546" s="380">
        <v>42283.040000000001</v>
      </c>
      <c r="W546" s="380">
        <v>61842.87</v>
      </c>
      <c r="X546" s="380">
        <v>42283.040000000001</v>
      </c>
      <c r="Y546" s="380">
        <v>61842.87</v>
      </c>
      <c r="Z546" s="380">
        <v>42283.040000000001</v>
      </c>
      <c r="AA546" s="378"/>
      <c r="AB546" s="376" t="s">
        <v>45</v>
      </c>
      <c r="AC546" s="376" t="s">
        <v>45</v>
      </c>
      <c r="AD546" s="378"/>
      <c r="AE546" s="378"/>
      <c r="AF546" s="378"/>
      <c r="AG546" s="378"/>
      <c r="AH546" s="379">
        <v>0</v>
      </c>
      <c r="AI546" s="379">
        <v>0</v>
      </c>
      <c r="AJ546" s="378"/>
      <c r="AK546" s="378"/>
      <c r="AL546" s="376" t="s">
        <v>180</v>
      </c>
      <c r="AM546" s="378"/>
      <c r="AN546" s="378"/>
      <c r="AO546" s="379">
        <v>0</v>
      </c>
      <c r="AP546" s="460">
        <v>0</v>
      </c>
      <c r="AQ546" s="460">
        <v>0</v>
      </c>
      <c r="AR546" s="459"/>
      <c r="AS546" s="462">
        <f t="shared" si="136"/>
        <v>0</v>
      </c>
      <c r="AT546">
        <f t="shared" si="137"/>
        <v>0</v>
      </c>
      <c r="AU546" s="462" t="str">
        <f>IF(AT546=0,"",IF(AND(AT546=1,M546="F",SUMIF(C2:C698,C546,AS2:AS698)&lt;=1),SUMIF(C2:C698,C546,AS2:AS698),IF(AND(AT546=1,M546="F",SUMIF(C2:C698,C546,AS2:AS698)&gt;1),1,"")))</f>
        <v/>
      </c>
      <c r="AV546" s="462" t="str">
        <f>IF(AT546=0,"",IF(AND(AT546=3,M546="F",SUMIF(C2:C698,C546,AS2:AS698)&lt;=1),SUMIF(C2:C698,C546,AS2:AS698),IF(AND(AT546=3,M546="F",SUMIF(C2:C698,C546,AS2:AS698)&gt;1),1,"")))</f>
        <v/>
      </c>
      <c r="AW546" s="462">
        <f>SUMIF(C2:C698,C546,O2:O698)</f>
        <v>0</v>
      </c>
      <c r="AX546" s="462">
        <f>IF(AND(M546="F",AS546&lt;&gt;0),SUMIF(C2:C698,C546,W2:W698),0)</f>
        <v>0</v>
      </c>
      <c r="AY546" s="462" t="str">
        <f t="shared" si="138"/>
        <v/>
      </c>
      <c r="AZ546" s="462" t="str">
        <f t="shared" si="139"/>
        <v/>
      </c>
      <c r="BA546" s="462">
        <f t="shared" si="140"/>
        <v>0</v>
      </c>
      <c r="BB546" s="462">
        <f>IF(AND(AT546=1,AK546="E",AU546&gt;=0.75,AW546=1),Health,IF(AND(AT546=1,AK546="E",AU546&gt;=0.75),Health*P546,IF(AND(AT546=1,AK546="E",AU546&gt;=0.5,AW546=1),PTHealth,IF(AND(AT546=1,AK546="E",AU546&gt;=0.5),PTHealth*P546,0))))</f>
        <v>0</v>
      </c>
      <c r="BC546" s="462">
        <f>IF(AND(AT546=3,AK546="E",AV546&gt;=0.75,AW546=1),Health,IF(AND(AT546=3,AK546="E",AV546&gt;=0.75),Health*P546,IF(AND(AT546=3,AK546="E",AV546&gt;=0.5,AW546=1),PTHealth,IF(AND(AT546=3,AK546="E",AV546&gt;=0.5),PTHealth*P546,0))))</f>
        <v>0</v>
      </c>
      <c r="BD546" s="462">
        <f>IF(AND(AT546&lt;&gt;0,AX546&gt;=MAXSSDI),SSDI*MAXSSDI*P546,IF(AT546&lt;&gt;0,SSDI*W546,0))</f>
        <v>0</v>
      </c>
      <c r="BE546" s="462">
        <f>IF(AT546&lt;&gt;0,SSHI*W546,0)</f>
        <v>0</v>
      </c>
      <c r="BF546" s="462">
        <f>IF(AND(AT546&lt;&gt;0,AN546&lt;&gt;"NE"),VLOOKUP(AN546,Retirement_Rates,3,FALSE)*W546,0)</f>
        <v>0</v>
      </c>
      <c r="BG546" s="462">
        <f>IF(AND(AT546&lt;&gt;0,AJ546&lt;&gt;"PF"),Life*W546,0)</f>
        <v>0</v>
      </c>
      <c r="BH546" s="462">
        <f>IF(AND(AT546&lt;&gt;0,AM546="Y"),UI*W546,0)</f>
        <v>0</v>
      </c>
      <c r="BI546" s="462">
        <f>IF(AND(AT546&lt;&gt;0,N546&lt;&gt;"NR"),DHR*W546,0)</f>
        <v>0</v>
      </c>
      <c r="BJ546" s="462">
        <f>IF(AT546&lt;&gt;0,WC*W546,0)</f>
        <v>0</v>
      </c>
      <c r="BK546" s="462">
        <f>IF(OR(AND(AT546&lt;&gt;0,AJ546&lt;&gt;"PF",AN546&lt;&gt;"NE",AG546&lt;&gt;"A"),AND(AL546="E",OR(AT546=1,AT546=3))),Sick*W546,0)</f>
        <v>0</v>
      </c>
      <c r="BL546" s="462">
        <f t="shared" si="141"/>
        <v>0</v>
      </c>
      <c r="BM546" s="462">
        <f t="shared" si="142"/>
        <v>0</v>
      </c>
      <c r="BN546" s="462">
        <f>IF(AND(AT546=1,AK546="E",AU546&gt;=0.75,AW546=1),HealthBY,IF(AND(AT546=1,AK546="E",AU546&gt;=0.75),HealthBY*P546,IF(AND(AT546=1,AK546="E",AU546&gt;=0.5,AW546=1),PTHealthBY,IF(AND(AT546=1,AK546="E",AU546&gt;=0.5),PTHealthBY*P546,0))))</f>
        <v>0</v>
      </c>
      <c r="BO546" s="462">
        <f>IF(AND(AT546=3,AK546="E",AV546&gt;=0.75,AW546=1),HealthBY,IF(AND(AT546=3,AK546="E",AV546&gt;=0.75),HealthBY*P546,IF(AND(AT546=3,AK546="E",AV546&gt;=0.5,AW546=1),PTHealthBY,IF(AND(AT546=3,AK546="E",AV546&gt;=0.5),PTHealthBY*P546,0))))</f>
        <v>0</v>
      </c>
      <c r="BP546" s="462">
        <f>IF(AND(AT546&lt;&gt;0,(AX546+BA546)&gt;=MAXSSDIBY),SSDIBY*MAXSSDIBY*P546,IF(AT546&lt;&gt;0,SSDIBY*W546,0))</f>
        <v>0</v>
      </c>
      <c r="BQ546" s="462">
        <f>IF(AT546&lt;&gt;0,SSHIBY*W546,0)</f>
        <v>0</v>
      </c>
      <c r="BR546" s="462">
        <f>IF(AND(AT546&lt;&gt;0,AN546&lt;&gt;"NE"),VLOOKUP(AN546,Retirement_Rates,4,FALSE)*W546,0)</f>
        <v>0</v>
      </c>
      <c r="BS546" s="462">
        <f>IF(AND(AT546&lt;&gt;0,AJ546&lt;&gt;"PF"),LifeBY*W546,0)</f>
        <v>0</v>
      </c>
      <c r="BT546" s="462">
        <f>IF(AND(AT546&lt;&gt;0,AM546="Y"),UIBY*W546,0)</f>
        <v>0</v>
      </c>
      <c r="BU546" s="462">
        <f>IF(AND(AT546&lt;&gt;0,N546&lt;&gt;"NR"),DHRBY*W546,0)</f>
        <v>0</v>
      </c>
      <c r="BV546" s="462">
        <f>IF(AT546&lt;&gt;0,WCBY*W546,0)</f>
        <v>0</v>
      </c>
      <c r="BW546" s="462">
        <f>IF(OR(AND(AT546&lt;&gt;0,AJ546&lt;&gt;"PF",AN546&lt;&gt;"NE",AG546&lt;&gt;"A"),AND(AL546="E",OR(AT546=1,AT546=3))),SickBY*W546,0)</f>
        <v>0</v>
      </c>
      <c r="BX546" s="462">
        <f t="shared" si="143"/>
        <v>0</v>
      </c>
      <c r="BY546" s="462">
        <f t="shared" si="144"/>
        <v>0</v>
      </c>
      <c r="BZ546" s="462">
        <f t="shared" si="145"/>
        <v>0</v>
      </c>
      <c r="CA546" s="462">
        <f t="shared" si="146"/>
        <v>0</v>
      </c>
      <c r="CB546" s="462">
        <f t="shared" si="147"/>
        <v>0</v>
      </c>
      <c r="CC546" s="462">
        <f>IF(AT546&lt;&gt;0,SSHICHG*Y546,0)</f>
        <v>0</v>
      </c>
      <c r="CD546" s="462">
        <f>IF(AND(AT546&lt;&gt;0,AN546&lt;&gt;"NE"),VLOOKUP(AN546,Retirement_Rates,5,FALSE)*Y546,0)</f>
        <v>0</v>
      </c>
      <c r="CE546" s="462">
        <f>IF(AND(AT546&lt;&gt;0,AJ546&lt;&gt;"PF"),LifeCHG*Y546,0)</f>
        <v>0</v>
      </c>
      <c r="CF546" s="462">
        <f>IF(AND(AT546&lt;&gt;0,AM546="Y"),UICHG*Y546,0)</f>
        <v>0</v>
      </c>
      <c r="CG546" s="462">
        <f>IF(AND(AT546&lt;&gt;0,N546&lt;&gt;"NR"),DHRCHG*Y546,0)</f>
        <v>0</v>
      </c>
      <c r="CH546" s="462">
        <f>IF(AT546&lt;&gt;0,WCCHG*Y546,0)</f>
        <v>0</v>
      </c>
      <c r="CI546" s="462">
        <f>IF(OR(AND(AT546&lt;&gt;0,AJ546&lt;&gt;"PF",AN546&lt;&gt;"NE",AG546&lt;&gt;"A"),AND(AL546="E",OR(AT546=1,AT546=3))),SickCHG*Y546,0)</f>
        <v>0</v>
      </c>
      <c r="CJ546" s="462">
        <f t="shared" si="148"/>
        <v>0</v>
      </c>
      <c r="CK546" s="462" t="str">
        <f t="shared" si="149"/>
        <v/>
      </c>
      <c r="CL546" s="462">
        <f t="shared" si="150"/>
        <v>61842.869999999995</v>
      </c>
      <c r="CM546" s="462">
        <f t="shared" si="151"/>
        <v>42283.040000000001</v>
      </c>
      <c r="CN546" s="462" t="str">
        <f t="shared" si="152"/>
        <v>0486-00</v>
      </c>
    </row>
    <row r="547" spans="1:92" ht="15" thickBot="1" x14ac:dyDescent="0.35">
      <c r="A547" s="376" t="s">
        <v>161</v>
      </c>
      <c r="B547" s="376" t="s">
        <v>162</v>
      </c>
      <c r="C547" s="376" t="s">
        <v>1231</v>
      </c>
      <c r="D547" s="376" t="s">
        <v>1189</v>
      </c>
      <c r="E547" s="376" t="s">
        <v>1140</v>
      </c>
      <c r="F547" s="377" t="s">
        <v>166</v>
      </c>
      <c r="G547" s="376" t="s">
        <v>1141</v>
      </c>
      <c r="H547" s="378"/>
      <c r="I547" s="378"/>
      <c r="J547" s="376" t="s">
        <v>168</v>
      </c>
      <c r="K547" s="376" t="s">
        <v>1190</v>
      </c>
      <c r="L547" s="376" t="s">
        <v>166</v>
      </c>
      <c r="M547" s="376" t="s">
        <v>201</v>
      </c>
      <c r="N547" s="376" t="s">
        <v>291</v>
      </c>
      <c r="O547" s="379">
        <v>0</v>
      </c>
      <c r="P547" s="460">
        <v>1</v>
      </c>
      <c r="Q547" s="460">
        <v>0</v>
      </c>
      <c r="R547" s="380">
        <v>0</v>
      </c>
      <c r="S547" s="460">
        <v>0</v>
      </c>
      <c r="T547" s="380">
        <v>0</v>
      </c>
      <c r="U547" s="380">
        <v>0</v>
      </c>
      <c r="V547" s="380">
        <v>0</v>
      </c>
      <c r="W547" s="380">
        <v>0</v>
      </c>
      <c r="X547" s="380">
        <v>0</v>
      </c>
      <c r="Y547" s="380">
        <v>0</v>
      </c>
      <c r="Z547" s="380">
        <v>0</v>
      </c>
      <c r="AA547" s="378"/>
      <c r="AB547" s="376" t="s">
        <v>45</v>
      </c>
      <c r="AC547" s="376" t="s">
        <v>45</v>
      </c>
      <c r="AD547" s="378"/>
      <c r="AE547" s="378"/>
      <c r="AF547" s="378"/>
      <c r="AG547" s="378"/>
      <c r="AH547" s="379">
        <v>0</v>
      </c>
      <c r="AI547" s="379">
        <v>0</v>
      </c>
      <c r="AJ547" s="378"/>
      <c r="AK547" s="378"/>
      <c r="AL547" s="376" t="s">
        <v>180</v>
      </c>
      <c r="AM547" s="378"/>
      <c r="AN547" s="378"/>
      <c r="AO547" s="379">
        <v>0</v>
      </c>
      <c r="AP547" s="460">
        <v>0</v>
      </c>
      <c r="AQ547" s="460">
        <v>0</v>
      </c>
      <c r="AR547" s="459"/>
      <c r="AS547" s="462">
        <f t="shared" si="136"/>
        <v>0</v>
      </c>
      <c r="AT547">
        <f t="shared" si="137"/>
        <v>0</v>
      </c>
      <c r="AU547" s="462" t="str">
        <f>IF(AT547=0,"",IF(AND(AT547=1,M547="F",SUMIF(C2:C698,C547,AS2:AS698)&lt;=1),SUMIF(C2:C698,C547,AS2:AS698),IF(AND(AT547=1,M547="F",SUMIF(C2:C698,C547,AS2:AS698)&gt;1),1,"")))</f>
        <v/>
      </c>
      <c r="AV547" s="462" t="str">
        <f>IF(AT547=0,"",IF(AND(AT547=3,M547="F",SUMIF(C2:C698,C547,AS2:AS698)&lt;=1),SUMIF(C2:C698,C547,AS2:AS698),IF(AND(AT547=3,M547="F",SUMIF(C2:C698,C547,AS2:AS698)&gt;1),1,"")))</f>
        <v/>
      </c>
      <c r="AW547" s="462">
        <f>SUMIF(C2:C698,C547,O2:O698)</f>
        <v>0</v>
      </c>
      <c r="AX547" s="462">
        <f>IF(AND(M547="F",AS547&lt;&gt;0),SUMIF(C2:C698,C547,W2:W698),0)</f>
        <v>0</v>
      </c>
      <c r="AY547" s="462" t="str">
        <f t="shared" si="138"/>
        <v/>
      </c>
      <c r="AZ547" s="462" t="str">
        <f t="shared" si="139"/>
        <v/>
      </c>
      <c r="BA547" s="462">
        <f t="shared" si="140"/>
        <v>0</v>
      </c>
      <c r="BB547" s="462">
        <f>IF(AND(AT547=1,AK547="E",AU547&gt;=0.75,AW547=1),Health,IF(AND(AT547=1,AK547="E",AU547&gt;=0.75),Health*P547,IF(AND(AT547=1,AK547="E",AU547&gt;=0.5,AW547=1),PTHealth,IF(AND(AT547=1,AK547="E",AU547&gt;=0.5),PTHealth*P547,0))))</f>
        <v>0</v>
      </c>
      <c r="BC547" s="462">
        <f>IF(AND(AT547=3,AK547="E",AV547&gt;=0.75,AW547=1),Health,IF(AND(AT547=3,AK547="E",AV547&gt;=0.75),Health*P547,IF(AND(AT547=3,AK547="E",AV547&gt;=0.5,AW547=1),PTHealth,IF(AND(AT547=3,AK547="E",AV547&gt;=0.5),PTHealth*P547,0))))</f>
        <v>0</v>
      </c>
      <c r="BD547" s="462">
        <f>IF(AND(AT547&lt;&gt;0,AX547&gt;=MAXSSDI),SSDI*MAXSSDI*P547,IF(AT547&lt;&gt;0,SSDI*W547,0))</f>
        <v>0</v>
      </c>
      <c r="BE547" s="462">
        <f>IF(AT547&lt;&gt;0,SSHI*W547,0)</f>
        <v>0</v>
      </c>
      <c r="BF547" s="462">
        <f>IF(AND(AT547&lt;&gt;0,AN547&lt;&gt;"NE"),VLOOKUP(AN547,Retirement_Rates,3,FALSE)*W547,0)</f>
        <v>0</v>
      </c>
      <c r="BG547" s="462">
        <f>IF(AND(AT547&lt;&gt;0,AJ547&lt;&gt;"PF"),Life*W547,0)</f>
        <v>0</v>
      </c>
      <c r="BH547" s="462">
        <f>IF(AND(AT547&lt;&gt;0,AM547="Y"),UI*W547,0)</f>
        <v>0</v>
      </c>
      <c r="BI547" s="462">
        <f>IF(AND(AT547&lt;&gt;0,N547&lt;&gt;"NR"),DHR*W547,0)</f>
        <v>0</v>
      </c>
      <c r="BJ547" s="462">
        <f>IF(AT547&lt;&gt;0,WC*W547,0)</f>
        <v>0</v>
      </c>
      <c r="BK547" s="462">
        <f>IF(OR(AND(AT547&lt;&gt;0,AJ547&lt;&gt;"PF",AN547&lt;&gt;"NE",AG547&lt;&gt;"A"),AND(AL547="E",OR(AT547=1,AT547=3))),Sick*W547,0)</f>
        <v>0</v>
      </c>
      <c r="BL547" s="462">
        <f t="shared" si="141"/>
        <v>0</v>
      </c>
      <c r="BM547" s="462">
        <f t="shared" si="142"/>
        <v>0</v>
      </c>
      <c r="BN547" s="462">
        <f>IF(AND(AT547=1,AK547="E",AU547&gt;=0.75,AW547=1),HealthBY,IF(AND(AT547=1,AK547="E",AU547&gt;=0.75),HealthBY*P547,IF(AND(AT547=1,AK547="E",AU547&gt;=0.5,AW547=1),PTHealthBY,IF(AND(AT547=1,AK547="E",AU547&gt;=0.5),PTHealthBY*P547,0))))</f>
        <v>0</v>
      </c>
      <c r="BO547" s="462">
        <f>IF(AND(AT547=3,AK547="E",AV547&gt;=0.75,AW547=1),HealthBY,IF(AND(AT547=3,AK547="E",AV547&gt;=0.75),HealthBY*P547,IF(AND(AT547=3,AK547="E",AV547&gt;=0.5,AW547=1),PTHealthBY,IF(AND(AT547=3,AK547="E",AV547&gt;=0.5),PTHealthBY*P547,0))))</f>
        <v>0</v>
      </c>
      <c r="BP547" s="462">
        <f>IF(AND(AT547&lt;&gt;0,(AX547+BA547)&gt;=MAXSSDIBY),SSDIBY*MAXSSDIBY*P547,IF(AT547&lt;&gt;0,SSDIBY*W547,0))</f>
        <v>0</v>
      </c>
      <c r="BQ547" s="462">
        <f>IF(AT547&lt;&gt;0,SSHIBY*W547,0)</f>
        <v>0</v>
      </c>
      <c r="BR547" s="462">
        <f>IF(AND(AT547&lt;&gt;0,AN547&lt;&gt;"NE"),VLOOKUP(AN547,Retirement_Rates,4,FALSE)*W547,0)</f>
        <v>0</v>
      </c>
      <c r="BS547" s="462">
        <f>IF(AND(AT547&lt;&gt;0,AJ547&lt;&gt;"PF"),LifeBY*W547,0)</f>
        <v>0</v>
      </c>
      <c r="BT547" s="462">
        <f>IF(AND(AT547&lt;&gt;0,AM547="Y"),UIBY*W547,0)</f>
        <v>0</v>
      </c>
      <c r="BU547" s="462">
        <f>IF(AND(AT547&lt;&gt;0,N547&lt;&gt;"NR"),DHRBY*W547,0)</f>
        <v>0</v>
      </c>
      <c r="BV547" s="462">
        <f>IF(AT547&lt;&gt;0,WCBY*W547,0)</f>
        <v>0</v>
      </c>
      <c r="BW547" s="462">
        <f>IF(OR(AND(AT547&lt;&gt;0,AJ547&lt;&gt;"PF",AN547&lt;&gt;"NE",AG547&lt;&gt;"A"),AND(AL547="E",OR(AT547=1,AT547=3))),SickBY*W547,0)</f>
        <v>0</v>
      </c>
      <c r="BX547" s="462">
        <f t="shared" si="143"/>
        <v>0</v>
      </c>
      <c r="BY547" s="462">
        <f t="shared" si="144"/>
        <v>0</v>
      </c>
      <c r="BZ547" s="462">
        <f t="shared" si="145"/>
        <v>0</v>
      </c>
      <c r="CA547" s="462">
        <f t="shared" si="146"/>
        <v>0</v>
      </c>
      <c r="CB547" s="462">
        <f t="shared" si="147"/>
        <v>0</v>
      </c>
      <c r="CC547" s="462">
        <f>IF(AT547&lt;&gt;0,SSHICHG*Y547,0)</f>
        <v>0</v>
      </c>
      <c r="CD547" s="462">
        <f>IF(AND(AT547&lt;&gt;0,AN547&lt;&gt;"NE"),VLOOKUP(AN547,Retirement_Rates,5,FALSE)*Y547,0)</f>
        <v>0</v>
      </c>
      <c r="CE547" s="462">
        <f>IF(AND(AT547&lt;&gt;0,AJ547&lt;&gt;"PF"),LifeCHG*Y547,0)</f>
        <v>0</v>
      </c>
      <c r="CF547" s="462">
        <f>IF(AND(AT547&lt;&gt;0,AM547="Y"),UICHG*Y547,0)</f>
        <v>0</v>
      </c>
      <c r="CG547" s="462">
        <f>IF(AND(AT547&lt;&gt;0,N547&lt;&gt;"NR"),DHRCHG*Y547,0)</f>
        <v>0</v>
      </c>
      <c r="CH547" s="462">
        <f>IF(AT547&lt;&gt;0,WCCHG*Y547,0)</f>
        <v>0</v>
      </c>
      <c r="CI547" s="462">
        <f>IF(OR(AND(AT547&lt;&gt;0,AJ547&lt;&gt;"PF",AN547&lt;&gt;"NE",AG547&lt;&gt;"A"),AND(AL547="E",OR(AT547=1,AT547=3))),SickCHG*Y547,0)</f>
        <v>0</v>
      </c>
      <c r="CJ547" s="462">
        <f t="shared" si="148"/>
        <v>0</v>
      </c>
      <c r="CK547" s="462" t="str">
        <f t="shared" si="149"/>
        <v/>
      </c>
      <c r="CL547" s="462">
        <f t="shared" si="150"/>
        <v>0</v>
      </c>
      <c r="CM547" s="462">
        <f t="shared" si="151"/>
        <v>0</v>
      </c>
      <c r="CN547" s="462" t="str">
        <f t="shared" si="152"/>
        <v>0486-00</v>
      </c>
    </row>
    <row r="548" spans="1:92" ht="15" thickBot="1" x14ac:dyDescent="0.35">
      <c r="A548" s="376" t="s">
        <v>161</v>
      </c>
      <c r="B548" s="376" t="s">
        <v>162</v>
      </c>
      <c r="C548" s="376" t="s">
        <v>1232</v>
      </c>
      <c r="D548" s="376" t="s">
        <v>1175</v>
      </c>
      <c r="E548" s="376" t="s">
        <v>1140</v>
      </c>
      <c r="F548" s="377" t="s">
        <v>166</v>
      </c>
      <c r="G548" s="376" t="s">
        <v>1141</v>
      </c>
      <c r="H548" s="378"/>
      <c r="I548" s="378"/>
      <c r="J548" s="376" t="s">
        <v>168</v>
      </c>
      <c r="K548" s="376" t="s">
        <v>1176</v>
      </c>
      <c r="L548" s="376" t="s">
        <v>166</v>
      </c>
      <c r="M548" s="376" t="s">
        <v>201</v>
      </c>
      <c r="N548" s="376" t="s">
        <v>291</v>
      </c>
      <c r="O548" s="379">
        <v>0</v>
      </c>
      <c r="P548" s="460">
        <v>1</v>
      </c>
      <c r="Q548" s="460">
        <v>0</v>
      </c>
      <c r="R548" s="380">
        <v>0</v>
      </c>
      <c r="S548" s="460">
        <v>0</v>
      </c>
      <c r="T548" s="380">
        <v>0</v>
      </c>
      <c r="U548" s="380">
        <v>0</v>
      </c>
      <c r="V548" s="380">
        <v>0</v>
      </c>
      <c r="W548" s="380">
        <v>0</v>
      </c>
      <c r="X548" s="380">
        <v>0</v>
      </c>
      <c r="Y548" s="380">
        <v>0</v>
      </c>
      <c r="Z548" s="380">
        <v>0</v>
      </c>
      <c r="AA548" s="378"/>
      <c r="AB548" s="376" t="s">
        <v>45</v>
      </c>
      <c r="AC548" s="376" t="s">
        <v>45</v>
      </c>
      <c r="AD548" s="378"/>
      <c r="AE548" s="378"/>
      <c r="AF548" s="378"/>
      <c r="AG548" s="378"/>
      <c r="AH548" s="379">
        <v>0</v>
      </c>
      <c r="AI548" s="379">
        <v>0</v>
      </c>
      <c r="AJ548" s="378"/>
      <c r="AK548" s="378"/>
      <c r="AL548" s="376" t="s">
        <v>180</v>
      </c>
      <c r="AM548" s="378"/>
      <c r="AN548" s="378"/>
      <c r="AO548" s="379">
        <v>0</v>
      </c>
      <c r="AP548" s="460">
        <v>0</v>
      </c>
      <c r="AQ548" s="460">
        <v>0</v>
      </c>
      <c r="AR548" s="459"/>
      <c r="AS548" s="462">
        <f t="shared" si="136"/>
        <v>0</v>
      </c>
      <c r="AT548">
        <f t="shared" si="137"/>
        <v>0</v>
      </c>
      <c r="AU548" s="462" t="str">
        <f>IF(AT548=0,"",IF(AND(AT548=1,M548="F",SUMIF(C2:C698,C548,AS2:AS698)&lt;=1),SUMIF(C2:C698,C548,AS2:AS698),IF(AND(AT548=1,M548="F",SUMIF(C2:C698,C548,AS2:AS698)&gt;1),1,"")))</f>
        <v/>
      </c>
      <c r="AV548" s="462" t="str">
        <f>IF(AT548=0,"",IF(AND(AT548=3,M548="F",SUMIF(C2:C698,C548,AS2:AS698)&lt;=1),SUMIF(C2:C698,C548,AS2:AS698),IF(AND(AT548=3,M548="F",SUMIF(C2:C698,C548,AS2:AS698)&gt;1),1,"")))</f>
        <v/>
      </c>
      <c r="AW548" s="462">
        <f>SUMIF(C2:C698,C548,O2:O698)</f>
        <v>0</v>
      </c>
      <c r="AX548" s="462">
        <f>IF(AND(M548="F",AS548&lt;&gt;0),SUMIF(C2:C698,C548,W2:W698),0)</f>
        <v>0</v>
      </c>
      <c r="AY548" s="462" t="str">
        <f t="shared" si="138"/>
        <v/>
      </c>
      <c r="AZ548" s="462" t="str">
        <f t="shared" si="139"/>
        <v/>
      </c>
      <c r="BA548" s="462">
        <f t="shared" si="140"/>
        <v>0</v>
      </c>
      <c r="BB548" s="462">
        <f>IF(AND(AT548=1,AK548="E",AU548&gt;=0.75,AW548=1),Health,IF(AND(AT548=1,AK548="E",AU548&gt;=0.75),Health*P548,IF(AND(AT548=1,AK548="E",AU548&gt;=0.5,AW548=1),PTHealth,IF(AND(AT548=1,AK548="E",AU548&gt;=0.5),PTHealth*P548,0))))</f>
        <v>0</v>
      </c>
      <c r="BC548" s="462">
        <f>IF(AND(AT548=3,AK548="E",AV548&gt;=0.75,AW548=1),Health,IF(AND(AT548=3,AK548="E",AV548&gt;=0.75),Health*P548,IF(AND(AT548=3,AK548="E",AV548&gt;=0.5,AW548=1),PTHealth,IF(AND(AT548=3,AK548="E",AV548&gt;=0.5),PTHealth*P548,0))))</f>
        <v>0</v>
      </c>
      <c r="BD548" s="462">
        <f>IF(AND(AT548&lt;&gt;0,AX548&gt;=MAXSSDI),SSDI*MAXSSDI*P548,IF(AT548&lt;&gt;0,SSDI*W548,0))</f>
        <v>0</v>
      </c>
      <c r="BE548" s="462">
        <f>IF(AT548&lt;&gt;0,SSHI*W548,0)</f>
        <v>0</v>
      </c>
      <c r="BF548" s="462">
        <f>IF(AND(AT548&lt;&gt;0,AN548&lt;&gt;"NE"),VLOOKUP(AN548,Retirement_Rates,3,FALSE)*W548,0)</f>
        <v>0</v>
      </c>
      <c r="BG548" s="462">
        <f>IF(AND(AT548&lt;&gt;0,AJ548&lt;&gt;"PF"),Life*W548,0)</f>
        <v>0</v>
      </c>
      <c r="BH548" s="462">
        <f>IF(AND(AT548&lt;&gt;0,AM548="Y"),UI*W548,0)</f>
        <v>0</v>
      </c>
      <c r="BI548" s="462">
        <f>IF(AND(AT548&lt;&gt;0,N548&lt;&gt;"NR"),DHR*W548,0)</f>
        <v>0</v>
      </c>
      <c r="BJ548" s="462">
        <f>IF(AT548&lt;&gt;0,WC*W548,0)</f>
        <v>0</v>
      </c>
      <c r="BK548" s="462">
        <f>IF(OR(AND(AT548&lt;&gt;0,AJ548&lt;&gt;"PF",AN548&lt;&gt;"NE",AG548&lt;&gt;"A"),AND(AL548="E",OR(AT548=1,AT548=3))),Sick*W548,0)</f>
        <v>0</v>
      </c>
      <c r="BL548" s="462">
        <f t="shared" si="141"/>
        <v>0</v>
      </c>
      <c r="BM548" s="462">
        <f t="shared" si="142"/>
        <v>0</v>
      </c>
      <c r="BN548" s="462">
        <f>IF(AND(AT548=1,AK548="E",AU548&gt;=0.75,AW548=1),HealthBY,IF(AND(AT548=1,AK548="E",AU548&gt;=0.75),HealthBY*P548,IF(AND(AT548=1,AK548="E",AU548&gt;=0.5,AW548=1),PTHealthBY,IF(AND(AT548=1,AK548="E",AU548&gt;=0.5),PTHealthBY*P548,0))))</f>
        <v>0</v>
      </c>
      <c r="BO548" s="462">
        <f>IF(AND(AT548=3,AK548="E",AV548&gt;=0.75,AW548=1),HealthBY,IF(AND(AT548=3,AK548="E",AV548&gt;=0.75),HealthBY*P548,IF(AND(AT548=3,AK548="E",AV548&gt;=0.5,AW548=1),PTHealthBY,IF(AND(AT548=3,AK548="E",AV548&gt;=0.5),PTHealthBY*P548,0))))</f>
        <v>0</v>
      </c>
      <c r="BP548" s="462">
        <f>IF(AND(AT548&lt;&gt;0,(AX548+BA548)&gt;=MAXSSDIBY),SSDIBY*MAXSSDIBY*P548,IF(AT548&lt;&gt;0,SSDIBY*W548,0))</f>
        <v>0</v>
      </c>
      <c r="BQ548" s="462">
        <f>IF(AT548&lt;&gt;0,SSHIBY*W548,0)</f>
        <v>0</v>
      </c>
      <c r="BR548" s="462">
        <f>IF(AND(AT548&lt;&gt;0,AN548&lt;&gt;"NE"),VLOOKUP(AN548,Retirement_Rates,4,FALSE)*W548,0)</f>
        <v>0</v>
      </c>
      <c r="BS548" s="462">
        <f>IF(AND(AT548&lt;&gt;0,AJ548&lt;&gt;"PF"),LifeBY*W548,0)</f>
        <v>0</v>
      </c>
      <c r="BT548" s="462">
        <f>IF(AND(AT548&lt;&gt;0,AM548="Y"),UIBY*W548,0)</f>
        <v>0</v>
      </c>
      <c r="BU548" s="462">
        <f>IF(AND(AT548&lt;&gt;0,N548&lt;&gt;"NR"),DHRBY*W548,0)</f>
        <v>0</v>
      </c>
      <c r="BV548" s="462">
        <f>IF(AT548&lt;&gt;0,WCBY*W548,0)</f>
        <v>0</v>
      </c>
      <c r="BW548" s="462">
        <f>IF(OR(AND(AT548&lt;&gt;0,AJ548&lt;&gt;"PF",AN548&lt;&gt;"NE",AG548&lt;&gt;"A"),AND(AL548="E",OR(AT548=1,AT548=3))),SickBY*W548,0)</f>
        <v>0</v>
      </c>
      <c r="BX548" s="462">
        <f t="shared" si="143"/>
        <v>0</v>
      </c>
      <c r="BY548" s="462">
        <f t="shared" si="144"/>
        <v>0</v>
      </c>
      <c r="BZ548" s="462">
        <f t="shared" si="145"/>
        <v>0</v>
      </c>
      <c r="CA548" s="462">
        <f t="shared" si="146"/>
        <v>0</v>
      </c>
      <c r="CB548" s="462">
        <f t="shared" si="147"/>
        <v>0</v>
      </c>
      <c r="CC548" s="462">
        <f>IF(AT548&lt;&gt;0,SSHICHG*Y548,0)</f>
        <v>0</v>
      </c>
      <c r="CD548" s="462">
        <f>IF(AND(AT548&lt;&gt;0,AN548&lt;&gt;"NE"),VLOOKUP(AN548,Retirement_Rates,5,FALSE)*Y548,0)</f>
        <v>0</v>
      </c>
      <c r="CE548" s="462">
        <f>IF(AND(AT548&lt;&gt;0,AJ548&lt;&gt;"PF"),LifeCHG*Y548,0)</f>
        <v>0</v>
      </c>
      <c r="CF548" s="462">
        <f>IF(AND(AT548&lt;&gt;0,AM548="Y"),UICHG*Y548,0)</f>
        <v>0</v>
      </c>
      <c r="CG548" s="462">
        <f>IF(AND(AT548&lt;&gt;0,N548&lt;&gt;"NR"),DHRCHG*Y548,0)</f>
        <v>0</v>
      </c>
      <c r="CH548" s="462">
        <f>IF(AT548&lt;&gt;0,WCCHG*Y548,0)</f>
        <v>0</v>
      </c>
      <c r="CI548" s="462">
        <f>IF(OR(AND(AT548&lt;&gt;0,AJ548&lt;&gt;"PF",AN548&lt;&gt;"NE",AG548&lt;&gt;"A"),AND(AL548="E",OR(AT548=1,AT548=3))),SickCHG*Y548,0)</f>
        <v>0</v>
      </c>
      <c r="CJ548" s="462">
        <f t="shared" si="148"/>
        <v>0</v>
      </c>
      <c r="CK548" s="462" t="str">
        <f t="shared" si="149"/>
        <v/>
      </c>
      <c r="CL548" s="462">
        <f t="shared" si="150"/>
        <v>0</v>
      </c>
      <c r="CM548" s="462">
        <f t="shared" si="151"/>
        <v>0</v>
      </c>
      <c r="CN548" s="462" t="str">
        <f t="shared" si="152"/>
        <v>0486-00</v>
      </c>
    </row>
    <row r="549" spans="1:92" ht="15" thickBot="1" x14ac:dyDescent="0.35">
      <c r="A549" s="376" t="s">
        <v>161</v>
      </c>
      <c r="B549" s="376" t="s">
        <v>162</v>
      </c>
      <c r="C549" s="376" t="s">
        <v>1233</v>
      </c>
      <c r="D549" s="376" t="s">
        <v>1234</v>
      </c>
      <c r="E549" s="376" t="s">
        <v>1140</v>
      </c>
      <c r="F549" s="377" t="s">
        <v>166</v>
      </c>
      <c r="G549" s="376" t="s">
        <v>1141</v>
      </c>
      <c r="H549" s="378"/>
      <c r="I549" s="378"/>
      <c r="J549" s="376" t="s">
        <v>168</v>
      </c>
      <c r="K549" s="376" t="s">
        <v>1235</v>
      </c>
      <c r="L549" s="376" t="s">
        <v>166</v>
      </c>
      <c r="M549" s="376" t="s">
        <v>201</v>
      </c>
      <c r="N549" s="376" t="s">
        <v>291</v>
      </c>
      <c r="O549" s="379">
        <v>0</v>
      </c>
      <c r="P549" s="460">
        <v>1</v>
      </c>
      <c r="Q549" s="460">
        <v>0</v>
      </c>
      <c r="R549" s="380">
        <v>0</v>
      </c>
      <c r="S549" s="460">
        <v>0</v>
      </c>
      <c r="T549" s="380">
        <v>0</v>
      </c>
      <c r="U549" s="380">
        <v>0</v>
      </c>
      <c r="V549" s="380">
        <v>0</v>
      </c>
      <c r="W549" s="380">
        <v>0</v>
      </c>
      <c r="X549" s="380">
        <v>0</v>
      </c>
      <c r="Y549" s="380">
        <v>0</v>
      </c>
      <c r="Z549" s="380">
        <v>0</v>
      </c>
      <c r="AA549" s="378"/>
      <c r="AB549" s="376" t="s">
        <v>45</v>
      </c>
      <c r="AC549" s="376" t="s">
        <v>45</v>
      </c>
      <c r="AD549" s="378"/>
      <c r="AE549" s="378"/>
      <c r="AF549" s="378"/>
      <c r="AG549" s="378"/>
      <c r="AH549" s="379">
        <v>0</v>
      </c>
      <c r="AI549" s="379">
        <v>0</v>
      </c>
      <c r="AJ549" s="378"/>
      <c r="AK549" s="378"/>
      <c r="AL549" s="376" t="s">
        <v>180</v>
      </c>
      <c r="AM549" s="378"/>
      <c r="AN549" s="378"/>
      <c r="AO549" s="379">
        <v>0</v>
      </c>
      <c r="AP549" s="460">
        <v>0</v>
      </c>
      <c r="AQ549" s="460">
        <v>0</v>
      </c>
      <c r="AR549" s="459"/>
      <c r="AS549" s="462">
        <f t="shared" si="136"/>
        <v>0</v>
      </c>
      <c r="AT549">
        <f t="shared" si="137"/>
        <v>0</v>
      </c>
      <c r="AU549" s="462" t="str">
        <f>IF(AT549=0,"",IF(AND(AT549=1,M549="F",SUMIF(C2:C698,C549,AS2:AS698)&lt;=1),SUMIF(C2:C698,C549,AS2:AS698),IF(AND(AT549=1,M549="F",SUMIF(C2:C698,C549,AS2:AS698)&gt;1),1,"")))</f>
        <v/>
      </c>
      <c r="AV549" s="462" t="str">
        <f>IF(AT549=0,"",IF(AND(AT549=3,M549="F",SUMIF(C2:C698,C549,AS2:AS698)&lt;=1),SUMIF(C2:C698,C549,AS2:AS698),IF(AND(AT549=3,M549="F",SUMIF(C2:C698,C549,AS2:AS698)&gt;1),1,"")))</f>
        <v/>
      </c>
      <c r="AW549" s="462">
        <f>SUMIF(C2:C698,C549,O2:O698)</f>
        <v>0</v>
      </c>
      <c r="AX549" s="462">
        <f>IF(AND(M549="F",AS549&lt;&gt;0),SUMIF(C2:C698,C549,W2:W698),0)</f>
        <v>0</v>
      </c>
      <c r="AY549" s="462" t="str">
        <f t="shared" si="138"/>
        <v/>
      </c>
      <c r="AZ549" s="462" t="str">
        <f t="shared" si="139"/>
        <v/>
      </c>
      <c r="BA549" s="462">
        <f t="shared" si="140"/>
        <v>0</v>
      </c>
      <c r="BB549" s="462">
        <f>IF(AND(AT549=1,AK549="E",AU549&gt;=0.75,AW549=1),Health,IF(AND(AT549=1,AK549="E",AU549&gt;=0.75),Health*P549,IF(AND(AT549=1,AK549="E",AU549&gt;=0.5,AW549=1),PTHealth,IF(AND(AT549=1,AK549="E",AU549&gt;=0.5),PTHealth*P549,0))))</f>
        <v>0</v>
      </c>
      <c r="BC549" s="462">
        <f>IF(AND(AT549=3,AK549="E",AV549&gt;=0.75,AW549=1),Health,IF(AND(AT549=3,AK549="E",AV549&gt;=0.75),Health*P549,IF(AND(AT549=3,AK549="E",AV549&gt;=0.5,AW549=1),PTHealth,IF(AND(AT549=3,AK549="E",AV549&gt;=0.5),PTHealth*P549,0))))</f>
        <v>0</v>
      </c>
      <c r="BD549" s="462">
        <f>IF(AND(AT549&lt;&gt;0,AX549&gt;=MAXSSDI),SSDI*MAXSSDI*P549,IF(AT549&lt;&gt;0,SSDI*W549,0))</f>
        <v>0</v>
      </c>
      <c r="BE549" s="462">
        <f>IF(AT549&lt;&gt;0,SSHI*W549,0)</f>
        <v>0</v>
      </c>
      <c r="BF549" s="462">
        <f>IF(AND(AT549&lt;&gt;0,AN549&lt;&gt;"NE"),VLOOKUP(AN549,Retirement_Rates,3,FALSE)*W549,0)</f>
        <v>0</v>
      </c>
      <c r="BG549" s="462">
        <f>IF(AND(AT549&lt;&gt;0,AJ549&lt;&gt;"PF"),Life*W549,0)</f>
        <v>0</v>
      </c>
      <c r="BH549" s="462">
        <f>IF(AND(AT549&lt;&gt;0,AM549="Y"),UI*W549,0)</f>
        <v>0</v>
      </c>
      <c r="BI549" s="462">
        <f>IF(AND(AT549&lt;&gt;0,N549&lt;&gt;"NR"),DHR*W549,0)</f>
        <v>0</v>
      </c>
      <c r="BJ549" s="462">
        <f>IF(AT549&lt;&gt;0,WC*W549,0)</f>
        <v>0</v>
      </c>
      <c r="BK549" s="462">
        <f>IF(OR(AND(AT549&lt;&gt;0,AJ549&lt;&gt;"PF",AN549&lt;&gt;"NE",AG549&lt;&gt;"A"),AND(AL549="E",OR(AT549=1,AT549=3))),Sick*W549,0)</f>
        <v>0</v>
      </c>
      <c r="BL549" s="462">
        <f t="shared" si="141"/>
        <v>0</v>
      </c>
      <c r="BM549" s="462">
        <f t="shared" si="142"/>
        <v>0</v>
      </c>
      <c r="BN549" s="462">
        <f>IF(AND(AT549=1,AK549="E",AU549&gt;=0.75,AW549=1),HealthBY,IF(AND(AT549=1,AK549="E",AU549&gt;=0.75),HealthBY*P549,IF(AND(AT549=1,AK549="E",AU549&gt;=0.5,AW549=1),PTHealthBY,IF(AND(AT549=1,AK549="E",AU549&gt;=0.5),PTHealthBY*P549,0))))</f>
        <v>0</v>
      </c>
      <c r="BO549" s="462">
        <f>IF(AND(AT549=3,AK549="E",AV549&gt;=0.75,AW549=1),HealthBY,IF(AND(AT549=3,AK549="E",AV549&gt;=0.75),HealthBY*P549,IF(AND(AT549=3,AK549="E",AV549&gt;=0.5,AW549=1),PTHealthBY,IF(AND(AT549=3,AK549="E",AV549&gt;=0.5),PTHealthBY*P549,0))))</f>
        <v>0</v>
      </c>
      <c r="BP549" s="462">
        <f>IF(AND(AT549&lt;&gt;0,(AX549+BA549)&gt;=MAXSSDIBY),SSDIBY*MAXSSDIBY*P549,IF(AT549&lt;&gt;0,SSDIBY*W549,0))</f>
        <v>0</v>
      </c>
      <c r="BQ549" s="462">
        <f>IF(AT549&lt;&gt;0,SSHIBY*W549,0)</f>
        <v>0</v>
      </c>
      <c r="BR549" s="462">
        <f>IF(AND(AT549&lt;&gt;0,AN549&lt;&gt;"NE"),VLOOKUP(AN549,Retirement_Rates,4,FALSE)*W549,0)</f>
        <v>0</v>
      </c>
      <c r="BS549" s="462">
        <f>IF(AND(AT549&lt;&gt;0,AJ549&lt;&gt;"PF"),LifeBY*W549,0)</f>
        <v>0</v>
      </c>
      <c r="BT549" s="462">
        <f>IF(AND(AT549&lt;&gt;0,AM549="Y"),UIBY*W549,0)</f>
        <v>0</v>
      </c>
      <c r="BU549" s="462">
        <f>IF(AND(AT549&lt;&gt;0,N549&lt;&gt;"NR"),DHRBY*W549,0)</f>
        <v>0</v>
      </c>
      <c r="BV549" s="462">
        <f>IF(AT549&lt;&gt;0,WCBY*W549,0)</f>
        <v>0</v>
      </c>
      <c r="BW549" s="462">
        <f>IF(OR(AND(AT549&lt;&gt;0,AJ549&lt;&gt;"PF",AN549&lt;&gt;"NE",AG549&lt;&gt;"A"),AND(AL549="E",OR(AT549=1,AT549=3))),SickBY*W549,0)</f>
        <v>0</v>
      </c>
      <c r="BX549" s="462">
        <f t="shared" si="143"/>
        <v>0</v>
      </c>
      <c r="BY549" s="462">
        <f t="shared" si="144"/>
        <v>0</v>
      </c>
      <c r="BZ549" s="462">
        <f t="shared" si="145"/>
        <v>0</v>
      </c>
      <c r="CA549" s="462">
        <f t="shared" si="146"/>
        <v>0</v>
      </c>
      <c r="CB549" s="462">
        <f t="shared" si="147"/>
        <v>0</v>
      </c>
      <c r="CC549" s="462">
        <f>IF(AT549&lt;&gt;0,SSHICHG*Y549,0)</f>
        <v>0</v>
      </c>
      <c r="CD549" s="462">
        <f>IF(AND(AT549&lt;&gt;0,AN549&lt;&gt;"NE"),VLOOKUP(AN549,Retirement_Rates,5,FALSE)*Y549,0)</f>
        <v>0</v>
      </c>
      <c r="CE549" s="462">
        <f>IF(AND(AT549&lt;&gt;0,AJ549&lt;&gt;"PF"),LifeCHG*Y549,0)</f>
        <v>0</v>
      </c>
      <c r="CF549" s="462">
        <f>IF(AND(AT549&lt;&gt;0,AM549="Y"),UICHG*Y549,0)</f>
        <v>0</v>
      </c>
      <c r="CG549" s="462">
        <f>IF(AND(AT549&lt;&gt;0,N549&lt;&gt;"NR"),DHRCHG*Y549,0)</f>
        <v>0</v>
      </c>
      <c r="CH549" s="462">
        <f>IF(AT549&lt;&gt;0,WCCHG*Y549,0)</f>
        <v>0</v>
      </c>
      <c r="CI549" s="462">
        <f>IF(OR(AND(AT549&lt;&gt;0,AJ549&lt;&gt;"PF",AN549&lt;&gt;"NE",AG549&lt;&gt;"A"),AND(AL549="E",OR(AT549=1,AT549=3))),SickCHG*Y549,0)</f>
        <v>0</v>
      </c>
      <c r="CJ549" s="462">
        <f t="shared" si="148"/>
        <v>0</v>
      </c>
      <c r="CK549" s="462" t="str">
        <f t="shared" si="149"/>
        <v/>
      </c>
      <c r="CL549" s="462">
        <f t="shared" si="150"/>
        <v>0</v>
      </c>
      <c r="CM549" s="462">
        <f t="shared" si="151"/>
        <v>0</v>
      </c>
      <c r="CN549" s="462" t="str">
        <f t="shared" si="152"/>
        <v>0486-00</v>
      </c>
    </row>
    <row r="550" spans="1:92" ht="15" thickBot="1" x14ac:dyDescent="0.35">
      <c r="A550" s="376" t="s">
        <v>161</v>
      </c>
      <c r="B550" s="376" t="s">
        <v>162</v>
      </c>
      <c r="C550" s="376" t="s">
        <v>1236</v>
      </c>
      <c r="D550" s="376" t="s">
        <v>1218</v>
      </c>
      <c r="E550" s="376" t="s">
        <v>1140</v>
      </c>
      <c r="F550" s="377" t="s">
        <v>166</v>
      </c>
      <c r="G550" s="376" t="s">
        <v>1141</v>
      </c>
      <c r="H550" s="378"/>
      <c r="I550" s="378"/>
      <c r="J550" s="376" t="s">
        <v>168</v>
      </c>
      <c r="K550" s="376" t="s">
        <v>1219</v>
      </c>
      <c r="L550" s="376" t="s">
        <v>166</v>
      </c>
      <c r="M550" s="376" t="s">
        <v>201</v>
      </c>
      <c r="N550" s="376" t="s">
        <v>291</v>
      </c>
      <c r="O550" s="379">
        <v>0</v>
      </c>
      <c r="P550" s="460">
        <v>1</v>
      </c>
      <c r="Q550" s="460">
        <v>0</v>
      </c>
      <c r="R550" s="380">
        <v>0</v>
      </c>
      <c r="S550" s="460">
        <v>0</v>
      </c>
      <c r="T550" s="380">
        <v>0</v>
      </c>
      <c r="U550" s="380">
        <v>0</v>
      </c>
      <c r="V550" s="380">
        <v>0</v>
      </c>
      <c r="W550" s="380">
        <v>0</v>
      </c>
      <c r="X550" s="380">
        <v>0</v>
      </c>
      <c r="Y550" s="380">
        <v>0</v>
      </c>
      <c r="Z550" s="380">
        <v>0</v>
      </c>
      <c r="AA550" s="378"/>
      <c r="AB550" s="376" t="s">
        <v>45</v>
      </c>
      <c r="AC550" s="376" t="s">
        <v>45</v>
      </c>
      <c r="AD550" s="378"/>
      <c r="AE550" s="378"/>
      <c r="AF550" s="378"/>
      <c r="AG550" s="378"/>
      <c r="AH550" s="379">
        <v>0</v>
      </c>
      <c r="AI550" s="379">
        <v>0</v>
      </c>
      <c r="AJ550" s="378"/>
      <c r="AK550" s="378"/>
      <c r="AL550" s="376" t="s">
        <v>180</v>
      </c>
      <c r="AM550" s="378"/>
      <c r="AN550" s="378"/>
      <c r="AO550" s="379">
        <v>0</v>
      </c>
      <c r="AP550" s="460">
        <v>0</v>
      </c>
      <c r="AQ550" s="460">
        <v>0</v>
      </c>
      <c r="AR550" s="459"/>
      <c r="AS550" s="462">
        <f t="shared" si="136"/>
        <v>0</v>
      </c>
      <c r="AT550">
        <f t="shared" si="137"/>
        <v>0</v>
      </c>
      <c r="AU550" s="462" t="str">
        <f>IF(AT550=0,"",IF(AND(AT550=1,M550="F",SUMIF(C2:C698,C550,AS2:AS698)&lt;=1),SUMIF(C2:C698,C550,AS2:AS698),IF(AND(AT550=1,M550="F",SUMIF(C2:C698,C550,AS2:AS698)&gt;1),1,"")))</f>
        <v/>
      </c>
      <c r="AV550" s="462" t="str">
        <f>IF(AT550=0,"",IF(AND(AT550=3,M550="F",SUMIF(C2:C698,C550,AS2:AS698)&lt;=1),SUMIF(C2:C698,C550,AS2:AS698),IF(AND(AT550=3,M550="F",SUMIF(C2:C698,C550,AS2:AS698)&gt;1),1,"")))</f>
        <v/>
      </c>
      <c r="AW550" s="462">
        <f>SUMIF(C2:C698,C550,O2:O698)</f>
        <v>0</v>
      </c>
      <c r="AX550" s="462">
        <f>IF(AND(M550="F",AS550&lt;&gt;0),SUMIF(C2:C698,C550,W2:W698),0)</f>
        <v>0</v>
      </c>
      <c r="AY550" s="462" t="str">
        <f t="shared" si="138"/>
        <v/>
      </c>
      <c r="AZ550" s="462" t="str">
        <f t="shared" si="139"/>
        <v/>
      </c>
      <c r="BA550" s="462">
        <f t="shared" si="140"/>
        <v>0</v>
      </c>
      <c r="BB550" s="462">
        <f>IF(AND(AT550=1,AK550="E",AU550&gt;=0.75,AW550=1),Health,IF(AND(AT550=1,AK550="E",AU550&gt;=0.75),Health*P550,IF(AND(AT550=1,AK550="E",AU550&gt;=0.5,AW550=1),PTHealth,IF(AND(AT550=1,AK550="E",AU550&gt;=0.5),PTHealth*P550,0))))</f>
        <v>0</v>
      </c>
      <c r="BC550" s="462">
        <f>IF(AND(AT550=3,AK550="E",AV550&gt;=0.75,AW550=1),Health,IF(AND(AT550=3,AK550="E",AV550&gt;=0.75),Health*P550,IF(AND(AT550=3,AK550="E",AV550&gt;=0.5,AW550=1),PTHealth,IF(AND(AT550=3,AK550="E",AV550&gt;=0.5),PTHealth*P550,0))))</f>
        <v>0</v>
      </c>
      <c r="BD550" s="462">
        <f>IF(AND(AT550&lt;&gt;0,AX550&gt;=MAXSSDI),SSDI*MAXSSDI*P550,IF(AT550&lt;&gt;0,SSDI*W550,0))</f>
        <v>0</v>
      </c>
      <c r="BE550" s="462">
        <f>IF(AT550&lt;&gt;0,SSHI*W550,0)</f>
        <v>0</v>
      </c>
      <c r="BF550" s="462">
        <f>IF(AND(AT550&lt;&gt;0,AN550&lt;&gt;"NE"),VLOOKUP(AN550,Retirement_Rates,3,FALSE)*W550,0)</f>
        <v>0</v>
      </c>
      <c r="BG550" s="462">
        <f>IF(AND(AT550&lt;&gt;0,AJ550&lt;&gt;"PF"),Life*W550,0)</f>
        <v>0</v>
      </c>
      <c r="BH550" s="462">
        <f>IF(AND(AT550&lt;&gt;0,AM550="Y"),UI*W550,0)</f>
        <v>0</v>
      </c>
      <c r="BI550" s="462">
        <f>IF(AND(AT550&lt;&gt;0,N550&lt;&gt;"NR"),DHR*W550,0)</f>
        <v>0</v>
      </c>
      <c r="BJ550" s="462">
        <f>IF(AT550&lt;&gt;0,WC*W550,0)</f>
        <v>0</v>
      </c>
      <c r="BK550" s="462">
        <f>IF(OR(AND(AT550&lt;&gt;0,AJ550&lt;&gt;"PF",AN550&lt;&gt;"NE",AG550&lt;&gt;"A"),AND(AL550="E",OR(AT550=1,AT550=3))),Sick*W550,0)</f>
        <v>0</v>
      </c>
      <c r="BL550" s="462">
        <f t="shared" si="141"/>
        <v>0</v>
      </c>
      <c r="BM550" s="462">
        <f t="shared" si="142"/>
        <v>0</v>
      </c>
      <c r="BN550" s="462">
        <f>IF(AND(AT550=1,AK550="E",AU550&gt;=0.75,AW550=1),HealthBY,IF(AND(AT550=1,AK550="E",AU550&gt;=0.75),HealthBY*P550,IF(AND(AT550=1,AK550="E",AU550&gt;=0.5,AW550=1),PTHealthBY,IF(AND(AT550=1,AK550="E",AU550&gt;=0.5),PTHealthBY*P550,0))))</f>
        <v>0</v>
      </c>
      <c r="BO550" s="462">
        <f>IF(AND(AT550=3,AK550="E",AV550&gt;=0.75,AW550=1),HealthBY,IF(AND(AT550=3,AK550="E",AV550&gt;=0.75),HealthBY*P550,IF(AND(AT550=3,AK550="E",AV550&gt;=0.5,AW550=1),PTHealthBY,IF(AND(AT550=3,AK550="E",AV550&gt;=0.5),PTHealthBY*P550,0))))</f>
        <v>0</v>
      </c>
      <c r="BP550" s="462">
        <f>IF(AND(AT550&lt;&gt;0,(AX550+BA550)&gt;=MAXSSDIBY),SSDIBY*MAXSSDIBY*P550,IF(AT550&lt;&gt;0,SSDIBY*W550,0))</f>
        <v>0</v>
      </c>
      <c r="BQ550" s="462">
        <f>IF(AT550&lt;&gt;0,SSHIBY*W550,0)</f>
        <v>0</v>
      </c>
      <c r="BR550" s="462">
        <f>IF(AND(AT550&lt;&gt;0,AN550&lt;&gt;"NE"),VLOOKUP(AN550,Retirement_Rates,4,FALSE)*W550,0)</f>
        <v>0</v>
      </c>
      <c r="BS550" s="462">
        <f>IF(AND(AT550&lt;&gt;0,AJ550&lt;&gt;"PF"),LifeBY*W550,0)</f>
        <v>0</v>
      </c>
      <c r="BT550" s="462">
        <f>IF(AND(AT550&lt;&gt;0,AM550="Y"),UIBY*W550,0)</f>
        <v>0</v>
      </c>
      <c r="BU550" s="462">
        <f>IF(AND(AT550&lt;&gt;0,N550&lt;&gt;"NR"),DHRBY*W550,0)</f>
        <v>0</v>
      </c>
      <c r="BV550" s="462">
        <f>IF(AT550&lt;&gt;0,WCBY*W550,0)</f>
        <v>0</v>
      </c>
      <c r="BW550" s="462">
        <f>IF(OR(AND(AT550&lt;&gt;0,AJ550&lt;&gt;"PF",AN550&lt;&gt;"NE",AG550&lt;&gt;"A"),AND(AL550="E",OR(AT550=1,AT550=3))),SickBY*W550,0)</f>
        <v>0</v>
      </c>
      <c r="BX550" s="462">
        <f t="shared" si="143"/>
        <v>0</v>
      </c>
      <c r="BY550" s="462">
        <f t="shared" si="144"/>
        <v>0</v>
      </c>
      <c r="BZ550" s="462">
        <f t="shared" si="145"/>
        <v>0</v>
      </c>
      <c r="CA550" s="462">
        <f t="shared" si="146"/>
        <v>0</v>
      </c>
      <c r="CB550" s="462">
        <f t="shared" si="147"/>
        <v>0</v>
      </c>
      <c r="CC550" s="462">
        <f>IF(AT550&lt;&gt;0,SSHICHG*Y550,0)</f>
        <v>0</v>
      </c>
      <c r="CD550" s="462">
        <f>IF(AND(AT550&lt;&gt;0,AN550&lt;&gt;"NE"),VLOOKUP(AN550,Retirement_Rates,5,FALSE)*Y550,0)</f>
        <v>0</v>
      </c>
      <c r="CE550" s="462">
        <f>IF(AND(AT550&lt;&gt;0,AJ550&lt;&gt;"PF"),LifeCHG*Y550,0)</f>
        <v>0</v>
      </c>
      <c r="CF550" s="462">
        <f>IF(AND(AT550&lt;&gt;0,AM550="Y"),UICHG*Y550,0)</f>
        <v>0</v>
      </c>
      <c r="CG550" s="462">
        <f>IF(AND(AT550&lt;&gt;0,N550&lt;&gt;"NR"),DHRCHG*Y550,0)</f>
        <v>0</v>
      </c>
      <c r="CH550" s="462">
        <f>IF(AT550&lt;&gt;0,WCCHG*Y550,0)</f>
        <v>0</v>
      </c>
      <c r="CI550" s="462">
        <f>IF(OR(AND(AT550&lt;&gt;0,AJ550&lt;&gt;"PF",AN550&lt;&gt;"NE",AG550&lt;&gt;"A"),AND(AL550="E",OR(AT550=1,AT550=3))),SickCHG*Y550,0)</f>
        <v>0</v>
      </c>
      <c r="CJ550" s="462">
        <f t="shared" si="148"/>
        <v>0</v>
      </c>
      <c r="CK550" s="462" t="str">
        <f t="shared" si="149"/>
        <v/>
      </c>
      <c r="CL550" s="462">
        <f t="shared" si="150"/>
        <v>0</v>
      </c>
      <c r="CM550" s="462">
        <f t="shared" si="151"/>
        <v>0</v>
      </c>
      <c r="CN550" s="462" t="str">
        <f t="shared" si="152"/>
        <v>0486-00</v>
      </c>
    </row>
    <row r="551" spans="1:92" ht="15" thickBot="1" x14ac:dyDescent="0.35">
      <c r="A551" s="376" t="s">
        <v>161</v>
      </c>
      <c r="B551" s="376" t="s">
        <v>162</v>
      </c>
      <c r="C551" s="376" t="s">
        <v>1237</v>
      </c>
      <c r="D551" s="376" t="s">
        <v>716</v>
      </c>
      <c r="E551" s="376" t="s">
        <v>1140</v>
      </c>
      <c r="F551" s="377" t="s">
        <v>166</v>
      </c>
      <c r="G551" s="376" t="s">
        <v>1141</v>
      </c>
      <c r="H551" s="378"/>
      <c r="I551" s="378"/>
      <c r="J551" s="376" t="s">
        <v>185</v>
      </c>
      <c r="K551" s="376" t="s">
        <v>717</v>
      </c>
      <c r="L551" s="376" t="s">
        <v>349</v>
      </c>
      <c r="M551" s="376" t="s">
        <v>201</v>
      </c>
      <c r="N551" s="376" t="s">
        <v>291</v>
      </c>
      <c r="O551" s="379">
        <v>0</v>
      </c>
      <c r="P551" s="460">
        <v>1</v>
      </c>
      <c r="Q551" s="460">
        <v>0</v>
      </c>
      <c r="R551" s="380">
        <v>0</v>
      </c>
      <c r="S551" s="460">
        <v>0</v>
      </c>
      <c r="T551" s="380">
        <v>0</v>
      </c>
      <c r="U551" s="380">
        <v>0</v>
      </c>
      <c r="V551" s="380">
        <v>0</v>
      </c>
      <c r="W551" s="380">
        <v>0</v>
      </c>
      <c r="X551" s="380">
        <v>0</v>
      </c>
      <c r="Y551" s="380">
        <v>0</v>
      </c>
      <c r="Z551" s="380">
        <v>0</v>
      </c>
      <c r="AA551" s="378"/>
      <c r="AB551" s="376" t="s">
        <v>45</v>
      </c>
      <c r="AC551" s="376" t="s">
        <v>45</v>
      </c>
      <c r="AD551" s="378"/>
      <c r="AE551" s="378"/>
      <c r="AF551" s="378"/>
      <c r="AG551" s="378"/>
      <c r="AH551" s="379">
        <v>0</v>
      </c>
      <c r="AI551" s="379">
        <v>0</v>
      </c>
      <c r="AJ551" s="378"/>
      <c r="AK551" s="378"/>
      <c r="AL551" s="376" t="s">
        <v>180</v>
      </c>
      <c r="AM551" s="378"/>
      <c r="AN551" s="378"/>
      <c r="AO551" s="379">
        <v>0</v>
      </c>
      <c r="AP551" s="460">
        <v>0</v>
      </c>
      <c r="AQ551" s="460">
        <v>0</v>
      </c>
      <c r="AR551" s="459"/>
      <c r="AS551" s="462">
        <f t="shared" si="136"/>
        <v>0</v>
      </c>
      <c r="AT551">
        <f t="shared" si="137"/>
        <v>0</v>
      </c>
      <c r="AU551" s="462" t="str">
        <f>IF(AT551=0,"",IF(AND(AT551=1,M551="F",SUMIF(C2:C698,C551,AS2:AS698)&lt;=1),SUMIF(C2:C698,C551,AS2:AS698),IF(AND(AT551=1,M551="F",SUMIF(C2:C698,C551,AS2:AS698)&gt;1),1,"")))</f>
        <v/>
      </c>
      <c r="AV551" s="462" t="str">
        <f>IF(AT551=0,"",IF(AND(AT551=3,M551="F",SUMIF(C2:C698,C551,AS2:AS698)&lt;=1),SUMIF(C2:C698,C551,AS2:AS698),IF(AND(AT551=3,M551="F",SUMIF(C2:C698,C551,AS2:AS698)&gt;1),1,"")))</f>
        <v/>
      </c>
      <c r="AW551" s="462">
        <f>SUMIF(C2:C698,C551,O2:O698)</f>
        <v>0</v>
      </c>
      <c r="AX551" s="462">
        <f>IF(AND(M551="F",AS551&lt;&gt;0),SUMIF(C2:C698,C551,W2:W698),0)</f>
        <v>0</v>
      </c>
      <c r="AY551" s="462" t="str">
        <f t="shared" si="138"/>
        <v/>
      </c>
      <c r="AZ551" s="462" t="str">
        <f t="shared" si="139"/>
        <v/>
      </c>
      <c r="BA551" s="462">
        <f t="shared" si="140"/>
        <v>0</v>
      </c>
      <c r="BB551" s="462">
        <f>IF(AND(AT551=1,AK551="E",AU551&gt;=0.75,AW551=1),Health,IF(AND(AT551=1,AK551="E",AU551&gt;=0.75),Health*P551,IF(AND(AT551=1,AK551="E",AU551&gt;=0.5,AW551=1),PTHealth,IF(AND(AT551=1,AK551="E",AU551&gt;=0.5),PTHealth*P551,0))))</f>
        <v>0</v>
      </c>
      <c r="BC551" s="462">
        <f>IF(AND(AT551=3,AK551="E",AV551&gt;=0.75,AW551=1),Health,IF(AND(AT551=3,AK551="E",AV551&gt;=0.75),Health*P551,IF(AND(AT551=3,AK551="E",AV551&gt;=0.5,AW551=1),PTHealth,IF(AND(AT551=3,AK551="E",AV551&gt;=0.5),PTHealth*P551,0))))</f>
        <v>0</v>
      </c>
      <c r="BD551" s="462">
        <f>IF(AND(AT551&lt;&gt;0,AX551&gt;=MAXSSDI),SSDI*MAXSSDI*P551,IF(AT551&lt;&gt;0,SSDI*W551,0))</f>
        <v>0</v>
      </c>
      <c r="BE551" s="462">
        <f>IF(AT551&lt;&gt;0,SSHI*W551,0)</f>
        <v>0</v>
      </c>
      <c r="BF551" s="462">
        <f>IF(AND(AT551&lt;&gt;0,AN551&lt;&gt;"NE"),VLOOKUP(AN551,Retirement_Rates,3,FALSE)*W551,0)</f>
        <v>0</v>
      </c>
      <c r="BG551" s="462">
        <f>IF(AND(AT551&lt;&gt;0,AJ551&lt;&gt;"PF"),Life*W551,0)</f>
        <v>0</v>
      </c>
      <c r="BH551" s="462">
        <f>IF(AND(AT551&lt;&gt;0,AM551="Y"),UI*W551,0)</f>
        <v>0</v>
      </c>
      <c r="BI551" s="462">
        <f>IF(AND(AT551&lt;&gt;0,N551&lt;&gt;"NR"),DHR*W551,0)</f>
        <v>0</v>
      </c>
      <c r="BJ551" s="462">
        <f>IF(AT551&lt;&gt;0,WC*W551,0)</f>
        <v>0</v>
      </c>
      <c r="BK551" s="462">
        <f>IF(OR(AND(AT551&lt;&gt;0,AJ551&lt;&gt;"PF",AN551&lt;&gt;"NE",AG551&lt;&gt;"A"),AND(AL551="E",OR(AT551=1,AT551=3))),Sick*W551,0)</f>
        <v>0</v>
      </c>
      <c r="BL551" s="462">
        <f t="shared" si="141"/>
        <v>0</v>
      </c>
      <c r="BM551" s="462">
        <f t="shared" si="142"/>
        <v>0</v>
      </c>
      <c r="BN551" s="462">
        <f>IF(AND(AT551=1,AK551="E",AU551&gt;=0.75,AW551=1),HealthBY,IF(AND(AT551=1,AK551="E",AU551&gt;=0.75),HealthBY*P551,IF(AND(AT551=1,AK551="E",AU551&gt;=0.5,AW551=1),PTHealthBY,IF(AND(AT551=1,AK551="E",AU551&gt;=0.5),PTHealthBY*P551,0))))</f>
        <v>0</v>
      </c>
      <c r="BO551" s="462">
        <f>IF(AND(AT551=3,AK551="E",AV551&gt;=0.75,AW551=1),HealthBY,IF(AND(AT551=3,AK551="E",AV551&gt;=0.75),HealthBY*P551,IF(AND(AT551=3,AK551="E",AV551&gt;=0.5,AW551=1),PTHealthBY,IF(AND(AT551=3,AK551="E",AV551&gt;=0.5),PTHealthBY*P551,0))))</f>
        <v>0</v>
      </c>
      <c r="BP551" s="462">
        <f>IF(AND(AT551&lt;&gt;0,(AX551+BA551)&gt;=MAXSSDIBY),SSDIBY*MAXSSDIBY*P551,IF(AT551&lt;&gt;0,SSDIBY*W551,0))</f>
        <v>0</v>
      </c>
      <c r="BQ551" s="462">
        <f>IF(AT551&lt;&gt;0,SSHIBY*W551,0)</f>
        <v>0</v>
      </c>
      <c r="BR551" s="462">
        <f>IF(AND(AT551&lt;&gt;0,AN551&lt;&gt;"NE"),VLOOKUP(AN551,Retirement_Rates,4,FALSE)*W551,0)</f>
        <v>0</v>
      </c>
      <c r="BS551" s="462">
        <f>IF(AND(AT551&lt;&gt;0,AJ551&lt;&gt;"PF"),LifeBY*W551,0)</f>
        <v>0</v>
      </c>
      <c r="BT551" s="462">
        <f>IF(AND(AT551&lt;&gt;0,AM551="Y"),UIBY*W551,0)</f>
        <v>0</v>
      </c>
      <c r="BU551" s="462">
        <f>IF(AND(AT551&lt;&gt;0,N551&lt;&gt;"NR"),DHRBY*W551,0)</f>
        <v>0</v>
      </c>
      <c r="BV551" s="462">
        <f>IF(AT551&lt;&gt;0,WCBY*W551,0)</f>
        <v>0</v>
      </c>
      <c r="BW551" s="462">
        <f>IF(OR(AND(AT551&lt;&gt;0,AJ551&lt;&gt;"PF",AN551&lt;&gt;"NE",AG551&lt;&gt;"A"),AND(AL551="E",OR(AT551=1,AT551=3))),SickBY*W551,0)</f>
        <v>0</v>
      </c>
      <c r="BX551" s="462">
        <f t="shared" si="143"/>
        <v>0</v>
      </c>
      <c r="BY551" s="462">
        <f t="shared" si="144"/>
        <v>0</v>
      </c>
      <c r="BZ551" s="462">
        <f t="shared" si="145"/>
        <v>0</v>
      </c>
      <c r="CA551" s="462">
        <f t="shared" si="146"/>
        <v>0</v>
      </c>
      <c r="CB551" s="462">
        <f t="shared" si="147"/>
        <v>0</v>
      </c>
      <c r="CC551" s="462">
        <f>IF(AT551&lt;&gt;0,SSHICHG*Y551,0)</f>
        <v>0</v>
      </c>
      <c r="CD551" s="462">
        <f>IF(AND(AT551&lt;&gt;0,AN551&lt;&gt;"NE"),VLOOKUP(AN551,Retirement_Rates,5,FALSE)*Y551,0)</f>
        <v>0</v>
      </c>
      <c r="CE551" s="462">
        <f>IF(AND(AT551&lt;&gt;0,AJ551&lt;&gt;"PF"),LifeCHG*Y551,0)</f>
        <v>0</v>
      </c>
      <c r="CF551" s="462">
        <f>IF(AND(AT551&lt;&gt;0,AM551="Y"),UICHG*Y551,0)</f>
        <v>0</v>
      </c>
      <c r="CG551" s="462">
        <f>IF(AND(AT551&lt;&gt;0,N551&lt;&gt;"NR"),DHRCHG*Y551,0)</f>
        <v>0</v>
      </c>
      <c r="CH551" s="462">
        <f>IF(AT551&lt;&gt;0,WCCHG*Y551,0)</f>
        <v>0</v>
      </c>
      <c r="CI551" s="462">
        <f>IF(OR(AND(AT551&lt;&gt;0,AJ551&lt;&gt;"PF",AN551&lt;&gt;"NE",AG551&lt;&gt;"A"),AND(AL551="E",OR(AT551=1,AT551=3))),SickCHG*Y551,0)</f>
        <v>0</v>
      </c>
      <c r="CJ551" s="462">
        <f t="shared" si="148"/>
        <v>0</v>
      </c>
      <c r="CK551" s="462" t="str">
        <f t="shared" si="149"/>
        <v/>
      </c>
      <c r="CL551" s="462">
        <f t="shared" si="150"/>
        <v>0</v>
      </c>
      <c r="CM551" s="462">
        <f t="shared" si="151"/>
        <v>0</v>
      </c>
      <c r="CN551" s="462" t="str">
        <f t="shared" si="152"/>
        <v>0486-00</v>
      </c>
    </row>
    <row r="552" spans="1:92" ht="15" thickBot="1" x14ac:dyDescent="0.35">
      <c r="A552" s="376" t="s">
        <v>161</v>
      </c>
      <c r="B552" s="376" t="s">
        <v>162</v>
      </c>
      <c r="C552" s="376" t="s">
        <v>1238</v>
      </c>
      <c r="D552" s="376" t="s">
        <v>287</v>
      </c>
      <c r="E552" s="376" t="s">
        <v>1140</v>
      </c>
      <c r="F552" s="377" t="s">
        <v>166</v>
      </c>
      <c r="G552" s="376" t="s">
        <v>1141</v>
      </c>
      <c r="H552" s="378"/>
      <c r="I552" s="378"/>
      <c r="J552" s="376" t="s">
        <v>168</v>
      </c>
      <c r="K552" s="376" t="s">
        <v>290</v>
      </c>
      <c r="L552" s="376" t="s">
        <v>166</v>
      </c>
      <c r="M552" s="376" t="s">
        <v>201</v>
      </c>
      <c r="N552" s="376" t="s">
        <v>291</v>
      </c>
      <c r="O552" s="379">
        <v>0</v>
      </c>
      <c r="P552" s="460">
        <v>1</v>
      </c>
      <c r="Q552" s="460">
        <v>0</v>
      </c>
      <c r="R552" s="380">
        <v>0</v>
      </c>
      <c r="S552" s="460">
        <v>0</v>
      </c>
      <c r="T552" s="380">
        <v>0</v>
      </c>
      <c r="U552" s="380">
        <v>0</v>
      </c>
      <c r="V552" s="380">
        <v>0</v>
      </c>
      <c r="W552" s="380">
        <v>0</v>
      </c>
      <c r="X552" s="380">
        <v>0</v>
      </c>
      <c r="Y552" s="380">
        <v>0</v>
      </c>
      <c r="Z552" s="380">
        <v>0</v>
      </c>
      <c r="AA552" s="378"/>
      <c r="AB552" s="376" t="s">
        <v>45</v>
      </c>
      <c r="AC552" s="376" t="s">
        <v>45</v>
      </c>
      <c r="AD552" s="378"/>
      <c r="AE552" s="378"/>
      <c r="AF552" s="378"/>
      <c r="AG552" s="378"/>
      <c r="AH552" s="379">
        <v>0</v>
      </c>
      <c r="AI552" s="379">
        <v>0</v>
      </c>
      <c r="AJ552" s="378"/>
      <c r="AK552" s="378"/>
      <c r="AL552" s="376" t="s">
        <v>180</v>
      </c>
      <c r="AM552" s="378"/>
      <c r="AN552" s="378"/>
      <c r="AO552" s="379">
        <v>0</v>
      </c>
      <c r="AP552" s="460">
        <v>0</v>
      </c>
      <c r="AQ552" s="460">
        <v>0</v>
      </c>
      <c r="AR552" s="459"/>
      <c r="AS552" s="462">
        <f t="shared" si="136"/>
        <v>0</v>
      </c>
      <c r="AT552">
        <f t="shared" si="137"/>
        <v>0</v>
      </c>
      <c r="AU552" s="462" t="str">
        <f>IF(AT552=0,"",IF(AND(AT552=1,M552="F",SUMIF(C2:C698,C552,AS2:AS698)&lt;=1),SUMIF(C2:C698,C552,AS2:AS698),IF(AND(AT552=1,M552="F",SUMIF(C2:C698,C552,AS2:AS698)&gt;1),1,"")))</f>
        <v/>
      </c>
      <c r="AV552" s="462" t="str">
        <f>IF(AT552=0,"",IF(AND(AT552=3,M552="F",SUMIF(C2:C698,C552,AS2:AS698)&lt;=1),SUMIF(C2:C698,C552,AS2:AS698),IF(AND(AT552=3,M552="F",SUMIF(C2:C698,C552,AS2:AS698)&gt;1),1,"")))</f>
        <v/>
      </c>
      <c r="AW552" s="462">
        <f>SUMIF(C2:C698,C552,O2:O698)</f>
        <v>0</v>
      </c>
      <c r="AX552" s="462">
        <f>IF(AND(M552="F",AS552&lt;&gt;0),SUMIF(C2:C698,C552,W2:W698),0)</f>
        <v>0</v>
      </c>
      <c r="AY552" s="462" t="str">
        <f t="shared" si="138"/>
        <v/>
      </c>
      <c r="AZ552" s="462" t="str">
        <f t="shared" si="139"/>
        <v/>
      </c>
      <c r="BA552" s="462">
        <f t="shared" si="140"/>
        <v>0</v>
      </c>
      <c r="BB552" s="462">
        <f>IF(AND(AT552=1,AK552="E",AU552&gt;=0.75,AW552=1),Health,IF(AND(AT552=1,AK552="E",AU552&gt;=0.75),Health*P552,IF(AND(AT552=1,AK552="E",AU552&gt;=0.5,AW552=1),PTHealth,IF(AND(AT552=1,AK552="E",AU552&gt;=0.5),PTHealth*P552,0))))</f>
        <v>0</v>
      </c>
      <c r="BC552" s="462">
        <f>IF(AND(AT552=3,AK552="E",AV552&gt;=0.75,AW552=1),Health,IF(AND(AT552=3,AK552="E",AV552&gt;=0.75),Health*P552,IF(AND(AT552=3,AK552="E",AV552&gt;=0.5,AW552=1),PTHealth,IF(AND(AT552=3,AK552="E",AV552&gt;=0.5),PTHealth*P552,0))))</f>
        <v>0</v>
      </c>
      <c r="BD552" s="462">
        <f>IF(AND(AT552&lt;&gt;0,AX552&gt;=MAXSSDI),SSDI*MAXSSDI*P552,IF(AT552&lt;&gt;0,SSDI*W552,0))</f>
        <v>0</v>
      </c>
      <c r="BE552" s="462">
        <f>IF(AT552&lt;&gt;0,SSHI*W552,0)</f>
        <v>0</v>
      </c>
      <c r="BF552" s="462">
        <f>IF(AND(AT552&lt;&gt;0,AN552&lt;&gt;"NE"),VLOOKUP(AN552,Retirement_Rates,3,FALSE)*W552,0)</f>
        <v>0</v>
      </c>
      <c r="BG552" s="462">
        <f>IF(AND(AT552&lt;&gt;0,AJ552&lt;&gt;"PF"),Life*W552,0)</f>
        <v>0</v>
      </c>
      <c r="BH552" s="462">
        <f>IF(AND(AT552&lt;&gt;0,AM552="Y"),UI*W552,0)</f>
        <v>0</v>
      </c>
      <c r="BI552" s="462">
        <f>IF(AND(AT552&lt;&gt;0,N552&lt;&gt;"NR"),DHR*W552,0)</f>
        <v>0</v>
      </c>
      <c r="BJ552" s="462">
        <f>IF(AT552&lt;&gt;0,WC*W552,0)</f>
        <v>0</v>
      </c>
      <c r="BK552" s="462">
        <f>IF(OR(AND(AT552&lt;&gt;0,AJ552&lt;&gt;"PF",AN552&lt;&gt;"NE",AG552&lt;&gt;"A"),AND(AL552="E",OR(AT552=1,AT552=3))),Sick*W552,0)</f>
        <v>0</v>
      </c>
      <c r="BL552" s="462">
        <f t="shared" si="141"/>
        <v>0</v>
      </c>
      <c r="BM552" s="462">
        <f t="shared" si="142"/>
        <v>0</v>
      </c>
      <c r="BN552" s="462">
        <f>IF(AND(AT552=1,AK552="E",AU552&gt;=0.75,AW552=1),HealthBY,IF(AND(AT552=1,AK552="E",AU552&gt;=0.75),HealthBY*P552,IF(AND(AT552=1,AK552="E",AU552&gt;=0.5,AW552=1),PTHealthBY,IF(AND(AT552=1,AK552="E",AU552&gt;=0.5),PTHealthBY*P552,0))))</f>
        <v>0</v>
      </c>
      <c r="BO552" s="462">
        <f>IF(AND(AT552=3,AK552="E",AV552&gt;=0.75,AW552=1),HealthBY,IF(AND(AT552=3,AK552="E",AV552&gt;=0.75),HealthBY*P552,IF(AND(AT552=3,AK552="E",AV552&gt;=0.5,AW552=1),PTHealthBY,IF(AND(AT552=3,AK552="E",AV552&gt;=0.5),PTHealthBY*P552,0))))</f>
        <v>0</v>
      </c>
      <c r="BP552" s="462">
        <f>IF(AND(AT552&lt;&gt;0,(AX552+BA552)&gt;=MAXSSDIBY),SSDIBY*MAXSSDIBY*P552,IF(AT552&lt;&gt;0,SSDIBY*W552,0))</f>
        <v>0</v>
      </c>
      <c r="BQ552" s="462">
        <f>IF(AT552&lt;&gt;0,SSHIBY*W552,0)</f>
        <v>0</v>
      </c>
      <c r="BR552" s="462">
        <f>IF(AND(AT552&lt;&gt;0,AN552&lt;&gt;"NE"),VLOOKUP(AN552,Retirement_Rates,4,FALSE)*W552,0)</f>
        <v>0</v>
      </c>
      <c r="BS552" s="462">
        <f>IF(AND(AT552&lt;&gt;0,AJ552&lt;&gt;"PF"),LifeBY*W552,0)</f>
        <v>0</v>
      </c>
      <c r="BT552" s="462">
        <f>IF(AND(AT552&lt;&gt;0,AM552="Y"),UIBY*W552,0)</f>
        <v>0</v>
      </c>
      <c r="BU552" s="462">
        <f>IF(AND(AT552&lt;&gt;0,N552&lt;&gt;"NR"),DHRBY*W552,0)</f>
        <v>0</v>
      </c>
      <c r="BV552" s="462">
        <f>IF(AT552&lt;&gt;0,WCBY*W552,0)</f>
        <v>0</v>
      </c>
      <c r="BW552" s="462">
        <f>IF(OR(AND(AT552&lt;&gt;0,AJ552&lt;&gt;"PF",AN552&lt;&gt;"NE",AG552&lt;&gt;"A"),AND(AL552="E",OR(AT552=1,AT552=3))),SickBY*W552,0)</f>
        <v>0</v>
      </c>
      <c r="BX552" s="462">
        <f t="shared" si="143"/>
        <v>0</v>
      </c>
      <c r="BY552" s="462">
        <f t="shared" si="144"/>
        <v>0</v>
      </c>
      <c r="BZ552" s="462">
        <f t="shared" si="145"/>
        <v>0</v>
      </c>
      <c r="CA552" s="462">
        <f t="shared" si="146"/>
        <v>0</v>
      </c>
      <c r="CB552" s="462">
        <f t="shared" si="147"/>
        <v>0</v>
      </c>
      <c r="CC552" s="462">
        <f>IF(AT552&lt;&gt;0,SSHICHG*Y552,0)</f>
        <v>0</v>
      </c>
      <c r="CD552" s="462">
        <f>IF(AND(AT552&lt;&gt;0,AN552&lt;&gt;"NE"),VLOOKUP(AN552,Retirement_Rates,5,FALSE)*Y552,0)</f>
        <v>0</v>
      </c>
      <c r="CE552" s="462">
        <f>IF(AND(AT552&lt;&gt;0,AJ552&lt;&gt;"PF"),LifeCHG*Y552,0)</f>
        <v>0</v>
      </c>
      <c r="CF552" s="462">
        <f>IF(AND(AT552&lt;&gt;0,AM552="Y"),UICHG*Y552,0)</f>
        <v>0</v>
      </c>
      <c r="CG552" s="462">
        <f>IF(AND(AT552&lt;&gt;0,N552&lt;&gt;"NR"),DHRCHG*Y552,0)</f>
        <v>0</v>
      </c>
      <c r="CH552" s="462">
        <f>IF(AT552&lt;&gt;0,WCCHG*Y552,0)</f>
        <v>0</v>
      </c>
      <c r="CI552" s="462">
        <f>IF(OR(AND(AT552&lt;&gt;0,AJ552&lt;&gt;"PF",AN552&lt;&gt;"NE",AG552&lt;&gt;"A"),AND(AL552="E",OR(AT552=1,AT552=3))),SickCHG*Y552,0)</f>
        <v>0</v>
      </c>
      <c r="CJ552" s="462">
        <f t="shared" si="148"/>
        <v>0</v>
      </c>
      <c r="CK552" s="462" t="str">
        <f t="shared" si="149"/>
        <v/>
      </c>
      <c r="CL552" s="462">
        <f t="shared" si="150"/>
        <v>0</v>
      </c>
      <c r="CM552" s="462">
        <f t="shared" si="151"/>
        <v>0</v>
      </c>
      <c r="CN552" s="462" t="str">
        <f t="shared" si="152"/>
        <v>0486-00</v>
      </c>
    </row>
    <row r="553" spans="1:92" ht="15" thickBot="1" x14ac:dyDescent="0.35">
      <c r="A553" s="376" t="s">
        <v>161</v>
      </c>
      <c r="B553" s="376" t="s">
        <v>162</v>
      </c>
      <c r="C553" s="376" t="s">
        <v>1239</v>
      </c>
      <c r="D553" s="376" t="s">
        <v>1150</v>
      </c>
      <c r="E553" s="376" t="s">
        <v>1140</v>
      </c>
      <c r="F553" s="377" t="s">
        <v>166</v>
      </c>
      <c r="G553" s="376" t="s">
        <v>1141</v>
      </c>
      <c r="H553" s="378"/>
      <c r="I553" s="378"/>
      <c r="J553" s="376" t="s">
        <v>185</v>
      </c>
      <c r="K553" s="376" t="s">
        <v>1151</v>
      </c>
      <c r="L553" s="376" t="s">
        <v>166</v>
      </c>
      <c r="M553" s="376" t="s">
        <v>201</v>
      </c>
      <c r="N553" s="376" t="s">
        <v>291</v>
      </c>
      <c r="O553" s="379">
        <v>0</v>
      </c>
      <c r="P553" s="460">
        <v>1</v>
      </c>
      <c r="Q553" s="460">
        <v>0</v>
      </c>
      <c r="R553" s="380">
        <v>0</v>
      </c>
      <c r="S553" s="460">
        <v>0</v>
      </c>
      <c r="T553" s="380">
        <v>0</v>
      </c>
      <c r="U553" s="380">
        <v>0</v>
      </c>
      <c r="V553" s="380">
        <v>0</v>
      </c>
      <c r="W553" s="380">
        <v>0</v>
      </c>
      <c r="X553" s="380">
        <v>0</v>
      </c>
      <c r="Y553" s="380">
        <v>0</v>
      </c>
      <c r="Z553" s="380">
        <v>0</v>
      </c>
      <c r="AA553" s="378"/>
      <c r="AB553" s="376" t="s">
        <v>45</v>
      </c>
      <c r="AC553" s="376" t="s">
        <v>45</v>
      </c>
      <c r="AD553" s="378"/>
      <c r="AE553" s="378"/>
      <c r="AF553" s="378"/>
      <c r="AG553" s="378"/>
      <c r="AH553" s="379">
        <v>0</v>
      </c>
      <c r="AI553" s="379">
        <v>0</v>
      </c>
      <c r="AJ553" s="378"/>
      <c r="AK553" s="378"/>
      <c r="AL553" s="376" t="s">
        <v>180</v>
      </c>
      <c r="AM553" s="378"/>
      <c r="AN553" s="378"/>
      <c r="AO553" s="379">
        <v>0</v>
      </c>
      <c r="AP553" s="460">
        <v>0</v>
      </c>
      <c r="AQ553" s="460">
        <v>0</v>
      </c>
      <c r="AR553" s="459"/>
      <c r="AS553" s="462">
        <f t="shared" si="136"/>
        <v>0</v>
      </c>
      <c r="AT553">
        <f t="shared" si="137"/>
        <v>0</v>
      </c>
      <c r="AU553" s="462" t="str">
        <f>IF(AT553=0,"",IF(AND(AT553=1,M553="F",SUMIF(C2:C698,C553,AS2:AS698)&lt;=1),SUMIF(C2:C698,C553,AS2:AS698),IF(AND(AT553=1,M553="F",SUMIF(C2:C698,C553,AS2:AS698)&gt;1),1,"")))</f>
        <v/>
      </c>
      <c r="AV553" s="462" t="str">
        <f>IF(AT553=0,"",IF(AND(AT553=3,M553="F",SUMIF(C2:C698,C553,AS2:AS698)&lt;=1),SUMIF(C2:C698,C553,AS2:AS698),IF(AND(AT553=3,M553="F",SUMIF(C2:C698,C553,AS2:AS698)&gt;1),1,"")))</f>
        <v/>
      </c>
      <c r="AW553" s="462">
        <f>SUMIF(C2:C698,C553,O2:O698)</f>
        <v>0</v>
      </c>
      <c r="AX553" s="462">
        <f>IF(AND(M553="F",AS553&lt;&gt;0),SUMIF(C2:C698,C553,W2:W698),0)</f>
        <v>0</v>
      </c>
      <c r="AY553" s="462" t="str">
        <f t="shared" si="138"/>
        <v/>
      </c>
      <c r="AZ553" s="462" t="str">
        <f t="shared" si="139"/>
        <v/>
      </c>
      <c r="BA553" s="462">
        <f t="shared" si="140"/>
        <v>0</v>
      </c>
      <c r="BB553" s="462">
        <f>IF(AND(AT553=1,AK553="E",AU553&gt;=0.75,AW553=1),Health,IF(AND(AT553=1,AK553="E",AU553&gt;=0.75),Health*P553,IF(AND(AT553=1,AK553="E",AU553&gt;=0.5,AW553=1),PTHealth,IF(AND(AT553=1,AK553="E",AU553&gt;=0.5),PTHealth*P553,0))))</f>
        <v>0</v>
      </c>
      <c r="BC553" s="462">
        <f>IF(AND(AT553=3,AK553="E",AV553&gt;=0.75,AW553=1),Health,IF(AND(AT553=3,AK553="E",AV553&gt;=0.75),Health*P553,IF(AND(AT553=3,AK553="E",AV553&gt;=0.5,AW553=1),PTHealth,IF(AND(AT553=3,AK553="E",AV553&gt;=0.5),PTHealth*P553,0))))</f>
        <v>0</v>
      </c>
      <c r="BD553" s="462">
        <f>IF(AND(AT553&lt;&gt;0,AX553&gt;=MAXSSDI),SSDI*MAXSSDI*P553,IF(AT553&lt;&gt;0,SSDI*W553,0))</f>
        <v>0</v>
      </c>
      <c r="BE553" s="462">
        <f>IF(AT553&lt;&gt;0,SSHI*W553,0)</f>
        <v>0</v>
      </c>
      <c r="BF553" s="462">
        <f>IF(AND(AT553&lt;&gt;0,AN553&lt;&gt;"NE"),VLOOKUP(AN553,Retirement_Rates,3,FALSE)*W553,0)</f>
        <v>0</v>
      </c>
      <c r="BG553" s="462">
        <f>IF(AND(AT553&lt;&gt;0,AJ553&lt;&gt;"PF"),Life*W553,0)</f>
        <v>0</v>
      </c>
      <c r="BH553" s="462">
        <f>IF(AND(AT553&lt;&gt;0,AM553="Y"),UI*W553,0)</f>
        <v>0</v>
      </c>
      <c r="BI553" s="462">
        <f>IF(AND(AT553&lt;&gt;0,N553&lt;&gt;"NR"),DHR*W553,0)</f>
        <v>0</v>
      </c>
      <c r="BJ553" s="462">
        <f>IF(AT553&lt;&gt;0,WC*W553,0)</f>
        <v>0</v>
      </c>
      <c r="BK553" s="462">
        <f>IF(OR(AND(AT553&lt;&gt;0,AJ553&lt;&gt;"PF",AN553&lt;&gt;"NE",AG553&lt;&gt;"A"),AND(AL553="E",OR(AT553=1,AT553=3))),Sick*W553,0)</f>
        <v>0</v>
      </c>
      <c r="BL553" s="462">
        <f t="shared" si="141"/>
        <v>0</v>
      </c>
      <c r="BM553" s="462">
        <f t="shared" si="142"/>
        <v>0</v>
      </c>
      <c r="BN553" s="462">
        <f>IF(AND(AT553=1,AK553="E",AU553&gt;=0.75,AW553=1),HealthBY,IF(AND(AT553=1,AK553="E",AU553&gt;=0.75),HealthBY*P553,IF(AND(AT553=1,AK553="E",AU553&gt;=0.5,AW553=1),PTHealthBY,IF(AND(AT553=1,AK553="E",AU553&gt;=0.5),PTHealthBY*P553,0))))</f>
        <v>0</v>
      </c>
      <c r="BO553" s="462">
        <f>IF(AND(AT553=3,AK553="E",AV553&gt;=0.75,AW553=1),HealthBY,IF(AND(AT553=3,AK553="E",AV553&gt;=0.75),HealthBY*P553,IF(AND(AT553=3,AK553="E",AV553&gt;=0.5,AW553=1),PTHealthBY,IF(AND(AT553=3,AK553="E",AV553&gt;=0.5),PTHealthBY*P553,0))))</f>
        <v>0</v>
      </c>
      <c r="BP553" s="462">
        <f>IF(AND(AT553&lt;&gt;0,(AX553+BA553)&gt;=MAXSSDIBY),SSDIBY*MAXSSDIBY*P553,IF(AT553&lt;&gt;0,SSDIBY*W553,0))</f>
        <v>0</v>
      </c>
      <c r="BQ553" s="462">
        <f>IF(AT553&lt;&gt;0,SSHIBY*W553,0)</f>
        <v>0</v>
      </c>
      <c r="BR553" s="462">
        <f>IF(AND(AT553&lt;&gt;0,AN553&lt;&gt;"NE"),VLOOKUP(AN553,Retirement_Rates,4,FALSE)*W553,0)</f>
        <v>0</v>
      </c>
      <c r="BS553" s="462">
        <f>IF(AND(AT553&lt;&gt;0,AJ553&lt;&gt;"PF"),LifeBY*W553,0)</f>
        <v>0</v>
      </c>
      <c r="BT553" s="462">
        <f>IF(AND(AT553&lt;&gt;0,AM553="Y"),UIBY*W553,0)</f>
        <v>0</v>
      </c>
      <c r="BU553" s="462">
        <f>IF(AND(AT553&lt;&gt;0,N553&lt;&gt;"NR"),DHRBY*W553,0)</f>
        <v>0</v>
      </c>
      <c r="BV553" s="462">
        <f>IF(AT553&lt;&gt;0,WCBY*W553,0)</f>
        <v>0</v>
      </c>
      <c r="BW553" s="462">
        <f>IF(OR(AND(AT553&lt;&gt;0,AJ553&lt;&gt;"PF",AN553&lt;&gt;"NE",AG553&lt;&gt;"A"),AND(AL553="E",OR(AT553=1,AT553=3))),SickBY*W553,0)</f>
        <v>0</v>
      </c>
      <c r="BX553" s="462">
        <f t="shared" si="143"/>
        <v>0</v>
      </c>
      <c r="BY553" s="462">
        <f t="shared" si="144"/>
        <v>0</v>
      </c>
      <c r="BZ553" s="462">
        <f t="shared" si="145"/>
        <v>0</v>
      </c>
      <c r="CA553" s="462">
        <f t="shared" si="146"/>
        <v>0</v>
      </c>
      <c r="CB553" s="462">
        <f t="shared" si="147"/>
        <v>0</v>
      </c>
      <c r="CC553" s="462">
        <f>IF(AT553&lt;&gt;0,SSHICHG*Y553,0)</f>
        <v>0</v>
      </c>
      <c r="CD553" s="462">
        <f>IF(AND(AT553&lt;&gt;0,AN553&lt;&gt;"NE"),VLOOKUP(AN553,Retirement_Rates,5,FALSE)*Y553,0)</f>
        <v>0</v>
      </c>
      <c r="CE553" s="462">
        <f>IF(AND(AT553&lt;&gt;0,AJ553&lt;&gt;"PF"),LifeCHG*Y553,0)</f>
        <v>0</v>
      </c>
      <c r="CF553" s="462">
        <f>IF(AND(AT553&lt;&gt;0,AM553="Y"),UICHG*Y553,0)</f>
        <v>0</v>
      </c>
      <c r="CG553" s="462">
        <f>IF(AND(AT553&lt;&gt;0,N553&lt;&gt;"NR"),DHRCHG*Y553,0)</f>
        <v>0</v>
      </c>
      <c r="CH553" s="462">
        <f>IF(AT553&lt;&gt;0,WCCHG*Y553,0)</f>
        <v>0</v>
      </c>
      <c r="CI553" s="462">
        <f>IF(OR(AND(AT553&lt;&gt;0,AJ553&lt;&gt;"PF",AN553&lt;&gt;"NE",AG553&lt;&gt;"A"),AND(AL553="E",OR(AT553=1,AT553=3))),SickCHG*Y553,0)</f>
        <v>0</v>
      </c>
      <c r="CJ553" s="462">
        <f t="shared" si="148"/>
        <v>0</v>
      </c>
      <c r="CK553" s="462" t="str">
        <f t="shared" si="149"/>
        <v/>
      </c>
      <c r="CL553" s="462">
        <f t="shared" si="150"/>
        <v>0</v>
      </c>
      <c r="CM553" s="462">
        <f t="shared" si="151"/>
        <v>0</v>
      </c>
      <c r="CN553" s="462" t="str">
        <f t="shared" si="152"/>
        <v>0486-00</v>
      </c>
    </row>
    <row r="554" spans="1:92" ht="15" thickBot="1" x14ac:dyDescent="0.35">
      <c r="A554" s="376" t="s">
        <v>161</v>
      </c>
      <c r="B554" s="376" t="s">
        <v>162</v>
      </c>
      <c r="C554" s="376" t="s">
        <v>882</v>
      </c>
      <c r="D554" s="376" t="s">
        <v>647</v>
      </c>
      <c r="E554" s="376" t="s">
        <v>1140</v>
      </c>
      <c r="F554" s="377" t="s">
        <v>166</v>
      </c>
      <c r="G554" s="376" t="s">
        <v>1141</v>
      </c>
      <c r="H554" s="378"/>
      <c r="I554" s="378"/>
      <c r="J554" s="376" t="s">
        <v>185</v>
      </c>
      <c r="K554" s="376" t="s">
        <v>648</v>
      </c>
      <c r="L554" s="376" t="s">
        <v>166</v>
      </c>
      <c r="M554" s="376" t="s">
        <v>170</v>
      </c>
      <c r="N554" s="376" t="s">
        <v>291</v>
      </c>
      <c r="O554" s="379">
        <v>0</v>
      </c>
      <c r="P554" s="460">
        <v>1</v>
      </c>
      <c r="Q554" s="460">
        <v>0</v>
      </c>
      <c r="R554" s="380">
        <v>0</v>
      </c>
      <c r="S554" s="460">
        <v>0</v>
      </c>
      <c r="T554" s="380">
        <v>108100.08</v>
      </c>
      <c r="U554" s="380">
        <v>124.41</v>
      </c>
      <c r="V554" s="380">
        <v>70926.929999999993</v>
      </c>
      <c r="W554" s="380">
        <v>108492.02</v>
      </c>
      <c r="X554" s="380">
        <v>71110.25</v>
      </c>
      <c r="Y554" s="380">
        <v>108492.02</v>
      </c>
      <c r="Z554" s="380">
        <v>71110.25</v>
      </c>
      <c r="AA554" s="378"/>
      <c r="AB554" s="376" t="s">
        <v>45</v>
      </c>
      <c r="AC554" s="376" t="s">
        <v>45</v>
      </c>
      <c r="AD554" s="378"/>
      <c r="AE554" s="378"/>
      <c r="AF554" s="378"/>
      <c r="AG554" s="378"/>
      <c r="AH554" s="379">
        <v>0</v>
      </c>
      <c r="AI554" s="379">
        <v>0</v>
      </c>
      <c r="AJ554" s="378"/>
      <c r="AK554" s="378"/>
      <c r="AL554" s="376" t="s">
        <v>180</v>
      </c>
      <c r="AM554" s="378"/>
      <c r="AN554" s="378"/>
      <c r="AO554" s="379">
        <v>0</v>
      </c>
      <c r="AP554" s="460">
        <v>0</v>
      </c>
      <c r="AQ554" s="460">
        <v>0</v>
      </c>
      <c r="AR554" s="459"/>
      <c r="AS554" s="462">
        <f t="shared" si="136"/>
        <v>0</v>
      </c>
      <c r="AT554">
        <f t="shared" si="137"/>
        <v>0</v>
      </c>
      <c r="AU554" s="462" t="str">
        <f>IF(AT554=0,"",IF(AND(AT554=1,M554="F",SUMIF(C2:C698,C554,AS2:AS698)&lt;=1),SUMIF(C2:C698,C554,AS2:AS698),IF(AND(AT554=1,M554="F",SUMIF(C2:C698,C554,AS2:AS698)&gt;1),1,"")))</f>
        <v/>
      </c>
      <c r="AV554" s="462" t="str">
        <f>IF(AT554=0,"",IF(AND(AT554=3,M554="F",SUMIF(C2:C698,C554,AS2:AS698)&lt;=1),SUMIF(C2:C698,C554,AS2:AS698),IF(AND(AT554=3,M554="F",SUMIF(C2:C698,C554,AS2:AS698)&gt;1),1,"")))</f>
        <v/>
      </c>
      <c r="AW554" s="462">
        <f>SUMIF(C2:C698,C554,O2:O698)</f>
        <v>0</v>
      </c>
      <c r="AX554" s="462">
        <f>IF(AND(M554="F",AS554&lt;&gt;0),SUMIF(C2:C698,C554,W2:W698),0)</f>
        <v>0</v>
      </c>
      <c r="AY554" s="462" t="str">
        <f t="shared" si="138"/>
        <v/>
      </c>
      <c r="AZ554" s="462" t="str">
        <f t="shared" si="139"/>
        <v/>
      </c>
      <c r="BA554" s="462">
        <f t="shared" si="140"/>
        <v>0</v>
      </c>
      <c r="BB554" s="462">
        <f>IF(AND(AT554=1,AK554="E",AU554&gt;=0.75,AW554=1),Health,IF(AND(AT554=1,AK554="E",AU554&gt;=0.75),Health*P554,IF(AND(AT554=1,AK554="E",AU554&gt;=0.5,AW554=1),PTHealth,IF(AND(AT554=1,AK554="E",AU554&gt;=0.5),PTHealth*P554,0))))</f>
        <v>0</v>
      </c>
      <c r="BC554" s="462">
        <f>IF(AND(AT554=3,AK554="E",AV554&gt;=0.75,AW554=1),Health,IF(AND(AT554=3,AK554="E",AV554&gt;=0.75),Health*P554,IF(AND(AT554=3,AK554="E",AV554&gt;=0.5,AW554=1),PTHealth,IF(AND(AT554=3,AK554="E",AV554&gt;=0.5),PTHealth*P554,0))))</f>
        <v>0</v>
      </c>
      <c r="BD554" s="462">
        <f>IF(AND(AT554&lt;&gt;0,AX554&gt;=MAXSSDI),SSDI*MAXSSDI*P554,IF(AT554&lt;&gt;0,SSDI*W554,0))</f>
        <v>0</v>
      </c>
      <c r="BE554" s="462">
        <f>IF(AT554&lt;&gt;0,SSHI*W554,0)</f>
        <v>0</v>
      </c>
      <c r="BF554" s="462">
        <f>IF(AND(AT554&lt;&gt;0,AN554&lt;&gt;"NE"),VLOOKUP(AN554,Retirement_Rates,3,FALSE)*W554,0)</f>
        <v>0</v>
      </c>
      <c r="BG554" s="462">
        <f>IF(AND(AT554&lt;&gt;0,AJ554&lt;&gt;"PF"),Life*W554,0)</f>
        <v>0</v>
      </c>
      <c r="BH554" s="462">
        <f>IF(AND(AT554&lt;&gt;0,AM554="Y"),UI*W554,0)</f>
        <v>0</v>
      </c>
      <c r="BI554" s="462">
        <f>IF(AND(AT554&lt;&gt;0,N554&lt;&gt;"NR"),DHR*W554,0)</f>
        <v>0</v>
      </c>
      <c r="BJ554" s="462">
        <f>IF(AT554&lt;&gt;0,WC*W554,0)</f>
        <v>0</v>
      </c>
      <c r="BK554" s="462">
        <f>IF(OR(AND(AT554&lt;&gt;0,AJ554&lt;&gt;"PF",AN554&lt;&gt;"NE",AG554&lt;&gt;"A"),AND(AL554="E",OR(AT554=1,AT554=3))),Sick*W554,0)</f>
        <v>0</v>
      </c>
      <c r="BL554" s="462">
        <f t="shared" si="141"/>
        <v>0</v>
      </c>
      <c r="BM554" s="462">
        <f t="shared" si="142"/>
        <v>0</v>
      </c>
      <c r="BN554" s="462">
        <f>IF(AND(AT554=1,AK554="E",AU554&gt;=0.75,AW554=1),HealthBY,IF(AND(AT554=1,AK554="E",AU554&gt;=0.75),HealthBY*P554,IF(AND(AT554=1,AK554="E",AU554&gt;=0.5,AW554=1),PTHealthBY,IF(AND(AT554=1,AK554="E",AU554&gt;=0.5),PTHealthBY*P554,0))))</f>
        <v>0</v>
      </c>
      <c r="BO554" s="462">
        <f>IF(AND(AT554=3,AK554="E",AV554&gt;=0.75,AW554=1),HealthBY,IF(AND(AT554=3,AK554="E",AV554&gt;=0.75),HealthBY*P554,IF(AND(AT554=3,AK554="E",AV554&gt;=0.5,AW554=1),PTHealthBY,IF(AND(AT554=3,AK554="E",AV554&gt;=0.5),PTHealthBY*P554,0))))</f>
        <v>0</v>
      </c>
      <c r="BP554" s="462">
        <f>IF(AND(AT554&lt;&gt;0,(AX554+BA554)&gt;=MAXSSDIBY),SSDIBY*MAXSSDIBY*P554,IF(AT554&lt;&gt;0,SSDIBY*W554,0))</f>
        <v>0</v>
      </c>
      <c r="BQ554" s="462">
        <f>IF(AT554&lt;&gt;0,SSHIBY*W554,0)</f>
        <v>0</v>
      </c>
      <c r="BR554" s="462">
        <f>IF(AND(AT554&lt;&gt;0,AN554&lt;&gt;"NE"),VLOOKUP(AN554,Retirement_Rates,4,FALSE)*W554,0)</f>
        <v>0</v>
      </c>
      <c r="BS554" s="462">
        <f>IF(AND(AT554&lt;&gt;0,AJ554&lt;&gt;"PF"),LifeBY*W554,0)</f>
        <v>0</v>
      </c>
      <c r="BT554" s="462">
        <f>IF(AND(AT554&lt;&gt;0,AM554="Y"),UIBY*W554,0)</f>
        <v>0</v>
      </c>
      <c r="BU554" s="462">
        <f>IF(AND(AT554&lt;&gt;0,N554&lt;&gt;"NR"),DHRBY*W554,0)</f>
        <v>0</v>
      </c>
      <c r="BV554" s="462">
        <f>IF(AT554&lt;&gt;0,WCBY*W554,0)</f>
        <v>0</v>
      </c>
      <c r="BW554" s="462">
        <f>IF(OR(AND(AT554&lt;&gt;0,AJ554&lt;&gt;"PF",AN554&lt;&gt;"NE",AG554&lt;&gt;"A"),AND(AL554="E",OR(AT554=1,AT554=3))),SickBY*W554,0)</f>
        <v>0</v>
      </c>
      <c r="BX554" s="462">
        <f t="shared" si="143"/>
        <v>0</v>
      </c>
      <c r="BY554" s="462">
        <f t="shared" si="144"/>
        <v>0</v>
      </c>
      <c r="BZ554" s="462">
        <f t="shared" si="145"/>
        <v>0</v>
      </c>
      <c r="CA554" s="462">
        <f t="shared" si="146"/>
        <v>0</v>
      </c>
      <c r="CB554" s="462">
        <f t="shared" si="147"/>
        <v>0</v>
      </c>
      <c r="CC554" s="462">
        <f>IF(AT554&lt;&gt;0,SSHICHG*Y554,0)</f>
        <v>0</v>
      </c>
      <c r="CD554" s="462">
        <f>IF(AND(AT554&lt;&gt;0,AN554&lt;&gt;"NE"),VLOOKUP(AN554,Retirement_Rates,5,FALSE)*Y554,0)</f>
        <v>0</v>
      </c>
      <c r="CE554" s="462">
        <f>IF(AND(AT554&lt;&gt;0,AJ554&lt;&gt;"PF"),LifeCHG*Y554,0)</f>
        <v>0</v>
      </c>
      <c r="CF554" s="462">
        <f>IF(AND(AT554&lt;&gt;0,AM554="Y"),UICHG*Y554,0)</f>
        <v>0</v>
      </c>
      <c r="CG554" s="462">
        <f>IF(AND(AT554&lt;&gt;0,N554&lt;&gt;"NR"),DHRCHG*Y554,0)</f>
        <v>0</v>
      </c>
      <c r="CH554" s="462">
        <f>IF(AT554&lt;&gt;0,WCCHG*Y554,0)</f>
        <v>0</v>
      </c>
      <c r="CI554" s="462">
        <f>IF(OR(AND(AT554&lt;&gt;0,AJ554&lt;&gt;"PF",AN554&lt;&gt;"NE",AG554&lt;&gt;"A"),AND(AL554="E",OR(AT554=1,AT554=3))),SickCHG*Y554,0)</f>
        <v>0</v>
      </c>
      <c r="CJ554" s="462">
        <f t="shared" si="148"/>
        <v>0</v>
      </c>
      <c r="CK554" s="462" t="str">
        <f t="shared" si="149"/>
        <v/>
      </c>
      <c r="CL554" s="462">
        <f t="shared" si="150"/>
        <v>108224.49</v>
      </c>
      <c r="CM554" s="462">
        <f t="shared" si="151"/>
        <v>70926.929999999993</v>
      </c>
      <c r="CN554" s="462" t="str">
        <f t="shared" si="152"/>
        <v>0486-00</v>
      </c>
    </row>
    <row r="555" spans="1:92" ht="15" thickBot="1" x14ac:dyDescent="0.35">
      <c r="A555" s="376" t="s">
        <v>161</v>
      </c>
      <c r="B555" s="376" t="s">
        <v>162</v>
      </c>
      <c r="C555" s="376" t="s">
        <v>402</v>
      </c>
      <c r="D555" s="376" t="s">
        <v>362</v>
      </c>
      <c r="E555" s="376" t="s">
        <v>1140</v>
      </c>
      <c r="F555" s="377" t="s">
        <v>166</v>
      </c>
      <c r="G555" s="376" t="s">
        <v>1141</v>
      </c>
      <c r="H555" s="378"/>
      <c r="I555" s="378"/>
      <c r="J555" s="376" t="s">
        <v>168</v>
      </c>
      <c r="K555" s="376" t="s">
        <v>363</v>
      </c>
      <c r="L555" s="376" t="s">
        <v>200</v>
      </c>
      <c r="M555" s="376" t="s">
        <v>170</v>
      </c>
      <c r="N555" s="376" t="s">
        <v>202</v>
      </c>
      <c r="O555" s="379">
        <v>1</v>
      </c>
      <c r="P555" s="460">
        <v>0</v>
      </c>
      <c r="Q555" s="460">
        <v>0</v>
      </c>
      <c r="R555" s="380">
        <v>80</v>
      </c>
      <c r="S555" s="460">
        <v>0</v>
      </c>
      <c r="T555" s="380">
        <v>149.94</v>
      </c>
      <c r="U555" s="380">
        <v>0</v>
      </c>
      <c r="V555" s="380">
        <v>73.52</v>
      </c>
      <c r="W555" s="380">
        <v>0</v>
      </c>
      <c r="X555" s="380">
        <v>0</v>
      </c>
      <c r="Y555" s="380">
        <v>0</v>
      </c>
      <c r="Z555" s="380">
        <v>0</v>
      </c>
      <c r="AA555" s="376" t="s">
        <v>403</v>
      </c>
      <c r="AB555" s="376" t="s">
        <v>404</v>
      </c>
      <c r="AC555" s="376" t="s">
        <v>405</v>
      </c>
      <c r="AD555" s="376" t="s">
        <v>190</v>
      </c>
      <c r="AE555" s="376" t="s">
        <v>363</v>
      </c>
      <c r="AF555" s="376" t="s">
        <v>210</v>
      </c>
      <c r="AG555" s="376" t="s">
        <v>177</v>
      </c>
      <c r="AH555" s="381">
        <v>22.5</v>
      </c>
      <c r="AI555" s="381">
        <v>12098.3</v>
      </c>
      <c r="AJ555" s="376" t="s">
        <v>178</v>
      </c>
      <c r="AK555" s="376" t="s">
        <v>179</v>
      </c>
      <c r="AL555" s="376" t="s">
        <v>180</v>
      </c>
      <c r="AM555" s="376" t="s">
        <v>181</v>
      </c>
      <c r="AN555" s="376" t="s">
        <v>68</v>
      </c>
      <c r="AO555" s="379">
        <v>80</v>
      </c>
      <c r="AP555" s="460">
        <v>1</v>
      </c>
      <c r="AQ555" s="460">
        <v>0</v>
      </c>
      <c r="AR555" s="458" t="s">
        <v>182</v>
      </c>
      <c r="AS555" s="462">
        <f t="shared" si="136"/>
        <v>0</v>
      </c>
      <c r="AT555">
        <f t="shared" si="137"/>
        <v>0</v>
      </c>
      <c r="AU555" s="462" t="str">
        <f>IF(AT555=0,"",IF(AND(AT555=1,M555="F",SUMIF(C2:C698,C555,AS2:AS698)&lt;=1),SUMIF(C2:C698,C555,AS2:AS698),IF(AND(AT555=1,M555="F",SUMIF(C2:C698,C555,AS2:AS698)&gt;1),1,"")))</f>
        <v/>
      </c>
      <c r="AV555" s="462" t="str">
        <f>IF(AT555=0,"",IF(AND(AT555=3,M555="F",SUMIF(C2:C698,C555,AS2:AS698)&lt;=1),SUMIF(C2:C698,C555,AS2:AS698),IF(AND(AT555=3,M555="F",SUMIF(C2:C698,C555,AS2:AS698)&gt;1),1,"")))</f>
        <v/>
      </c>
      <c r="AW555" s="462">
        <f>SUMIF(C2:C698,C555,O2:O698)</f>
        <v>5</v>
      </c>
      <c r="AX555" s="462">
        <f>IF(AND(M555="F",AS555&lt;&gt;0),SUMIF(C2:C698,C555,W2:W698),0)</f>
        <v>0</v>
      </c>
      <c r="AY555" s="462" t="str">
        <f t="shared" si="138"/>
        <v/>
      </c>
      <c r="AZ555" s="462" t="str">
        <f t="shared" si="139"/>
        <v/>
      </c>
      <c r="BA555" s="462">
        <f t="shared" si="140"/>
        <v>0</v>
      </c>
      <c r="BB555" s="462">
        <f>IF(AND(AT555=1,AK555="E",AU555&gt;=0.75,AW555=1),Health,IF(AND(AT555=1,AK555="E",AU555&gt;=0.75),Health*P555,IF(AND(AT555=1,AK555="E",AU555&gt;=0.5,AW555=1),PTHealth,IF(AND(AT555=1,AK555="E",AU555&gt;=0.5),PTHealth*P555,0))))</f>
        <v>0</v>
      </c>
      <c r="BC555" s="462">
        <f>IF(AND(AT555=3,AK555="E",AV555&gt;=0.75,AW555=1),Health,IF(AND(AT555=3,AK555="E",AV555&gt;=0.75),Health*P555,IF(AND(AT555=3,AK555="E",AV555&gt;=0.5,AW555=1),PTHealth,IF(AND(AT555=3,AK555="E",AV555&gt;=0.5),PTHealth*P555,0))))</f>
        <v>0</v>
      </c>
      <c r="BD555" s="462">
        <f>IF(AND(AT555&lt;&gt;0,AX555&gt;=MAXSSDI),SSDI*MAXSSDI*P555,IF(AT555&lt;&gt;0,SSDI*W555,0))</f>
        <v>0</v>
      </c>
      <c r="BE555" s="462">
        <f>IF(AT555&lt;&gt;0,SSHI*W555,0)</f>
        <v>0</v>
      </c>
      <c r="BF555" s="462">
        <f>IF(AND(AT555&lt;&gt;0,AN555&lt;&gt;"NE"),VLOOKUP(AN555,Retirement_Rates,3,FALSE)*W555,0)</f>
        <v>0</v>
      </c>
      <c r="BG555" s="462">
        <f>IF(AND(AT555&lt;&gt;0,AJ555&lt;&gt;"PF"),Life*W555,0)</f>
        <v>0</v>
      </c>
      <c r="BH555" s="462">
        <f>IF(AND(AT555&lt;&gt;0,AM555="Y"),UI*W555,0)</f>
        <v>0</v>
      </c>
      <c r="BI555" s="462">
        <f>IF(AND(AT555&lt;&gt;0,N555&lt;&gt;"NR"),DHR*W555,0)</f>
        <v>0</v>
      </c>
      <c r="BJ555" s="462">
        <f>IF(AT555&lt;&gt;0,WC*W555,0)</f>
        <v>0</v>
      </c>
      <c r="BK555" s="462">
        <f>IF(OR(AND(AT555&lt;&gt;0,AJ555&lt;&gt;"PF",AN555&lt;&gt;"NE",AG555&lt;&gt;"A"),AND(AL555="E",OR(AT555=1,AT555=3))),Sick*W555,0)</f>
        <v>0</v>
      </c>
      <c r="BL555" s="462">
        <f t="shared" si="141"/>
        <v>0</v>
      </c>
      <c r="BM555" s="462">
        <f t="shared" si="142"/>
        <v>0</v>
      </c>
      <c r="BN555" s="462">
        <f>IF(AND(AT555=1,AK555="E",AU555&gt;=0.75,AW555=1),HealthBY,IF(AND(AT555=1,AK555="E",AU555&gt;=0.75),HealthBY*P555,IF(AND(AT555=1,AK555="E",AU555&gt;=0.5,AW555=1),PTHealthBY,IF(AND(AT555=1,AK555="E",AU555&gt;=0.5),PTHealthBY*P555,0))))</f>
        <v>0</v>
      </c>
      <c r="BO555" s="462">
        <f>IF(AND(AT555=3,AK555="E",AV555&gt;=0.75,AW555=1),HealthBY,IF(AND(AT555=3,AK555="E",AV555&gt;=0.75),HealthBY*P555,IF(AND(AT555=3,AK555="E",AV555&gt;=0.5,AW555=1),PTHealthBY,IF(AND(AT555=3,AK555="E",AV555&gt;=0.5),PTHealthBY*P555,0))))</f>
        <v>0</v>
      </c>
      <c r="BP555" s="462">
        <f>IF(AND(AT555&lt;&gt;0,(AX555+BA555)&gt;=MAXSSDIBY),SSDIBY*MAXSSDIBY*P555,IF(AT555&lt;&gt;0,SSDIBY*W555,0))</f>
        <v>0</v>
      </c>
      <c r="BQ555" s="462">
        <f>IF(AT555&lt;&gt;0,SSHIBY*W555,0)</f>
        <v>0</v>
      </c>
      <c r="BR555" s="462">
        <f>IF(AND(AT555&lt;&gt;0,AN555&lt;&gt;"NE"),VLOOKUP(AN555,Retirement_Rates,4,FALSE)*W555,0)</f>
        <v>0</v>
      </c>
      <c r="BS555" s="462">
        <f>IF(AND(AT555&lt;&gt;0,AJ555&lt;&gt;"PF"),LifeBY*W555,0)</f>
        <v>0</v>
      </c>
      <c r="BT555" s="462">
        <f>IF(AND(AT555&lt;&gt;0,AM555="Y"),UIBY*W555,0)</f>
        <v>0</v>
      </c>
      <c r="BU555" s="462">
        <f>IF(AND(AT555&lt;&gt;0,N555&lt;&gt;"NR"),DHRBY*W555,0)</f>
        <v>0</v>
      </c>
      <c r="BV555" s="462">
        <f>IF(AT555&lt;&gt;0,WCBY*W555,0)</f>
        <v>0</v>
      </c>
      <c r="BW555" s="462">
        <f>IF(OR(AND(AT555&lt;&gt;0,AJ555&lt;&gt;"PF",AN555&lt;&gt;"NE",AG555&lt;&gt;"A"),AND(AL555="E",OR(AT555=1,AT555=3))),SickBY*W555,0)</f>
        <v>0</v>
      </c>
      <c r="BX555" s="462">
        <f t="shared" si="143"/>
        <v>0</v>
      </c>
      <c r="BY555" s="462">
        <f t="shared" si="144"/>
        <v>0</v>
      </c>
      <c r="BZ555" s="462">
        <f t="shared" si="145"/>
        <v>0</v>
      </c>
      <c r="CA555" s="462">
        <f t="shared" si="146"/>
        <v>0</v>
      </c>
      <c r="CB555" s="462">
        <f t="shared" si="147"/>
        <v>0</v>
      </c>
      <c r="CC555" s="462">
        <f>IF(AT555&lt;&gt;0,SSHICHG*Y555,0)</f>
        <v>0</v>
      </c>
      <c r="CD555" s="462">
        <f>IF(AND(AT555&lt;&gt;0,AN555&lt;&gt;"NE"),VLOOKUP(AN555,Retirement_Rates,5,FALSE)*Y555,0)</f>
        <v>0</v>
      </c>
      <c r="CE555" s="462">
        <f>IF(AND(AT555&lt;&gt;0,AJ555&lt;&gt;"PF"),LifeCHG*Y555,0)</f>
        <v>0</v>
      </c>
      <c r="CF555" s="462">
        <f>IF(AND(AT555&lt;&gt;0,AM555="Y"),UICHG*Y555,0)</f>
        <v>0</v>
      </c>
      <c r="CG555" s="462">
        <f>IF(AND(AT555&lt;&gt;0,N555&lt;&gt;"NR"),DHRCHG*Y555,0)</f>
        <v>0</v>
      </c>
      <c r="CH555" s="462">
        <f>IF(AT555&lt;&gt;0,WCCHG*Y555,0)</f>
        <v>0</v>
      </c>
      <c r="CI555" s="462">
        <f>IF(OR(AND(AT555&lt;&gt;0,AJ555&lt;&gt;"PF",AN555&lt;&gt;"NE",AG555&lt;&gt;"A"),AND(AL555="E",OR(AT555=1,AT555=3))),SickCHG*Y555,0)</f>
        <v>0</v>
      </c>
      <c r="CJ555" s="462">
        <f t="shared" si="148"/>
        <v>0</v>
      </c>
      <c r="CK555" s="462" t="str">
        <f t="shared" si="149"/>
        <v/>
      </c>
      <c r="CL555" s="462" t="str">
        <f t="shared" si="150"/>
        <v/>
      </c>
      <c r="CM555" s="462" t="str">
        <f t="shared" si="151"/>
        <v/>
      </c>
      <c r="CN555" s="462" t="str">
        <f t="shared" si="152"/>
        <v>0486-00</v>
      </c>
    </row>
    <row r="556" spans="1:92" ht="15" thickBot="1" x14ac:dyDescent="0.35">
      <c r="A556" s="376" t="s">
        <v>161</v>
      </c>
      <c r="B556" s="376" t="s">
        <v>162</v>
      </c>
      <c r="C556" s="376" t="s">
        <v>1240</v>
      </c>
      <c r="D556" s="376" t="s">
        <v>1156</v>
      </c>
      <c r="E556" s="376" t="s">
        <v>1140</v>
      </c>
      <c r="F556" s="377" t="s">
        <v>166</v>
      </c>
      <c r="G556" s="376" t="s">
        <v>1141</v>
      </c>
      <c r="H556" s="378"/>
      <c r="I556" s="378"/>
      <c r="J556" s="376" t="s">
        <v>168</v>
      </c>
      <c r="K556" s="376" t="s">
        <v>1157</v>
      </c>
      <c r="L556" s="376" t="s">
        <v>166</v>
      </c>
      <c r="M556" s="376" t="s">
        <v>201</v>
      </c>
      <c r="N556" s="376" t="s">
        <v>291</v>
      </c>
      <c r="O556" s="379">
        <v>0</v>
      </c>
      <c r="P556" s="460">
        <v>1</v>
      </c>
      <c r="Q556" s="460">
        <v>0</v>
      </c>
      <c r="R556" s="380">
        <v>0</v>
      </c>
      <c r="S556" s="460">
        <v>0</v>
      </c>
      <c r="T556" s="380">
        <v>0</v>
      </c>
      <c r="U556" s="380">
        <v>0</v>
      </c>
      <c r="V556" s="380">
        <v>0</v>
      </c>
      <c r="W556" s="380">
        <v>0</v>
      </c>
      <c r="X556" s="380">
        <v>0</v>
      </c>
      <c r="Y556" s="380">
        <v>0</v>
      </c>
      <c r="Z556" s="380">
        <v>0</v>
      </c>
      <c r="AA556" s="378"/>
      <c r="AB556" s="376" t="s">
        <v>45</v>
      </c>
      <c r="AC556" s="376" t="s">
        <v>45</v>
      </c>
      <c r="AD556" s="378"/>
      <c r="AE556" s="378"/>
      <c r="AF556" s="378"/>
      <c r="AG556" s="378"/>
      <c r="AH556" s="379">
        <v>0</v>
      </c>
      <c r="AI556" s="379">
        <v>0</v>
      </c>
      <c r="AJ556" s="378"/>
      <c r="AK556" s="378"/>
      <c r="AL556" s="376" t="s">
        <v>180</v>
      </c>
      <c r="AM556" s="378"/>
      <c r="AN556" s="378"/>
      <c r="AO556" s="379">
        <v>0</v>
      </c>
      <c r="AP556" s="460">
        <v>0</v>
      </c>
      <c r="AQ556" s="460">
        <v>0</v>
      </c>
      <c r="AR556" s="459"/>
      <c r="AS556" s="462">
        <f t="shared" si="136"/>
        <v>0</v>
      </c>
      <c r="AT556">
        <f t="shared" si="137"/>
        <v>0</v>
      </c>
      <c r="AU556" s="462" t="str">
        <f>IF(AT556=0,"",IF(AND(AT556=1,M556="F",SUMIF(C2:C698,C556,AS2:AS698)&lt;=1),SUMIF(C2:C698,C556,AS2:AS698),IF(AND(AT556=1,M556="F",SUMIF(C2:C698,C556,AS2:AS698)&gt;1),1,"")))</f>
        <v/>
      </c>
      <c r="AV556" s="462" t="str">
        <f>IF(AT556=0,"",IF(AND(AT556=3,M556="F",SUMIF(C2:C698,C556,AS2:AS698)&lt;=1),SUMIF(C2:C698,C556,AS2:AS698),IF(AND(AT556=3,M556="F",SUMIF(C2:C698,C556,AS2:AS698)&gt;1),1,"")))</f>
        <v/>
      </c>
      <c r="AW556" s="462">
        <f>SUMIF(C2:C698,C556,O2:O698)</f>
        <v>0</v>
      </c>
      <c r="AX556" s="462">
        <f>IF(AND(M556="F",AS556&lt;&gt;0),SUMIF(C2:C698,C556,W2:W698),0)</f>
        <v>0</v>
      </c>
      <c r="AY556" s="462" t="str">
        <f t="shared" si="138"/>
        <v/>
      </c>
      <c r="AZ556" s="462" t="str">
        <f t="shared" si="139"/>
        <v/>
      </c>
      <c r="BA556" s="462">
        <f t="shared" si="140"/>
        <v>0</v>
      </c>
      <c r="BB556" s="462">
        <f>IF(AND(AT556=1,AK556="E",AU556&gt;=0.75,AW556=1),Health,IF(AND(AT556=1,AK556="E",AU556&gt;=0.75),Health*P556,IF(AND(AT556=1,AK556="E",AU556&gt;=0.5,AW556=1),PTHealth,IF(AND(AT556=1,AK556="E",AU556&gt;=0.5),PTHealth*P556,0))))</f>
        <v>0</v>
      </c>
      <c r="BC556" s="462">
        <f>IF(AND(AT556=3,AK556="E",AV556&gt;=0.75,AW556=1),Health,IF(AND(AT556=3,AK556="E",AV556&gt;=0.75),Health*P556,IF(AND(AT556=3,AK556="E",AV556&gt;=0.5,AW556=1),PTHealth,IF(AND(AT556=3,AK556="E",AV556&gt;=0.5),PTHealth*P556,0))))</f>
        <v>0</v>
      </c>
      <c r="BD556" s="462">
        <f>IF(AND(AT556&lt;&gt;0,AX556&gt;=MAXSSDI),SSDI*MAXSSDI*P556,IF(AT556&lt;&gt;0,SSDI*W556,0))</f>
        <v>0</v>
      </c>
      <c r="BE556" s="462">
        <f>IF(AT556&lt;&gt;0,SSHI*W556,0)</f>
        <v>0</v>
      </c>
      <c r="BF556" s="462">
        <f>IF(AND(AT556&lt;&gt;0,AN556&lt;&gt;"NE"),VLOOKUP(AN556,Retirement_Rates,3,FALSE)*W556,0)</f>
        <v>0</v>
      </c>
      <c r="BG556" s="462">
        <f>IF(AND(AT556&lt;&gt;0,AJ556&lt;&gt;"PF"),Life*W556,0)</f>
        <v>0</v>
      </c>
      <c r="BH556" s="462">
        <f>IF(AND(AT556&lt;&gt;0,AM556="Y"),UI*W556,0)</f>
        <v>0</v>
      </c>
      <c r="BI556" s="462">
        <f>IF(AND(AT556&lt;&gt;0,N556&lt;&gt;"NR"),DHR*W556,0)</f>
        <v>0</v>
      </c>
      <c r="BJ556" s="462">
        <f>IF(AT556&lt;&gt;0,WC*W556,0)</f>
        <v>0</v>
      </c>
      <c r="BK556" s="462">
        <f>IF(OR(AND(AT556&lt;&gt;0,AJ556&lt;&gt;"PF",AN556&lt;&gt;"NE",AG556&lt;&gt;"A"),AND(AL556="E",OR(AT556=1,AT556=3))),Sick*W556,0)</f>
        <v>0</v>
      </c>
      <c r="BL556" s="462">
        <f t="shared" si="141"/>
        <v>0</v>
      </c>
      <c r="BM556" s="462">
        <f t="shared" si="142"/>
        <v>0</v>
      </c>
      <c r="BN556" s="462">
        <f>IF(AND(AT556=1,AK556="E",AU556&gt;=0.75,AW556=1),HealthBY,IF(AND(AT556=1,AK556="E",AU556&gt;=0.75),HealthBY*P556,IF(AND(AT556=1,AK556="E",AU556&gt;=0.5,AW556=1),PTHealthBY,IF(AND(AT556=1,AK556="E",AU556&gt;=0.5),PTHealthBY*P556,0))))</f>
        <v>0</v>
      </c>
      <c r="BO556" s="462">
        <f>IF(AND(AT556=3,AK556="E",AV556&gt;=0.75,AW556=1),HealthBY,IF(AND(AT556=3,AK556="E",AV556&gt;=0.75),HealthBY*P556,IF(AND(AT556=3,AK556="E",AV556&gt;=0.5,AW556=1),PTHealthBY,IF(AND(AT556=3,AK556="E",AV556&gt;=0.5),PTHealthBY*P556,0))))</f>
        <v>0</v>
      </c>
      <c r="BP556" s="462">
        <f>IF(AND(AT556&lt;&gt;0,(AX556+BA556)&gt;=MAXSSDIBY),SSDIBY*MAXSSDIBY*P556,IF(AT556&lt;&gt;0,SSDIBY*W556,0))</f>
        <v>0</v>
      </c>
      <c r="BQ556" s="462">
        <f>IF(AT556&lt;&gt;0,SSHIBY*W556,0)</f>
        <v>0</v>
      </c>
      <c r="BR556" s="462">
        <f>IF(AND(AT556&lt;&gt;0,AN556&lt;&gt;"NE"),VLOOKUP(AN556,Retirement_Rates,4,FALSE)*W556,0)</f>
        <v>0</v>
      </c>
      <c r="BS556" s="462">
        <f>IF(AND(AT556&lt;&gt;0,AJ556&lt;&gt;"PF"),LifeBY*W556,0)</f>
        <v>0</v>
      </c>
      <c r="BT556" s="462">
        <f>IF(AND(AT556&lt;&gt;0,AM556="Y"),UIBY*W556,0)</f>
        <v>0</v>
      </c>
      <c r="BU556" s="462">
        <f>IF(AND(AT556&lt;&gt;0,N556&lt;&gt;"NR"),DHRBY*W556,0)</f>
        <v>0</v>
      </c>
      <c r="BV556" s="462">
        <f>IF(AT556&lt;&gt;0,WCBY*W556,0)</f>
        <v>0</v>
      </c>
      <c r="BW556" s="462">
        <f>IF(OR(AND(AT556&lt;&gt;0,AJ556&lt;&gt;"PF",AN556&lt;&gt;"NE",AG556&lt;&gt;"A"),AND(AL556="E",OR(AT556=1,AT556=3))),SickBY*W556,0)</f>
        <v>0</v>
      </c>
      <c r="BX556" s="462">
        <f t="shared" si="143"/>
        <v>0</v>
      </c>
      <c r="BY556" s="462">
        <f t="shared" si="144"/>
        <v>0</v>
      </c>
      <c r="BZ556" s="462">
        <f t="shared" si="145"/>
        <v>0</v>
      </c>
      <c r="CA556" s="462">
        <f t="shared" si="146"/>
        <v>0</v>
      </c>
      <c r="CB556" s="462">
        <f t="shared" si="147"/>
        <v>0</v>
      </c>
      <c r="CC556" s="462">
        <f>IF(AT556&lt;&gt;0,SSHICHG*Y556,0)</f>
        <v>0</v>
      </c>
      <c r="CD556" s="462">
        <f>IF(AND(AT556&lt;&gt;0,AN556&lt;&gt;"NE"),VLOOKUP(AN556,Retirement_Rates,5,FALSE)*Y556,0)</f>
        <v>0</v>
      </c>
      <c r="CE556" s="462">
        <f>IF(AND(AT556&lt;&gt;0,AJ556&lt;&gt;"PF"),LifeCHG*Y556,0)</f>
        <v>0</v>
      </c>
      <c r="CF556" s="462">
        <f>IF(AND(AT556&lt;&gt;0,AM556="Y"),UICHG*Y556,0)</f>
        <v>0</v>
      </c>
      <c r="CG556" s="462">
        <f>IF(AND(AT556&lt;&gt;0,N556&lt;&gt;"NR"),DHRCHG*Y556,0)</f>
        <v>0</v>
      </c>
      <c r="CH556" s="462">
        <f>IF(AT556&lt;&gt;0,WCCHG*Y556,0)</f>
        <v>0</v>
      </c>
      <c r="CI556" s="462">
        <f>IF(OR(AND(AT556&lt;&gt;0,AJ556&lt;&gt;"PF",AN556&lt;&gt;"NE",AG556&lt;&gt;"A"),AND(AL556="E",OR(AT556=1,AT556=3))),SickCHG*Y556,0)</f>
        <v>0</v>
      </c>
      <c r="CJ556" s="462">
        <f t="shared" si="148"/>
        <v>0</v>
      </c>
      <c r="CK556" s="462" t="str">
        <f t="shared" si="149"/>
        <v/>
      </c>
      <c r="CL556" s="462">
        <f t="shared" si="150"/>
        <v>0</v>
      </c>
      <c r="CM556" s="462">
        <f t="shared" si="151"/>
        <v>0</v>
      </c>
      <c r="CN556" s="462" t="str">
        <f t="shared" si="152"/>
        <v>0486-00</v>
      </c>
    </row>
    <row r="557" spans="1:92" ht="15" thickBot="1" x14ac:dyDescent="0.35">
      <c r="A557" s="376" t="s">
        <v>161</v>
      </c>
      <c r="B557" s="376" t="s">
        <v>162</v>
      </c>
      <c r="C557" s="376" t="s">
        <v>1241</v>
      </c>
      <c r="D557" s="376" t="s">
        <v>1163</v>
      </c>
      <c r="E557" s="376" t="s">
        <v>1140</v>
      </c>
      <c r="F557" s="377" t="s">
        <v>166</v>
      </c>
      <c r="G557" s="376" t="s">
        <v>1141</v>
      </c>
      <c r="H557" s="378"/>
      <c r="I557" s="378"/>
      <c r="J557" s="376" t="s">
        <v>168</v>
      </c>
      <c r="K557" s="376" t="s">
        <v>1164</v>
      </c>
      <c r="L557" s="376" t="s">
        <v>166</v>
      </c>
      <c r="M557" s="376" t="s">
        <v>201</v>
      </c>
      <c r="N557" s="376" t="s">
        <v>291</v>
      </c>
      <c r="O557" s="379">
        <v>0</v>
      </c>
      <c r="P557" s="460">
        <v>1</v>
      </c>
      <c r="Q557" s="460">
        <v>0</v>
      </c>
      <c r="R557" s="380">
        <v>0</v>
      </c>
      <c r="S557" s="460">
        <v>0</v>
      </c>
      <c r="T557" s="380">
        <v>0</v>
      </c>
      <c r="U557" s="380">
        <v>0</v>
      </c>
      <c r="V557" s="380">
        <v>0</v>
      </c>
      <c r="W557" s="380">
        <v>0</v>
      </c>
      <c r="X557" s="380">
        <v>0</v>
      </c>
      <c r="Y557" s="380">
        <v>0</v>
      </c>
      <c r="Z557" s="380">
        <v>0</v>
      </c>
      <c r="AA557" s="378"/>
      <c r="AB557" s="376" t="s">
        <v>45</v>
      </c>
      <c r="AC557" s="376" t="s">
        <v>45</v>
      </c>
      <c r="AD557" s="378"/>
      <c r="AE557" s="378"/>
      <c r="AF557" s="378"/>
      <c r="AG557" s="378"/>
      <c r="AH557" s="379">
        <v>0</v>
      </c>
      <c r="AI557" s="379">
        <v>0</v>
      </c>
      <c r="AJ557" s="378"/>
      <c r="AK557" s="378"/>
      <c r="AL557" s="376" t="s">
        <v>180</v>
      </c>
      <c r="AM557" s="378"/>
      <c r="AN557" s="378"/>
      <c r="AO557" s="379">
        <v>0</v>
      </c>
      <c r="AP557" s="460">
        <v>0</v>
      </c>
      <c r="AQ557" s="460">
        <v>0</v>
      </c>
      <c r="AR557" s="459"/>
      <c r="AS557" s="462">
        <f t="shared" si="136"/>
        <v>0</v>
      </c>
      <c r="AT557">
        <f t="shared" si="137"/>
        <v>0</v>
      </c>
      <c r="AU557" s="462" t="str">
        <f>IF(AT557=0,"",IF(AND(AT557=1,M557="F",SUMIF(C2:C698,C557,AS2:AS698)&lt;=1),SUMIF(C2:C698,C557,AS2:AS698),IF(AND(AT557=1,M557="F",SUMIF(C2:C698,C557,AS2:AS698)&gt;1),1,"")))</f>
        <v/>
      </c>
      <c r="AV557" s="462" t="str">
        <f>IF(AT557=0,"",IF(AND(AT557=3,M557="F",SUMIF(C2:C698,C557,AS2:AS698)&lt;=1),SUMIF(C2:C698,C557,AS2:AS698),IF(AND(AT557=3,M557="F",SUMIF(C2:C698,C557,AS2:AS698)&gt;1),1,"")))</f>
        <v/>
      </c>
      <c r="AW557" s="462">
        <f>SUMIF(C2:C698,C557,O2:O698)</f>
        <v>0</v>
      </c>
      <c r="AX557" s="462">
        <f>IF(AND(M557="F",AS557&lt;&gt;0),SUMIF(C2:C698,C557,W2:W698),0)</f>
        <v>0</v>
      </c>
      <c r="AY557" s="462" t="str">
        <f t="shared" si="138"/>
        <v/>
      </c>
      <c r="AZ557" s="462" t="str">
        <f t="shared" si="139"/>
        <v/>
      </c>
      <c r="BA557" s="462">
        <f t="shared" si="140"/>
        <v>0</v>
      </c>
      <c r="BB557" s="462">
        <f>IF(AND(AT557=1,AK557="E",AU557&gt;=0.75,AW557=1),Health,IF(AND(AT557=1,AK557="E",AU557&gt;=0.75),Health*P557,IF(AND(AT557=1,AK557="E",AU557&gt;=0.5,AW557=1),PTHealth,IF(AND(AT557=1,AK557="E",AU557&gt;=0.5),PTHealth*P557,0))))</f>
        <v>0</v>
      </c>
      <c r="BC557" s="462">
        <f>IF(AND(AT557=3,AK557="E",AV557&gt;=0.75,AW557=1),Health,IF(AND(AT557=3,AK557="E",AV557&gt;=0.75),Health*P557,IF(AND(AT557=3,AK557="E",AV557&gt;=0.5,AW557=1),PTHealth,IF(AND(AT557=3,AK557="E",AV557&gt;=0.5),PTHealth*P557,0))))</f>
        <v>0</v>
      </c>
      <c r="BD557" s="462">
        <f>IF(AND(AT557&lt;&gt;0,AX557&gt;=MAXSSDI),SSDI*MAXSSDI*P557,IF(AT557&lt;&gt;0,SSDI*W557,0))</f>
        <v>0</v>
      </c>
      <c r="BE557" s="462">
        <f>IF(AT557&lt;&gt;0,SSHI*W557,0)</f>
        <v>0</v>
      </c>
      <c r="BF557" s="462">
        <f>IF(AND(AT557&lt;&gt;0,AN557&lt;&gt;"NE"),VLOOKUP(AN557,Retirement_Rates,3,FALSE)*W557,0)</f>
        <v>0</v>
      </c>
      <c r="BG557" s="462">
        <f>IF(AND(AT557&lt;&gt;0,AJ557&lt;&gt;"PF"),Life*W557,0)</f>
        <v>0</v>
      </c>
      <c r="BH557" s="462">
        <f>IF(AND(AT557&lt;&gt;0,AM557="Y"),UI*W557,0)</f>
        <v>0</v>
      </c>
      <c r="BI557" s="462">
        <f>IF(AND(AT557&lt;&gt;0,N557&lt;&gt;"NR"),DHR*W557,0)</f>
        <v>0</v>
      </c>
      <c r="BJ557" s="462">
        <f>IF(AT557&lt;&gt;0,WC*W557,0)</f>
        <v>0</v>
      </c>
      <c r="BK557" s="462">
        <f>IF(OR(AND(AT557&lt;&gt;0,AJ557&lt;&gt;"PF",AN557&lt;&gt;"NE",AG557&lt;&gt;"A"),AND(AL557="E",OR(AT557=1,AT557=3))),Sick*W557,0)</f>
        <v>0</v>
      </c>
      <c r="BL557" s="462">
        <f t="shared" si="141"/>
        <v>0</v>
      </c>
      <c r="BM557" s="462">
        <f t="shared" si="142"/>
        <v>0</v>
      </c>
      <c r="BN557" s="462">
        <f>IF(AND(AT557=1,AK557="E",AU557&gt;=0.75,AW557=1),HealthBY,IF(AND(AT557=1,AK557="E",AU557&gt;=0.75),HealthBY*P557,IF(AND(AT557=1,AK557="E",AU557&gt;=0.5,AW557=1),PTHealthBY,IF(AND(AT557=1,AK557="E",AU557&gt;=0.5),PTHealthBY*P557,0))))</f>
        <v>0</v>
      </c>
      <c r="BO557" s="462">
        <f>IF(AND(AT557=3,AK557="E",AV557&gt;=0.75,AW557=1),HealthBY,IF(AND(AT557=3,AK557="E",AV557&gt;=0.75),HealthBY*P557,IF(AND(AT557=3,AK557="E",AV557&gt;=0.5,AW557=1),PTHealthBY,IF(AND(AT557=3,AK557="E",AV557&gt;=0.5),PTHealthBY*P557,0))))</f>
        <v>0</v>
      </c>
      <c r="BP557" s="462">
        <f>IF(AND(AT557&lt;&gt;0,(AX557+BA557)&gt;=MAXSSDIBY),SSDIBY*MAXSSDIBY*P557,IF(AT557&lt;&gt;0,SSDIBY*W557,0))</f>
        <v>0</v>
      </c>
      <c r="BQ557" s="462">
        <f>IF(AT557&lt;&gt;0,SSHIBY*W557,0)</f>
        <v>0</v>
      </c>
      <c r="BR557" s="462">
        <f>IF(AND(AT557&lt;&gt;0,AN557&lt;&gt;"NE"),VLOOKUP(AN557,Retirement_Rates,4,FALSE)*W557,0)</f>
        <v>0</v>
      </c>
      <c r="BS557" s="462">
        <f>IF(AND(AT557&lt;&gt;0,AJ557&lt;&gt;"PF"),LifeBY*W557,0)</f>
        <v>0</v>
      </c>
      <c r="BT557" s="462">
        <f>IF(AND(AT557&lt;&gt;0,AM557="Y"),UIBY*W557,0)</f>
        <v>0</v>
      </c>
      <c r="BU557" s="462">
        <f>IF(AND(AT557&lt;&gt;0,N557&lt;&gt;"NR"),DHRBY*W557,0)</f>
        <v>0</v>
      </c>
      <c r="BV557" s="462">
        <f>IF(AT557&lt;&gt;0,WCBY*W557,0)</f>
        <v>0</v>
      </c>
      <c r="BW557" s="462">
        <f>IF(OR(AND(AT557&lt;&gt;0,AJ557&lt;&gt;"PF",AN557&lt;&gt;"NE",AG557&lt;&gt;"A"),AND(AL557="E",OR(AT557=1,AT557=3))),SickBY*W557,0)</f>
        <v>0</v>
      </c>
      <c r="BX557" s="462">
        <f t="shared" si="143"/>
        <v>0</v>
      </c>
      <c r="BY557" s="462">
        <f t="shared" si="144"/>
        <v>0</v>
      </c>
      <c r="BZ557" s="462">
        <f t="shared" si="145"/>
        <v>0</v>
      </c>
      <c r="CA557" s="462">
        <f t="shared" si="146"/>
        <v>0</v>
      </c>
      <c r="CB557" s="462">
        <f t="shared" si="147"/>
        <v>0</v>
      </c>
      <c r="CC557" s="462">
        <f>IF(AT557&lt;&gt;0,SSHICHG*Y557,0)</f>
        <v>0</v>
      </c>
      <c r="CD557" s="462">
        <f>IF(AND(AT557&lt;&gt;0,AN557&lt;&gt;"NE"),VLOOKUP(AN557,Retirement_Rates,5,FALSE)*Y557,0)</f>
        <v>0</v>
      </c>
      <c r="CE557" s="462">
        <f>IF(AND(AT557&lt;&gt;0,AJ557&lt;&gt;"PF"),LifeCHG*Y557,0)</f>
        <v>0</v>
      </c>
      <c r="CF557" s="462">
        <f>IF(AND(AT557&lt;&gt;0,AM557="Y"),UICHG*Y557,0)</f>
        <v>0</v>
      </c>
      <c r="CG557" s="462">
        <f>IF(AND(AT557&lt;&gt;0,N557&lt;&gt;"NR"),DHRCHG*Y557,0)</f>
        <v>0</v>
      </c>
      <c r="CH557" s="462">
        <f>IF(AT557&lt;&gt;0,WCCHG*Y557,0)</f>
        <v>0</v>
      </c>
      <c r="CI557" s="462">
        <f>IF(OR(AND(AT557&lt;&gt;0,AJ557&lt;&gt;"PF",AN557&lt;&gt;"NE",AG557&lt;&gt;"A"),AND(AL557="E",OR(AT557=1,AT557=3))),SickCHG*Y557,0)</f>
        <v>0</v>
      </c>
      <c r="CJ557" s="462">
        <f t="shared" si="148"/>
        <v>0</v>
      </c>
      <c r="CK557" s="462" t="str">
        <f t="shared" si="149"/>
        <v/>
      </c>
      <c r="CL557" s="462">
        <f t="shared" si="150"/>
        <v>0</v>
      </c>
      <c r="CM557" s="462">
        <f t="shared" si="151"/>
        <v>0</v>
      </c>
      <c r="CN557" s="462" t="str">
        <f t="shared" si="152"/>
        <v>0486-00</v>
      </c>
    </row>
    <row r="558" spans="1:92" ht="15" thickBot="1" x14ac:dyDescent="0.35">
      <c r="A558" s="376" t="s">
        <v>161</v>
      </c>
      <c r="B558" s="376" t="s">
        <v>162</v>
      </c>
      <c r="C558" s="376" t="s">
        <v>1242</v>
      </c>
      <c r="D558" s="376" t="s">
        <v>1156</v>
      </c>
      <c r="E558" s="376" t="s">
        <v>1140</v>
      </c>
      <c r="F558" s="377" t="s">
        <v>166</v>
      </c>
      <c r="G558" s="376" t="s">
        <v>1141</v>
      </c>
      <c r="H558" s="378"/>
      <c r="I558" s="378"/>
      <c r="J558" s="376" t="s">
        <v>168</v>
      </c>
      <c r="K558" s="376" t="s">
        <v>1157</v>
      </c>
      <c r="L558" s="376" t="s">
        <v>166</v>
      </c>
      <c r="M558" s="376" t="s">
        <v>201</v>
      </c>
      <c r="N558" s="376" t="s">
        <v>291</v>
      </c>
      <c r="O558" s="379">
        <v>0</v>
      </c>
      <c r="P558" s="460">
        <v>1</v>
      </c>
      <c r="Q558" s="460">
        <v>0</v>
      </c>
      <c r="R558" s="380">
        <v>0</v>
      </c>
      <c r="S558" s="460">
        <v>0</v>
      </c>
      <c r="T558" s="380">
        <v>0</v>
      </c>
      <c r="U558" s="380">
        <v>0</v>
      </c>
      <c r="V558" s="380">
        <v>0</v>
      </c>
      <c r="W558" s="380">
        <v>0</v>
      </c>
      <c r="X558" s="380">
        <v>0</v>
      </c>
      <c r="Y558" s="380">
        <v>0</v>
      </c>
      <c r="Z558" s="380">
        <v>0</v>
      </c>
      <c r="AA558" s="378"/>
      <c r="AB558" s="376" t="s">
        <v>45</v>
      </c>
      <c r="AC558" s="376" t="s">
        <v>45</v>
      </c>
      <c r="AD558" s="378"/>
      <c r="AE558" s="378"/>
      <c r="AF558" s="378"/>
      <c r="AG558" s="378"/>
      <c r="AH558" s="379">
        <v>0</v>
      </c>
      <c r="AI558" s="379">
        <v>0</v>
      </c>
      <c r="AJ558" s="378"/>
      <c r="AK558" s="378"/>
      <c r="AL558" s="376" t="s">
        <v>180</v>
      </c>
      <c r="AM558" s="378"/>
      <c r="AN558" s="378"/>
      <c r="AO558" s="379">
        <v>0</v>
      </c>
      <c r="AP558" s="460">
        <v>0</v>
      </c>
      <c r="AQ558" s="460">
        <v>0</v>
      </c>
      <c r="AR558" s="459"/>
      <c r="AS558" s="462">
        <f t="shared" si="136"/>
        <v>0</v>
      </c>
      <c r="AT558">
        <f t="shared" si="137"/>
        <v>0</v>
      </c>
      <c r="AU558" s="462" t="str">
        <f>IF(AT558=0,"",IF(AND(AT558=1,M558="F",SUMIF(C2:C698,C558,AS2:AS698)&lt;=1),SUMIF(C2:C698,C558,AS2:AS698),IF(AND(AT558=1,M558="F",SUMIF(C2:C698,C558,AS2:AS698)&gt;1),1,"")))</f>
        <v/>
      </c>
      <c r="AV558" s="462" t="str">
        <f>IF(AT558=0,"",IF(AND(AT558=3,M558="F",SUMIF(C2:C698,C558,AS2:AS698)&lt;=1),SUMIF(C2:C698,C558,AS2:AS698),IF(AND(AT558=3,M558="F",SUMIF(C2:C698,C558,AS2:AS698)&gt;1),1,"")))</f>
        <v/>
      </c>
      <c r="AW558" s="462">
        <f>SUMIF(C2:C698,C558,O2:O698)</f>
        <v>0</v>
      </c>
      <c r="AX558" s="462">
        <f>IF(AND(M558="F",AS558&lt;&gt;0),SUMIF(C2:C698,C558,W2:W698),0)</f>
        <v>0</v>
      </c>
      <c r="AY558" s="462" t="str">
        <f t="shared" si="138"/>
        <v/>
      </c>
      <c r="AZ558" s="462" t="str">
        <f t="shared" si="139"/>
        <v/>
      </c>
      <c r="BA558" s="462">
        <f t="shared" si="140"/>
        <v>0</v>
      </c>
      <c r="BB558" s="462">
        <f>IF(AND(AT558=1,AK558="E",AU558&gt;=0.75,AW558=1),Health,IF(AND(AT558=1,AK558="E",AU558&gt;=0.75),Health*P558,IF(AND(AT558=1,AK558="E",AU558&gt;=0.5,AW558=1),PTHealth,IF(AND(AT558=1,AK558="E",AU558&gt;=0.5),PTHealth*P558,0))))</f>
        <v>0</v>
      </c>
      <c r="BC558" s="462">
        <f>IF(AND(AT558=3,AK558="E",AV558&gt;=0.75,AW558=1),Health,IF(AND(AT558=3,AK558="E",AV558&gt;=0.75),Health*P558,IF(AND(AT558=3,AK558="E",AV558&gt;=0.5,AW558=1),PTHealth,IF(AND(AT558=3,AK558="E",AV558&gt;=0.5),PTHealth*P558,0))))</f>
        <v>0</v>
      </c>
      <c r="BD558" s="462">
        <f>IF(AND(AT558&lt;&gt;0,AX558&gt;=MAXSSDI),SSDI*MAXSSDI*P558,IF(AT558&lt;&gt;0,SSDI*W558,0))</f>
        <v>0</v>
      </c>
      <c r="BE558" s="462">
        <f>IF(AT558&lt;&gt;0,SSHI*W558,0)</f>
        <v>0</v>
      </c>
      <c r="BF558" s="462">
        <f>IF(AND(AT558&lt;&gt;0,AN558&lt;&gt;"NE"),VLOOKUP(AN558,Retirement_Rates,3,FALSE)*W558,0)</f>
        <v>0</v>
      </c>
      <c r="BG558" s="462">
        <f>IF(AND(AT558&lt;&gt;0,AJ558&lt;&gt;"PF"),Life*W558,0)</f>
        <v>0</v>
      </c>
      <c r="BH558" s="462">
        <f>IF(AND(AT558&lt;&gt;0,AM558="Y"),UI*W558,0)</f>
        <v>0</v>
      </c>
      <c r="BI558" s="462">
        <f>IF(AND(AT558&lt;&gt;0,N558&lt;&gt;"NR"),DHR*W558,0)</f>
        <v>0</v>
      </c>
      <c r="BJ558" s="462">
        <f>IF(AT558&lt;&gt;0,WC*W558,0)</f>
        <v>0</v>
      </c>
      <c r="BK558" s="462">
        <f>IF(OR(AND(AT558&lt;&gt;0,AJ558&lt;&gt;"PF",AN558&lt;&gt;"NE",AG558&lt;&gt;"A"),AND(AL558="E",OR(AT558=1,AT558=3))),Sick*W558,0)</f>
        <v>0</v>
      </c>
      <c r="BL558" s="462">
        <f t="shared" si="141"/>
        <v>0</v>
      </c>
      <c r="BM558" s="462">
        <f t="shared" si="142"/>
        <v>0</v>
      </c>
      <c r="BN558" s="462">
        <f>IF(AND(AT558=1,AK558="E",AU558&gt;=0.75,AW558=1),HealthBY,IF(AND(AT558=1,AK558="E",AU558&gt;=0.75),HealthBY*P558,IF(AND(AT558=1,AK558="E",AU558&gt;=0.5,AW558=1),PTHealthBY,IF(AND(AT558=1,AK558="E",AU558&gt;=0.5),PTHealthBY*P558,0))))</f>
        <v>0</v>
      </c>
      <c r="BO558" s="462">
        <f>IF(AND(AT558=3,AK558="E",AV558&gt;=0.75,AW558=1),HealthBY,IF(AND(AT558=3,AK558="E",AV558&gt;=0.75),HealthBY*P558,IF(AND(AT558=3,AK558="E",AV558&gt;=0.5,AW558=1),PTHealthBY,IF(AND(AT558=3,AK558="E",AV558&gt;=0.5),PTHealthBY*P558,0))))</f>
        <v>0</v>
      </c>
      <c r="BP558" s="462">
        <f>IF(AND(AT558&lt;&gt;0,(AX558+BA558)&gt;=MAXSSDIBY),SSDIBY*MAXSSDIBY*P558,IF(AT558&lt;&gt;0,SSDIBY*W558,0))</f>
        <v>0</v>
      </c>
      <c r="BQ558" s="462">
        <f>IF(AT558&lt;&gt;0,SSHIBY*W558,0)</f>
        <v>0</v>
      </c>
      <c r="BR558" s="462">
        <f>IF(AND(AT558&lt;&gt;0,AN558&lt;&gt;"NE"),VLOOKUP(AN558,Retirement_Rates,4,FALSE)*W558,0)</f>
        <v>0</v>
      </c>
      <c r="BS558" s="462">
        <f>IF(AND(AT558&lt;&gt;0,AJ558&lt;&gt;"PF"),LifeBY*W558,0)</f>
        <v>0</v>
      </c>
      <c r="BT558" s="462">
        <f>IF(AND(AT558&lt;&gt;0,AM558="Y"),UIBY*W558,0)</f>
        <v>0</v>
      </c>
      <c r="BU558" s="462">
        <f>IF(AND(AT558&lt;&gt;0,N558&lt;&gt;"NR"),DHRBY*W558,0)</f>
        <v>0</v>
      </c>
      <c r="BV558" s="462">
        <f>IF(AT558&lt;&gt;0,WCBY*W558,0)</f>
        <v>0</v>
      </c>
      <c r="BW558" s="462">
        <f>IF(OR(AND(AT558&lt;&gt;0,AJ558&lt;&gt;"PF",AN558&lt;&gt;"NE",AG558&lt;&gt;"A"),AND(AL558="E",OR(AT558=1,AT558=3))),SickBY*W558,0)</f>
        <v>0</v>
      </c>
      <c r="BX558" s="462">
        <f t="shared" si="143"/>
        <v>0</v>
      </c>
      <c r="BY558" s="462">
        <f t="shared" si="144"/>
        <v>0</v>
      </c>
      <c r="BZ558" s="462">
        <f t="shared" si="145"/>
        <v>0</v>
      </c>
      <c r="CA558" s="462">
        <f t="shared" si="146"/>
        <v>0</v>
      </c>
      <c r="CB558" s="462">
        <f t="shared" si="147"/>
        <v>0</v>
      </c>
      <c r="CC558" s="462">
        <f>IF(AT558&lt;&gt;0,SSHICHG*Y558,0)</f>
        <v>0</v>
      </c>
      <c r="CD558" s="462">
        <f>IF(AND(AT558&lt;&gt;0,AN558&lt;&gt;"NE"),VLOOKUP(AN558,Retirement_Rates,5,FALSE)*Y558,0)</f>
        <v>0</v>
      </c>
      <c r="CE558" s="462">
        <f>IF(AND(AT558&lt;&gt;0,AJ558&lt;&gt;"PF"),LifeCHG*Y558,0)</f>
        <v>0</v>
      </c>
      <c r="CF558" s="462">
        <f>IF(AND(AT558&lt;&gt;0,AM558="Y"),UICHG*Y558,0)</f>
        <v>0</v>
      </c>
      <c r="CG558" s="462">
        <f>IF(AND(AT558&lt;&gt;0,N558&lt;&gt;"NR"),DHRCHG*Y558,0)</f>
        <v>0</v>
      </c>
      <c r="CH558" s="462">
        <f>IF(AT558&lt;&gt;0,WCCHG*Y558,0)</f>
        <v>0</v>
      </c>
      <c r="CI558" s="462">
        <f>IF(OR(AND(AT558&lt;&gt;0,AJ558&lt;&gt;"PF",AN558&lt;&gt;"NE",AG558&lt;&gt;"A"),AND(AL558="E",OR(AT558=1,AT558=3))),SickCHG*Y558,0)</f>
        <v>0</v>
      </c>
      <c r="CJ558" s="462">
        <f t="shared" si="148"/>
        <v>0</v>
      </c>
      <c r="CK558" s="462" t="str">
        <f t="shared" si="149"/>
        <v/>
      </c>
      <c r="CL558" s="462">
        <f t="shared" si="150"/>
        <v>0</v>
      </c>
      <c r="CM558" s="462">
        <f t="shared" si="151"/>
        <v>0</v>
      </c>
      <c r="CN558" s="462" t="str">
        <f t="shared" si="152"/>
        <v>0486-00</v>
      </c>
    </row>
    <row r="559" spans="1:92" ht="15" thickBot="1" x14ac:dyDescent="0.35">
      <c r="A559" s="376" t="s">
        <v>161</v>
      </c>
      <c r="B559" s="376" t="s">
        <v>162</v>
      </c>
      <c r="C559" s="376" t="s">
        <v>849</v>
      </c>
      <c r="D559" s="376" t="s">
        <v>362</v>
      </c>
      <c r="E559" s="376" t="s">
        <v>1140</v>
      </c>
      <c r="F559" s="377" t="s">
        <v>166</v>
      </c>
      <c r="G559" s="376" t="s">
        <v>1141</v>
      </c>
      <c r="H559" s="378"/>
      <c r="I559" s="378"/>
      <c r="J559" s="376" t="s">
        <v>782</v>
      </c>
      <c r="K559" s="376" t="s">
        <v>363</v>
      </c>
      <c r="L559" s="376" t="s">
        <v>200</v>
      </c>
      <c r="M559" s="376" t="s">
        <v>170</v>
      </c>
      <c r="N559" s="376" t="s">
        <v>202</v>
      </c>
      <c r="O559" s="379">
        <v>1</v>
      </c>
      <c r="P559" s="460">
        <v>0</v>
      </c>
      <c r="Q559" s="460">
        <v>0</v>
      </c>
      <c r="R559" s="380">
        <v>80</v>
      </c>
      <c r="S559" s="460">
        <v>0</v>
      </c>
      <c r="T559" s="380">
        <v>295.45999999999998</v>
      </c>
      <c r="U559" s="380">
        <v>0</v>
      </c>
      <c r="V559" s="380">
        <v>145.41</v>
      </c>
      <c r="W559" s="380">
        <v>0</v>
      </c>
      <c r="X559" s="380">
        <v>0</v>
      </c>
      <c r="Y559" s="380">
        <v>0</v>
      </c>
      <c r="Z559" s="380">
        <v>0</v>
      </c>
      <c r="AA559" s="376" t="s">
        <v>850</v>
      </c>
      <c r="AB559" s="376" t="s">
        <v>851</v>
      </c>
      <c r="AC559" s="376" t="s">
        <v>529</v>
      </c>
      <c r="AD559" s="376" t="s">
        <v>278</v>
      </c>
      <c r="AE559" s="376" t="s">
        <v>363</v>
      </c>
      <c r="AF559" s="376" t="s">
        <v>210</v>
      </c>
      <c r="AG559" s="376" t="s">
        <v>177</v>
      </c>
      <c r="AH559" s="381">
        <v>22.5</v>
      </c>
      <c r="AI559" s="381">
        <v>13789.6</v>
      </c>
      <c r="AJ559" s="376" t="s">
        <v>178</v>
      </c>
      <c r="AK559" s="376" t="s">
        <v>179</v>
      </c>
      <c r="AL559" s="376" t="s">
        <v>180</v>
      </c>
      <c r="AM559" s="376" t="s">
        <v>181</v>
      </c>
      <c r="AN559" s="376" t="s">
        <v>68</v>
      </c>
      <c r="AO559" s="379">
        <v>80</v>
      </c>
      <c r="AP559" s="460">
        <v>1</v>
      </c>
      <c r="AQ559" s="460">
        <v>0</v>
      </c>
      <c r="AR559" s="458" t="s">
        <v>182</v>
      </c>
      <c r="AS559" s="462">
        <f t="shared" si="136"/>
        <v>0</v>
      </c>
      <c r="AT559">
        <f t="shared" si="137"/>
        <v>0</v>
      </c>
      <c r="AU559" s="462" t="str">
        <f>IF(AT559=0,"",IF(AND(AT559=1,M559="F",SUMIF(C2:C698,C559,AS2:AS698)&lt;=1),SUMIF(C2:C698,C559,AS2:AS698),IF(AND(AT559=1,M559="F",SUMIF(C2:C698,C559,AS2:AS698)&gt;1),1,"")))</f>
        <v/>
      </c>
      <c r="AV559" s="462" t="str">
        <f>IF(AT559=0,"",IF(AND(AT559=3,M559="F",SUMIF(C2:C698,C559,AS2:AS698)&lt;=1),SUMIF(C2:C698,C559,AS2:AS698),IF(AND(AT559=3,M559="F",SUMIF(C2:C698,C559,AS2:AS698)&gt;1),1,"")))</f>
        <v/>
      </c>
      <c r="AW559" s="462">
        <f>SUMIF(C2:C698,C559,O2:O698)</f>
        <v>7</v>
      </c>
      <c r="AX559" s="462">
        <f>IF(AND(M559="F",AS559&lt;&gt;0),SUMIF(C2:C698,C559,W2:W698),0)</f>
        <v>0</v>
      </c>
      <c r="AY559" s="462" t="str">
        <f t="shared" si="138"/>
        <v/>
      </c>
      <c r="AZ559" s="462" t="str">
        <f t="shared" si="139"/>
        <v/>
      </c>
      <c r="BA559" s="462">
        <f t="shared" si="140"/>
        <v>0</v>
      </c>
      <c r="BB559" s="462">
        <f>IF(AND(AT559=1,AK559="E",AU559&gt;=0.75,AW559=1),Health,IF(AND(AT559=1,AK559="E",AU559&gt;=0.75),Health*P559,IF(AND(AT559=1,AK559="E",AU559&gt;=0.5,AW559=1),PTHealth,IF(AND(AT559=1,AK559="E",AU559&gt;=0.5),PTHealth*P559,0))))</f>
        <v>0</v>
      </c>
      <c r="BC559" s="462">
        <f>IF(AND(AT559=3,AK559="E",AV559&gt;=0.75,AW559=1),Health,IF(AND(AT559=3,AK559="E",AV559&gt;=0.75),Health*P559,IF(AND(AT559=3,AK559="E",AV559&gt;=0.5,AW559=1),PTHealth,IF(AND(AT559=3,AK559="E",AV559&gt;=0.5),PTHealth*P559,0))))</f>
        <v>0</v>
      </c>
      <c r="BD559" s="462">
        <f>IF(AND(AT559&lt;&gt;0,AX559&gt;=MAXSSDI),SSDI*MAXSSDI*P559,IF(AT559&lt;&gt;0,SSDI*W559,0))</f>
        <v>0</v>
      </c>
      <c r="BE559" s="462">
        <f>IF(AT559&lt;&gt;0,SSHI*W559,0)</f>
        <v>0</v>
      </c>
      <c r="BF559" s="462">
        <f>IF(AND(AT559&lt;&gt;0,AN559&lt;&gt;"NE"),VLOOKUP(AN559,Retirement_Rates,3,FALSE)*W559,0)</f>
        <v>0</v>
      </c>
      <c r="BG559" s="462">
        <f>IF(AND(AT559&lt;&gt;0,AJ559&lt;&gt;"PF"),Life*W559,0)</f>
        <v>0</v>
      </c>
      <c r="BH559" s="462">
        <f>IF(AND(AT559&lt;&gt;0,AM559="Y"),UI*W559,0)</f>
        <v>0</v>
      </c>
      <c r="BI559" s="462">
        <f>IF(AND(AT559&lt;&gt;0,N559&lt;&gt;"NR"),DHR*W559,0)</f>
        <v>0</v>
      </c>
      <c r="BJ559" s="462">
        <f>IF(AT559&lt;&gt;0,WC*W559,0)</f>
        <v>0</v>
      </c>
      <c r="BK559" s="462">
        <f>IF(OR(AND(AT559&lt;&gt;0,AJ559&lt;&gt;"PF",AN559&lt;&gt;"NE",AG559&lt;&gt;"A"),AND(AL559="E",OR(AT559=1,AT559=3))),Sick*W559,0)</f>
        <v>0</v>
      </c>
      <c r="BL559" s="462">
        <f t="shared" si="141"/>
        <v>0</v>
      </c>
      <c r="BM559" s="462">
        <f t="shared" si="142"/>
        <v>0</v>
      </c>
      <c r="BN559" s="462">
        <f>IF(AND(AT559=1,AK559="E",AU559&gt;=0.75,AW559=1),HealthBY,IF(AND(AT559=1,AK559="E",AU559&gt;=0.75),HealthBY*P559,IF(AND(AT559=1,AK559="E",AU559&gt;=0.5,AW559=1),PTHealthBY,IF(AND(AT559=1,AK559="E",AU559&gt;=0.5),PTHealthBY*P559,0))))</f>
        <v>0</v>
      </c>
      <c r="BO559" s="462">
        <f>IF(AND(AT559=3,AK559="E",AV559&gt;=0.75,AW559=1),HealthBY,IF(AND(AT559=3,AK559="E",AV559&gt;=0.75),HealthBY*P559,IF(AND(AT559=3,AK559="E",AV559&gt;=0.5,AW559=1),PTHealthBY,IF(AND(AT559=3,AK559="E",AV559&gt;=0.5),PTHealthBY*P559,0))))</f>
        <v>0</v>
      </c>
      <c r="BP559" s="462">
        <f>IF(AND(AT559&lt;&gt;0,(AX559+BA559)&gt;=MAXSSDIBY),SSDIBY*MAXSSDIBY*P559,IF(AT559&lt;&gt;0,SSDIBY*W559,0))</f>
        <v>0</v>
      </c>
      <c r="BQ559" s="462">
        <f>IF(AT559&lt;&gt;0,SSHIBY*W559,0)</f>
        <v>0</v>
      </c>
      <c r="BR559" s="462">
        <f>IF(AND(AT559&lt;&gt;0,AN559&lt;&gt;"NE"),VLOOKUP(AN559,Retirement_Rates,4,FALSE)*W559,0)</f>
        <v>0</v>
      </c>
      <c r="BS559" s="462">
        <f>IF(AND(AT559&lt;&gt;0,AJ559&lt;&gt;"PF"),LifeBY*W559,0)</f>
        <v>0</v>
      </c>
      <c r="BT559" s="462">
        <f>IF(AND(AT559&lt;&gt;0,AM559="Y"),UIBY*W559,0)</f>
        <v>0</v>
      </c>
      <c r="BU559" s="462">
        <f>IF(AND(AT559&lt;&gt;0,N559&lt;&gt;"NR"),DHRBY*W559,0)</f>
        <v>0</v>
      </c>
      <c r="BV559" s="462">
        <f>IF(AT559&lt;&gt;0,WCBY*W559,0)</f>
        <v>0</v>
      </c>
      <c r="BW559" s="462">
        <f>IF(OR(AND(AT559&lt;&gt;0,AJ559&lt;&gt;"PF",AN559&lt;&gt;"NE",AG559&lt;&gt;"A"),AND(AL559="E",OR(AT559=1,AT559=3))),SickBY*W559,0)</f>
        <v>0</v>
      </c>
      <c r="BX559" s="462">
        <f t="shared" si="143"/>
        <v>0</v>
      </c>
      <c r="BY559" s="462">
        <f t="shared" si="144"/>
        <v>0</v>
      </c>
      <c r="BZ559" s="462">
        <f t="shared" si="145"/>
        <v>0</v>
      </c>
      <c r="CA559" s="462">
        <f t="shared" si="146"/>
        <v>0</v>
      </c>
      <c r="CB559" s="462">
        <f t="shared" si="147"/>
        <v>0</v>
      </c>
      <c r="CC559" s="462">
        <f>IF(AT559&lt;&gt;0,SSHICHG*Y559,0)</f>
        <v>0</v>
      </c>
      <c r="CD559" s="462">
        <f>IF(AND(AT559&lt;&gt;0,AN559&lt;&gt;"NE"),VLOOKUP(AN559,Retirement_Rates,5,FALSE)*Y559,0)</f>
        <v>0</v>
      </c>
      <c r="CE559" s="462">
        <f>IF(AND(AT559&lt;&gt;0,AJ559&lt;&gt;"PF"),LifeCHG*Y559,0)</f>
        <v>0</v>
      </c>
      <c r="CF559" s="462">
        <f>IF(AND(AT559&lt;&gt;0,AM559="Y"),UICHG*Y559,0)</f>
        <v>0</v>
      </c>
      <c r="CG559" s="462">
        <f>IF(AND(AT559&lt;&gt;0,N559&lt;&gt;"NR"),DHRCHG*Y559,0)</f>
        <v>0</v>
      </c>
      <c r="CH559" s="462">
        <f>IF(AT559&lt;&gt;0,WCCHG*Y559,0)</f>
        <v>0</v>
      </c>
      <c r="CI559" s="462">
        <f>IF(OR(AND(AT559&lt;&gt;0,AJ559&lt;&gt;"PF",AN559&lt;&gt;"NE",AG559&lt;&gt;"A"),AND(AL559="E",OR(AT559=1,AT559=3))),SickCHG*Y559,0)</f>
        <v>0</v>
      </c>
      <c r="CJ559" s="462">
        <f t="shared" si="148"/>
        <v>0</v>
      </c>
      <c r="CK559" s="462" t="str">
        <f t="shared" si="149"/>
        <v/>
      </c>
      <c r="CL559" s="462" t="str">
        <f t="shared" si="150"/>
        <v/>
      </c>
      <c r="CM559" s="462" t="str">
        <f t="shared" si="151"/>
        <v/>
      </c>
      <c r="CN559" s="462" t="str">
        <f t="shared" si="152"/>
        <v>0486-00</v>
      </c>
    </row>
    <row r="560" spans="1:92" ht="15" thickBot="1" x14ac:dyDescent="0.35">
      <c r="A560" s="376" t="s">
        <v>161</v>
      </c>
      <c r="B560" s="376" t="s">
        <v>162</v>
      </c>
      <c r="C560" s="376" t="s">
        <v>1243</v>
      </c>
      <c r="D560" s="376" t="s">
        <v>1159</v>
      </c>
      <c r="E560" s="376" t="s">
        <v>1140</v>
      </c>
      <c r="F560" s="377" t="s">
        <v>166</v>
      </c>
      <c r="G560" s="376" t="s">
        <v>1141</v>
      </c>
      <c r="H560" s="378"/>
      <c r="I560" s="378"/>
      <c r="J560" s="376" t="s">
        <v>168</v>
      </c>
      <c r="K560" s="376" t="s">
        <v>1244</v>
      </c>
      <c r="L560" s="376" t="s">
        <v>166</v>
      </c>
      <c r="M560" s="376" t="s">
        <v>201</v>
      </c>
      <c r="N560" s="376" t="s">
        <v>291</v>
      </c>
      <c r="O560" s="379">
        <v>0</v>
      </c>
      <c r="P560" s="460">
        <v>1</v>
      </c>
      <c r="Q560" s="460">
        <v>0</v>
      </c>
      <c r="R560" s="380">
        <v>0</v>
      </c>
      <c r="S560" s="460">
        <v>0</v>
      </c>
      <c r="T560" s="380">
        <v>0</v>
      </c>
      <c r="U560" s="380">
        <v>0</v>
      </c>
      <c r="V560" s="380">
        <v>0</v>
      </c>
      <c r="W560" s="380">
        <v>0</v>
      </c>
      <c r="X560" s="380">
        <v>0</v>
      </c>
      <c r="Y560" s="380">
        <v>0</v>
      </c>
      <c r="Z560" s="380">
        <v>0</v>
      </c>
      <c r="AA560" s="378"/>
      <c r="AB560" s="376" t="s">
        <v>45</v>
      </c>
      <c r="AC560" s="376" t="s">
        <v>45</v>
      </c>
      <c r="AD560" s="378"/>
      <c r="AE560" s="378"/>
      <c r="AF560" s="378"/>
      <c r="AG560" s="378"/>
      <c r="AH560" s="379">
        <v>0</v>
      </c>
      <c r="AI560" s="379">
        <v>0</v>
      </c>
      <c r="AJ560" s="378"/>
      <c r="AK560" s="378"/>
      <c r="AL560" s="376" t="s">
        <v>180</v>
      </c>
      <c r="AM560" s="378"/>
      <c r="AN560" s="378"/>
      <c r="AO560" s="379">
        <v>0</v>
      </c>
      <c r="AP560" s="460">
        <v>0</v>
      </c>
      <c r="AQ560" s="460">
        <v>0</v>
      </c>
      <c r="AR560" s="459"/>
      <c r="AS560" s="462">
        <f t="shared" si="136"/>
        <v>0</v>
      </c>
      <c r="AT560">
        <f t="shared" si="137"/>
        <v>0</v>
      </c>
      <c r="AU560" s="462" t="str">
        <f>IF(AT560=0,"",IF(AND(AT560=1,M560="F",SUMIF(C2:C698,C560,AS2:AS698)&lt;=1),SUMIF(C2:C698,C560,AS2:AS698),IF(AND(AT560=1,M560="F",SUMIF(C2:C698,C560,AS2:AS698)&gt;1),1,"")))</f>
        <v/>
      </c>
      <c r="AV560" s="462" t="str">
        <f>IF(AT560=0,"",IF(AND(AT560=3,M560="F",SUMIF(C2:C698,C560,AS2:AS698)&lt;=1),SUMIF(C2:C698,C560,AS2:AS698),IF(AND(AT560=3,M560="F",SUMIF(C2:C698,C560,AS2:AS698)&gt;1),1,"")))</f>
        <v/>
      </c>
      <c r="AW560" s="462">
        <f>SUMIF(C2:C698,C560,O2:O698)</f>
        <v>0</v>
      </c>
      <c r="AX560" s="462">
        <f>IF(AND(M560="F",AS560&lt;&gt;0),SUMIF(C2:C698,C560,W2:W698),0)</f>
        <v>0</v>
      </c>
      <c r="AY560" s="462" t="str">
        <f t="shared" si="138"/>
        <v/>
      </c>
      <c r="AZ560" s="462" t="str">
        <f t="shared" si="139"/>
        <v/>
      </c>
      <c r="BA560" s="462">
        <f t="shared" si="140"/>
        <v>0</v>
      </c>
      <c r="BB560" s="462">
        <f>IF(AND(AT560=1,AK560="E",AU560&gt;=0.75,AW560=1),Health,IF(AND(AT560=1,AK560="E",AU560&gt;=0.75),Health*P560,IF(AND(AT560=1,AK560="E",AU560&gt;=0.5,AW560=1),PTHealth,IF(AND(AT560=1,AK560="E",AU560&gt;=0.5),PTHealth*P560,0))))</f>
        <v>0</v>
      </c>
      <c r="BC560" s="462">
        <f>IF(AND(AT560=3,AK560="E",AV560&gt;=0.75,AW560=1),Health,IF(AND(AT560=3,AK560="E",AV560&gt;=0.75),Health*P560,IF(AND(AT560=3,AK560="E",AV560&gt;=0.5,AW560=1),PTHealth,IF(AND(AT560=3,AK560="E",AV560&gt;=0.5),PTHealth*P560,0))))</f>
        <v>0</v>
      </c>
      <c r="BD560" s="462">
        <f>IF(AND(AT560&lt;&gt;0,AX560&gt;=MAXSSDI),SSDI*MAXSSDI*P560,IF(AT560&lt;&gt;0,SSDI*W560,0))</f>
        <v>0</v>
      </c>
      <c r="BE560" s="462">
        <f>IF(AT560&lt;&gt;0,SSHI*W560,0)</f>
        <v>0</v>
      </c>
      <c r="BF560" s="462">
        <f>IF(AND(AT560&lt;&gt;0,AN560&lt;&gt;"NE"),VLOOKUP(AN560,Retirement_Rates,3,FALSE)*W560,0)</f>
        <v>0</v>
      </c>
      <c r="BG560" s="462">
        <f>IF(AND(AT560&lt;&gt;0,AJ560&lt;&gt;"PF"),Life*W560,0)</f>
        <v>0</v>
      </c>
      <c r="BH560" s="462">
        <f>IF(AND(AT560&lt;&gt;0,AM560="Y"),UI*W560,0)</f>
        <v>0</v>
      </c>
      <c r="BI560" s="462">
        <f>IF(AND(AT560&lt;&gt;0,N560&lt;&gt;"NR"),DHR*W560,0)</f>
        <v>0</v>
      </c>
      <c r="BJ560" s="462">
        <f>IF(AT560&lt;&gt;0,WC*W560,0)</f>
        <v>0</v>
      </c>
      <c r="BK560" s="462">
        <f>IF(OR(AND(AT560&lt;&gt;0,AJ560&lt;&gt;"PF",AN560&lt;&gt;"NE",AG560&lt;&gt;"A"),AND(AL560="E",OR(AT560=1,AT560=3))),Sick*W560,0)</f>
        <v>0</v>
      </c>
      <c r="BL560" s="462">
        <f t="shared" si="141"/>
        <v>0</v>
      </c>
      <c r="BM560" s="462">
        <f t="shared" si="142"/>
        <v>0</v>
      </c>
      <c r="BN560" s="462">
        <f>IF(AND(AT560=1,AK560="E",AU560&gt;=0.75,AW560=1),HealthBY,IF(AND(AT560=1,AK560="E",AU560&gt;=0.75),HealthBY*P560,IF(AND(AT560=1,AK560="E",AU560&gt;=0.5,AW560=1),PTHealthBY,IF(AND(AT560=1,AK560="E",AU560&gt;=0.5),PTHealthBY*P560,0))))</f>
        <v>0</v>
      </c>
      <c r="BO560" s="462">
        <f>IF(AND(AT560=3,AK560="E",AV560&gt;=0.75,AW560=1),HealthBY,IF(AND(AT560=3,AK560="E",AV560&gt;=0.75),HealthBY*P560,IF(AND(AT560=3,AK560="E",AV560&gt;=0.5,AW560=1),PTHealthBY,IF(AND(AT560=3,AK560="E",AV560&gt;=0.5),PTHealthBY*P560,0))))</f>
        <v>0</v>
      </c>
      <c r="BP560" s="462">
        <f>IF(AND(AT560&lt;&gt;0,(AX560+BA560)&gt;=MAXSSDIBY),SSDIBY*MAXSSDIBY*P560,IF(AT560&lt;&gt;0,SSDIBY*W560,0))</f>
        <v>0</v>
      </c>
      <c r="BQ560" s="462">
        <f>IF(AT560&lt;&gt;0,SSHIBY*W560,0)</f>
        <v>0</v>
      </c>
      <c r="BR560" s="462">
        <f>IF(AND(AT560&lt;&gt;0,AN560&lt;&gt;"NE"),VLOOKUP(AN560,Retirement_Rates,4,FALSE)*W560,0)</f>
        <v>0</v>
      </c>
      <c r="BS560" s="462">
        <f>IF(AND(AT560&lt;&gt;0,AJ560&lt;&gt;"PF"),LifeBY*W560,0)</f>
        <v>0</v>
      </c>
      <c r="BT560" s="462">
        <f>IF(AND(AT560&lt;&gt;0,AM560="Y"),UIBY*W560,0)</f>
        <v>0</v>
      </c>
      <c r="BU560" s="462">
        <f>IF(AND(AT560&lt;&gt;0,N560&lt;&gt;"NR"),DHRBY*W560,0)</f>
        <v>0</v>
      </c>
      <c r="BV560" s="462">
        <f>IF(AT560&lt;&gt;0,WCBY*W560,0)</f>
        <v>0</v>
      </c>
      <c r="BW560" s="462">
        <f>IF(OR(AND(AT560&lt;&gt;0,AJ560&lt;&gt;"PF",AN560&lt;&gt;"NE",AG560&lt;&gt;"A"),AND(AL560="E",OR(AT560=1,AT560=3))),SickBY*W560,0)</f>
        <v>0</v>
      </c>
      <c r="BX560" s="462">
        <f t="shared" si="143"/>
        <v>0</v>
      </c>
      <c r="BY560" s="462">
        <f t="shared" si="144"/>
        <v>0</v>
      </c>
      <c r="BZ560" s="462">
        <f t="shared" si="145"/>
        <v>0</v>
      </c>
      <c r="CA560" s="462">
        <f t="shared" si="146"/>
        <v>0</v>
      </c>
      <c r="CB560" s="462">
        <f t="shared" si="147"/>
        <v>0</v>
      </c>
      <c r="CC560" s="462">
        <f>IF(AT560&lt;&gt;0,SSHICHG*Y560,0)</f>
        <v>0</v>
      </c>
      <c r="CD560" s="462">
        <f>IF(AND(AT560&lt;&gt;0,AN560&lt;&gt;"NE"),VLOOKUP(AN560,Retirement_Rates,5,FALSE)*Y560,0)</f>
        <v>0</v>
      </c>
      <c r="CE560" s="462">
        <f>IF(AND(AT560&lt;&gt;0,AJ560&lt;&gt;"PF"),LifeCHG*Y560,0)</f>
        <v>0</v>
      </c>
      <c r="CF560" s="462">
        <f>IF(AND(AT560&lt;&gt;0,AM560="Y"),UICHG*Y560,0)</f>
        <v>0</v>
      </c>
      <c r="CG560" s="462">
        <f>IF(AND(AT560&lt;&gt;0,N560&lt;&gt;"NR"),DHRCHG*Y560,0)</f>
        <v>0</v>
      </c>
      <c r="CH560" s="462">
        <f>IF(AT560&lt;&gt;0,WCCHG*Y560,0)</f>
        <v>0</v>
      </c>
      <c r="CI560" s="462">
        <f>IF(OR(AND(AT560&lt;&gt;0,AJ560&lt;&gt;"PF",AN560&lt;&gt;"NE",AG560&lt;&gt;"A"),AND(AL560="E",OR(AT560=1,AT560=3))),SickCHG*Y560,0)</f>
        <v>0</v>
      </c>
      <c r="CJ560" s="462">
        <f t="shared" si="148"/>
        <v>0</v>
      </c>
      <c r="CK560" s="462" t="str">
        <f t="shared" si="149"/>
        <v/>
      </c>
      <c r="CL560" s="462">
        <f t="shared" si="150"/>
        <v>0</v>
      </c>
      <c r="CM560" s="462">
        <f t="shared" si="151"/>
        <v>0</v>
      </c>
      <c r="CN560" s="462" t="str">
        <f t="shared" si="152"/>
        <v>0486-00</v>
      </c>
    </row>
    <row r="561" spans="1:92" ht="15" thickBot="1" x14ac:dyDescent="0.35">
      <c r="A561" s="376" t="s">
        <v>161</v>
      </c>
      <c r="B561" s="376" t="s">
        <v>162</v>
      </c>
      <c r="C561" s="376" t="s">
        <v>1245</v>
      </c>
      <c r="D561" s="376" t="s">
        <v>365</v>
      </c>
      <c r="E561" s="376" t="s">
        <v>1140</v>
      </c>
      <c r="F561" s="377" t="s">
        <v>166</v>
      </c>
      <c r="G561" s="376" t="s">
        <v>1141</v>
      </c>
      <c r="H561" s="378"/>
      <c r="I561" s="378"/>
      <c r="J561" s="376" t="s">
        <v>185</v>
      </c>
      <c r="K561" s="376" t="s">
        <v>366</v>
      </c>
      <c r="L561" s="376" t="s">
        <v>274</v>
      </c>
      <c r="M561" s="376" t="s">
        <v>201</v>
      </c>
      <c r="N561" s="376" t="s">
        <v>202</v>
      </c>
      <c r="O561" s="379">
        <v>0</v>
      </c>
      <c r="P561" s="460">
        <v>0.85</v>
      </c>
      <c r="Q561" s="460">
        <v>0.85</v>
      </c>
      <c r="R561" s="380">
        <v>80</v>
      </c>
      <c r="S561" s="460">
        <v>0.85</v>
      </c>
      <c r="T561" s="380">
        <v>26619.3</v>
      </c>
      <c r="U561" s="380">
        <v>0</v>
      </c>
      <c r="V561" s="380">
        <v>13988.35</v>
      </c>
      <c r="W561" s="380">
        <v>31877.040000000001</v>
      </c>
      <c r="X561" s="380">
        <v>13962.14</v>
      </c>
      <c r="Y561" s="380">
        <v>31877.040000000001</v>
      </c>
      <c r="Z561" s="380">
        <v>13802.75</v>
      </c>
      <c r="AA561" s="378"/>
      <c r="AB561" s="376" t="s">
        <v>45</v>
      </c>
      <c r="AC561" s="376" t="s">
        <v>45</v>
      </c>
      <c r="AD561" s="378"/>
      <c r="AE561" s="378"/>
      <c r="AF561" s="378"/>
      <c r="AG561" s="378"/>
      <c r="AH561" s="379">
        <v>0</v>
      </c>
      <c r="AI561" s="379">
        <v>0</v>
      </c>
      <c r="AJ561" s="378"/>
      <c r="AK561" s="378"/>
      <c r="AL561" s="376" t="s">
        <v>180</v>
      </c>
      <c r="AM561" s="378"/>
      <c r="AN561" s="378"/>
      <c r="AO561" s="379">
        <v>0</v>
      </c>
      <c r="AP561" s="460">
        <v>0</v>
      </c>
      <c r="AQ561" s="460">
        <v>0</v>
      </c>
      <c r="AR561" s="459"/>
      <c r="AS561" s="462">
        <f t="shared" si="136"/>
        <v>0</v>
      </c>
      <c r="AT561">
        <f t="shared" si="137"/>
        <v>0</v>
      </c>
      <c r="AU561" s="462" t="str">
        <f>IF(AT561=0,"",IF(AND(AT561=1,M561="F",SUMIF(C2:C698,C561,AS2:AS698)&lt;=1),SUMIF(C2:C698,C561,AS2:AS698),IF(AND(AT561=1,M561="F",SUMIF(C2:C698,C561,AS2:AS698)&gt;1),1,"")))</f>
        <v/>
      </c>
      <c r="AV561" s="462" t="str">
        <f>IF(AT561=0,"",IF(AND(AT561=3,M561="F",SUMIF(C2:C698,C561,AS2:AS698)&lt;=1),SUMIF(C2:C698,C561,AS2:AS698),IF(AND(AT561=3,M561="F",SUMIF(C2:C698,C561,AS2:AS698)&gt;1),1,"")))</f>
        <v/>
      </c>
      <c r="AW561" s="462">
        <f>SUMIF(C2:C698,C561,O2:O698)</f>
        <v>0</v>
      </c>
      <c r="AX561" s="462">
        <f>IF(AND(M561="F",AS561&lt;&gt;0),SUMIF(C2:C698,C561,W2:W698),0)</f>
        <v>0</v>
      </c>
      <c r="AY561" s="462" t="str">
        <f t="shared" si="138"/>
        <v/>
      </c>
      <c r="AZ561" s="462" t="str">
        <f t="shared" si="139"/>
        <v/>
      </c>
      <c r="BA561" s="462">
        <f t="shared" si="140"/>
        <v>0</v>
      </c>
      <c r="BB561" s="462">
        <f>IF(AND(AT561=1,AK561="E",AU561&gt;=0.75,AW561=1),Health,IF(AND(AT561=1,AK561="E",AU561&gt;=0.75),Health*P561,IF(AND(AT561=1,AK561="E",AU561&gt;=0.5,AW561=1),PTHealth,IF(AND(AT561=1,AK561="E",AU561&gt;=0.5),PTHealth*P561,0))))</f>
        <v>0</v>
      </c>
      <c r="BC561" s="462">
        <f>IF(AND(AT561=3,AK561="E",AV561&gt;=0.75,AW561=1),Health,IF(AND(AT561=3,AK561="E",AV561&gt;=0.75),Health*P561,IF(AND(AT561=3,AK561="E",AV561&gt;=0.5,AW561=1),PTHealth,IF(AND(AT561=3,AK561="E",AV561&gt;=0.5),PTHealth*P561,0))))</f>
        <v>0</v>
      </c>
      <c r="BD561" s="462">
        <f>IF(AND(AT561&lt;&gt;0,AX561&gt;=MAXSSDI),SSDI*MAXSSDI*P561,IF(AT561&lt;&gt;0,SSDI*W561,0))</f>
        <v>0</v>
      </c>
      <c r="BE561" s="462">
        <f>IF(AT561&lt;&gt;0,SSHI*W561,0)</f>
        <v>0</v>
      </c>
      <c r="BF561" s="462">
        <f>IF(AND(AT561&lt;&gt;0,AN561&lt;&gt;"NE"),VLOOKUP(AN561,Retirement_Rates,3,FALSE)*W561,0)</f>
        <v>0</v>
      </c>
      <c r="BG561" s="462">
        <f>IF(AND(AT561&lt;&gt;0,AJ561&lt;&gt;"PF"),Life*W561,0)</f>
        <v>0</v>
      </c>
      <c r="BH561" s="462">
        <f>IF(AND(AT561&lt;&gt;0,AM561="Y"),UI*W561,0)</f>
        <v>0</v>
      </c>
      <c r="BI561" s="462">
        <f>IF(AND(AT561&lt;&gt;0,N561&lt;&gt;"NR"),DHR*W561,0)</f>
        <v>0</v>
      </c>
      <c r="BJ561" s="462">
        <f>IF(AT561&lt;&gt;0,WC*W561,0)</f>
        <v>0</v>
      </c>
      <c r="BK561" s="462">
        <f>IF(OR(AND(AT561&lt;&gt;0,AJ561&lt;&gt;"PF",AN561&lt;&gt;"NE",AG561&lt;&gt;"A"),AND(AL561="E",OR(AT561=1,AT561=3))),Sick*W561,0)</f>
        <v>0</v>
      </c>
      <c r="BL561" s="462">
        <f t="shared" si="141"/>
        <v>0</v>
      </c>
      <c r="BM561" s="462">
        <f t="shared" si="142"/>
        <v>0</v>
      </c>
      <c r="BN561" s="462">
        <f>IF(AND(AT561=1,AK561="E",AU561&gt;=0.75,AW561=1),HealthBY,IF(AND(AT561=1,AK561="E",AU561&gt;=0.75),HealthBY*P561,IF(AND(AT561=1,AK561="E",AU561&gt;=0.5,AW561=1),PTHealthBY,IF(AND(AT561=1,AK561="E",AU561&gt;=0.5),PTHealthBY*P561,0))))</f>
        <v>0</v>
      </c>
      <c r="BO561" s="462">
        <f>IF(AND(AT561=3,AK561="E",AV561&gt;=0.75,AW561=1),HealthBY,IF(AND(AT561=3,AK561="E",AV561&gt;=0.75),HealthBY*P561,IF(AND(AT561=3,AK561="E",AV561&gt;=0.5,AW561=1),PTHealthBY,IF(AND(AT561=3,AK561="E",AV561&gt;=0.5),PTHealthBY*P561,0))))</f>
        <v>0</v>
      </c>
      <c r="BP561" s="462">
        <f>IF(AND(AT561&lt;&gt;0,(AX561+BA561)&gt;=MAXSSDIBY),SSDIBY*MAXSSDIBY*P561,IF(AT561&lt;&gt;0,SSDIBY*W561,0))</f>
        <v>0</v>
      </c>
      <c r="BQ561" s="462">
        <f>IF(AT561&lt;&gt;0,SSHIBY*W561,0)</f>
        <v>0</v>
      </c>
      <c r="BR561" s="462">
        <f>IF(AND(AT561&lt;&gt;0,AN561&lt;&gt;"NE"),VLOOKUP(AN561,Retirement_Rates,4,FALSE)*W561,0)</f>
        <v>0</v>
      </c>
      <c r="BS561" s="462">
        <f>IF(AND(AT561&lt;&gt;0,AJ561&lt;&gt;"PF"),LifeBY*W561,0)</f>
        <v>0</v>
      </c>
      <c r="BT561" s="462">
        <f>IF(AND(AT561&lt;&gt;0,AM561="Y"),UIBY*W561,0)</f>
        <v>0</v>
      </c>
      <c r="BU561" s="462">
        <f>IF(AND(AT561&lt;&gt;0,N561&lt;&gt;"NR"),DHRBY*W561,0)</f>
        <v>0</v>
      </c>
      <c r="BV561" s="462">
        <f>IF(AT561&lt;&gt;0,WCBY*W561,0)</f>
        <v>0</v>
      </c>
      <c r="BW561" s="462">
        <f>IF(OR(AND(AT561&lt;&gt;0,AJ561&lt;&gt;"PF",AN561&lt;&gt;"NE",AG561&lt;&gt;"A"),AND(AL561="E",OR(AT561=1,AT561=3))),SickBY*W561,0)</f>
        <v>0</v>
      </c>
      <c r="BX561" s="462">
        <f t="shared" si="143"/>
        <v>0</v>
      </c>
      <c r="BY561" s="462">
        <f t="shared" si="144"/>
        <v>0</v>
      </c>
      <c r="BZ561" s="462">
        <f t="shared" si="145"/>
        <v>0</v>
      </c>
      <c r="CA561" s="462">
        <f t="shared" si="146"/>
        <v>0</v>
      </c>
      <c r="CB561" s="462">
        <f t="shared" si="147"/>
        <v>0</v>
      </c>
      <c r="CC561" s="462">
        <f>IF(AT561&lt;&gt;0,SSHICHG*Y561,0)</f>
        <v>0</v>
      </c>
      <c r="CD561" s="462">
        <f>IF(AND(AT561&lt;&gt;0,AN561&lt;&gt;"NE"),VLOOKUP(AN561,Retirement_Rates,5,FALSE)*Y561,0)</f>
        <v>0</v>
      </c>
      <c r="CE561" s="462">
        <f>IF(AND(AT561&lt;&gt;0,AJ561&lt;&gt;"PF"),LifeCHG*Y561,0)</f>
        <v>0</v>
      </c>
      <c r="CF561" s="462">
        <f>IF(AND(AT561&lt;&gt;0,AM561="Y"),UICHG*Y561,0)</f>
        <v>0</v>
      </c>
      <c r="CG561" s="462">
        <f>IF(AND(AT561&lt;&gt;0,N561&lt;&gt;"NR"),DHRCHG*Y561,0)</f>
        <v>0</v>
      </c>
      <c r="CH561" s="462">
        <f>IF(AT561&lt;&gt;0,WCCHG*Y561,0)</f>
        <v>0</v>
      </c>
      <c r="CI561" s="462">
        <f>IF(OR(AND(AT561&lt;&gt;0,AJ561&lt;&gt;"PF",AN561&lt;&gt;"NE",AG561&lt;&gt;"A"),AND(AL561="E",OR(AT561=1,AT561=3))),SickCHG*Y561,0)</f>
        <v>0</v>
      </c>
      <c r="CJ561" s="462">
        <f t="shared" si="148"/>
        <v>0</v>
      </c>
      <c r="CK561" s="462" t="str">
        <f t="shared" si="149"/>
        <v/>
      </c>
      <c r="CL561" s="462" t="str">
        <f t="shared" si="150"/>
        <v/>
      </c>
      <c r="CM561" s="462" t="str">
        <f t="shared" si="151"/>
        <v/>
      </c>
      <c r="CN561" s="462" t="str">
        <f t="shared" si="152"/>
        <v>0486-00</v>
      </c>
    </row>
    <row r="562" spans="1:92" ht="15" thickBot="1" x14ac:dyDescent="0.35">
      <c r="A562" s="376" t="s">
        <v>161</v>
      </c>
      <c r="B562" s="376" t="s">
        <v>162</v>
      </c>
      <c r="C562" s="376" t="s">
        <v>1246</v>
      </c>
      <c r="D562" s="376" t="s">
        <v>1189</v>
      </c>
      <c r="E562" s="376" t="s">
        <v>1140</v>
      </c>
      <c r="F562" s="377" t="s">
        <v>166</v>
      </c>
      <c r="G562" s="376" t="s">
        <v>1141</v>
      </c>
      <c r="H562" s="378"/>
      <c r="I562" s="378"/>
      <c r="J562" s="376" t="s">
        <v>168</v>
      </c>
      <c r="K562" s="376" t="s">
        <v>1190</v>
      </c>
      <c r="L562" s="376" t="s">
        <v>166</v>
      </c>
      <c r="M562" s="376" t="s">
        <v>201</v>
      </c>
      <c r="N562" s="376" t="s">
        <v>291</v>
      </c>
      <c r="O562" s="379">
        <v>0</v>
      </c>
      <c r="P562" s="460">
        <v>1</v>
      </c>
      <c r="Q562" s="460">
        <v>0</v>
      </c>
      <c r="R562" s="380">
        <v>0</v>
      </c>
      <c r="S562" s="460">
        <v>0</v>
      </c>
      <c r="T562" s="380">
        <v>0</v>
      </c>
      <c r="U562" s="380">
        <v>0</v>
      </c>
      <c r="V562" s="380">
        <v>0</v>
      </c>
      <c r="W562" s="380">
        <v>0</v>
      </c>
      <c r="X562" s="380">
        <v>0</v>
      </c>
      <c r="Y562" s="380">
        <v>0</v>
      </c>
      <c r="Z562" s="380">
        <v>0</v>
      </c>
      <c r="AA562" s="378"/>
      <c r="AB562" s="376" t="s">
        <v>45</v>
      </c>
      <c r="AC562" s="376" t="s">
        <v>45</v>
      </c>
      <c r="AD562" s="378"/>
      <c r="AE562" s="378"/>
      <c r="AF562" s="378"/>
      <c r="AG562" s="378"/>
      <c r="AH562" s="379">
        <v>0</v>
      </c>
      <c r="AI562" s="379">
        <v>0</v>
      </c>
      <c r="AJ562" s="378"/>
      <c r="AK562" s="378"/>
      <c r="AL562" s="376" t="s">
        <v>180</v>
      </c>
      <c r="AM562" s="378"/>
      <c r="AN562" s="378"/>
      <c r="AO562" s="379">
        <v>0</v>
      </c>
      <c r="AP562" s="460">
        <v>0</v>
      </c>
      <c r="AQ562" s="460">
        <v>0</v>
      </c>
      <c r="AR562" s="459"/>
      <c r="AS562" s="462">
        <f t="shared" si="136"/>
        <v>0</v>
      </c>
      <c r="AT562">
        <f t="shared" si="137"/>
        <v>0</v>
      </c>
      <c r="AU562" s="462" t="str">
        <f>IF(AT562=0,"",IF(AND(AT562=1,M562="F",SUMIF(C2:C698,C562,AS2:AS698)&lt;=1),SUMIF(C2:C698,C562,AS2:AS698),IF(AND(AT562=1,M562="F",SUMIF(C2:C698,C562,AS2:AS698)&gt;1),1,"")))</f>
        <v/>
      </c>
      <c r="AV562" s="462" t="str">
        <f>IF(AT562=0,"",IF(AND(AT562=3,M562="F",SUMIF(C2:C698,C562,AS2:AS698)&lt;=1),SUMIF(C2:C698,C562,AS2:AS698),IF(AND(AT562=3,M562="F",SUMIF(C2:C698,C562,AS2:AS698)&gt;1),1,"")))</f>
        <v/>
      </c>
      <c r="AW562" s="462">
        <f>SUMIF(C2:C698,C562,O2:O698)</f>
        <v>0</v>
      </c>
      <c r="AX562" s="462">
        <f>IF(AND(M562="F",AS562&lt;&gt;0),SUMIF(C2:C698,C562,W2:W698),0)</f>
        <v>0</v>
      </c>
      <c r="AY562" s="462" t="str">
        <f t="shared" si="138"/>
        <v/>
      </c>
      <c r="AZ562" s="462" t="str">
        <f t="shared" si="139"/>
        <v/>
      </c>
      <c r="BA562" s="462">
        <f t="shared" si="140"/>
        <v>0</v>
      </c>
      <c r="BB562" s="462">
        <f>IF(AND(AT562=1,AK562="E",AU562&gt;=0.75,AW562=1),Health,IF(AND(AT562=1,AK562="E",AU562&gt;=0.75),Health*P562,IF(AND(AT562=1,AK562="E",AU562&gt;=0.5,AW562=1),PTHealth,IF(AND(AT562=1,AK562="E",AU562&gt;=0.5),PTHealth*P562,0))))</f>
        <v>0</v>
      </c>
      <c r="BC562" s="462">
        <f>IF(AND(AT562=3,AK562="E",AV562&gt;=0.75,AW562=1),Health,IF(AND(AT562=3,AK562="E",AV562&gt;=0.75),Health*P562,IF(AND(AT562=3,AK562="E",AV562&gt;=0.5,AW562=1),PTHealth,IF(AND(AT562=3,AK562="E",AV562&gt;=0.5),PTHealth*P562,0))))</f>
        <v>0</v>
      </c>
      <c r="BD562" s="462">
        <f>IF(AND(AT562&lt;&gt;0,AX562&gt;=MAXSSDI),SSDI*MAXSSDI*P562,IF(AT562&lt;&gt;0,SSDI*W562,0))</f>
        <v>0</v>
      </c>
      <c r="BE562" s="462">
        <f>IF(AT562&lt;&gt;0,SSHI*W562,0)</f>
        <v>0</v>
      </c>
      <c r="BF562" s="462">
        <f>IF(AND(AT562&lt;&gt;0,AN562&lt;&gt;"NE"),VLOOKUP(AN562,Retirement_Rates,3,FALSE)*W562,0)</f>
        <v>0</v>
      </c>
      <c r="BG562" s="462">
        <f>IF(AND(AT562&lt;&gt;0,AJ562&lt;&gt;"PF"),Life*W562,0)</f>
        <v>0</v>
      </c>
      <c r="BH562" s="462">
        <f>IF(AND(AT562&lt;&gt;0,AM562="Y"),UI*W562,0)</f>
        <v>0</v>
      </c>
      <c r="BI562" s="462">
        <f>IF(AND(AT562&lt;&gt;0,N562&lt;&gt;"NR"),DHR*W562,0)</f>
        <v>0</v>
      </c>
      <c r="BJ562" s="462">
        <f>IF(AT562&lt;&gt;0,WC*W562,0)</f>
        <v>0</v>
      </c>
      <c r="BK562" s="462">
        <f>IF(OR(AND(AT562&lt;&gt;0,AJ562&lt;&gt;"PF",AN562&lt;&gt;"NE",AG562&lt;&gt;"A"),AND(AL562="E",OR(AT562=1,AT562=3))),Sick*W562,0)</f>
        <v>0</v>
      </c>
      <c r="BL562" s="462">
        <f t="shared" si="141"/>
        <v>0</v>
      </c>
      <c r="BM562" s="462">
        <f t="shared" si="142"/>
        <v>0</v>
      </c>
      <c r="BN562" s="462">
        <f>IF(AND(AT562=1,AK562="E",AU562&gt;=0.75,AW562=1),HealthBY,IF(AND(AT562=1,AK562="E",AU562&gt;=0.75),HealthBY*P562,IF(AND(AT562=1,AK562="E",AU562&gt;=0.5,AW562=1),PTHealthBY,IF(AND(AT562=1,AK562="E",AU562&gt;=0.5),PTHealthBY*P562,0))))</f>
        <v>0</v>
      </c>
      <c r="BO562" s="462">
        <f>IF(AND(AT562=3,AK562="E",AV562&gt;=0.75,AW562=1),HealthBY,IF(AND(AT562=3,AK562="E",AV562&gt;=0.75),HealthBY*P562,IF(AND(AT562=3,AK562="E",AV562&gt;=0.5,AW562=1),PTHealthBY,IF(AND(AT562=3,AK562="E",AV562&gt;=0.5),PTHealthBY*P562,0))))</f>
        <v>0</v>
      </c>
      <c r="BP562" s="462">
        <f>IF(AND(AT562&lt;&gt;0,(AX562+BA562)&gt;=MAXSSDIBY),SSDIBY*MAXSSDIBY*P562,IF(AT562&lt;&gt;0,SSDIBY*W562,0))</f>
        <v>0</v>
      </c>
      <c r="BQ562" s="462">
        <f>IF(AT562&lt;&gt;0,SSHIBY*W562,0)</f>
        <v>0</v>
      </c>
      <c r="BR562" s="462">
        <f>IF(AND(AT562&lt;&gt;0,AN562&lt;&gt;"NE"),VLOOKUP(AN562,Retirement_Rates,4,FALSE)*W562,0)</f>
        <v>0</v>
      </c>
      <c r="BS562" s="462">
        <f>IF(AND(AT562&lt;&gt;0,AJ562&lt;&gt;"PF"),LifeBY*W562,0)</f>
        <v>0</v>
      </c>
      <c r="BT562" s="462">
        <f>IF(AND(AT562&lt;&gt;0,AM562="Y"),UIBY*W562,0)</f>
        <v>0</v>
      </c>
      <c r="BU562" s="462">
        <f>IF(AND(AT562&lt;&gt;0,N562&lt;&gt;"NR"),DHRBY*W562,0)</f>
        <v>0</v>
      </c>
      <c r="BV562" s="462">
        <f>IF(AT562&lt;&gt;0,WCBY*W562,0)</f>
        <v>0</v>
      </c>
      <c r="BW562" s="462">
        <f>IF(OR(AND(AT562&lt;&gt;0,AJ562&lt;&gt;"PF",AN562&lt;&gt;"NE",AG562&lt;&gt;"A"),AND(AL562="E",OR(AT562=1,AT562=3))),SickBY*W562,0)</f>
        <v>0</v>
      </c>
      <c r="BX562" s="462">
        <f t="shared" si="143"/>
        <v>0</v>
      </c>
      <c r="BY562" s="462">
        <f t="shared" si="144"/>
        <v>0</v>
      </c>
      <c r="BZ562" s="462">
        <f t="shared" si="145"/>
        <v>0</v>
      </c>
      <c r="CA562" s="462">
        <f t="shared" si="146"/>
        <v>0</v>
      </c>
      <c r="CB562" s="462">
        <f t="shared" si="147"/>
        <v>0</v>
      </c>
      <c r="CC562" s="462">
        <f>IF(AT562&lt;&gt;0,SSHICHG*Y562,0)</f>
        <v>0</v>
      </c>
      <c r="CD562" s="462">
        <f>IF(AND(AT562&lt;&gt;0,AN562&lt;&gt;"NE"),VLOOKUP(AN562,Retirement_Rates,5,FALSE)*Y562,0)</f>
        <v>0</v>
      </c>
      <c r="CE562" s="462">
        <f>IF(AND(AT562&lt;&gt;0,AJ562&lt;&gt;"PF"),LifeCHG*Y562,0)</f>
        <v>0</v>
      </c>
      <c r="CF562" s="462">
        <f>IF(AND(AT562&lt;&gt;0,AM562="Y"),UICHG*Y562,0)</f>
        <v>0</v>
      </c>
      <c r="CG562" s="462">
        <f>IF(AND(AT562&lt;&gt;0,N562&lt;&gt;"NR"),DHRCHG*Y562,0)</f>
        <v>0</v>
      </c>
      <c r="CH562" s="462">
        <f>IF(AT562&lt;&gt;0,WCCHG*Y562,0)</f>
        <v>0</v>
      </c>
      <c r="CI562" s="462">
        <f>IF(OR(AND(AT562&lt;&gt;0,AJ562&lt;&gt;"PF",AN562&lt;&gt;"NE",AG562&lt;&gt;"A"),AND(AL562="E",OR(AT562=1,AT562=3))),SickCHG*Y562,0)</f>
        <v>0</v>
      </c>
      <c r="CJ562" s="462">
        <f t="shared" si="148"/>
        <v>0</v>
      </c>
      <c r="CK562" s="462" t="str">
        <f t="shared" si="149"/>
        <v/>
      </c>
      <c r="CL562" s="462">
        <f t="shared" si="150"/>
        <v>0</v>
      </c>
      <c r="CM562" s="462">
        <f t="shared" si="151"/>
        <v>0</v>
      </c>
      <c r="CN562" s="462" t="str">
        <f t="shared" si="152"/>
        <v>0486-00</v>
      </c>
    </row>
    <row r="563" spans="1:92" ht="15" thickBot="1" x14ac:dyDescent="0.35">
      <c r="A563" s="376" t="s">
        <v>161</v>
      </c>
      <c r="B563" s="376" t="s">
        <v>162</v>
      </c>
      <c r="C563" s="376" t="s">
        <v>1247</v>
      </c>
      <c r="D563" s="376" t="s">
        <v>1185</v>
      </c>
      <c r="E563" s="376" t="s">
        <v>1140</v>
      </c>
      <c r="F563" s="377" t="s">
        <v>166</v>
      </c>
      <c r="G563" s="376" t="s">
        <v>1141</v>
      </c>
      <c r="H563" s="378"/>
      <c r="I563" s="378"/>
      <c r="J563" s="376" t="s">
        <v>168</v>
      </c>
      <c r="K563" s="376" t="s">
        <v>1186</v>
      </c>
      <c r="L563" s="376" t="s">
        <v>166</v>
      </c>
      <c r="M563" s="376" t="s">
        <v>201</v>
      </c>
      <c r="N563" s="376" t="s">
        <v>291</v>
      </c>
      <c r="O563" s="379">
        <v>0</v>
      </c>
      <c r="P563" s="460">
        <v>1</v>
      </c>
      <c r="Q563" s="460">
        <v>0</v>
      </c>
      <c r="R563" s="380">
        <v>0</v>
      </c>
      <c r="S563" s="460">
        <v>0</v>
      </c>
      <c r="T563" s="380">
        <v>0</v>
      </c>
      <c r="U563" s="380">
        <v>0</v>
      </c>
      <c r="V563" s="380">
        <v>0</v>
      </c>
      <c r="W563" s="380">
        <v>0</v>
      </c>
      <c r="X563" s="380">
        <v>0</v>
      </c>
      <c r="Y563" s="380">
        <v>0</v>
      </c>
      <c r="Z563" s="380">
        <v>0</v>
      </c>
      <c r="AA563" s="378"/>
      <c r="AB563" s="376" t="s">
        <v>45</v>
      </c>
      <c r="AC563" s="376" t="s">
        <v>45</v>
      </c>
      <c r="AD563" s="378"/>
      <c r="AE563" s="378"/>
      <c r="AF563" s="378"/>
      <c r="AG563" s="378"/>
      <c r="AH563" s="379">
        <v>0</v>
      </c>
      <c r="AI563" s="379">
        <v>0</v>
      </c>
      <c r="AJ563" s="378"/>
      <c r="AK563" s="378"/>
      <c r="AL563" s="376" t="s">
        <v>180</v>
      </c>
      <c r="AM563" s="378"/>
      <c r="AN563" s="378"/>
      <c r="AO563" s="379">
        <v>0</v>
      </c>
      <c r="AP563" s="460">
        <v>0</v>
      </c>
      <c r="AQ563" s="460">
        <v>0</v>
      </c>
      <c r="AR563" s="459"/>
      <c r="AS563" s="462">
        <f t="shared" si="136"/>
        <v>0</v>
      </c>
      <c r="AT563">
        <f t="shared" si="137"/>
        <v>0</v>
      </c>
      <c r="AU563" s="462" t="str">
        <f>IF(AT563=0,"",IF(AND(AT563=1,M563="F",SUMIF(C2:C698,C563,AS2:AS698)&lt;=1),SUMIF(C2:C698,C563,AS2:AS698),IF(AND(AT563=1,M563="F",SUMIF(C2:C698,C563,AS2:AS698)&gt;1),1,"")))</f>
        <v/>
      </c>
      <c r="AV563" s="462" t="str">
        <f>IF(AT563=0,"",IF(AND(AT563=3,M563="F",SUMIF(C2:C698,C563,AS2:AS698)&lt;=1),SUMIF(C2:C698,C563,AS2:AS698),IF(AND(AT563=3,M563="F",SUMIF(C2:C698,C563,AS2:AS698)&gt;1),1,"")))</f>
        <v/>
      </c>
      <c r="AW563" s="462">
        <f>SUMIF(C2:C698,C563,O2:O698)</f>
        <v>0</v>
      </c>
      <c r="AX563" s="462">
        <f>IF(AND(M563="F",AS563&lt;&gt;0),SUMIF(C2:C698,C563,W2:W698),0)</f>
        <v>0</v>
      </c>
      <c r="AY563" s="462" t="str">
        <f t="shared" si="138"/>
        <v/>
      </c>
      <c r="AZ563" s="462" t="str">
        <f t="shared" si="139"/>
        <v/>
      </c>
      <c r="BA563" s="462">
        <f t="shared" si="140"/>
        <v>0</v>
      </c>
      <c r="BB563" s="462">
        <f>IF(AND(AT563=1,AK563="E",AU563&gt;=0.75,AW563=1),Health,IF(AND(AT563=1,AK563="E",AU563&gt;=0.75),Health*P563,IF(AND(AT563=1,AK563="E",AU563&gt;=0.5,AW563=1),PTHealth,IF(AND(AT563=1,AK563="E",AU563&gt;=0.5),PTHealth*P563,0))))</f>
        <v>0</v>
      </c>
      <c r="BC563" s="462">
        <f>IF(AND(AT563=3,AK563="E",AV563&gt;=0.75,AW563=1),Health,IF(AND(AT563=3,AK563="E",AV563&gt;=0.75),Health*P563,IF(AND(AT563=3,AK563="E",AV563&gt;=0.5,AW563=1),PTHealth,IF(AND(AT563=3,AK563="E",AV563&gt;=0.5),PTHealth*P563,0))))</f>
        <v>0</v>
      </c>
      <c r="BD563" s="462">
        <f>IF(AND(AT563&lt;&gt;0,AX563&gt;=MAXSSDI),SSDI*MAXSSDI*P563,IF(AT563&lt;&gt;0,SSDI*W563,0))</f>
        <v>0</v>
      </c>
      <c r="BE563" s="462">
        <f>IF(AT563&lt;&gt;0,SSHI*W563,0)</f>
        <v>0</v>
      </c>
      <c r="BF563" s="462">
        <f>IF(AND(AT563&lt;&gt;0,AN563&lt;&gt;"NE"),VLOOKUP(AN563,Retirement_Rates,3,FALSE)*W563,0)</f>
        <v>0</v>
      </c>
      <c r="BG563" s="462">
        <f>IF(AND(AT563&lt;&gt;0,AJ563&lt;&gt;"PF"),Life*W563,0)</f>
        <v>0</v>
      </c>
      <c r="BH563" s="462">
        <f>IF(AND(AT563&lt;&gt;0,AM563="Y"),UI*W563,0)</f>
        <v>0</v>
      </c>
      <c r="BI563" s="462">
        <f>IF(AND(AT563&lt;&gt;0,N563&lt;&gt;"NR"),DHR*W563,0)</f>
        <v>0</v>
      </c>
      <c r="BJ563" s="462">
        <f>IF(AT563&lt;&gt;0,WC*W563,0)</f>
        <v>0</v>
      </c>
      <c r="BK563" s="462">
        <f>IF(OR(AND(AT563&lt;&gt;0,AJ563&lt;&gt;"PF",AN563&lt;&gt;"NE",AG563&lt;&gt;"A"),AND(AL563="E",OR(AT563=1,AT563=3))),Sick*W563,0)</f>
        <v>0</v>
      </c>
      <c r="BL563" s="462">
        <f t="shared" si="141"/>
        <v>0</v>
      </c>
      <c r="BM563" s="462">
        <f t="shared" si="142"/>
        <v>0</v>
      </c>
      <c r="BN563" s="462">
        <f>IF(AND(AT563=1,AK563="E",AU563&gt;=0.75,AW563=1),HealthBY,IF(AND(AT563=1,AK563="E",AU563&gt;=0.75),HealthBY*P563,IF(AND(AT563=1,AK563="E",AU563&gt;=0.5,AW563=1),PTHealthBY,IF(AND(AT563=1,AK563="E",AU563&gt;=0.5),PTHealthBY*P563,0))))</f>
        <v>0</v>
      </c>
      <c r="BO563" s="462">
        <f>IF(AND(AT563=3,AK563="E",AV563&gt;=0.75,AW563=1),HealthBY,IF(AND(AT563=3,AK563="E",AV563&gt;=0.75),HealthBY*P563,IF(AND(AT563=3,AK563="E",AV563&gt;=0.5,AW563=1),PTHealthBY,IF(AND(AT563=3,AK563="E",AV563&gt;=0.5),PTHealthBY*P563,0))))</f>
        <v>0</v>
      </c>
      <c r="BP563" s="462">
        <f>IF(AND(AT563&lt;&gt;0,(AX563+BA563)&gt;=MAXSSDIBY),SSDIBY*MAXSSDIBY*P563,IF(AT563&lt;&gt;0,SSDIBY*W563,0))</f>
        <v>0</v>
      </c>
      <c r="BQ563" s="462">
        <f>IF(AT563&lt;&gt;0,SSHIBY*W563,0)</f>
        <v>0</v>
      </c>
      <c r="BR563" s="462">
        <f>IF(AND(AT563&lt;&gt;0,AN563&lt;&gt;"NE"),VLOOKUP(AN563,Retirement_Rates,4,FALSE)*W563,0)</f>
        <v>0</v>
      </c>
      <c r="BS563" s="462">
        <f>IF(AND(AT563&lt;&gt;0,AJ563&lt;&gt;"PF"),LifeBY*W563,0)</f>
        <v>0</v>
      </c>
      <c r="BT563" s="462">
        <f>IF(AND(AT563&lt;&gt;0,AM563="Y"),UIBY*W563,0)</f>
        <v>0</v>
      </c>
      <c r="BU563" s="462">
        <f>IF(AND(AT563&lt;&gt;0,N563&lt;&gt;"NR"),DHRBY*W563,0)</f>
        <v>0</v>
      </c>
      <c r="BV563" s="462">
        <f>IF(AT563&lt;&gt;0,WCBY*W563,0)</f>
        <v>0</v>
      </c>
      <c r="BW563" s="462">
        <f>IF(OR(AND(AT563&lt;&gt;0,AJ563&lt;&gt;"PF",AN563&lt;&gt;"NE",AG563&lt;&gt;"A"),AND(AL563="E",OR(AT563=1,AT563=3))),SickBY*W563,0)</f>
        <v>0</v>
      </c>
      <c r="BX563" s="462">
        <f t="shared" si="143"/>
        <v>0</v>
      </c>
      <c r="BY563" s="462">
        <f t="shared" si="144"/>
        <v>0</v>
      </c>
      <c r="BZ563" s="462">
        <f t="shared" si="145"/>
        <v>0</v>
      </c>
      <c r="CA563" s="462">
        <f t="shared" si="146"/>
        <v>0</v>
      </c>
      <c r="CB563" s="462">
        <f t="shared" si="147"/>
        <v>0</v>
      </c>
      <c r="CC563" s="462">
        <f>IF(AT563&lt;&gt;0,SSHICHG*Y563,0)</f>
        <v>0</v>
      </c>
      <c r="CD563" s="462">
        <f>IF(AND(AT563&lt;&gt;0,AN563&lt;&gt;"NE"),VLOOKUP(AN563,Retirement_Rates,5,FALSE)*Y563,0)</f>
        <v>0</v>
      </c>
      <c r="CE563" s="462">
        <f>IF(AND(AT563&lt;&gt;0,AJ563&lt;&gt;"PF"),LifeCHG*Y563,0)</f>
        <v>0</v>
      </c>
      <c r="CF563" s="462">
        <f>IF(AND(AT563&lt;&gt;0,AM563="Y"),UICHG*Y563,0)</f>
        <v>0</v>
      </c>
      <c r="CG563" s="462">
        <f>IF(AND(AT563&lt;&gt;0,N563&lt;&gt;"NR"),DHRCHG*Y563,0)</f>
        <v>0</v>
      </c>
      <c r="CH563" s="462">
        <f>IF(AT563&lt;&gt;0,WCCHG*Y563,0)</f>
        <v>0</v>
      </c>
      <c r="CI563" s="462">
        <f>IF(OR(AND(AT563&lt;&gt;0,AJ563&lt;&gt;"PF",AN563&lt;&gt;"NE",AG563&lt;&gt;"A"),AND(AL563="E",OR(AT563=1,AT563=3))),SickCHG*Y563,0)</f>
        <v>0</v>
      </c>
      <c r="CJ563" s="462">
        <f t="shared" si="148"/>
        <v>0</v>
      </c>
      <c r="CK563" s="462" t="str">
        <f t="shared" si="149"/>
        <v/>
      </c>
      <c r="CL563" s="462">
        <f t="shared" si="150"/>
        <v>0</v>
      </c>
      <c r="CM563" s="462">
        <f t="shared" si="151"/>
        <v>0</v>
      </c>
      <c r="CN563" s="462" t="str">
        <f t="shared" si="152"/>
        <v>0486-00</v>
      </c>
    </row>
    <row r="564" spans="1:92" ht="15" thickBot="1" x14ac:dyDescent="0.35">
      <c r="A564" s="376" t="s">
        <v>161</v>
      </c>
      <c r="B564" s="376" t="s">
        <v>162</v>
      </c>
      <c r="C564" s="376" t="s">
        <v>893</v>
      </c>
      <c r="D564" s="376" t="s">
        <v>858</v>
      </c>
      <c r="E564" s="376" t="s">
        <v>1140</v>
      </c>
      <c r="F564" s="377" t="s">
        <v>166</v>
      </c>
      <c r="G564" s="376" t="s">
        <v>1141</v>
      </c>
      <c r="H564" s="378"/>
      <c r="I564" s="378"/>
      <c r="J564" s="376" t="s">
        <v>168</v>
      </c>
      <c r="K564" s="376" t="s">
        <v>859</v>
      </c>
      <c r="L564" s="376" t="s">
        <v>166</v>
      </c>
      <c r="M564" s="376" t="s">
        <v>170</v>
      </c>
      <c r="N564" s="376" t="s">
        <v>291</v>
      </c>
      <c r="O564" s="379">
        <v>0</v>
      </c>
      <c r="P564" s="460">
        <v>1</v>
      </c>
      <c r="Q564" s="460">
        <v>0</v>
      </c>
      <c r="R564" s="380">
        <v>0</v>
      </c>
      <c r="S564" s="460">
        <v>0</v>
      </c>
      <c r="T564" s="380">
        <v>312157.38</v>
      </c>
      <c r="U564" s="380">
        <v>18842.330000000002</v>
      </c>
      <c r="V564" s="380">
        <v>176397.88</v>
      </c>
      <c r="W564" s="380">
        <v>331585.46000000002</v>
      </c>
      <c r="X564" s="380">
        <v>176749.84</v>
      </c>
      <c r="Y564" s="380">
        <v>331585.46000000002</v>
      </c>
      <c r="Z564" s="380">
        <v>176749.84</v>
      </c>
      <c r="AA564" s="378"/>
      <c r="AB564" s="376" t="s">
        <v>45</v>
      </c>
      <c r="AC564" s="376" t="s">
        <v>45</v>
      </c>
      <c r="AD564" s="378"/>
      <c r="AE564" s="378"/>
      <c r="AF564" s="378"/>
      <c r="AG564" s="378"/>
      <c r="AH564" s="379">
        <v>0</v>
      </c>
      <c r="AI564" s="379">
        <v>0</v>
      </c>
      <c r="AJ564" s="378"/>
      <c r="AK564" s="378"/>
      <c r="AL564" s="376" t="s">
        <v>180</v>
      </c>
      <c r="AM564" s="378"/>
      <c r="AN564" s="378"/>
      <c r="AO564" s="379">
        <v>0</v>
      </c>
      <c r="AP564" s="460">
        <v>0</v>
      </c>
      <c r="AQ564" s="460">
        <v>0</v>
      </c>
      <c r="AR564" s="459"/>
      <c r="AS564" s="462">
        <f t="shared" si="136"/>
        <v>0</v>
      </c>
      <c r="AT564">
        <f t="shared" si="137"/>
        <v>0</v>
      </c>
      <c r="AU564" s="462" t="str">
        <f>IF(AT564=0,"",IF(AND(AT564=1,M564="F",SUMIF(C2:C698,C564,AS2:AS698)&lt;=1),SUMIF(C2:C698,C564,AS2:AS698),IF(AND(AT564=1,M564="F",SUMIF(C2:C698,C564,AS2:AS698)&gt;1),1,"")))</f>
        <v/>
      </c>
      <c r="AV564" s="462" t="str">
        <f>IF(AT564=0,"",IF(AND(AT564=3,M564="F",SUMIF(C2:C698,C564,AS2:AS698)&lt;=1),SUMIF(C2:C698,C564,AS2:AS698),IF(AND(AT564=3,M564="F",SUMIF(C2:C698,C564,AS2:AS698)&gt;1),1,"")))</f>
        <v/>
      </c>
      <c r="AW564" s="462">
        <f>SUMIF(C2:C698,C564,O2:O698)</f>
        <v>0</v>
      </c>
      <c r="AX564" s="462">
        <f>IF(AND(M564="F",AS564&lt;&gt;0),SUMIF(C2:C698,C564,W2:W698),0)</f>
        <v>0</v>
      </c>
      <c r="AY564" s="462" t="str">
        <f t="shared" si="138"/>
        <v/>
      </c>
      <c r="AZ564" s="462" t="str">
        <f t="shared" si="139"/>
        <v/>
      </c>
      <c r="BA564" s="462">
        <f t="shared" si="140"/>
        <v>0</v>
      </c>
      <c r="BB564" s="462">
        <f>IF(AND(AT564=1,AK564="E",AU564&gt;=0.75,AW564=1),Health,IF(AND(AT564=1,AK564="E",AU564&gt;=0.75),Health*P564,IF(AND(AT564=1,AK564="E",AU564&gt;=0.5,AW564=1),PTHealth,IF(AND(AT564=1,AK564="E",AU564&gt;=0.5),PTHealth*P564,0))))</f>
        <v>0</v>
      </c>
      <c r="BC564" s="462">
        <f>IF(AND(AT564=3,AK564="E",AV564&gt;=0.75,AW564=1),Health,IF(AND(AT564=3,AK564="E",AV564&gt;=0.75),Health*P564,IF(AND(AT564=3,AK564="E",AV564&gt;=0.5,AW564=1),PTHealth,IF(AND(AT564=3,AK564="E",AV564&gt;=0.5),PTHealth*P564,0))))</f>
        <v>0</v>
      </c>
      <c r="BD564" s="462">
        <f>IF(AND(AT564&lt;&gt;0,AX564&gt;=MAXSSDI),SSDI*MAXSSDI*P564,IF(AT564&lt;&gt;0,SSDI*W564,0))</f>
        <v>0</v>
      </c>
      <c r="BE564" s="462">
        <f>IF(AT564&lt;&gt;0,SSHI*W564,0)</f>
        <v>0</v>
      </c>
      <c r="BF564" s="462">
        <f>IF(AND(AT564&lt;&gt;0,AN564&lt;&gt;"NE"),VLOOKUP(AN564,Retirement_Rates,3,FALSE)*W564,0)</f>
        <v>0</v>
      </c>
      <c r="BG564" s="462">
        <f>IF(AND(AT564&lt;&gt;0,AJ564&lt;&gt;"PF"),Life*W564,0)</f>
        <v>0</v>
      </c>
      <c r="BH564" s="462">
        <f>IF(AND(AT564&lt;&gt;0,AM564="Y"),UI*W564,0)</f>
        <v>0</v>
      </c>
      <c r="BI564" s="462">
        <f>IF(AND(AT564&lt;&gt;0,N564&lt;&gt;"NR"),DHR*W564,0)</f>
        <v>0</v>
      </c>
      <c r="BJ564" s="462">
        <f>IF(AT564&lt;&gt;0,WC*W564,0)</f>
        <v>0</v>
      </c>
      <c r="BK564" s="462">
        <f>IF(OR(AND(AT564&lt;&gt;0,AJ564&lt;&gt;"PF",AN564&lt;&gt;"NE",AG564&lt;&gt;"A"),AND(AL564="E",OR(AT564=1,AT564=3))),Sick*W564,0)</f>
        <v>0</v>
      </c>
      <c r="BL564" s="462">
        <f t="shared" si="141"/>
        <v>0</v>
      </c>
      <c r="BM564" s="462">
        <f t="shared" si="142"/>
        <v>0</v>
      </c>
      <c r="BN564" s="462">
        <f>IF(AND(AT564=1,AK564="E",AU564&gt;=0.75,AW564=1),HealthBY,IF(AND(AT564=1,AK564="E",AU564&gt;=0.75),HealthBY*P564,IF(AND(AT564=1,AK564="E",AU564&gt;=0.5,AW564=1),PTHealthBY,IF(AND(AT564=1,AK564="E",AU564&gt;=0.5),PTHealthBY*P564,0))))</f>
        <v>0</v>
      </c>
      <c r="BO564" s="462">
        <f>IF(AND(AT564=3,AK564="E",AV564&gt;=0.75,AW564=1),HealthBY,IF(AND(AT564=3,AK564="E",AV564&gt;=0.75),HealthBY*P564,IF(AND(AT564=3,AK564="E",AV564&gt;=0.5,AW564=1),PTHealthBY,IF(AND(AT564=3,AK564="E",AV564&gt;=0.5),PTHealthBY*P564,0))))</f>
        <v>0</v>
      </c>
      <c r="BP564" s="462">
        <f>IF(AND(AT564&lt;&gt;0,(AX564+BA564)&gt;=MAXSSDIBY),SSDIBY*MAXSSDIBY*P564,IF(AT564&lt;&gt;0,SSDIBY*W564,0))</f>
        <v>0</v>
      </c>
      <c r="BQ564" s="462">
        <f>IF(AT564&lt;&gt;0,SSHIBY*W564,0)</f>
        <v>0</v>
      </c>
      <c r="BR564" s="462">
        <f>IF(AND(AT564&lt;&gt;0,AN564&lt;&gt;"NE"),VLOOKUP(AN564,Retirement_Rates,4,FALSE)*W564,0)</f>
        <v>0</v>
      </c>
      <c r="BS564" s="462">
        <f>IF(AND(AT564&lt;&gt;0,AJ564&lt;&gt;"PF"),LifeBY*W564,0)</f>
        <v>0</v>
      </c>
      <c r="BT564" s="462">
        <f>IF(AND(AT564&lt;&gt;0,AM564="Y"),UIBY*W564,0)</f>
        <v>0</v>
      </c>
      <c r="BU564" s="462">
        <f>IF(AND(AT564&lt;&gt;0,N564&lt;&gt;"NR"),DHRBY*W564,0)</f>
        <v>0</v>
      </c>
      <c r="BV564" s="462">
        <f>IF(AT564&lt;&gt;0,WCBY*W564,0)</f>
        <v>0</v>
      </c>
      <c r="BW564" s="462">
        <f>IF(OR(AND(AT564&lt;&gt;0,AJ564&lt;&gt;"PF",AN564&lt;&gt;"NE",AG564&lt;&gt;"A"),AND(AL564="E",OR(AT564=1,AT564=3))),SickBY*W564,0)</f>
        <v>0</v>
      </c>
      <c r="BX564" s="462">
        <f t="shared" si="143"/>
        <v>0</v>
      </c>
      <c r="BY564" s="462">
        <f t="shared" si="144"/>
        <v>0</v>
      </c>
      <c r="BZ564" s="462">
        <f t="shared" si="145"/>
        <v>0</v>
      </c>
      <c r="CA564" s="462">
        <f t="shared" si="146"/>
        <v>0</v>
      </c>
      <c r="CB564" s="462">
        <f t="shared" si="147"/>
        <v>0</v>
      </c>
      <c r="CC564" s="462">
        <f>IF(AT564&lt;&gt;0,SSHICHG*Y564,0)</f>
        <v>0</v>
      </c>
      <c r="CD564" s="462">
        <f>IF(AND(AT564&lt;&gt;0,AN564&lt;&gt;"NE"),VLOOKUP(AN564,Retirement_Rates,5,FALSE)*Y564,0)</f>
        <v>0</v>
      </c>
      <c r="CE564" s="462">
        <f>IF(AND(AT564&lt;&gt;0,AJ564&lt;&gt;"PF"),LifeCHG*Y564,0)</f>
        <v>0</v>
      </c>
      <c r="CF564" s="462">
        <f>IF(AND(AT564&lt;&gt;0,AM564="Y"),UICHG*Y564,0)</f>
        <v>0</v>
      </c>
      <c r="CG564" s="462">
        <f>IF(AND(AT564&lt;&gt;0,N564&lt;&gt;"NR"),DHRCHG*Y564,0)</f>
        <v>0</v>
      </c>
      <c r="CH564" s="462">
        <f>IF(AT564&lt;&gt;0,WCCHG*Y564,0)</f>
        <v>0</v>
      </c>
      <c r="CI564" s="462">
        <f>IF(OR(AND(AT564&lt;&gt;0,AJ564&lt;&gt;"PF",AN564&lt;&gt;"NE",AG564&lt;&gt;"A"),AND(AL564="E",OR(AT564=1,AT564=3))),SickCHG*Y564,0)</f>
        <v>0</v>
      </c>
      <c r="CJ564" s="462">
        <f t="shared" si="148"/>
        <v>0</v>
      </c>
      <c r="CK564" s="462" t="str">
        <f t="shared" si="149"/>
        <v/>
      </c>
      <c r="CL564" s="462">
        <f t="shared" si="150"/>
        <v>330999.71000000002</v>
      </c>
      <c r="CM564" s="462">
        <f t="shared" si="151"/>
        <v>176397.88</v>
      </c>
      <c r="CN564" s="462" t="str">
        <f t="shared" si="152"/>
        <v>0486-00</v>
      </c>
    </row>
    <row r="565" spans="1:92" ht="15" thickBot="1" x14ac:dyDescent="0.35">
      <c r="A565" s="376" t="s">
        <v>161</v>
      </c>
      <c r="B565" s="376" t="s">
        <v>162</v>
      </c>
      <c r="C565" s="376" t="s">
        <v>1248</v>
      </c>
      <c r="D565" s="376" t="s">
        <v>372</v>
      </c>
      <c r="E565" s="376" t="s">
        <v>1140</v>
      </c>
      <c r="F565" s="377" t="s">
        <v>166</v>
      </c>
      <c r="G565" s="376" t="s">
        <v>1141</v>
      </c>
      <c r="H565" s="378"/>
      <c r="I565" s="378"/>
      <c r="J565" s="376" t="s">
        <v>168</v>
      </c>
      <c r="K565" s="376" t="s">
        <v>373</v>
      </c>
      <c r="L565" s="376" t="s">
        <v>374</v>
      </c>
      <c r="M565" s="376" t="s">
        <v>170</v>
      </c>
      <c r="N565" s="376" t="s">
        <v>202</v>
      </c>
      <c r="O565" s="379">
        <v>1</v>
      </c>
      <c r="P565" s="460">
        <v>1</v>
      </c>
      <c r="Q565" s="460">
        <v>1</v>
      </c>
      <c r="R565" s="380">
        <v>80</v>
      </c>
      <c r="S565" s="460">
        <v>1</v>
      </c>
      <c r="T565" s="380">
        <v>85172.09</v>
      </c>
      <c r="U565" s="380">
        <v>0</v>
      </c>
      <c r="V565" s="380">
        <v>29099.18</v>
      </c>
      <c r="W565" s="380">
        <v>87131.199999999997</v>
      </c>
      <c r="X565" s="380">
        <v>31373.86</v>
      </c>
      <c r="Y565" s="380">
        <v>87131.199999999997</v>
      </c>
      <c r="Z565" s="380">
        <v>31147.32</v>
      </c>
      <c r="AA565" s="376" t="s">
        <v>1249</v>
      </c>
      <c r="AB565" s="376" t="s">
        <v>1250</v>
      </c>
      <c r="AC565" s="376" t="s">
        <v>219</v>
      </c>
      <c r="AD565" s="376" t="s">
        <v>224</v>
      </c>
      <c r="AE565" s="376" t="s">
        <v>373</v>
      </c>
      <c r="AF565" s="376" t="s">
        <v>378</v>
      </c>
      <c r="AG565" s="376" t="s">
        <v>177</v>
      </c>
      <c r="AH565" s="381">
        <v>41.89</v>
      </c>
      <c r="AI565" s="381">
        <v>52669.7</v>
      </c>
      <c r="AJ565" s="376" t="s">
        <v>178</v>
      </c>
      <c r="AK565" s="376" t="s">
        <v>179</v>
      </c>
      <c r="AL565" s="376" t="s">
        <v>180</v>
      </c>
      <c r="AM565" s="376" t="s">
        <v>181</v>
      </c>
      <c r="AN565" s="376" t="s">
        <v>68</v>
      </c>
      <c r="AO565" s="379">
        <v>80</v>
      </c>
      <c r="AP565" s="460">
        <v>1</v>
      </c>
      <c r="AQ565" s="460">
        <v>1</v>
      </c>
      <c r="AR565" s="458" t="s">
        <v>182</v>
      </c>
      <c r="AS565" s="462">
        <f t="shared" si="136"/>
        <v>1</v>
      </c>
      <c r="AT565">
        <f t="shared" si="137"/>
        <v>1</v>
      </c>
      <c r="AU565" s="462">
        <f>IF(AT565=0,"",IF(AND(AT565=1,M565="F",SUMIF(C2:C698,C565,AS2:AS698)&lt;=1),SUMIF(C2:C698,C565,AS2:AS698),IF(AND(AT565=1,M565="F",SUMIF(C2:C698,C565,AS2:AS698)&gt;1),1,"")))</f>
        <v>1</v>
      </c>
      <c r="AV565" s="462" t="str">
        <f>IF(AT565=0,"",IF(AND(AT565=3,M565="F",SUMIF(C2:C698,C565,AS2:AS698)&lt;=1),SUMIF(C2:C698,C565,AS2:AS698),IF(AND(AT565=3,M565="F",SUMIF(C2:C698,C565,AS2:AS698)&gt;1),1,"")))</f>
        <v/>
      </c>
      <c r="AW565" s="462">
        <f>SUMIF(C2:C698,C565,O2:O698)</f>
        <v>1</v>
      </c>
      <c r="AX565" s="462">
        <f>IF(AND(M565="F",AS565&lt;&gt;0),SUMIF(C2:C698,C565,W2:W698),0)</f>
        <v>87131.199999999997</v>
      </c>
      <c r="AY565" s="462">
        <f t="shared" si="138"/>
        <v>87131.199999999997</v>
      </c>
      <c r="AZ565" s="462" t="str">
        <f t="shared" si="139"/>
        <v/>
      </c>
      <c r="BA565" s="462">
        <f t="shared" si="140"/>
        <v>0</v>
      </c>
      <c r="BB565" s="462">
        <f>IF(AND(AT565=1,AK565="E",AU565&gt;=0.75,AW565=1),Health,IF(AND(AT565=1,AK565="E",AU565&gt;=0.75),Health*P565,IF(AND(AT565=1,AK565="E",AU565&gt;=0.5,AW565=1),PTHealth,IF(AND(AT565=1,AK565="E",AU565&gt;=0.5),PTHealth*P565,0))))</f>
        <v>11650</v>
      </c>
      <c r="BC565" s="462">
        <f>IF(AND(AT565=3,AK565="E",AV565&gt;=0.75,AW565=1),Health,IF(AND(AT565=3,AK565="E",AV565&gt;=0.75),Health*P565,IF(AND(AT565=3,AK565="E",AV565&gt;=0.5,AW565=1),PTHealth,IF(AND(AT565=3,AK565="E",AV565&gt;=0.5),PTHealth*P565,0))))</f>
        <v>0</v>
      </c>
      <c r="BD565" s="462">
        <f>IF(AND(AT565&lt;&gt;0,AX565&gt;=MAXSSDI),SSDI*MAXSSDI*P565,IF(AT565&lt;&gt;0,SSDI*W565,0))</f>
        <v>5402.1343999999999</v>
      </c>
      <c r="BE565" s="462">
        <f>IF(AT565&lt;&gt;0,SSHI*W565,0)</f>
        <v>1263.4023999999999</v>
      </c>
      <c r="BF565" s="462">
        <f>IF(AND(AT565&lt;&gt;0,AN565&lt;&gt;"NE"),VLOOKUP(AN565,Retirement_Rates,3,FALSE)*W565,0)</f>
        <v>10403.46528</v>
      </c>
      <c r="BG565" s="462">
        <f>IF(AND(AT565&lt;&gt;0,AJ565&lt;&gt;"PF"),Life*W565,0)</f>
        <v>628.21595200000002</v>
      </c>
      <c r="BH565" s="462">
        <f>IF(AND(AT565&lt;&gt;0,AM565="Y"),UI*W565,0)</f>
        <v>426.94287999999995</v>
      </c>
      <c r="BI565" s="462">
        <f>IF(AND(AT565&lt;&gt;0,N565&lt;&gt;"NR"),DHR*W565,0)</f>
        <v>266.62147199999998</v>
      </c>
      <c r="BJ565" s="462">
        <f>IF(AT565&lt;&gt;0,WC*W565,0)</f>
        <v>1333.10736</v>
      </c>
      <c r="BK565" s="462">
        <f>IF(OR(AND(AT565&lt;&gt;0,AJ565&lt;&gt;"PF",AN565&lt;&gt;"NE",AG565&lt;&gt;"A"),AND(AL565="E",OR(AT565=1,AT565=3))),Sick*W565,0)</f>
        <v>0</v>
      </c>
      <c r="BL565" s="462">
        <f t="shared" si="141"/>
        <v>19723.889743999993</v>
      </c>
      <c r="BM565" s="462">
        <f t="shared" si="142"/>
        <v>0</v>
      </c>
      <c r="BN565" s="462">
        <f>IF(AND(AT565=1,AK565="E",AU565&gt;=0.75,AW565=1),HealthBY,IF(AND(AT565=1,AK565="E",AU565&gt;=0.75),HealthBY*P565,IF(AND(AT565=1,AK565="E",AU565&gt;=0.5,AW565=1),PTHealthBY,IF(AND(AT565=1,AK565="E",AU565&gt;=0.5),PTHealthBY*P565,0))))</f>
        <v>11650</v>
      </c>
      <c r="BO565" s="462">
        <f>IF(AND(AT565=3,AK565="E",AV565&gt;=0.75,AW565=1),HealthBY,IF(AND(AT565=3,AK565="E",AV565&gt;=0.75),HealthBY*P565,IF(AND(AT565=3,AK565="E",AV565&gt;=0.5,AW565=1),PTHealthBY,IF(AND(AT565=3,AK565="E",AV565&gt;=0.5),PTHealthBY*P565,0))))</f>
        <v>0</v>
      </c>
      <c r="BP565" s="462">
        <f>IF(AND(AT565&lt;&gt;0,(AX565+BA565)&gt;=MAXSSDIBY),SSDIBY*MAXSSDIBY*P565,IF(AT565&lt;&gt;0,SSDIBY*W565,0))</f>
        <v>5402.1343999999999</v>
      </c>
      <c r="BQ565" s="462">
        <f>IF(AT565&lt;&gt;0,SSHIBY*W565,0)</f>
        <v>1263.4023999999999</v>
      </c>
      <c r="BR565" s="462">
        <f>IF(AND(AT565&lt;&gt;0,AN565&lt;&gt;"NE"),VLOOKUP(AN565,Retirement_Rates,4,FALSE)*W565,0)</f>
        <v>10403.46528</v>
      </c>
      <c r="BS565" s="462">
        <f>IF(AND(AT565&lt;&gt;0,AJ565&lt;&gt;"PF"),LifeBY*W565,0)</f>
        <v>628.21595200000002</v>
      </c>
      <c r="BT565" s="462">
        <f>IF(AND(AT565&lt;&gt;0,AM565="Y"),UIBY*W565,0)</f>
        <v>0</v>
      </c>
      <c r="BU565" s="462">
        <f>IF(AND(AT565&lt;&gt;0,N565&lt;&gt;"NR"),DHRBY*W565,0)</f>
        <v>266.62147199999998</v>
      </c>
      <c r="BV565" s="462">
        <f>IF(AT565&lt;&gt;0,WCBY*W565,0)</f>
        <v>1533.5091199999999</v>
      </c>
      <c r="BW565" s="462">
        <f>IF(OR(AND(AT565&lt;&gt;0,AJ565&lt;&gt;"PF",AN565&lt;&gt;"NE",AG565&lt;&gt;"A"),AND(AL565="E",OR(AT565=1,AT565=3))),SickBY*W565,0)</f>
        <v>0</v>
      </c>
      <c r="BX565" s="462">
        <f t="shared" si="143"/>
        <v>19497.348623999995</v>
      </c>
      <c r="BY565" s="462">
        <f t="shared" si="144"/>
        <v>0</v>
      </c>
      <c r="BZ565" s="462">
        <f t="shared" si="145"/>
        <v>0</v>
      </c>
      <c r="CA565" s="462">
        <f t="shared" si="146"/>
        <v>0</v>
      </c>
      <c r="CB565" s="462">
        <f t="shared" si="147"/>
        <v>0</v>
      </c>
      <c r="CC565" s="462">
        <f>IF(AT565&lt;&gt;0,SSHICHG*Y565,0)</f>
        <v>0</v>
      </c>
      <c r="CD565" s="462">
        <f>IF(AND(AT565&lt;&gt;0,AN565&lt;&gt;"NE"),VLOOKUP(AN565,Retirement_Rates,5,FALSE)*Y565,0)</f>
        <v>0</v>
      </c>
      <c r="CE565" s="462">
        <f>IF(AND(AT565&lt;&gt;0,AJ565&lt;&gt;"PF"),LifeCHG*Y565,0)</f>
        <v>0</v>
      </c>
      <c r="CF565" s="462">
        <f>IF(AND(AT565&lt;&gt;0,AM565="Y"),UICHG*Y565,0)</f>
        <v>-426.94287999999995</v>
      </c>
      <c r="CG565" s="462">
        <f>IF(AND(AT565&lt;&gt;0,N565&lt;&gt;"NR"),DHRCHG*Y565,0)</f>
        <v>0</v>
      </c>
      <c r="CH565" s="462">
        <f>IF(AT565&lt;&gt;0,WCCHG*Y565,0)</f>
        <v>200.40176000000014</v>
      </c>
      <c r="CI565" s="462">
        <f>IF(OR(AND(AT565&lt;&gt;0,AJ565&lt;&gt;"PF",AN565&lt;&gt;"NE",AG565&lt;&gt;"A"),AND(AL565="E",OR(AT565=1,AT565=3))),SickCHG*Y565,0)</f>
        <v>0</v>
      </c>
      <c r="CJ565" s="462">
        <f t="shared" si="148"/>
        <v>-226.54111999999981</v>
      </c>
      <c r="CK565" s="462" t="str">
        <f t="shared" si="149"/>
        <v/>
      </c>
      <c r="CL565" s="462" t="str">
        <f t="shared" si="150"/>
        <v/>
      </c>
      <c r="CM565" s="462" t="str">
        <f t="shared" si="151"/>
        <v/>
      </c>
      <c r="CN565" s="462" t="str">
        <f t="shared" si="152"/>
        <v>0486-00</v>
      </c>
    </row>
    <row r="566" spans="1:92" ht="15" thickBot="1" x14ac:dyDescent="0.35">
      <c r="A566" s="376" t="s">
        <v>161</v>
      </c>
      <c r="B566" s="376" t="s">
        <v>162</v>
      </c>
      <c r="C566" s="376" t="s">
        <v>1251</v>
      </c>
      <c r="D566" s="376" t="s">
        <v>1169</v>
      </c>
      <c r="E566" s="376" t="s">
        <v>1140</v>
      </c>
      <c r="F566" s="377" t="s">
        <v>166</v>
      </c>
      <c r="G566" s="376" t="s">
        <v>1141</v>
      </c>
      <c r="H566" s="378"/>
      <c r="I566" s="378"/>
      <c r="J566" s="376" t="s">
        <v>168</v>
      </c>
      <c r="K566" s="376" t="s">
        <v>1170</v>
      </c>
      <c r="L566" s="376" t="s">
        <v>166</v>
      </c>
      <c r="M566" s="376" t="s">
        <v>201</v>
      </c>
      <c r="N566" s="376" t="s">
        <v>291</v>
      </c>
      <c r="O566" s="379">
        <v>0</v>
      </c>
      <c r="P566" s="460">
        <v>1</v>
      </c>
      <c r="Q566" s="460">
        <v>0</v>
      </c>
      <c r="R566" s="380">
        <v>0</v>
      </c>
      <c r="S566" s="460">
        <v>0</v>
      </c>
      <c r="T566" s="380">
        <v>0</v>
      </c>
      <c r="U566" s="380">
        <v>0</v>
      </c>
      <c r="V566" s="380">
        <v>0</v>
      </c>
      <c r="W566" s="380">
        <v>0</v>
      </c>
      <c r="X566" s="380">
        <v>0</v>
      </c>
      <c r="Y566" s="380">
        <v>0</v>
      </c>
      <c r="Z566" s="380">
        <v>0</v>
      </c>
      <c r="AA566" s="378"/>
      <c r="AB566" s="376" t="s">
        <v>45</v>
      </c>
      <c r="AC566" s="376" t="s">
        <v>45</v>
      </c>
      <c r="AD566" s="378"/>
      <c r="AE566" s="378"/>
      <c r="AF566" s="378"/>
      <c r="AG566" s="378"/>
      <c r="AH566" s="379">
        <v>0</v>
      </c>
      <c r="AI566" s="379">
        <v>0</v>
      </c>
      <c r="AJ566" s="378"/>
      <c r="AK566" s="378"/>
      <c r="AL566" s="376" t="s">
        <v>180</v>
      </c>
      <c r="AM566" s="378"/>
      <c r="AN566" s="378"/>
      <c r="AO566" s="379">
        <v>0</v>
      </c>
      <c r="AP566" s="460">
        <v>0</v>
      </c>
      <c r="AQ566" s="460">
        <v>0</v>
      </c>
      <c r="AR566" s="459"/>
      <c r="AS566" s="462">
        <f t="shared" si="136"/>
        <v>0</v>
      </c>
      <c r="AT566">
        <f t="shared" si="137"/>
        <v>0</v>
      </c>
      <c r="AU566" s="462" t="str">
        <f>IF(AT566=0,"",IF(AND(AT566=1,M566="F",SUMIF(C2:C698,C566,AS2:AS698)&lt;=1),SUMIF(C2:C698,C566,AS2:AS698),IF(AND(AT566=1,M566="F",SUMIF(C2:C698,C566,AS2:AS698)&gt;1),1,"")))</f>
        <v/>
      </c>
      <c r="AV566" s="462" t="str">
        <f>IF(AT566=0,"",IF(AND(AT566=3,M566="F",SUMIF(C2:C698,C566,AS2:AS698)&lt;=1),SUMIF(C2:C698,C566,AS2:AS698),IF(AND(AT566=3,M566="F",SUMIF(C2:C698,C566,AS2:AS698)&gt;1),1,"")))</f>
        <v/>
      </c>
      <c r="AW566" s="462">
        <f>SUMIF(C2:C698,C566,O2:O698)</f>
        <v>0</v>
      </c>
      <c r="AX566" s="462">
        <f>IF(AND(M566="F",AS566&lt;&gt;0),SUMIF(C2:C698,C566,W2:W698),0)</f>
        <v>0</v>
      </c>
      <c r="AY566" s="462" t="str">
        <f t="shared" si="138"/>
        <v/>
      </c>
      <c r="AZ566" s="462" t="str">
        <f t="shared" si="139"/>
        <v/>
      </c>
      <c r="BA566" s="462">
        <f t="shared" si="140"/>
        <v>0</v>
      </c>
      <c r="BB566" s="462">
        <f>IF(AND(AT566=1,AK566="E",AU566&gt;=0.75,AW566=1),Health,IF(AND(AT566=1,AK566="E",AU566&gt;=0.75),Health*P566,IF(AND(AT566=1,AK566="E",AU566&gt;=0.5,AW566=1),PTHealth,IF(AND(AT566=1,AK566="E",AU566&gt;=0.5),PTHealth*P566,0))))</f>
        <v>0</v>
      </c>
      <c r="BC566" s="462">
        <f>IF(AND(AT566=3,AK566="E",AV566&gt;=0.75,AW566=1),Health,IF(AND(AT566=3,AK566="E",AV566&gt;=0.75),Health*P566,IF(AND(AT566=3,AK566="E",AV566&gt;=0.5,AW566=1),PTHealth,IF(AND(AT566=3,AK566="E",AV566&gt;=0.5),PTHealth*P566,0))))</f>
        <v>0</v>
      </c>
      <c r="BD566" s="462">
        <f>IF(AND(AT566&lt;&gt;0,AX566&gt;=MAXSSDI),SSDI*MAXSSDI*P566,IF(AT566&lt;&gt;0,SSDI*W566,0))</f>
        <v>0</v>
      </c>
      <c r="BE566" s="462">
        <f>IF(AT566&lt;&gt;0,SSHI*W566,0)</f>
        <v>0</v>
      </c>
      <c r="BF566" s="462">
        <f>IF(AND(AT566&lt;&gt;0,AN566&lt;&gt;"NE"),VLOOKUP(AN566,Retirement_Rates,3,FALSE)*W566,0)</f>
        <v>0</v>
      </c>
      <c r="BG566" s="462">
        <f>IF(AND(AT566&lt;&gt;0,AJ566&lt;&gt;"PF"),Life*W566,0)</f>
        <v>0</v>
      </c>
      <c r="BH566" s="462">
        <f>IF(AND(AT566&lt;&gt;0,AM566="Y"),UI*W566,0)</f>
        <v>0</v>
      </c>
      <c r="BI566" s="462">
        <f>IF(AND(AT566&lt;&gt;0,N566&lt;&gt;"NR"),DHR*W566,0)</f>
        <v>0</v>
      </c>
      <c r="BJ566" s="462">
        <f>IF(AT566&lt;&gt;0,WC*W566,0)</f>
        <v>0</v>
      </c>
      <c r="BK566" s="462">
        <f>IF(OR(AND(AT566&lt;&gt;0,AJ566&lt;&gt;"PF",AN566&lt;&gt;"NE",AG566&lt;&gt;"A"),AND(AL566="E",OR(AT566=1,AT566=3))),Sick*W566,0)</f>
        <v>0</v>
      </c>
      <c r="BL566" s="462">
        <f t="shared" si="141"/>
        <v>0</v>
      </c>
      <c r="BM566" s="462">
        <f t="shared" si="142"/>
        <v>0</v>
      </c>
      <c r="BN566" s="462">
        <f>IF(AND(AT566=1,AK566="E",AU566&gt;=0.75,AW566=1),HealthBY,IF(AND(AT566=1,AK566="E",AU566&gt;=0.75),HealthBY*P566,IF(AND(AT566=1,AK566="E",AU566&gt;=0.5,AW566=1),PTHealthBY,IF(AND(AT566=1,AK566="E",AU566&gt;=0.5),PTHealthBY*P566,0))))</f>
        <v>0</v>
      </c>
      <c r="BO566" s="462">
        <f>IF(AND(AT566=3,AK566="E",AV566&gt;=0.75,AW566=1),HealthBY,IF(AND(AT566=3,AK566="E",AV566&gt;=0.75),HealthBY*P566,IF(AND(AT566=3,AK566="E",AV566&gt;=0.5,AW566=1),PTHealthBY,IF(AND(AT566=3,AK566="E",AV566&gt;=0.5),PTHealthBY*P566,0))))</f>
        <v>0</v>
      </c>
      <c r="BP566" s="462">
        <f>IF(AND(AT566&lt;&gt;0,(AX566+BA566)&gt;=MAXSSDIBY),SSDIBY*MAXSSDIBY*P566,IF(AT566&lt;&gt;0,SSDIBY*W566,0))</f>
        <v>0</v>
      </c>
      <c r="BQ566" s="462">
        <f>IF(AT566&lt;&gt;0,SSHIBY*W566,0)</f>
        <v>0</v>
      </c>
      <c r="BR566" s="462">
        <f>IF(AND(AT566&lt;&gt;0,AN566&lt;&gt;"NE"),VLOOKUP(AN566,Retirement_Rates,4,FALSE)*W566,0)</f>
        <v>0</v>
      </c>
      <c r="BS566" s="462">
        <f>IF(AND(AT566&lt;&gt;0,AJ566&lt;&gt;"PF"),LifeBY*W566,0)</f>
        <v>0</v>
      </c>
      <c r="BT566" s="462">
        <f>IF(AND(AT566&lt;&gt;0,AM566="Y"),UIBY*W566,0)</f>
        <v>0</v>
      </c>
      <c r="BU566" s="462">
        <f>IF(AND(AT566&lt;&gt;0,N566&lt;&gt;"NR"),DHRBY*W566,0)</f>
        <v>0</v>
      </c>
      <c r="BV566" s="462">
        <f>IF(AT566&lt;&gt;0,WCBY*W566,0)</f>
        <v>0</v>
      </c>
      <c r="BW566" s="462">
        <f>IF(OR(AND(AT566&lt;&gt;0,AJ566&lt;&gt;"PF",AN566&lt;&gt;"NE",AG566&lt;&gt;"A"),AND(AL566="E",OR(AT566=1,AT566=3))),SickBY*W566,0)</f>
        <v>0</v>
      </c>
      <c r="BX566" s="462">
        <f t="shared" si="143"/>
        <v>0</v>
      </c>
      <c r="BY566" s="462">
        <f t="shared" si="144"/>
        <v>0</v>
      </c>
      <c r="BZ566" s="462">
        <f t="shared" si="145"/>
        <v>0</v>
      </c>
      <c r="CA566" s="462">
        <f t="shared" si="146"/>
        <v>0</v>
      </c>
      <c r="CB566" s="462">
        <f t="shared" si="147"/>
        <v>0</v>
      </c>
      <c r="CC566" s="462">
        <f>IF(AT566&lt;&gt;0,SSHICHG*Y566,0)</f>
        <v>0</v>
      </c>
      <c r="CD566" s="462">
        <f>IF(AND(AT566&lt;&gt;0,AN566&lt;&gt;"NE"),VLOOKUP(AN566,Retirement_Rates,5,FALSE)*Y566,0)</f>
        <v>0</v>
      </c>
      <c r="CE566" s="462">
        <f>IF(AND(AT566&lt;&gt;0,AJ566&lt;&gt;"PF"),LifeCHG*Y566,0)</f>
        <v>0</v>
      </c>
      <c r="CF566" s="462">
        <f>IF(AND(AT566&lt;&gt;0,AM566="Y"),UICHG*Y566,0)</f>
        <v>0</v>
      </c>
      <c r="CG566" s="462">
        <f>IF(AND(AT566&lt;&gt;0,N566&lt;&gt;"NR"),DHRCHG*Y566,0)</f>
        <v>0</v>
      </c>
      <c r="CH566" s="462">
        <f>IF(AT566&lt;&gt;0,WCCHG*Y566,0)</f>
        <v>0</v>
      </c>
      <c r="CI566" s="462">
        <f>IF(OR(AND(AT566&lt;&gt;0,AJ566&lt;&gt;"PF",AN566&lt;&gt;"NE",AG566&lt;&gt;"A"),AND(AL566="E",OR(AT566=1,AT566=3))),SickCHG*Y566,0)</f>
        <v>0</v>
      </c>
      <c r="CJ566" s="462">
        <f t="shared" si="148"/>
        <v>0</v>
      </c>
      <c r="CK566" s="462" t="str">
        <f t="shared" si="149"/>
        <v/>
      </c>
      <c r="CL566" s="462">
        <f t="shared" si="150"/>
        <v>0</v>
      </c>
      <c r="CM566" s="462">
        <f t="shared" si="151"/>
        <v>0</v>
      </c>
      <c r="CN566" s="462" t="str">
        <f t="shared" si="152"/>
        <v>0486-00</v>
      </c>
    </row>
    <row r="567" spans="1:92" ht="15" thickBot="1" x14ac:dyDescent="0.35">
      <c r="A567" s="376" t="s">
        <v>161</v>
      </c>
      <c r="B567" s="376" t="s">
        <v>162</v>
      </c>
      <c r="C567" s="376" t="s">
        <v>1252</v>
      </c>
      <c r="D567" s="376" t="s">
        <v>1234</v>
      </c>
      <c r="E567" s="376" t="s">
        <v>1140</v>
      </c>
      <c r="F567" s="377" t="s">
        <v>166</v>
      </c>
      <c r="G567" s="376" t="s">
        <v>1141</v>
      </c>
      <c r="H567" s="378"/>
      <c r="I567" s="378"/>
      <c r="J567" s="376" t="s">
        <v>168</v>
      </c>
      <c r="K567" s="376" t="s">
        <v>1235</v>
      </c>
      <c r="L567" s="376" t="s">
        <v>166</v>
      </c>
      <c r="M567" s="376" t="s">
        <v>201</v>
      </c>
      <c r="N567" s="376" t="s">
        <v>291</v>
      </c>
      <c r="O567" s="379">
        <v>0</v>
      </c>
      <c r="P567" s="460">
        <v>1</v>
      </c>
      <c r="Q567" s="460">
        <v>0</v>
      </c>
      <c r="R567" s="380">
        <v>0</v>
      </c>
      <c r="S567" s="460">
        <v>0</v>
      </c>
      <c r="T567" s="380">
        <v>0</v>
      </c>
      <c r="U567" s="380">
        <v>0</v>
      </c>
      <c r="V567" s="380">
        <v>0</v>
      </c>
      <c r="W567" s="380">
        <v>0</v>
      </c>
      <c r="X567" s="380">
        <v>0</v>
      </c>
      <c r="Y567" s="380">
        <v>0</v>
      </c>
      <c r="Z567" s="380">
        <v>0</v>
      </c>
      <c r="AA567" s="378"/>
      <c r="AB567" s="376" t="s">
        <v>45</v>
      </c>
      <c r="AC567" s="376" t="s">
        <v>45</v>
      </c>
      <c r="AD567" s="378"/>
      <c r="AE567" s="378"/>
      <c r="AF567" s="378"/>
      <c r="AG567" s="378"/>
      <c r="AH567" s="379">
        <v>0</v>
      </c>
      <c r="AI567" s="379">
        <v>0</v>
      </c>
      <c r="AJ567" s="378"/>
      <c r="AK567" s="378"/>
      <c r="AL567" s="376" t="s">
        <v>180</v>
      </c>
      <c r="AM567" s="378"/>
      <c r="AN567" s="378"/>
      <c r="AO567" s="379">
        <v>0</v>
      </c>
      <c r="AP567" s="460">
        <v>0</v>
      </c>
      <c r="AQ567" s="460">
        <v>0</v>
      </c>
      <c r="AR567" s="459"/>
      <c r="AS567" s="462">
        <f t="shared" si="136"/>
        <v>0</v>
      </c>
      <c r="AT567">
        <f t="shared" si="137"/>
        <v>0</v>
      </c>
      <c r="AU567" s="462" t="str">
        <f>IF(AT567=0,"",IF(AND(AT567=1,M567="F",SUMIF(C2:C698,C567,AS2:AS698)&lt;=1),SUMIF(C2:C698,C567,AS2:AS698),IF(AND(AT567=1,M567="F",SUMIF(C2:C698,C567,AS2:AS698)&gt;1),1,"")))</f>
        <v/>
      </c>
      <c r="AV567" s="462" t="str">
        <f>IF(AT567=0,"",IF(AND(AT567=3,M567="F",SUMIF(C2:C698,C567,AS2:AS698)&lt;=1),SUMIF(C2:C698,C567,AS2:AS698),IF(AND(AT567=3,M567="F",SUMIF(C2:C698,C567,AS2:AS698)&gt;1),1,"")))</f>
        <v/>
      </c>
      <c r="AW567" s="462">
        <f>SUMIF(C2:C698,C567,O2:O698)</f>
        <v>0</v>
      </c>
      <c r="AX567" s="462">
        <f>IF(AND(M567="F",AS567&lt;&gt;0),SUMIF(C2:C698,C567,W2:W698),0)</f>
        <v>0</v>
      </c>
      <c r="AY567" s="462" t="str">
        <f t="shared" si="138"/>
        <v/>
      </c>
      <c r="AZ567" s="462" t="str">
        <f t="shared" si="139"/>
        <v/>
      </c>
      <c r="BA567" s="462">
        <f t="shared" si="140"/>
        <v>0</v>
      </c>
      <c r="BB567" s="462">
        <f>IF(AND(AT567=1,AK567="E",AU567&gt;=0.75,AW567=1),Health,IF(AND(AT567=1,AK567="E",AU567&gt;=0.75),Health*P567,IF(AND(AT567=1,AK567="E",AU567&gt;=0.5,AW567=1),PTHealth,IF(AND(AT567=1,AK567="E",AU567&gt;=0.5),PTHealth*P567,0))))</f>
        <v>0</v>
      </c>
      <c r="BC567" s="462">
        <f>IF(AND(AT567=3,AK567="E",AV567&gt;=0.75,AW567=1),Health,IF(AND(AT567=3,AK567="E",AV567&gt;=0.75),Health*P567,IF(AND(AT567=3,AK567="E",AV567&gt;=0.5,AW567=1),PTHealth,IF(AND(AT567=3,AK567="E",AV567&gt;=0.5),PTHealth*P567,0))))</f>
        <v>0</v>
      </c>
      <c r="BD567" s="462">
        <f>IF(AND(AT567&lt;&gt;0,AX567&gt;=MAXSSDI),SSDI*MAXSSDI*P567,IF(AT567&lt;&gt;0,SSDI*W567,0))</f>
        <v>0</v>
      </c>
      <c r="BE567" s="462">
        <f>IF(AT567&lt;&gt;0,SSHI*W567,0)</f>
        <v>0</v>
      </c>
      <c r="BF567" s="462">
        <f>IF(AND(AT567&lt;&gt;0,AN567&lt;&gt;"NE"),VLOOKUP(AN567,Retirement_Rates,3,FALSE)*W567,0)</f>
        <v>0</v>
      </c>
      <c r="BG567" s="462">
        <f>IF(AND(AT567&lt;&gt;0,AJ567&lt;&gt;"PF"),Life*W567,0)</f>
        <v>0</v>
      </c>
      <c r="BH567" s="462">
        <f>IF(AND(AT567&lt;&gt;0,AM567="Y"),UI*W567,0)</f>
        <v>0</v>
      </c>
      <c r="BI567" s="462">
        <f>IF(AND(AT567&lt;&gt;0,N567&lt;&gt;"NR"),DHR*W567,0)</f>
        <v>0</v>
      </c>
      <c r="BJ567" s="462">
        <f>IF(AT567&lt;&gt;0,WC*W567,0)</f>
        <v>0</v>
      </c>
      <c r="BK567" s="462">
        <f>IF(OR(AND(AT567&lt;&gt;0,AJ567&lt;&gt;"PF",AN567&lt;&gt;"NE",AG567&lt;&gt;"A"),AND(AL567="E",OR(AT567=1,AT567=3))),Sick*W567,0)</f>
        <v>0</v>
      </c>
      <c r="BL567" s="462">
        <f t="shared" si="141"/>
        <v>0</v>
      </c>
      <c r="BM567" s="462">
        <f t="shared" si="142"/>
        <v>0</v>
      </c>
      <c r="BN567" s="462">
        <f>IF(AND(AT567=1,AK567="E",AU567&gt;=0.75,AW567=1),HealthBY,IF(AND(AT567=1,AK567="E",AU567&gt;=0.75),HealthBY*P567,IF(AND(AT567=1,AK567="E",AU567&gt;=0.5,AW567=1),PTHealthBY,IF(AND(AT567=1,AK567="E",AU567&gt;=0.5),PTHealthBY*P567,0))))</f>
        <v>0</v>
      </c>
      <c r="BO567" s="462">
        <f>IF(AND(AT567=3,AK567="E",AV567&gt;=0.75,AW567=1),HealthBY,IF(AND(AT567=3,AK567="E",AV567&gt;=0.75),HealthBY*P567,IF(AND(AT567=3,AK567="E",AV567&gt;=0.5,AW567=1),PTHealthBY,IF(AND(AT567=3,AK567="E",AV567&gt;=0.5),PTHealthBY*P567,0))))</f>
        <v>0</v>
      </c>
      <c r="BP567" s="462">
        <f>IF(AND(AT567&lt;&gt;0,(AX567+BA567)&gt;=MAXSSDIBY),SSDIBY*MAXSSDIBY*P567,IF(AT567&lt;&gt;0,SSDIBY*W567,0))</f>
        <v>0</v>
      </c>
      <c r="BQ567" s="462">
        <f>IF(AT567&lt;&gt;0,SSHIBY*W567,0)</f>
        <v>0</v>
      </c>
      <c r="BR567" s="462">
        <f>IF(AND(AT567&lt;&gt;0,AN567&lt;&gt;"NE"),VLOOKUP(AN567,Retirement_Rates,4,FALSE)*W567,0)</f>
        <v>0</v>
      </c>
      <c r="BS567" s="462">
        <f>IF(AND(AT567&lt;&gt;0,AJ567&lt;&gt;"PF"),LifeBY*W567,0)</f>
        <v>0</v>
      </c>
      <c r="BT567" s="462">
        <f>IF(AND(AT567&lt;&gt;0,AM567="Y"),UIBY*W567,0)</f>
        <v>0</v>
      </c>
      <c r="BU567" s="462">
        <f>IF(AND(AT567&lt;&gt;0,N567&lt;&gt;"NR"),DHRBY*W567,0)</f>
        <v>0</v>
      </c>
      <c r="BV567" s="462">
        <f>IF(AT567&lt;&gt;0,WCBY*W567,0)</f>
        <v>0</v>
      </c>
      <c r="BW567" s="462">
        <f>IF(OR(AND(AT567&lt;&gt;0,AJ567&lt;&gt;"PF",AN567&lt;&gt;"NE",AG567&lt;&gt;"A"),AND(AL567="E",OR(AT567=1,AT567=3))),SickBY*W567,0)</f>
        <v>0</v>
      </c>
      <c r="BX567" s="462">
        <f t="shared" si="143"/>
        <v>0</v>
      </c>
      <c r="BY567" s="462">
        <f t="shared" si="144"/>
        <v>0</v>
      </c>
      <c r="BZ567" s="462">
        <f t="shared" si="145"/>
        <v>0</v>
      </c>
      <c r="CA567" s="462">
        <f t="shared" si="146"/>
        <v>0</v>
      </c>
      <c r="CB567" s="462">
        <f t="shared" si="147"/>
        <v>0</v>
      </c>
      <c r="CC567" s="462">
        <f>IF(AT567&lt;&gt;0,SSHICHG*Y567,0)</f>
        <v>0</v>
      </c>
      <c r="CD567" s="462">
        <f>IF(AND(AT567&lt;&gt;0,AN567&lt;&gt;"NE"),VLOOKUP(AN567,Retirement_Rates,5,FALSE)*Y567,0)</f>
        <v>0</v>
      </c>
      <c r="CE567" s="462">
        <f>IF(AND(AT567&lt;&gt;0,AJ567&lt;&gt;"PF"),LifeCHG*Y567,0)</f>
        <v>0</v>
      </c>
      <c r="CF567" s="462">
        <f>IF(AND(AT567&lt;&gt;0,AM567="Y"),UICHG*Y567,0)</f>
        <v>0</v>
      </c>
      <c r="CG567" s="462">
        <f>IF(AND(AT567&lt;&gt;0,N567&lt;&gt;"NR"),DHRCHG*Y567,0)</f>
        <v>0</v>
      </c>
      <c r="CH567" s="462">
        <f>IF(AT567&lt;&gt;0,WCCHG*Y567,0)</f>
        <v>0</v>
      </c>
      <c r="CI567" s="462">
        <f>IF(OR(AND(AT567&lt;&gt;0,AJ567&lt;&gt;"PF",AN567&lt;&gt;"NE",AG567&lt;&gt;"A"),AND(AL567="E",OR(AT567=1,AT567=3))),SickCHG*Y567,0)</f>
        <v>0</v>
      </c>
      <c r="CJ567" s="462">
        <f t="shared" si="148"/>
        <v>0</v>
      </c>
      <c r="CK567" s="462" t="str">
        <f t="shared" si="149"/>
        <v/>
      </c>
      <c r="CL567" s="462">
        <f t="shared" si="150"/>
        <v>0</v>
      </c>
      <c r="CM567" s="462">
        <f t="shared" si="151"/>
        <v>0</v>
      </c>
      <c r="CN567" s="462" t="str">
        <f t="shared" si="152"/>
        <v>0486-00</v>
      </c>
    </row>
    <row r="568" spans="1:92" ht="15" thickBot="1" x14ac:dyDescent="0.35">
      <c r="A568" s="376" t="s">
        <v>161</v>
      </c>
      <c r="B568" s="376" t="s">
        <v>162</v>
      </c>
      <c r="C568" s="376" t="s">
        <v>1253</v>
      </c>
      <c r="D568" s="376" t="s">
        <v>1163</v>
      </c>
      <c r="E568" s="376" t="s">
        <v>1140</v>
      </c>
      <c r="F568" s="377" t="s">
        <v>166</v>
      </c>
      <c r="G568" s="376" t="s">
        <v>1141</v>
      </c>
      <c r="H568" s="378"/>
      <c r="I568" s="378"/>
      <c r="J568" s="376" t="s">
        <v>168</v>
      </c>
      <c r="K568" s="376" t="s">
        <v>1164</v>
      </c>
      <c r="L568" s="376" t="s">
        <v>166</v>
      </c>
      <c r="M568" s="376" t="s">
        <v>201</v>
      </c>
      <c r="N568" s="376" t="s">
        <v>291</v>
      </c>
      <c r="O568" s="379">
        <v>0</v>
      </c>
      <c r="P568" s="460">
        <v>1</v>
      </c>
      <c r="Q568" s="460">
        <v>0</v>
      </c>
      <c r="R568" s="380">
        <v>0</v>
      </c>
      <c r="S568" s="460">
        <v>0</v>
      </c>
      <c r="T568" s="380">
        <v>0</v>
      </c>
      <c r="U568" s="380">
        <v>0</v>
      </c>
      <c r="V568" s="380">
        <v>0</v>
      </c>
      <c r="W568" s="380">
        <v>0</v>
      </c>
      <c r="X568" s="380">
        <v>0</v>
      </c>
      <c r="Y568" s="380">
        <v>0</v>
      </c>
      <c r="Z568" s="380">
        <v>0</v>
      </c>
      <c r="AA568" s="378"/>
      <c r="AB568" s="376" t="s">
        <v>45</v>
      </c>
      <c r="AC568" s="376" t="s">
        <v>45</v>
      </c>
      <c r="AD568" s="378"/>
      <c r="AE568" s="378"/>
      <c r="AF568" s="378"/>
      <c r="AG568" s="378"/>
      <c r="AH568" s="379">
        <v>0</v>
      </c>
      <c r="AI568" s="379">
        <v>0</v>
      </c>
      <c r="AJ568" s="378"/>
      <c r="AK568" s="378"/>
      <c r="AL568" s="376" t="s">
        <v>180</v>
      </c>
      <c r="AM568" s="378"/>
      <c r="AN568" s="378"/>
      <c r="AO568" s="379">
        <v>0</v>
      </c>
      <c r="AP568" s="460">
        <v>0</v>
      </c>
      <c r="AQ568" s="460">
        <v>0</v>
      </c>
      <c r="AR568" s="459"/>
      <c r="AS568" s="462">
        <f t="shared" si="136"/>
        <v>0</v>
      </c>
      <c r="AT568">
        <f t="shared" si="137"/>
        <v>0</v>
      </c>
      <c r="AU568" s="462" t="str">
        <f>IF(AT568=0,"",IF(AND(AT568=1,M568="F",SUMIF(C2:C698,C568,AS2:AS698)&lt;=1),SUMIF(C2:C698,C568,AS2:AS698),IF(AND(AT568=1,M568="F",SUMIF(C2:C698,C568,AS2:AS698)&gt;1),1,"")))</f>
        <v/>
      </c>
      <c r="AV568" s="462" t="str">
        <f>IF(AT568=0,"",IF(AND(AT568=3,M568="F",SUMIF(C2:C698,C568,AS2:AS698)&lt;=1),SUMIF(C2:C698,C568,AS2:AS698),IF(AND(AT568=3,M568="F",SUMIF(C2:C698,C568,AS2:AS698)&gt;1),1,"")))</f>
        <v/>
      </c>
      <c r="AW568" s="462">
        <f>SUMIF(C2:C698,C568,O2:O698)</f>
        <v>0</v>
      </c>
      <c r="AX568" s="462">
        <f>IF(AND(M568="F",AS568&lt;&gt;0),SUMIF(C2:C698,C568,W2:W698),0)</f>
        <v>0</v>
      </c>
      <c r="AY568" s="462" t="str">
        <f t="shared" si="138"/>
        <v/>
      </c>
      <c r="AZ568" s="462" t="str">
        <f t="shared" si="139"/>
        <v/>
      </c>
      <c r="BA568" s="462">
        <f t="shared" si="140"/>
        <v>0</v>
      </c>
      <c r="BB568" s="462">
        <f>IF(AND(AT568=1,AK568="E",AU568&gt;=0.75,AW568=1),Health,IF(AND(AT568=1,AK568="E",AU568&gt;=0.75),Health*P568,IF(AND(AT568=1,AK568="E",AU568&gt;=0.5,AW568=1),PTHealth,IF(AND(AT568=1,AK568="E",AU568&gt;=0.5),PTHealth*P568,0))))</f>
        <v>0</v>
      </c>
      <c r="BC568" s="462">
        <f>IF(AND(AT568=3,AK568="E",AV568&gt;=0.75,AW568=1),Health,IF(AND(AT568=3,AK568="E",AV568&gt;=0.75),Health*P568,IF(AND(AT568=3,AK568="E",AV568&gt;=0.5,AW568=1),PTHealth,IF(AND(AT568=3,AK568="E",AV568&gt;=0.5),PTHealth*P568,0))))</f>
        <v>0</v>
      </c>
      <c r="BD568" s="462">
        <f>IF(AND(AT568&lt;&gt;0,AX568&gt;=MAXSSDI),SSDI*MAXSSDI*P568,IF(AT568&lt;&gt;0,SSDI*W568,0))</f>
        <v>0</v>
      </c>
      <c r="BE568" s="462">
        <f>IF(AT568&lt;&gt;0,SSHI*W568,0)</f>
        <v>0</v>
      </c>
      <c r="BF568" s="462">
        <f>IF(AND(AT568&lt;&gt;0,AN568&lt;&gt;"NE"),VLOOKUP(AN568,Retirement_Rates,3,FALSE)*W568,0)</f>
        <v>0</v>
      </c>
      <c r="BG568" s="462">
        <f>IF(AND(AT568&lt;&gt;0,AJ568&lt;&gt;"PF"),Life*W568,0)</f>
        <v>0</v>
      </c>
      <c r="BH568" s="462">
        <f>IF(AND(AT568&lt;&gt;0,AM568="Y"),UI*W568,0)</f>
        <v>0</v>
      </c>
      <c r="BI568" s="462">
        <f>IF(AND(AT568&lt;&gt;0,N568&lt;&gt;"NR"),DHR*W568,0)</f>
        <v>0</v>
      </c>
      <c r="BJ568" s="462">
        <f>IF(AT568&lt;&gt;0,WC*W568,0)</f>
        <v>0</v>
      </c>
      <c r="BK568" s="462">
        <f>IF(OR(AND(AT568&lt;&gt;0,AJ568&lt;&gt;"PF",AN568&lt;&gt;"NE",AG568&lt;&gt;"A"),AND(AL568="E",OR(AT568=1,AT568=3))),Sick*W568,0)</f>
        <v>0</v>
      </c>
      <c r="BL568" s="462">
        <f t="shared" si="141"/>
        <v>0</v>
      </c>
      <c r="BM568" s="462">
        <f t="shared" si="142"/>
        <v>0</v>
      </c>
      <c r="BN568" s="462">
        <f>IF(AND(AT568=1,AK568="E",AU568&gt;=0.75,AW568=1),HealthBY,IF(AND(AT568=1,AK568="E",AU568&gt;=0.75),HealthBY*P568,IF(AND(AT568=1,AK568="E",AU568&gt;=0.5,AW568=1),PTHealthBY,IF(AND(AT568=1,AK568="E",AU568&gt;=0.5),PTHealthBY*P568,0))))</f>
        <v>0</v>
      </c>
      <c r="BO568" s="462">
        <f>IF(AND(AT568=3,AK568="E",AV568&gt;=0.75,AW568=1),HealthBY,IF(AND(AT568=3,AK568="E",AV568&gt;=0.75),HealthBY*P568,IF(AND(AT568=3,AK568="E",AV568&gt;=0.5,AW568=1),PTHealthBY,IF(AND(AT568=3,AK568="E",AV568&gt;=0.5),PTHealthBY*P568,0))))</f>
        <v>0</v>
      </c>
      <c r="BP568" s="462">
        <f>IF(AND(AT568&lt;&gt;0,(AX568+BA568)&gt;=MAXSSDIBY),SSDIBY*MAXSSDIBY*P568,IF(AT568&lt;&gt;0,SSDIBY*W568,0))</f>
        <v>0</v>
      </c>
      <c r="BQ568" s="462">
        <f>IF(AT568&lt;&gt;0,SSHIBY*W568,0)</f>
        <v>0</v>
      </c>
      <c r="BR568" s="462">
        <f>IF(AND(AT568&lt;&gt;0,AN568&lt;&gt;"NE"),VLOOKUP(AN568,Retirement_Rates,4,FALSE)*W568,0)</f>
        <v>0</v>
      </c>
      <c r="BS568" s="462">
        <f>IF(AND(AT568&lt;&gt;0,AJ568&lt;&gt;"PF"),LifeBY*W568,0)</f>
        <v>0</v>
      </c>
      <c r="BT568" s="462">
        <f>IF(AND(AT568&lt;&gt;0,AM568="Y"),UIBY*W568,0)</f>
        <v>0</v>
      </c>
      <c r="BU568" s="462">
        <f>IF(AND(AT568&lt;&gt;0,N568&lt;&gt;"NR"),DHRBY*W568,0)</f>
        <v>0</v>
      </c>
      <c r="BV568" s="462">
        <f>IF(AT568&lt;&gt;0,WCBY*W568,0)</f>
        <v>0</v>
      </c>
      <c r="BW568" s="462">
        <f>IF(OR(AND(AT568&lt;&gt;0,AJ568&lt;&gt;"PF",AN568&lt;&gt;"NE",AG568&lt;&gt;"A"),AND(AL568="E",OR(AT568=1,AT568=3))),SickBY*W568,0)</f>
        <v>0</v>
      </c>
      <c r="BX568" s="462">
        <f t="shared" si="143"/>
        <v>0</v>
      </c>
      <c r="BY568" s="462">
        <f t="shared" si="144"/>
        <v>0</v>
      </c>
      <c r="BZ568" s="462">
        <f t="shared" si="145"/>
        <v>0</v>
      </c>
      <c r="CA568" s="462">
        <f t="shared" si="146"/>
        <v>0</v>
      </c>
      <c r="CB568" s="462">
        <f t="shared" si="147"/>
        <v>0</v>
      </c>
      <c r="CC568" s="462">
        <f>IF(AT568&lt;&gt;0,SSHICHG*Y568,0)</f>
        <v>0</v>
      </c>
      <c r="CD568" s="462">
        <f>IF(AND(AT568&lt;&gt;0,AN568&lt;&gt;"NE"),VLOOKUP(AN568,Retirement_Rates,5,FALSE)*Y568,0)</f>
        <v>0</v>
      </c>
      <c r="CE568" s="462">
        <f>IF(AND(AT568&lt;&gt;0,AJ568&lt;&gt;"PF"),LifeCHG*Y568,0)</f>
        <v>0</v>
      </c>
      <c r="CF568" s="462">
        <f>IF(AND(AT568&lt;&gt;0,AM568="Y"),UICHG*Y568,0)</f>
        <v>0</v>
      </c>
      <c r="CG568" s="462">
        <f>IF(AND(AT568&lt;&gt;0,N568&lt;&gt;"NR"),DHRCHG*Y568,0)</f>
        <v>0</v>
      </c>
      <c r="CH568" s="462">
        <f>IF(AT568&lt;&gt;0,WCCHG*Y568,0)</f>
        <v>0</v>
      </c>
      <c r="CI568" s="462">
        <f>IF(OR(AND(AT568&lt;&gt;0,AJ568&lt;&gt;"PF",AN568&lt;&gt;"NE",AG568&lt;&gt;"A"),AND(AL568="E",OR(AT568=1,AT568=3))),SickCHG*Y568,0)</f>
        <v>0</v>
      </c>
      <c r="CJ568" s="462">
        <f t="shared" si="148"/>
        <v>0</v>
      </c>
      <c r="CK568" s="462" t="str">
        <f t="shared" si="149"/>
        <v/>
      </c>
      <c r="CL568" s="462">
        <f t="shared" si="150"/>
        <v>0</v>
      </c>
      <c r="CM568" s="462">
        <f t="shared" si="151"/>
        <v>0</v>
      </c>
      <c r="CN568" s="462" t="str">
        <f t="shared" si="152"/>
        <v>0486-00</v>
      </c>
    </row>
    <row r="569" spans="1:92" ht="15" thickBot="1" x14ac:dyDescent="0.35">
      <c r="A569" s="376" t="s">
        <v>161</v>
      </c>
      <c r="B569" s="376" t="s">
        <v>162</v>
      </c>
      <c r="C569" s="376" t="s">
        <v>1009</v>
      </c>
      <c r="D569" s="376" t="s">
        <v>327</v>
      </c>
      <c r="E569" s="376" t="s">
        <v>1140</v>
      </c>
      <c r="F569" s="377" t="s">
        <v>166</v>
      </c>
      <c r="G569" s="376" t="s">
        <v>1141</v>
      </c>
      <c r="H569" s="378"/>
      <c r="I569" s="378"/>
      <c r="J569" s="376" t="s">
        <v>185</v>
      </c>
      <c r="K569" s="376" t="s">
        <v>328</v>
      </c>
      <c r="L569" s="376" t="s">
        <v>247</v>
      </c>
      <c r="M569" s="376" t="s">
        <v>170</v>
      </c>
      <c r="N569" s="376" t="s">
        <v>202</v>
      </c>
      <c r="O569" s="379">
        <v>1</v>
      </c>
      <c r="P569" s="460">
        <v>0.5</v>
      </c>
      <c r="Q569" s="460">
        <v>0.5</v>
      </c>
      <c r="R569" s="380">
        <v>80</v>
      </c>
      <c r="S569" s="460">
        <v>0.5</v>
      </c>
      <c r="T569" s="380">
        <v>1047.08</v>
      </c>
      <c r="U569" s="380">
        <v>0</v>
      </c>
      <c r="V569" s="380">
        <v>673.22</v>
      </c>
      <c r="W569" s="380">
        <v>29120</v>
      </c>
      <c r="X569" s="380">
        <v>12416.88</v>
      </c>
      <c r="Y569" s="380">
        <v>29120</v>
      </c>
      <c r="Z569" s="380">
        <v>12341.17</v>
      </c>
      <c r="AA569" s="376" t="s">
        <v>1011</v>
      </c>
      <c r="AB569" s="376" t="s">
        <v>1012</v>
      </c>
      <c r="AC569" s="376" t="s">
        <v>1013</v>
      </c>
      <c r="AD569" s="376" t="s">
        <v>220</v>
      </c>
      <c r="AE569" s="376" t="s">
        <v>328</v>
      </c>
      <c r="AF569" s="376" t="s">
        <v>299</v>
      </c>
      <c r="AG569" s="376" t="s">
        <v>177</v>
      </c>
      <c r="AH569" s="379">
        <v>28</v>
      </c>
      <c r="AI569" s="379">
        <v>920</v>
      </c>
      <c r="AJ569" s="376" t="s">
        <v>178</v>
      </c>
      <c r="AK569" s="376" t="s">
        <v>179</v>
      </c>
      <c r="AL569" s="376" t="s">
        <v>180</v>
      </c>
      <c r="AM569" s="376" t="s">
        <v>181</v>
      </c>
      <c r="AN569" s="376" t="s">
        <v>68</v>
      </c>
      <c r="AO569" s="379">
        <v>80</v>
      </c>
      <c r="AP569" s="460">
        <v>1</v>
      </c>
      <c r="AQ569" s="460">
        <v>0.5</v>
      </c>
      <c r="AR569" s="458" t="s">
        <v>182</v>
      </c>
      <c r="AS569" s="462">
        <f t="shared" si="136"/>
        <v>0.5</v>
      </c>
      <c r="AT569">
        <f t="shared" si="137"/>
        <v>1</v>
      </c>
      <c r="AU569" s="462">
        <f>IF(AT569=0,"",IF(AND(AT569=1,M569="F",SUMIF(C2:C698,C569,AS2:AS698)&lt;=1),SUMIF(C2:C698,C569,AS2:AS698),IF(AND(AT569=1,M569="F",SUMIF(C2:C698,C569,AS2:AS698)&gt;1),1,"")))</f>
        <v>1</v>
      </c>
      <c r="AV569" s="462" t="str">
        <f>IF(AT569=0,"",IF(AND(AT569=3,M569="F",SUMIF(C2:C698,C569,AS2:AS698)&lt;=1),SUMIF(C2:C698,C569,AS2:AS698),IF(AND(AT569=3,M569="F",SUMIF(C2:C698,C569,AS2:AS698)&gt;1),1,"")))</f>
        <v/>
      </c>
      <c r="AW569" s="462">
        <f>SUMIF(C2:C698,C569,O2:O698)</f>
        <v>2</v>
      </c>
      <c r="AX569" s="462">
        <f>IF(AND(M569="F",AS569&lt;&gt;0),SUMIF(C2:C698,C569,W2:W698),0)</f>
        <v>58240</v>
      </c>
      <c r="AY569" s="462">
        <f t="shared" si="138"/>
        <v>29120</v>
      </c>
      <c r="AZ569" s="462" t="str">
        <f t="shared" si="139"/>
        <v/>
      </c>
      <c r="BA569" s="462">
        <f t="shared" si="140"/>
        <v>0</v>
      </c>
      <c r="BB569" s="462">
        <f>IF(AND(AT569=1,AK569="E",AU569&gt;=0.75,AW569=1),Health,IF(AND(AT569=1,AK569="E",AU569&gt;=0.75),Health*P569,IF(AND(AT569=1,AK569="E",AU569&gt;=0.5,AW569=1),PTHealth,IF(AND(AT569=1,AK569="E",AU569&gt;=0.5),PTHealth*P569,0))))</f>
        <v>5825</v>
      </c>
      <c r="BC569" s="462">
        <f>IF(AND(AT569=3,AK569="E",AV569&gt;=0.75,AW569=1),Health,IF(AND(AT569=3,AK569="E",AV569&gt;=0.75),Health*P569,IF(AND(AT569=3,AK569="E",AV569&gt;=0.5,AW569=1),PTHealth,IF(AND(AT569=3,AK569="E",AV569&gt;=0.5),PTHealth*P569,0))))</f>
        <v>0</v>
      </c>
      <c r="BD569" s="462">
        <f>IF(AND(AT569&lt;&gt;0,AX569&gt;=MAXSSDI),SSDI*MAXSSDI*P569,IF(AT569&lt;&gt;0,SSDI*W569,0))</f>
        <v>1805.44</v>
      </c>
      <c r="BE569" s="462">
        <f>IF(AT569&lt;&gt;0,SSHI*W569,0)</f>
        <v>422.24</v>
      </c>
      <c r="BF569" s="462">
        <f>IF(AND(AT569&lt;&gt;0,AN569&lt;&gt;"NE"),VLOOKUP(AN569,Retirement_Rates,3,FALSE)*W569,0)</f>
        <v>3476.9280000000003</v>
      </c>
      <c r="BG569" s="462">
        <f>IF(AND(AT569&lt;&gt;0,AJ569&lt;&gt;"PF"),Life*W569,0)</f>
        <v>209.95520000000002</v>
      </c>
      <c r="BH569" s="462">
        <f>IF(AND(AT569&lt;&gt;0,AM569="Y"),UI*W569,0)</f>
        <v>142.68799999999999</v>
      </c>
      <c r="BI569" s="462">
        <f>IF(AND(AT569&lt;&gt;0,N569&lt;&gt;"NR"),DHR*W569,0)</f>
        <v>89.107199999999992</v>
      </c>
      <c r="BJ569" s="462">
        <f>IF(AT569&lt;&gt;0,WC*W569,0)</f>
        <v>445.536</v>
      </c>
      <c r="BK569" s="462">
        <f>IF(OR(AND(AT569&lt;&gt;0,AJ569&lt;&gt;"PF",AN569&lt;&gt;"NE",AG569&lt;&gt;"A"),AND(AL569="E",OR(AT569=1,AT569=3))),Sick*W569,0)</f>
        <v>0</v>
      </c>
      <c r="BL569" s="462">
        <f t="shared" si="141"/>
        <v>6591.894400000001</v>
      </c>
      <c r="BM569" s="462">
        <f t="shared" si="142"/>
        <v>0</v>
      </c>
      <c r="BN569" s="462">
        <f>IF(AND(AT569=1,AK569="E",AU569&gt;=0.75,AW569=1),HealthBY,IF(AND(AT569=1,AK569="E",AU569&gt;=0.75),HealthBY*P569,IF(AND(AT569=1,AK569="E",AU569&gt;=0.5,AW569=1),PTHealthBY,IF(AND(AT569=1,AK569="E",AU569&gt;=0.5),PTHealthBY*P569,0))))</f>
        <v>5825</v>
      </c>
      <c r="BO569" s="462">
        <f>IF(AND(AT569=3,AK569="E",AV569&gt;=0.75,AW569=1),HealthBY,IF(AND(AT569=3,AK569="E",AV569&gt;=0.75),HealthBY*P569,IF(AND(AT569=3,AK569="E",AV569&gt;=0.5,AW569=1),PTHealthBY,IF(AND(AT569=3,AK569="E",AV569&gt;=0.5),PTHealthBY*P569,0))))</f>
        <v>0</v>
      </c>
      <c r="BP569" s="462">
        <f>IF(AND(AT569&lt;&gt;0,(AX569+BA569)&gt;=MAXSSDIBY),SSDIBY*MAXSSDIBY*P569,IF(AT569&lt;&gt;0,SSDIBY*W569,0))</f>
        <v>1805.44</v>
      </c>
      <c r="BQ569" s="462">
        <f>IF(AT569&lt;&gt;0,SSHIBY*W569,0)</f>
        <v>422.24</v>
      </c>
      <c r="BR569" s="462">
        <f>IF(AND(AT569&lt;&gt;0,AN569&lt;&gt;"NE"),VLOOKUP(AN569,Retirement_Rates,4,FALSE)*W569,0)</f>
        <v>3476.9280000000003</v>
      </c>
      <c r="BS569" s="462">
        <f>IF(AND(AT569&lt;&gt;0,AJ569&lt;&gt;"PF"),LifeBY*W569,0)</f>
        <v>209.95520000000002</v>
      </c>
      <c r="BT569" s="462">
        <f>IF(AND(AT569&lt;&gt;0,AM569="Y"),UIBY*W569,0)</f>
        <v>0</v>
      </c>
      <c r="BU569" s="462">
        <f>IF(AND(AT569&lt;&gt;0,N569&lt;&gt;"NR"),DHRBY*W569,0)</f>
        <v>89.107199999999992</v>
      </c>
      <c r="BV569" s="462">
        <f>IF(AT569&lt;&gt;0,WCBY*W569,0)</f>
        <v>512.51200000000006</v>
      </c>
      <c r="BW569" s="462">
        <f>IF(OR(AND(AT569&lt;&gt;0,AJ569&lt;&gt;"PF",AN569&lt;&gt;"NE",AG569&lt;&gt;"A"),AND(AL569="E",OR(AT569=1,AT569=3))),SickBY*W569,0)</f>
        <v>0</v>
      </c>
      <c r="BX569" s="462">
        <f t="shared" si="143"/>
        <v>6516.1824000000006</v>
      </c>
      <c r="BY569" s="462">
        <f t="shared" si="144"/>
        <v>0</v>
      </c>
      <c r="BZ569" s="462">
        <f t="shared" si="145"/>
        <v>0</v>
      </c>
      <c r="CA569" s="462">
        <f t="shared" si="146"/>
        <v>0</v>
      </c>
      <c r="CB569" s="462">
        <f t="shared" si="147"/>
        <v>0</v>
      </c>
      <c r="CC569" s="462">
        <f>IF(AT569&lt;&gt;0,SSHICHG*Y569,0)</f>
        <v>0</v>
      </c>
      <c r="CD569" s="462">
        <f>IF(AND(AT569&lt;&gt;0,AN569&lt;&gt;"NE"),VLOOKUP(AN569,Retirement_Rates,5,FALSE)*Y569,0)</f>
        <v>0</v>
      </c>
      <c r="CE569" s="462">
        <f>IF(AND(AT569&lt;&gt;0,AJ569&lt;&gt;"PF"),LifeCHG*Y569,0)</f>
        <v>0</v>
      </c>
      <c r="CF569" s="462">
        <f>IF(AND(AT569&lt;&gt;0,AM569="Y"),UICHG*Y569,0)</f>
        <v>-142.68799999999999</v>
      </c>
      <c r="CG569" s="462">
        <f>IF(AND(AT569&lt;&gt;0,N569&lt;&gt;"NR"),DHRCHG*Y569,0)</f>
        <v>0</v>
      </c>
      <c r="CH569" s="462">
        <f>IF(AT569&lt;&gt;0,WCCHG*Y569,0)</f>
        <v>66.976000000000056</v>
      </c>
      <c r="CI569" s="462">
        <f>IF(OR(AND(AT569&lt;&gt;0,AJ569&lt;&gt;"PF",AN569&lt;&gt;"NE",AG569&lt;&gt;"A"),AND(AL569="E",OR(AT569=1,AT569=3))),SickCHG*Y569,0)</f>
        <v>0</v>
      </c>
      <c r="CJ569" s="462">
        <f t="shared" si="148"/>
        <v>-75.711999999999932</v>
      </c>
      <c r="CK569" s="462" t="str">
        <f t="shared" si="149"/>
        <v/>
      </c>
      <c r="CL569" s="462" t="str">
        <f t="shared" si="150"/>
        <v/>
      </c>
      <c r="CM569" s="462" t="str">
        <f t="shared" si="151"/>
        <v/>
      </c>
      <c r="CN569" s="462" t="str">
        <f t="shared" si="152"/>
        <v>0486-00</v>
      </c>
    </row>
    <row r="570" spans="1:92" ht="15" thickBot="1" x14ac:dyDescent="0.35">
      <c r="A570" s="376" t="s">
        <v>161</v>
      </c>
      <c r="B570" s="376" t="s">
        <v>162</v>
      </c>
      <c r="C570" s="376" t="s">
        <v>1254</v>
      </c>
      <c r="D570" s="376" t="s">
        <v>1175</v>
      </c>
      <c r="E570" s="376" t="s">
        <v>1140</v>
      </c>
      <c r="F570" s="377" t="s">
        <v>166</v>
      </c>
      <c r="G570" s="376" t="s">
        <v>1141</v>
      </c>
      <c r="H570" s="378"/>
      <c r="I570" s="378"/>
      <c r="J570" s="376" t="s">
        <v>168</v>
      </c>
      <c r="K570" s="376" t="s">
        <v>1176</v>
      </c>
      <c r="L570" s="376" t="s">
        <v>166</v>
      </c>
      <c r="M570" s="376" t="s">
        <v>201</v>
      </c>
      <c r="N570" s="376" t="s">
        <v>291</v>
      </c>
      <c r="O570" s="379">
        <v>0</v>
      </c>
      <c r="P570" s="460">
        <v>1</v>
      </c>
      <c r="Q570" s="460">
        <v>0</v>
      </c>
      <c r="R570" s="380">
        <v>0</v>
      </c>
      <c r="S570" s="460">
        <v>0</v>
      </c>
      <c r="T570" s="380">
        <v>0</v>
      </c>
      <c r="U570" s="380">
        <v>0</v>
      </c>
      <c r="V570" s="380">
        <v>0</v>
      </c>
      <c r="W570" s="380">
        <v>0</v>
      </c>
      <c r="X570" s="380">
        <v>0</v>
      </c>
      <c r="Y570" s="380">
        <v>0</v>
      </c>
      <c r="Z570" s="380">
        <v>0</v>
      </c>
      <c r="AA570" s="378"/>
      <c r="AB570" s="376" t="s">
        <v>45</v>
      </c>
      <c r="AC570" s="376" t="s">
        <v>45</v>
      </c>
      <c r="AD570" s="378"/>
      <c r="AE570" s="378"/>
      <c r="AF570" s="378"/>
      <c r="AG570" s="378"/>
      <c r="AH570" s="379">
        <v>0</v>
      </c>
      <c r="AI570" s="379">
        <v>0</v>
      </c>
      <c r="AJ570" s="378"/>
      <c r="AK570" s="378"/>
      <c r="AL570" s="376" t="s">
        <v>180</v>
      </c>
      <c r="AM570" s="378"/>
      <c r="AN570" s="378"/>
      <c r="AO570" s="379">
        <v>0</v>
      </c>
      <c r="AP570" s="460">
        <v>0</v>
      </c>
      <c r="AQ570" s="460">
        <v>0</v>
      </c>
      <c r="AR570" s="459"/>
      <c r="AS570" s="462">
        <f t="shared" si="136"/>
        <v>0</v>
      </c>
      <c r="AT570">
        <f t="shared" si="137"/>
        <v>0</v>
      </c>
      <c r="AU570" s="462" t="str">
        <f>IF(AT570=0,"",IF(AND(AT570=1,M570="F",SUMIF(C2:C698,C570,AS2:AS698)&lt;=1),SUMIF(C2:C698,C570,AS2:AS698),IF(AND(AT570=1,M570="F",SUMIF(C2:C698,C570,AS2:AS698)&gt;1),1,"")))</f>
        <v/>
      </c>
      <c r="AV570" s="462" t="str">
        <f>IF(AT570=0,"",IF(AND(AT570=3,M570="F",SUMIF(C2:C698,C570,AS2:AS698)&lt;=1),SUMIF(C2:C698,C570,AS2:AS698),IF(AND(AT570=3,M570="F",SUMIF(C2:C698,C570,AS2:AS698)&gt;1),1,"")))</f>
        <v/>
      </c>
      <c r="AW570" s="462">
        <f>SUMIF(C2:C698,C570,O2:O698)</f>
        <v>0</v>
      </c>
      <c r="AX570" s="462">
        <f>IF(AND(M570="F",AS570&lt;&gt;0),SUMIF(C2:C698,C570,W2:W698),0)</f>
        <v>0</v>
      </c>
      <c r="AY570" s="462" t="str">
        <f t="shared" si="138"/>
        <v/>
      </c>
      <c r="AZ570" s="462" t="str">
        <f t="shared" si="139"/>
        <v/>
      </c>
      <c r="BA570" s="462">
        <f t="shared" si="140"/>
        <v>0</v>
      </c>
      <c r="BB570" s="462">
        <f>IF(AND(AT570=1,AK570="E",AU570&gt;=0.75,AW570=1),Health,IF(AND(AT570=1,AK570="E",AU570&gt;=0.75),Health*P570,IF(AND(AT570=1,AK570="E",AU570&gt;=0.5,AW570=1),PTHealth,IF(AND(AT570=1,AK570="E",AU570&gt;=0.5),PTHealth*P570,0))))</f>
        <v>0</v>
      </c>
      <c r="BC570" s="462">
        <f>IF(AND(AT570=3,AK570="E",AV570&gt;=0.75,AW570=1),Health,IF(AND(AT570=3,AK570="E",AV570&gt;=0.75),Health*P570,IF(AND(AT570=3,AK570="E",AV570&gt;=0.5,AW570=1),PTHealth,IF(AND(AT570=3,AK570="E",AV570&gt;=0.5),PTHealth*P570,0))))</f>
        <v>0</v>
      </c>
      <c r="BD570" s="462">
        <f>IF(AND(AT570&lt;&gt;0,AX570&gt;=MAXSSDI),SSDI*MAXSSDI*P570,IF(AT570&lt;&gt;0,SSDI*W570,0))</f>
        <v>0</v>
      </c>
      <c r="BE570" s="462">
        <f>IF(AT570&lt;&gt;0,SSHI*W570,0)</f>
        <v>0</v>
      </c>
      <c r="BF570" s="462">
        <f>IF(AND(AT570&lt;&gt;0,AN570&lt;&gt;"NE"),VLOOKUP(AN570,Retirement_Rates,3,FALSE)*W570,0)</f>
        <v>0</v>
      </c>
      <c r="BG570" s="462">
        <f>IF(AND(AT570&lt;&gt;0,AJ570&lt;&gt;"PF"),Life*W570,0)</f>
        <v>0</v>
      </c>
      <c r="BH570" s="462">
        <f>IF(AND(AT570&lt;&gt;0,AM570="Y"),UI*W570,0)</f>
        <v>0</v>
      </c>
      <c r="BI570" s="462">
        <f>IF(AND(AT570&lt;&gt;0,N570&lt;&gt;"NR"),DHR*W570,0)</f>
        <v>0</v>
      </c>
      <c r="BJ570" s="462">
        <f>IF(AT570&lt;&gt;0,WC*W570,0)</f>
        <v>0</v>
      </c>
      <c r="BK570" s="462">
        <f>IF(OR(AND(AT570&lt;&gt;0,AJ570&lt;&gt;"PF",AN570&lt;&gt;"NE",AG570&lt;&gt;"A"),AND(AL570="E",OR(AT570=1,AT570=3))),Sick*W570,0)</f>
        <v>0</v>
      </c>
      <c r="BL570" s="462">
        <f t="shared" si="141"/>
        <v>0</v>
      </c>
      <c r="BM570" s="462">
        <f t="shared" si="142"/>
        <v>0</v>
      </c>
      <c r="BN570" s="462">
        <f>IF(AND(AT570=1,AK570="E",AU570&gt;=0.75,AW570=1),HealthBY,IF(AND(AT570=1,AK570="E",AU570&gt;=0.75),HealthBY*P570,IF(AND(AT570=1,AK570="E",AU570&gt;=0.5,AW570=1),PTHealthBY,IF(AND(AT570=1,AK570="E",AU570&gt;=0.5),PTHealthBY*P570,0))))</f>
        <v>0</v>
      </c>
      <c r="BO570" s="462">
        <f>IF(AND(AT570=3,AK570="E",AV570&gt;=0.75,AW570=1),HealthBY,IF(AND(AT570=3,AK570="E",AV570&gt;=0.75),HealthBY*P570,IF(AND(AT570=3,AK570="E",AV570&gt;=0.5,AW570=1),PTHealthBY,IF(AND(AT570=3,AK570="E",AV570&gt;=0.5),PTHealthBY*P570,0))))</f>
        <v>0</v>
      </c>
      <c r="BP570" s="462">
        <f>IF(AND(AT570&lt;&gt;0,(AX570+BA570)&gt;=MAXSSDIBY),SSDIBY*MAXSSDIBY*P570,IF(AT570&lt;&gt;0,SSDIBY*W570,0))</f>
        <v>0</v>
      </c>
      <c r="BQ570" s="462">
        <f>IF(AT570&lt;&gt;0,SSHIBY*W570,0)</f>
        <v>0</v>
      </c>
      <c r="BR570" s="462">
        <f>IF(AND(AT570&lt;&gt;0,AN570&lt;&gt;"NE"),VLOOKUP(AN570,Retirement_Rates,4,FALSE)*W570,0)</f>
        <v>0</v>
      </c>
      <c r="BS570" s="462">
        <f>IF(AND(AT570&lt;&gt;0,AJ570&lt;&gt;"PF"),LifeBY*W570,0)</f>
        <v>0</v>
      </c>
      <c r="BT570" s="462">
        <f>IF(AND(AT570&lt;&gt;0,AM570="Y"),UIBY*W570,0)</f>
        <v>0</v>
      </c>
      <c r="BU570" s="462">
        <f>IF(AND(AT570&lt;&gt;0,N570&lt;&gt;"NR"),DHRBY*W570,0)</f>
        <v>0</v>
      </c>
      <c r="BV570" s="462">
        <f>IF(AT570&lt;&gt;0,WCBY*W570,0)</f>
        <v>0</v>
      </c>
      <c r="BW570" s="462">
        <f>IF(OR(AND(AT570&lt;&gt;0,AJ570&lt;&gt;"PF",AN570&lt;&gt;"NE",AG570&lt;&gt;"A"),AND(AL570="E",OR(AT570=1,AT570=3))),SickBY*W570,0)</f>
        <v>0</v>
      </c>
      <c r="BX570" s="462">
        <f t="shared" si="143"/>
        <v>0</v>
      </c>
      <c r="BY570" s="462">
        <f t="shared" si="144"/>
        <v>0</v>
      </c>
      <c r="BZ570" s="462">
        <f t="shared" si="145"/>
        <v>0</v>
      </c>
      <c r="CA570" s="462">
        <f t="shared" si="146"/>
        <v>0</v>
      </c>
      <c r="CB570" s="462">
        <f t="shared" si="147"/>
        <v>0</v>
      </c>
      <c r="CC570" s="462">
        <f>IF(AT570&lt;&gt;0,SSHICHG*Y570,0)</f>
        <v>0</v>
      </c>
      <c r="CD570" s="462">
        <f>IF(AND(AT570&lt;&gt;0,AN570&lt;&gt;"NE"),VLOOKUP(AN570,Retirement_Rates,5,FALSE)*Y570,0)</f>
        <v>0</v>
      </c>
      <c r="CE570" s="462">
        <f>IF(AND(AT570&lt;&gt;0,AJ570&lt;&gt;"PF"),LifeCHG*Y570,0)</f>
        <v>0</v>
      </c>
      <c r="CF570" s="462">
        <f>IF(AND(AT570&lt;&gt;0,AM570="Y"),UICHG*Y570,0)</f>
        <v>0</v>
      </c>
      <c r="CG570" s="462">
        <f>IF(AND(AT570&lt;&gt;0,N570&lt;&gt;"NR"),DHRCHG*Y570,0)</f>
        <v>0</v>
      </c>
      <c r="CH570" s="462">
        <f>IF(AT570&lt;&gt;0,WCCHG*Y570,0)</f>
        <v>0</v>
      </c>
      <c r="CI570" s="462">
        <f>IF(OR(AND(AT570&lt;&gt;0,AJ570&lt;&gt;"PF",AN570&lt;&gt;"NE",AG570&lt;&gt;"A"),AND(AL570="E",OR(AT570=1,AT570=3))),SickCHG*Y570,0)</f>
        <v>0</v>
      </c>
      <c r="CJ570" s="462">
        <f t="shared" si="148"/>
        <v>0</v>
      </c>
      <c r="CK570" s="462" t="str">
        <f t="shared" si="149"/>
        <v/>
      </c>
      <c r="CL570" s="462">
        <f t="shared" si="150"/>
        <v>0</v>
      </c>
      <c r="CM570" s="462">
        <f t="shared" si="151"/>
        <v>0</v>
      </c>
      <c r="CN570" s="462" t="str">
        <f t="shared" si="152"/>
        <v>0486-00</v>
      </c>
    </row>
    <row r="571" spans="1:92" ht="15" thickBot="1" x14ac:dyDescent="0.35">
      <c r="A571" s="376" t="s">
        <v>161</v>
      </c>
      <c r="B571" s="376" t="s">
        <v>162</v>
      </c>
      <c r="C571" s="376" t="s">
        <v>1255</v>
      </c>
      <c r="D571" s="376" t="s">
        <v>716</v>
      </c>
      <c r="E571" s="376" t="s">
        <v>1140</v>
      </c>
      <c r="F571" s="377" t="s">
        <v>166</v>
      </c>
      <c r="G571" s="376" t="s">
        <v>1141</v>
      </c>
      <c r="H571" s="378"/>
      <c r="I571" s="378"/>
      <c r="J571" s="376" t="s">
        <v>547</v>
      </c>
      <c r="K571" s="376" t="s">
        <v>717</v>
      </c>
      <c r="L571" s="376" t="s">
        <v>349</v>
      </c>
      <c r="M571" s="376" t="s">
        <v>201</v>
      </c>
      <c r="N571" s="376" t="s">
        <v>202</v>
      </c>
      <c r="O571" s="379">
        <v>0</v>
      </c>
      <c r="P571" s="460">
        <v>1</v>
      </c>
      <c r="Q571" s="460">
        <v>1</v>
      </c>
      <c r="R571" s="380">
        <v>80</v>
      </c>
      <c r="S571" s="460">
        <v>1</v>
      </c>
      <c r="T571" s="380">
        <v>27851.88</v>
      </c>
      <c r="U571" s="380">
        <v>0</v>
      </c>
      <c r="V571" s="380">
        <v>15201.22</v>
      </c>
      <c r="W571" s="380">
        <v>27851.200000000001</v>
      </c>
      <c r="X571" s="380">
        <v>12198.81</v>
      </c>
      <c r="Y571" s="380">
        <v>27851.200000000001</v>
      </c>
      <c r="Z571" s="380">
        <v>12059.55</v>
      </c>
      <c r="AA571" s="378"/>
      <c r="AB571" s="376" t="s">
        <v>45</v>
      </c>
      <c r="AC571" s="376" t="s">
        <v>45</v>
      </c>
      <c r="AD571" s="378"/>
      <c r="AE571" s="378"/>
      <c r="AF571" s="378"/>
      <c r="AG571" s="378"/>
      <c r="AH571" s="379">
        <v>0</v>
      </c>
      <c r="AI571" s="379">
        <v>0</v>
      </c>
      <c r="AJ571" s="378"/>
      <c r="AK571" s="378"/>
      <c r="AL571" s="376" t="s">
        <v>180</v>
      </c>
      <c r="AM571" s="378"/>
      <c r="AN571" s="378"/>
      <c r="AO571" s="379">
        <v>0</v>
      </c>
      <c r="AP571" s="460">
        <v>0</v>
      </c>
      <c r="AQ571" s="460">
        <v>0</v>
      </c>
      <c r="AR571" s="459"/>
      <c r="AS571" s="462">
        <f t="shared" si="136"/>
        <v>0</v>
      </c>
      <c r="AT571">
        <f t="shared" si="137"/>
        <v>0</v>
      </c>
      <c r="AU571" s="462" t="str">
        <f>IF(AT571=0,"",IF(AND(AT571=1,M571="F",SUMIF(C2:C698,C571,AS2:AS698)&lt;=1),SUMIF(C2:C698,C571,AS2:AS698),IF(AND(AT571=1,M571="F",SUMIF(C2:C698,C571,AS2:AS698)&gt;1),1,"")))</f>
        <v/>
      </c>
      <c r="AV571" s="462" t="str">
        <f>IF(AT571=0,"",IF(AND(AT571=3,M571="F",SUMIF(C2:C698,C571,AS2:AS698)&lt;=1),SUMIF(C2:C698,C571,AS2:AS698),IF(AND(AT571=3,M571="F",SUMIF(C2:C698,C571,AS2:AS698)&gt;1),1,"")))</f>
        <v/>
      </c>
      <c r="AW571" s="462">
        <f>SUMIF(C2:C698,C571,O2:O698)</f>
        <v>0</v>
      </c>
      <c r="AX571" s="462">
        <f>IF(AND(M571="F",AS571&lt;&gt;0),SUMIF(C2:C698,C571,W2:W698),0)</f>
        <v>0</v>
      </c>
      <c r="AY571" s="462" t="str">
        <f t="shared" si="138"/>
        <v/>
      </c>
      <c r="AZ571" s="462" t="str">
        <f t="shared" si="139"/>
        <v/>
      </c>
      <c r="BA571" s="462">
        <f t="shared" si="140"/>
        <v>0</v>
      </c>
      <c r="BB571" s="462">
        <f>IF(AND(AT571=1,AK571="E",AU571&gt;=0.75,AW571=1),Health,IF(AND(AT571=1,AK571="E",AU571&gt;=0.75),Health*P571,IF(AND(AT571=1,AK571="E",AU571&gt;=0.5,AW571=1),PTHealth,IF(AND(AT571=1,AK571="E",AU571&gt;=0.5),PTHealth*P571,0))))</f>
        <v>0</v>
      </c>
      <c r="BC571" s="462">
        <f>IF(AND(AT571=3,AK571="E",AV571&gt;=0.75,AW571=1),Health,IF(AND(AT571=3,AK571="E",AV571&gt;=0.75),Health*P571,IF(AND(AT571=3,AK571="E",AV571&gt;=0.5,AW571=1),PTHealth,IF(AND(AT571=3,AK571="E",AV571&gt;=0.5),PTHealth*P571,0))))</f>
        <v>0</v>
      </c>
      <c r="BD571" s="462">
        <f>IF(AND(AT571&lt;&gt;0,AX571&gt;=MAXSSDI),SSDI*MAXSSDI*P571,IF(AT571&lt;&gt;0,SSDI*W571,0))</f>
        <v>0</v>
      </c>
      <c r="BE571" s="462">
        <f>IF(AT571&lt;&gt;0,SSHI*W571,0)</f>
        <v>0</v>
      </c>
      <c r="BF571" s="462">
        <f>IF(AND(AT571&lt;&gt;0,AN571&lt;&gt;"NE"),VLOOKUP(AN571,Retirement_Rates,3,FALSE)*W571,0)</f>
        <v>0</v>
      </c>
      <c r="BG571" s="462">
        <f>IF(AND(AT571&lt;&gt;0,AJ571&lt;&gt;"PF"),Life*W571,0)</f>
        <v>0</v>
      </c>
      <c r="BH571" s="462">
        <f>IF(AND(AT571&lt;&gt;0,AM571="Y"),UI*W571,0)</f>
        <v>0</v>
      </c>
      <c r="BI571" s="462">
        <f>IF(AND(AT571&lt;&gt;0,N571&lt;&gt;"NR"),DHR*W571,0)</f>
        <v>0</v>
      </c>
      <c r="BJ571" s="462">
        <f>IF(AT571&lt;&gt;0,WC*W571,0)</f>
        <v>0</v>
      </c>
      <c r="BK571" s="462">
        <f>IF(OR(AND(AT571&lt;&gt;0,AJ571&lt;&gt;"PF",AN571&lt;&gt;"NE",AG571&lt;&gt;"A"),AND(AL571="E",OR(AT571=1,AT571=3))),Sick*W571,0)</f>
        <v>0</v>
      </c>
      <c r="BL571" s="462">
        <f t="shared" si="141"/>
        <v>0</v>
      </c>
      <c r="BM571" s="462">
        <f t="shared" si="142"/>
        <v>0</v>
      </c>
      <c r="BN571" s="462">
        <f>IF(AND(AT571=1,AK571="E",AU571&gt;=0.75,AW571=1),HealthBY,IF(AND(AT571=1,AK571="E",AU571&gt;=0.75),HealthBY*P571,IF(AND(AT571=1,AK571="E",AU571&gt;=0.5,AW571=1),PTHealthBY,IF(AND(AT571=1,AK571="E",AU571&gt;=0.5),PTHealthBY*P571,0))))</f>
        <v>0</v>
      </c>
      <c r="BO571" s="462">
        <f>IF(AND(AT571=3,AK571="E",AV571&gt;=0.75,AW571=1),HealthBY,IF(AND(AT571=3,AK571="E",AV571&gt;=0.75),HealthBY*P571,IF(AND(AT571=3,AK571="E",AV571&gt;=0.5,AW571=1),PTHealthBY,IF(AND(AT571=3,AK571="E",AV571&gt;=0.5),PTHealthBY*P571,0))))</f>
        <v>0</v>
      </c>
      <c r="BP571" s="462">
        <f>IF(AND(AT571&lt;&gt;0,(AX571+BA571)&gt;=MAXSSDIBY),SSDIBY*MAXSSDIBY*P571,IF(AT571&lt;&gt;0,SSDIBY*W571,0))</f>
        <v>0</v>
      </c>
      <c r="BQ571" s="462">
        <f>IF(AT571&lt;&gt;0,SSHIBY*W571,0)</f>
        <v>0</v>
      </c>
      <c r="BR571" s="462">
        <f>IF(AND(AT571&lt;&gt;0,AN571&lt;&gt;"NE"),VLOOKUP(AN571,Retirement_Rates,4,FALSE)*W571,0)</f>
        <v>0</v>
      </c>
      <c r="BS571" s="462">
        <f>IF(AND(AT571&lt;&gt;0,AJ571&lt;&gt;"PF"),LifeBY*W571,0)</f>
        <v>0</v>
      </c>
      <c r="BT571" s="462">
        <f>IF(AND(AT571&lt;&gt;0,AM571="Y"),UIBY*W571,0)</f>
        <v>0</v>
      </c>
      <c r="BU571" s="462">
        <f>IF(AND(AT571&lt;&gt;0,N571&lt;&gt;"NR"),DHRBY*W571,0)</f>
        <v>0</v>
      </c>
      <c r="BV571" s="462">
        <f>IF(AT571&lt;&gt;0,WCBY*W571,0)</f>
        <v>0</v>
      </c>
      <c r="BW571" s="462">
        <f>IF(OR(AND(AT571&lt;&gt;0,AJ571&lt;&gt;"PF",AN571&lt;&gt;"NE",AG571&lt;&gt;"A"),AND(AL571="E",OR(AT571=1,AT571=3))),SickBY*W571,0)</f>
        <v>0</v>
      </c>
      <c r="BX571" s="462">
        <f t="shared" si="143"/>
        <v>0</v>
      </c>
      <c r="BY571" s="462">
        <f t="shared" si="144"/>
        <v>0</v>
      </c>
      <c r="BZ571" s="462">
        <f t="shared" si="145"/>
        <v>0</v>
      </c>
      <c r="CA571" s="462">
        <f t="shared" si="146"/>
        <v>0</v>
      </c>
      <c r="CB571" s="462">
        <f t="shared" si="147"/>
        <v>0</v>
      </c>
      <c r="CC571" s="462">
        <f>IF(AT571&lt;&gt;0,SSHICHG*Y571,0)</f>
        <v>0</v>
      </c>
      <c r="CD571" s="462">
        <f>IF(AND(AT571&lt;&gt;0,AN571&lt;&gt;"NE"),VLOOKUP(AN571,Retirement_Rates,5,FALSE)*Y571,0)</f>
        <v>0</v>
      </c>
      <c r="CE571" s="462">
        <f>IF(AND(AT571&lt;&gt;0,AJ571&lt;&gt;"PF"),LifeCHG*Y571,0)</f>
        <v>0</v>
      </c>
      <c r="CF571" s="462">
        <f>IF(AND(AT571&lt;&gt;0,AM571="Y"),UICHG*Y571,0)</f>
        <v>0</v>
      </c>
      <c r="CG571" s="462">
        <f>IF(AND(AT571&lt;&gt;0,N571&lt;&gt;"NR"),DHRCHG*Y571,0)</f>
        <v>0</v>
      </c>
      <c r="CH571" s="462">
        <f>IF(AT571&lt;&gt;0,WCCHG*Y571,0)</f>
        <v>0</v>
      </c>
      <c r="CI571" s="462">
        <f>IF(OR(AND(AT571&lt;&gt;0,AJ571&lt;&gt;"PF",AN571&lt;&gt;"NE",AG571&lt;&gt;"A"),AND(AL571="E",OR(AT571=1,AT571=3))),SickCHG*Y571,0)</f>
        <v>0</v>
      </c>
      <c r="CJ571" s="462">
        <f t="shared" si="148"/>
        <v>0</v>
      </c>
      <c r="CK571" s="462" t="str">
        <f t="shared" si="149"/>
        <v/>
      </c>
      <c r="CL571" s="462" t="str">
        <f t="shared" si="150"/>
        <v/>
      </c>
      <c r="CM571" s="462" t="str">
        <f t="shared" si="151"/>
        <v/>
      </c>
      <c r="CN571" s="462" t="str">
        <f t="shared" si="152"/>
        <v>0486-00</v>
      </c>
    </row>
    <row r="572" spans="1:92" ht="15" thickBot="1" x14ac:dyDescent="0.35">
      <c r="A572" s="376" t="s">
        <v>161</v>
      </c>
      <c r="B572" s="376" t="s">
        <v>162</v>
      </c>
      <c r="C572" s="376" t="s">
        <v>1256</v>
      </c>
      <c r="D572" s="376" t="s">
        <v>1150</v>
      </c>
      <c r="E572" s="376" t="s">
        <v>1140</v>
      </c>
      <c r="F572" s="377" t="s">
        <v>166</v>
      </c>
      <c r="G572" s="376" t="s">
        <v>1141</v>
      </c>
      <c r="H572" s="378"/>
      <c r="I572" s="378"/>
      <c r="J572" s="376" t="s">
        <v>168</v>
      </c>
      <c r="K572" s="376" t="s">
        <v>1151</v>
      </c>
      <c r="L572" s="376" t="s">
        <v>166</v>
      </c>
      <c r="M572" s="376" t="s">
        <v>201</v>
      </c>
      <c r="N572" s="376" t="s">
        <v>291</v>
      </c>
      <c r="O572" s="379">
        <v>0</v>
      </c>
      <c r="P572" s="460">
        <v>1</v>
      </c>
      <c r="Q572" s="460">
        <v>0</v>
      </c>
      <c r="R572" s="380">
        <v>0</v>
      </c>
      <c r="S572" s="460">
        <v>0</v>
      </c>
      <c r="T572" s="380">
        <v>0</v>
      </c>
      <c r="U572" s="380">
        <v>0</v>
      </c>
      <c r="V572" s="380">
        <v>0</v>
      </c>
      <c r="W572" s="380">
        <v>0</v>
      </c>
      <c r="X572" s="380">
        <v>0</v>
      </c>
      <c r="Y572" s="380">
        <v>0</v>
      </c>
      <c r="Z572" s="380">
        <v>0</v>
      </c>
      <c r="AA572" s="378"/>
      <c r="AB572" s="376" t="s">
        <v>45</v>
      </c>
      <c r="AC572" s="376" t="s">
        <v>45</v>
      </c>
      <c r="AD572" s="378"/>
      <c r="AE572" s="378"/>
      <c r="AF572" s="378"/>
      <c r="AG572" s="378"/>
      <c r="AH572" s="379">
        <v>0</v>
      </c>
      <c r="AI572" s="379">
        <v>0</v>
      </c>
      <c r="AJ572" s="378"/>
      <c r="AK572" s="378"/>
      <c r="AL572" s="376" t="s">
        <v>180</v>
      </c>
      <c r="AM572" s="378"/>
      <c r="AN572" s="378"/>
      <c r="AO572" s="379">
        <v>0</v>
      </c>
      <c r="AP572" s="460">
        <v>0</v>
      </c>
      <c r="AQ572" s="460">
        <v>0</v>
      </c>
      <c r="AR572" s="459"/>
      <c r="AS572" s="462">
        <f t="shared" si="136"/>
        <v>0</v>
      </c>
      <c r="AT572">
        <f t="shared" si="137"/>
        <v>0</v>
      </c>
      <c r="AU572" s="462" t="str">
        <f>IF(AT572=0,"",IF(AND(AT572=1,M572="F",SUMIF(C2:C698,C572,AS2:AS698)&lt;=1),SUMIF(C2:C698,C572,AS2:AS698),IF(AND(AT572=1,M572="F",SUMIF(C2:C698,C572,AS2:AS698)&gt;1),1,"")))</f>
        <v/>
      </c>
      <c r="AV572" s="462" t="str">
        <f>IF(AT572=0,"",IF(AND(AT572=3,M572="F",SUMIF(C2:C698,C572,AS2:AS698)&lt;=1),SUMIF(C2:C698,C572,AS2:AS698),IF(AND(AT572=3,M572="F",SUMIF(C2:C698,C572,AS2:AS698)&gt;1),1,"")))</f>
        <v/>
      </c>
      <c r="AW572" s="462">
        <f>SUMIF(C2:C698,C572,O2:O698)</f>
        <v>0</v>
      </c>
      <c r="AX572" s="462">
        <f>IF(AND(M572="F",AS572&lt;&gt;0),SUMIF(C2:C698,C572,W2:W698),0)</f>
        <v>0</v>
      </c>
      <c r="AY572" s="462" t="str">
        <f t="shared" si="138"/>
        <v/>
      </c>
      <c r="AZ572" s="462" t="str">
        <f t="shared" si="139"/>
        <v/>
      </c>
      <c r="BA572" s="462">
        <f t="shared" si="140"/>
        <v>0</v>
      </c>
      <c r="BB572" s="462">
        <f>IF(AND(AT572=1,AK572="E",AU572&gt;=0.75,AW572=1),Health,IF(AND(AT572=1,AK572="E",AU572&gt;=0.75),Health*P572,IF(AND(AT572=1,AK572="E",AU572&gt;=0.5,AW572=1),PTHealth,IF(AND(AT572=1,AK572="E",AU572&gt;=0.5),PTHealth*P572,0))))</f>
        <v>0</v>
      </c>
      <c r="BC572" s="462">
        <f>IF(AND(AT572=3,AK572="E",AV572&gt;=0.75,AW572=1),Health,IF(AND(AT572=3,AK572="E",AV572&gt;=0.75),Health*P572,IF(AND(AT572=3,AK572="E",AV572&gt;=0.5,AW572=1),PTHealth,IF(AND(AT572=3,AK572="E",AV572&gt;=0.5),PTHealth*P572,0))))</f>
        <v>0</v>
      </c>
      <c r="BD572" s="462">
        <f>IF(AND(AT572&lt;&gt;0,AX572&gt;=MAXSSDI),SSDI*MAXSSDI*P572,IF(AT572&lt;&gt;0,SSDI*W572,0))</f>
        <v>0</v>
      </c>
      <c r="BE572" s="462">
        <f>IF(AT572&lt;&gt;0,SSHI*W572,0)</f>
        <v>0</v>
      </c>
      <c r="BF572" s="462">
        <f>IF(AND(AT572&lt;&gt;0,AN572&lt;&gt;"NE"),VLOOKUP(AN572,Retirement_Rates,3,FALSE)*W572,0)</f>
        <v>0</v>
      </c>
      <c r="BG572" s="462">
        <f>IF(AND(AT572&lt;&gt;0,AJ572&lt;&gt;"PF"),Life*W572,0)</f>
        <v>0</v>
      </c>
      <c r="BH572" s="462">
        <f>IF(AND(AT572&lt;&gt;0,AM572="Y"),UI*W572,0)</f>
        <v>0</v>
      </c>
      <c r="BI572" s="462">
        <f>IF(AND(AT572&lt;&gt;0,N572&lt;&gt;"NR"),DHR*W572,0)</f>
        <v>0</v>
      </c>
      <c r="BJ572" s="462">
        <f>IF(AT572&lt;&gt;0,WC*W572,0)</f>
        <v>0</v>
      </c>
      <c r="BK572" s="462">
        <f>IF(OR(AND(AT572&lt;&gt;0,AJ572&lt;&gt;"PF",AN572&lt;&gt;"NE",AG572&lt;&gt;"A"),AND(AL572="E",OR(AT572=1,AT572=3))),Sick*W572,0)</f>
        <v>0</v>
      </c>
      <c r="BL572" s="462">
        <f t="shared" si="141"/>
        <v>0</v>
      </c>
      <c r="BM572" s="462">
        <f t="shared" si="142"/>
        <v>0</v>
      </c>
      <c r="BN572" s="462">
        <f>IF(AND(AT572=1,AK572="E",AU572&gt;=0.75,AW572=1),HealthBY,IF(AND(AT572=1,AK572="E",AU572&gt;=0.75),HealthBY*P572,IF(AND(AT572=1,AK572="E",AU572&gt;=0.5,AW572=1),PTHealthBY,IF(AND(AT572=1,AK572="E",AU572&gt;=0.5),PTHealthBY*P572,0))))</f>
        <v>0</v>
      </c>
      <c r="BO572" s="462">
        <f>IF(AND(AT572=3,AK572="E",AV572&gt;=0.75,AW572=1),HealthBY,IF(AND(AT572=3,AK572="E",AV572&gt;=0.75),HealthBY*P572,IF(AND(AT572=3,AK572="E",AV572&gt;=0.5,AW572=1),PTHealthBY,IF(AND(AT572=3,AK572="E",AV572&gt;=0.5),PTHealthBY*P572,0))))</f>
        <v>0</v>
      </c>
      <c r="BP572" s="462">
        <f>IF(AND(AT572&lt;&gt;0,(AX572+BA572)&gt;=MAXSSDIBY),SSDIBY*MAXSSDIBY*P572,IF(AT572&lt;&gt;0,SSDIBY*W572,0))</f>
        <v>0</v>
      </c>
      <c r="BQ572" s="462">
        <f>IF(AT572&lt;&gt;0,SSHIBY*W572,0)</f>
        <v>0</v>
      </c>
      <c r="BR572" s="462">
        <f>IF(AND(AT572&lt;&gt;0,AN572&lt;&gt;"NE"),VLOOKUP(AN572,Retirement_Rates,4,FALSE)*W572,0)</f>
        <v>0</v>
      </c>
      <c r="BS572" s="462">
        <f>IF(AND(AT572&lt;&gt;0,AJ572&lt;&gt;"PF"),LifeBY*W572,0)</f>
        <v>0</v>
      </c>
      <c r="BT572" s="462">
        <f>IF(AND(AT572&lt;&gt;0,AM572="Y"),UIBY*W572,0)</f>
        <v>0</v>
      </c>
      <c r="BU572" s="462">
        <f>IF(AND(AT572&lt;&gt;0,N572&lt;&gt;"NR"),DHRBY*W572,0)</f>
        <v>0</v>
      </c>
      <c r="BV572" s="462">
        <f>IF(AT572&lt;&gt;0,WCBY*W572,0)</f>
        <v>0</v>
      </c>
      <c r="BW572" s="462">
        <f>IF(OR(AND(AT572&lt;&gt;0,AJ572&lt;&gt;"PF",AN572&lt;&gt;"NE",AG572&lt;&gt;"A"),AND(AL572="E",OR(AT572=1,AT572=3))),SickBY*W572,0)</f>
        <v>0</v>
      </c>
      <c r="BX572" s="462">
        <f t="shared" si="143"/>
        <v>0</v>
      </c>
      <c r="BY572" s="462">
        <f t="shared" si="144"/>
        <v>0</v>
      </c>
      <c r="BZ572" s="462">
        <f t="shared" si="145"/>
        <v>0</v>
      </c>
      <c r="CA572" s="462">
        <f t="shared" si="146"/>
        <v>0</v>
      </c>
      <c r="CB572" s="462">
        <f t="shared" si="147"/>
        <v>0</v>
      </c>
      <c r="CC572" s="462">
        <f>IF(AT572&lt;&gt;0,SSHICHG*Y572,0)</f>
        <v>0</v>
      </c>
      <c r="CD572" s="462">
        <f>IF(AND(AT572&lt;&gt;0,AN572&lt;&gt;"NE"),VLOOKUP(AN572,Retirement_Rates,5,FALSE)*Y572,0)</f>
        <v>0</v>
      </c>
      <c r="CE572" s="462">
        <f>IF(AND(AT572&lt;&gt;0,AJ572&lt;&gt;"PF"),LifeCHG*Y572,0)</f>
        <v>0</v>
      </c>
      <c r="CF572" s="462">
        <f>IF(AND(AT572&lt;&gt;0,AM572="Y"),UICHG*Y572,0)</f>
        <v>0</v>
      </c>
      <c r="CG572" s="462">
        <f>IF(AND(AT572&lt;&gt;0,N572&lt;&gt;"NR"),DHRCHG*Y572,0)</f>
        <v>0</v>
      </c>
      <c r="CH572" s="462">
        <f>IF(AT572&lt;&gt;0,WCCHG*Y572,0)</f>
        <v>0</v>
      </c>
      <c r="CI572" s="462">
        <f>IF(OR(AND(AT572&lt;&gt;0,AJ572&lt;&gt;"PF",AN572&lt;&gt;"NE",AG572&lt;&gt;"A"),AND(AL572="E",OR(AT572=1,AT572=3))),SickCHG*Y572,0)</f>
        <v>0</v>
      </c>
      <c r="CJ572" s="462">
        <f t="shared" si="148"/>
        <v>0</v>
      </c>
      <c r="CK572" s="462" t="str">
        <f t="shared" si="149"/>
        <v/>
      </c>
      <c r="CL572" s="462">
        <f t="shared" si="150"/>
        <v>0</v>
      </c>
      <c r="CM572" s="462">
        <f t="shared" si="151"/>
        <v>0</v>
      </c>
      <c r="CN572" s="462" t="str">
        <f t="shared" si="152"/>
        <v>0486-00</v>
      </c>
    </row>
    <row r="573" spans="1:92" ht="15" thickBot="1" x14ac:dyDescent="0.35">
      <c r="A573" s="376" t="s">
        <v>161</v>
      </c>
      <c r="B573" s="376" t="s">
        <v>162</v>
      </c>
      <c r="C573" s="376" t="s">
        <v>1257</v>
      </c>
      <c r="D573" s="376" t="s">
        <v>1189</v>
      </c>
      <c r="E573" s="376" t="s">
        <v>1140</v>
      </c>
      <c r="F573" s="377" t="s">
        <v>166</v>
      </c>
      <c r="G573" s="376" t="s">
        <v>1141</v>
      </c>
      <c r="H573" s="378"/>
      <c r="I573" s="378"/>
      <c r="J573" s="376" t="s">
        <v>168</v>
      </c>
      <c r="K573" s="376" t="s">
        <v>1190</v>
      </c>
      <c r="L573" s="376" t="s">
        <v>166</v>
      </c>
      <c r="M573" s="376" t="s">
        <v>201</v>
      </c>
      <c r="N573" s="376" t="s">
        <v>291</v>
      </c>
      <c r="O573" s="379">
        <v>0</v>
      </c>
      <c r="P573" s="460">
        <v>1</v>
      </c>
      <c r="Q573" s="460">
        <v>0</v>
      </c>
      <c r="R573" s="380">
        <v>0</v>
      </c>
      <c r="S573" s="460">
        <v>0</v>
      </c>
      <c r="T573" s="380">
        <v>0</v>
      </c>
      <c r="U573" s="380">
        <v>0</v>
      </c>
      <c r="V573" s="380">
        <v>0</v>
      </c>
      <c r="W573" s="380">
        <v>0</v>
      </c>
      <c r="X573" s="380">
        <v>0</v>
      </c>
      <c r="Y573" s="380">
        <v>0</v>
      </c>
      <c r="Z573" s="380">
        <v>0</v>
      </c>
      <c r="AA573" s="378"/>
      <c r="AB573" s="376" t="s">
        <v>45</v>
      </c>
      <c r="AC573" s="376" t="s">
        <v>45</v>
      </c>
      <c r="AD573" s="378"/>
      <c r="AE573" s="378"/>
      <c r="AF573" s="378"/>
      <c r="AG573" s="378"/>
      <c r="AH573" s="379">
        <v>0</v>
      </c>
      <c r="AI573" s="379">
        <v>0</v>
      </c>
      <c r="AJ573" s="378"/>
      <c r="AK573" s="378"/>
      <c r="AL573" s="376" t="s">
        <v>180</v>
      </c>
      <c r="AM573" s="378"/>
      <c r="AN573" s="378"/>
      <c r="AO573" s="379">
        <v>0</v>
      </c>
      <c r="AP573" s="460">
        <v>0</v>
      </c>
      <c r="AQ573" s="460">
        <v>0</v>
      </c>
      <c r="AR573" s="459"/>
      <c r="AS573" s="462">
        <f t="shared" si="136"/>
        <v>0</v>
      </c>
      <c r="AT573">
        <f t="shared" si="137"/>
        <v>0</v>
      </c>
      <c r="AU573" s="462" t="str">
        <f>IF(AT573=0,"",IF(AND(AT573=1,M573="F",SUMIF(C2:C698,C573,AS2:AS698)&lt;=1),SUMIF(C2:C698,C573,AS2:AS698),IF(AND(AT573=1,M573="F",SUMIF(C2:C698,C573,AS2:AS698)&gt;1),1,"")))</f>
        <v/>
      </c>
      <c r="AV573" s="462" t="str">
        <f>IF(AT573=0,"",IF(AND(AT573=3,M573="F",SUMIF(C2:C698,C573,AS2:AS698)&lt;=1),SUMIF(C2:C698,C573,AS2:AS698),IF(AND(AT573=3,M573="F",SUMIF(C2:C698,C573,AS2:AS698)&gt;1),1,"")))</f>
        <v/>
      </c>
      <c r="AW573" s="462">
        <f>SUMIF(C2:C698,C573,O2:O698)</f>
        <v>0</v>
      </c>
      <c r="AX573" s="462">
        <f>IF(AND(M573="F",AS573&lt;&gt;0),SUMIF(C2:C698,C573,W2:W698),0)</f>
        <v>0</v>
      </c>
      <c r="AY573" s="462" t="str">
        <f t="shared" si="138"/>
        <v/>
      </c>
      <c r="AZ573" s="462" t="str">
        <f t="shared" si="139"/>
        <v/>
      </c>
      <c r="BA573" s="462">
        <f t="shared" si="140"/>
        <v>0</v>
      </c>
      <c r="BB573" s="462">
        <f>IF(AND(AT573=1,AK573="E",AU573&gt;=0.75,AW573=1),Health,IF(AND(AT573=1,AK573="E",AU573&gt;=0.75),Health*P573,IF(AND(AT573=1,AK573="E",AU573&gt;=0.5,AW573=1),PTHealth,IF(AND(AT573=1,AK573="E",AU573&gt;=0.5),PTHealth*P573,0))))</f>
        <v>0</v>
      </c>
      <c r="BC573" s="462">
        <f>IF(AND(AT573=3,AK573="E",AV573&gt;=0.75,AW573=1),Health,IF(AND(AT573=3,AK573="E",AV573&gt;=0.75),Health*P573,IF(AND(AT573=3,AK573="E",AV573&gt;=0.5,AW573=1),PTHealth,IF(AND(AT573=3,AK573="E",AV573&gt;=0.5),PTHealth*P573,0))))</f>
        <v>0</v>
      </c>
      <c r="BD573" s="462">
        <f>IF(AND(AT573&lt;&gt;0,AX573&gt;=MAXSSDI),SSDI*MAXSSDI*P573,IF(AT573&lt;&gt;0,SSDI*W573,0))</f>
        <v>0</v>
      </c>
      <c r="BE573" s="462">
        <f>IF(AT573&lt;&gt;0,SSHI*W573,0)</f>
        <v>0</v>
      </c>
      <c r="BF573" s="462">
        <f>IF(AND(AT573&lt;&gt;0,AN573&lt;&gt;"NE"),VLOOKUP(AN573,Retirement_Rates,3,FALSE)*W573,0)</f>
        <v>0</v>
      </c>
      <c r="BG573" s="462">
        <f>IF(AND(AT573&lt;&gt;0,AJ573&lt;&gt;"PF"),Life*W573,0)</f>
        <v>0</v>
      </c>
      <c r="BH573" s="462">
        <f>IF(AND(AT573&lt;&gt;0,AM573="Y"),UI*W573,0)</f>
        <v>0</v>
      </c>
      <c r="BI573" s="462">
        <f>IF(AND(AT573&lt;&gt;0,N573&lt;&gt;"NR"),DHR*W573,0)</f>
        <v>0</v>
      </c>
      <c r="BJ573" s="462">
        <f>IF(AT573&lt;&gt;0,WC*W573,0)</f>
        <v>0</v>
      </c>
      <c r="BK573" s="462">
        <f>IF(OR(AND(AT573&lt;&gt;0,AJ573&lt;&gt;"PF",AN573&lt;&gt;"NE",AG573&lt;&gt;"A"),AND(AL573="E",OR(AT573=1,AT573=3))),Sick*W573,0)</f>
        <v>0</v>
      </c>
      <c r="BL573" s="462">
        <f t="shared" si="141"/>
        <v>0</v>
      </c>
      <c r="BM573" s="462">
        <f t="shared" si="142"/>
        <v>0</v>
      </c>
      <c r="BN573" s="462">
        <f>IF(AND(AT573=1,AK573="E",AU573&gt;=0.75,AW573=1),HealthBY,IF(AND(AT573=1,AK573="E",AU573&gt;=0.75),HealthBY*P573,IF(AND(AT573=1,AK573="E",AU573&gt;=0.5,AW573=1),PTHealthBY,IF(AND(AT573=1,AK573="E",AU573&gt;=0.5),PTHealthBY*P573,0))))</f>
        <v>0</v>
      </c>
      <c r="BO573" s="462">
        <f>IF(AND(AT573=3,AK573="E",AV573&gt;=0.75,AW573=1),HealthBY,IF(AND(AT573=3,AK573="E",AV573&gt;=0.75),HealthBY*P573,IF(AND(AT573=3,AK573="E",AV573&gt;=0.5,AW573=1),PTHealthBY,IF(AND(AT573=3,AK573="E",AV573&gt;=0.5),PTHealthBY*P573,0))))</f>
        <v>0</v>
      </c>
      <c r="BP573" s="462">
        <f>IF(AND(AT573&lt;&gt;0,(AX573+BA573)&gt;=MAXSSDIBY),SSDIBY*MAXSSDIBY*P573,IF(AT573&lt;&gt;0,SSDIBY*W573,0))</f>
        <v>0</v>
      </c>
      <c r="BQ573" s="462">
        <f>IF(AT573&lt;&gt;0,SSHIBY*W573,0)</f>
        <v>0</v>
      </c>
      <c r="BR573" s="462">
        <f>IF(AND(AT573&lt;&gt;0,AN573&lt;&gt;"NE"),VLOOKUP(AN573,Retirement_Rates,4,FALSE)*W573,0)</f>
        <v>0</v>
      </c>
      <c r="BS573" s="462">
        <f>IF(AND(AT573&lt;&gt;0,AJ573&lt;&gt;"PF"),LifeBY*W573,0)</f>
        <v>0</v>
      </c>
      <c r="BT573" s="462">
        <f>IF(AND(AT573&lt;&gt;0,AM573="Y"),UIBY*W573,0)</f>
        <v>0</v>
      </c>
      <c r="BU573" s="462">
        <f>IF(AND(AT573&lt;&gt;0,N573&lt;&gt;"NR"),DHRBY*W573,0)</f>
        <v>0</v>
      </c>
      <c r="BV573" s="462">
        <f>IF(AT573&lt;&gt;0,WCBY*W573,0)</f>
        <v>0</v>
      </c>
      <c r="BW573" s="462">
        <f>IF(OR(AND(AT573&lt;&gt;0,AJ573&lt;&gt;"PF",AN573&lt;&gt;"NE",AG573&lt;&gt;"A"),AND(AL573="E",OR(AT573=1,AT573=3))),SickBY*W573,0)</f>
        <v>0</v>
      </c>
      <c r="BX573" s="462">
        <f t="shared" si="143"/>
        <v>0</v>
      </c>
      <c r="BY573" s="462">
        <f t="shared" si="144"/>
        <v>0</v>
      </c>
      <c r="BZ573" s="462">
        <f t="shared" si="145"/>
        <v>0</v>
      </c>
      <c r="CA573" s="462">
        <f t="shared" si="146"/>
        <v>0</v>
      </c>
      <c r="CB573" s="462">
        <f t="shared" si="147"/>
        <v>0</v>
      </c>
      <c r="CC573" s="462">
        <f>IF(AT573&lt;&gt;0,SSHICHG*Y573,0)</f>
        <v>0</v>
      </c>
      <c r="CD573" s="462">
        <f>IF(AND(AT573&lt;&gt;0,AN573&lt;&gt;"NE"),VLOOKUP(AN573,Retirement_Rates,5,FALSE)*Y573,0)</f>
        <v>0</v>
      </c>
      <c r="CE573" s="462">
        <f>IF(AND(AT573&lt;&gt;0,AJ573&lt;&gt;"PF"),LifeCHG*Y573,0)</f>
        <v>0</v>
      </c>
      <c r="CF573" s="462">
        <f>IF(AND(AT573&lt;&gt;0,AM573="Y"),UICHG*Y573,0)</f>
        <v>0</v>
      </c>
      <c r="CG573" s="462">
        <f>IF(AND(AT573&lt;&gt;0,N573&lt;&gt;"NR"),DHRCHG*Y573,0)</f>
        <v>0</v>
      </c>
      <c r="CH573" s="462">
        <f>IF(AT573&lt;&gt;0,WCCHG*Y573,0)</f>
        <v>0</v>
      </c>
      <c r="CI573" s="462">
        <f>IF(OR(AND(AT573&lt;&gt;0,AJ573&lt;&gt;"PF",AN573&lt;&gt;"NE",AG573&lt;&gt;"A"),AND(AL573="E",OR(AT573=1,AT573=3))),SickCHG*Y573,0)</f>
        <v>0</v>
      </c>
      <c r="CJ573" s="462">
        <f t="shared" si="148"/>
        <v>0</v>
      </c>
      <c r="CK573" s="462" t="str">
        <f t="shared" si="149"/>
        <v/>
      </c>
      <c r="CL573" s="462">
        <f t="shared" si="150"/>
        <v>0</v>
      </c>
      <c r="CM573" s="462">
        <f t="shared" si="151"/>
        <v>0</v>
      </c>
      <c r="CN573" s="462" t="str">
        <f t="shared" si="152"/>
        <v>0486-00</v>
      </c>
    </row>
    <row r="574" spans="1:92" ht="15" thickBot="1" x14ac:dyDescent="0.35">
      <c r="A574" s="376" t="s">
        <v>161</v>
      </c>
      <c r="B574" s="376" t="s">
        <v>162</v>
      </c>
      <c r="C574" s="376" t="s">
        <v>1258</v>
      </c>
      <c r="D574" s="376" t="s">
        <v>650</v>
      </c>
      <c r="E574" s="376" t="s">
        <v>1140</v>
      </c>
      <c r="F574" s="377" t="s">
        <v>166</v>
      </c>
      <c r="G574" s="376" t="s">
        <v>1141</v>
      </c>
      <c r="H574" s="378"/>
      <c r="I574" s="378"/>
      <c r="J574" s="376" t="s">
        <v>168</v>
      </c>
      <c r="K574" s="376" t="s">
        <v>652</v>
      </c>
      <c r="L574" s="376" t="s">
        <v>166</v>
      </c>
      <c r="M574" s="376" t="s">
        <v>170</v>
      </c>
      <c r="N574" s="376" t="s">
        <v>291</v>
      </c>
      <c r="O574" s="379">
        <v>0</v>
      </c>
      <c r="P574" s="460">
        <v>1</v>
      </c>
      <c r="Q574" s="460">
        <v>0</v>
      </c>
      <c r="R574" s="380">
        <v>0</v>
      </c>
      <c r="S574" s="460">
        <v>0</v>
      </c>
      <c r="T574" s="380">
        <v>139001.68</v>
      </c>
      <c r="U574" s="380">
        <v>12971.82</v>
      </c>
      <c r="V574" s="380">
        <v>86435.42</v>
      </c>
      <c r="W574" s="380">
        <v>151973.5</v>
      </c>
      <c r="X574" s="380">
        <v>86435.42</v>
      </c>
      <c r="Y574" s="380">
        <v>151973.5</v>
      </c>
      <c r="Z574" s="380">
        <v>86435.42</v>
      </c>
      <c r="AA574" s="378"/>
      <c r="AB574" s="376" t="s">
        <v>45</v>
      </c>
      <c r="AC574" s="376" t="s">
        <v>45</v>
      </c>
      <c r="AD574" s="378"/>
      <c r="AE574" s="378"/>
      <c r="AF574" s="378"/>
      <c r="AG574" s="378"/>
      <c r="AH574" s="379">
        <v>0</v>
      </c>
      <c r="AI574" s="379">
        <v>0</v>
      </c>
      <c r="AJ574" s="378"/>
      <c r="AK574" s="378"/>
      <c r="AL574" s="376" t="s">
        <v>180</v>
      </c>
      <c r="AM574" s="378"/>
      <c r="AN574" s="378"/>
      <c r="AO574" s="379">
        <v>0</v>
      </c>
      <c r="AP574" s="460">
        <v>0</v>
      </c>
      <c r="AQ574" s="460">
        <v>0</v>
      </c>
      <c r="AR574" s="459"/>
      <c r="AS574" s="462">
        <f t="shared" si="136"/>
        <v>0</v>
      </c>
      <c r="AT574">
        <f t="shared" si="137"/>
        <v>0</v>
      </c>
      <c r="AU574" s="462" t="str">
        <f>IF(AT574=0,"",IF(AND(AT574=1,M574="F",SUMIF(C2:C698,C574,AS2:AS698)&lt;=1),SUMIF(C2:C698,C574,AS2:AS698),IF(AND(AT574=1,M574="F",SUMIF(C2:C698,C574,AS2:AS698)&gt;1),1,"")))</f>
        <v/>
      </c>
      <c r="AV574" s="462" t="str">
        <f>IF(AT574=0,"",IF(AND(AT574=3,M574="F",SUMIF(C2:C698,C574,AS2:AS698)&lt;=1),SUMIF(C2:C698,C574,AS2:AS698),IF(AND(AT574=3,M574="F",SUMIF(C2:C698,C574,AS2:AS698)&gt;1),1,"")))</f>
        <v/>
      </c>
      <c r="AW574" s="462">
        <f>SUMIF(C2:C698,C574,O2:O698)</f>
        <v>0</v>
      </c>
      <c r="AX574" s="462">
        <f>IF(AND(M574="F",AS574&lt;&gt;0),SUMIF(C2:C698,C574,W2:W698),0)</f>
        <v>0</v>
      </c>
      <c r="AY574" s="462" t="str">
        <f t="shared" si="138"/>
        <v/>
      </c>
      <c r="AZ574" s="462" t="str">
        <f t="shared" si="139"/>
        <v/>
      </c>
      <c r="BA574" s="462">
        <f t="shared" si="140"/>
        <v>0</v>
      </c>
      <c r="BB574" s="462">
        <f>IF(AND(AT574=1,AK574="E",AU574&gt;=0.75,AW574=1),Health,IF(AND(AT574=1,AK574="E",AU574&gt;=0.75),Health*P574,IF(AND(AT574=1,AK574="E",AU574&gt;=0.5,AW574=1),PTHealth,IF(AND(AT574=1,AK574="E",AU574&gt;=0.5),PTHealth*P574,0))))</f>
        <v>0</v>
      </c>
      <c r="BC574" s="462">
        <f>IF(AND(AT574=3,AK574="E",AV574&gt;=0.75,AW574=1),Health,IF(AND(AT574=3,AK574="E",AV574&gt;=0.75),Health*P574,IF(AND(AT574=3,AK574="E",AV574&gt;=0.5,AW574=1),PTHealth,IF(AND(AT574=3,AK574="E",AV574&gt;=0.5),PTHealth*P574,0))))</f>
        <v>0</v>
      </c>
      <c r="BD574" s="462">
        <f>IF(AND(AT574&lt;&gt;0,AX574&gt;=MAXSSDI),SSDI*MAXSSDI*P574,IF(AT574&lt;&gt;0,SSDI*W574,0))</f>
        <v>0</v>
      </c>
      <c r="BE574" s="462">
        <f>IF(AT574&lt;&gt;0,SSHI*W574,0)</f>
        <v>0</v>
      </c>
      <c r="BF574" s="462">
        <f>IF(AND(AT574&lt;&gt;0,AN574&lt;&gt;"NE"),VLOOKUP(AN574,Retirement_Rates,3,FALSE)*W574,0)</f>
        <v>0</v>
      </c>
      <c r="BG574" s="462">
        <f>IF(AND(AT574&lt;&gt;0,AJ574&lt;&gt;"PF"),Life*W574,0)</f>
        <v>0</v>
      </c>
      <c r="BH574" s="462">
        <f>IF(AND(AT574&lt;&gt;0,AM574="Y"),UI*W574,0)</f>
        <v>0</v>
      </c>
      <c r="BI574" s="462">
        <f>IF(AND(AT574&lt;&gt;0,N574&lt;&gt;"NR"),DHR*W574,0)</f>
        <v>0</v>
      </c>
      <c r="BJ574" s="462">
        <f>IF(AT574&lt;&gt;0,WC*W574,0)</f>
        <v>0</v>
      </c>
      <c r="BK574" s="462">
        <f>IF(OR(AND(AT574&lt;&gt;0,AJ574&lt;&gt;"PF",AN574&lt;&gt;"NE",AG574&lt;&gt;"A"),AND(AL574="E",OR(AT574=1,AT574=3))),Sick*W574,0)</f>
        <v>0</v>
      </c>
      <c r="BL574" s="462">
        <f t="shared" si="141"/>
        <v>0</v>
      </c>
      <c r="BM574" s="462">
        <f t="shared" si="142"/>
        <v>0</v>
      </c>
      <c r="BN574" s="462">
        <f>IF(AND(AT574=1,AK574="E",AU574&gt;=0.75,AW574=1),HealthBY,IF(AND(AT574=1,AK574="E",AU574&gt;=0.75),HealthBY*P574,IF(AND(AT574=1,AK574="E",AU574&gt;=0.5,AW574=1),PTHealthBY,IF(AND(AT574=1,AK574="E",AU574&gt;=0.5),PTHealthBY*P574,0))))</f>
        <v>0</v>
      </c>
      <c r="BO574" s="462">
        <f>IF(AND(AT574=3,AK574="E",AV574&gt;=0.75,AW574=1),HealthBY,IF(AND(AT574=3,AK574="E",AV574&gt;=0.75),HealthBY*P574,IF(AND(AT574=3,AK574="E",AV574&gt;=0.5,AW574=1),PTHealthBY,IF(AND(AT574=3,AK574="E",AV574&gt;=0.5),PTHealthBY*P574,0))))</f>
        <v>0</v>
      </c>
      <c r="BP574" s="462">
        <f>IF(AND(AT574&lt;&gt;0,(AX574+BA574)&gt;=MAXSSDIBY),SSDIBY*MAXSSDIBY*P574,IF(AT574&lt;&gt;0,SSDIBY*W574,0))</f>
        <v>0</v>
      </c>
      <c r="BQ574" s="462">
        <f>IF(AT574&lt;&gt;0,SSHIBY*W574,0)</f>
        <v>0</v>
      </c>
      <c r="BR574" s="462">
        <f>IF(AND(AT574&lt;&gt;0,AN574&lt;&gt;"NE"),VLOOKUP(AN574,Retirement_Rates,4,FALSE)*W574,0)</f>
        <v>0</v>
      </c>
      <c r="BS574" s="462">
        <f>IF(AND(AT574&lt;&gt;0,AJ574&lt;&gt;"PF"),LifeBY*W574,0)</f>
        <v>0</v>
      </c>
      <c r="BT574" s="462">
        <f>IF(AND(AT574&lt;&gt;0,AM574="Y"),UIBY*W574,0)</f>
        <v>0</v>
      </c>
      <c r="BU574" s="462">
        <f>IF(AND(AT574&lt;&gt;0,N574&lt;&gt;"NR"),DHRBY*W574,0)</f>
        <v>0</v>
      </c>
      <c r="BV574" s="462">
        <f>IF(AT574&lt;&gt;0,WCBY*W574,0)</f>
        <v>0</v>
      </c>
      <c r="BW574" s="462">
        <f>IF(OR(AND(AT574&lt;&gt;0,AJ574&lt;&gt;"PF",AN574&lt;&gt;"NE",AG574&lt;&gt;"A"),AND(AL574="E",OR(AT574=1,AT574=3))),SickBY*W574,0)</f>
        <v>0</v>
      </c>
      <c r="BX574" s="462">
        <f t="shared" si="143"/>
        <v>0</v>
      </c>
      <c r="BY574" s="462">
        <f t="shared" si="144"/>
        <v>0</v>
      </c>
      <c r="BZ574" s="462">
        <f t="shared" si="145"/>
        <v>0</v>
      </c>
      <c r="CA574" s="462">
        <f t="shared" si="146"/>
        <v>0</v>
      </c>
      <c r="CB574" s="462">
        <f t="shared" si="147"/>
        <v>0</v>
      </c>
      <c r="CC574" s="462">
        <f>IF(AT574&lt;&gt;0,SSHICHG*Y574,0)</f>
        <v>0</v>
      </c>
      <c r="CD574" s="462">
        <f>IF(AND(AT574&lt;&gt;0,AN574&lt;&gt;"NE"),VLOOKUP(AN574,Retirement_Rates,5,FALSE)*Y574,0)</f>
        <v>0</v>
      </c>
      <c r="CE574" s="462">
        <f>IF(AND(AT574&lt;&gt;0,AJ574&lt;&gt;"PF"),LifeCHG*Y574,0)</f>
        <v>0</v>
      </c>
      <c r="CF574" s="462">
        <f>IF(AND(AT574&lt;&gt;0,AM574="Y"),UICHG*Y574,0)</f>
        <v>0</v>
      </c>
      <c r="CG574" s="462">
        <f>IF(AND(AT574&lt;&gt;0,N574&lt;&gt;"NR"),DHRCHG*Y574,0)</f>
        <v>0</v>
      </c>
      <c r="CH574" s="462">
        <f>IF(AT574&lt;&gt;0,WCCHG*Y574,0)</f>
        <v>0</v>
      </c>
      <c r="CI574" s="462">
        <f>IF(OR(AND(AT574&lt;&gt;0,AJ574&lt;&gt;"PF",AN574&lt;&gt;"NE",AG574&lt;&gt;"A"),AND(AL574="E",OR(AT574=1,AT574=3))),SickCHG*Y574,0)</f>
        <v>0</v>
      </c>
      <c r="CJ574" s="462">
        <f t="shared" si="148"/>
        <v>0</v>
      </c>
      <c r="CK574" s="462" t="str">
        <f t="shared" si="149"/>
        <v/>
      </c>
      <c r="CL574" s="462">
        <f t="shared" si="150"/>
        <v>151973.5</v>
      </c>
      <c r="CM574" s="462">
        <f t="shared" si="151"/>
        <v>86435.42</v>
      </c>
      <c r="CN574" s="462" t="str">
        <f t="shared" si="152"/>
        <v>0486-00</v>
      </c>
    </row>
    <row r="575" spans="1:92" ht="15" thickBot="1" x14ac:dyDescent="0.35">
      <c r="A575" s="376" t="s">
        <v>161</v>
      </c>
      <c r="B575" s="376" t="s">
        <v>162</v>
      </c>
      <c r="C575" s="376" t="s">
        <v>1259</v>
      </c>
      <c r="D575" s="376" t="s">
        <v>802</v>
      </c>
      <c r="E575" s="376" t="s">
        <v>1140</v>
      </c>
      <c r="F575" s="377" t="s">
        <v>166</v>
      </c>
      <c r="G575" s="376" t="s">
        <v>1141</v>
      </c>
      <c r="H575" s="378"/>
      <c r="I575" s="378"/>
      <c r="J575" s="376" t="s">
        <v>168</v>
      </c>
      <c r="K575" s="376" t="s">
        <v>803</v>
      </c>
      <c r="L575" s="376" t="s">
        <v>243</v>
      </c>
      <c r="M575" s="376" t="s">
        <v>170</v>
      </c>
      <c r="N575" s="376" t="s">
        <v>202</v>
      </c>
      <c r="O575" s="379">
        <v>1</v>
      </c>
      <c r="P575" s="460">
        <v>1</v>
      </c>
      <c r="Q575" s="460">
        <v>1</v>
      </c>
      <c r="R575" s="380">
        <v>80</v>
      </c>
      <c r="S575" s="460">
        <v>1</v>
      </c>
      <c r="T575" s="380">
        <v>90577.41</v>
      </c>
      <c r="U575" s="380">
        <v>0</v>
      </c>
      <c r="V575" s="380">
        <v>29721.200000000001</v>
      </c>
      <c r="W575" s="380">
        <v>70720</v>
      </c>
      <c r="X575" s="380">
        <v>27658.86</v>
      </c>
      <c r="Y575" s="380">
        <v>70720</v>
      </c>
      <c r="Z575" s="380">
        <v>27475</v>
      </c>
      <c r="AA575" s="376" t="s">
        <v>1260</v>
      </c>
      <c r="AB575" s="376" t="s">
        <v>630</v>
      </c>
      <c r="AC575" s="376" t="s">
        <v>1261</v>
      </c>
      <c r="AD575" s="376" t="s">
        <v>1262</v>
      </c>
      <c r="AE575" s="376" t="s">
        <v>803</v>
      </c>
      <c r="AF575" s="376" t="s">
        <v>248</v>
      </c>
      <c r="AG575" s="376" t="s">
        <v>177</v>
      </c>
      <c r="AH575" s="379">
        <v>34</v>
      </c>
      <c r="AI575" s="379">
        <v>12524</v>
      </c>
      <c r="AJ575" s="376" t="s">
        <v>178</v>
      </c>
      <c r="AK575" s="376" t="s">
        <v>179</v>
      </c>
      <c r="AL575" s="376" t="s">
        <v>180</v>
      </c>
      <c r="AM575" s="376" t="s">
        <v>181</v>
      </c>
      <c r="AN575" s="376" t="s">
        <v>68</v>
      </c>
      <c r="AO575" s="379">
        <v>80</v>
      </c>
      <c r="AP575" s="460">
        <v>1</v>
      </c>
      <c r="AQ575" s="460">
        <v>1</v>
      </c>
      <c r="AR575" s="458" t="s">
        <v>182</v>
      </c>
      <c r="AS575" s="462">
        <f t="shared" si="136"/>
        <v>1</v>
      </c>
      <c r="AT575">
        <f t="shared" si="137"/>
        <v>1</v>
      </c>
      <c r="AU575" s="462">
        <f>IF(AT575=0,"",IF(AND(AT575=1,M575="F",SUMIF(C2:C698,C575,AS2:AS698)&lt;=1),SUMIF(C2:C698,C575,AS2:AS698),IF(AND(AT575=1,M575="F",SUMIF(C2:C698,C575,AS2:AS698)&gt;1),1,"")))</f>
        <v>1</v>
      </c>
      <c r="AV575" s="462" t="str">
        <f>IF(AT575=0,"",IF(AND(AT575=3,M575="F",SUMIF(C2:C698,C575,AS2:AS698)&lt;=1),SUMIF(C2:C698,C575,AS2:AS698),IF(AND(AT575=3,M575="F",SUMIF(C2:C698,C575,AS2:AS698)&gt;1),1,"")))</f>
        <v/>
      </c>
      <c r="AW575" s="462">
        <f>SUMIF(C2:C698,C575,O2:O698)</f>
        <v>1</v>
      </c>
      <c r="AX575" s="462">
        <f>IF(AND(M575="F",AS575&lt;&gt;0),SUMIF(C2:C698,C575,W2:W698),0)</f>
        <v>70720</v>
      </c>
      <c r="AY575" s="462">
        <f t="shared" si="138"/>
        <v>70720</v>
      </c>
      <c r="AZ575" s="462" t="str">
        <f t="shared" si="139"/>
        <v/>
      </c>
      <c r="BA575" s="462">
        <f t="shared" si="140"/>
        <v>0</v>
      </c>
      <c r="BB575" s="462">
        <f>IF(AND(AT575=1,AK575="E",AU575&gt;=0.75,AW575=1),Health,IF(AND(AT575=1,AK575="E",AU575&gt;=0.75),Health*P575,IF(AND(AT575=1,AK575="E",AU575&gt;=0.5,AW575=1),PTHealth,IF(AND(AT575=1,AK575="E",AU575&gt;=0.5),PTHealth*P575,0))))</f>
        <v>11650</v>
      </c>
      <c r="BC575" s="462">
        <f>IF(AND(AT575=3,AK575="E",AV575&gt;=0.75,AW575=1),Health,IF(AND(AT575=3,AK575="E",AV575&gt;=0.75),Health*P575,IF(AND(AT575=3,AK575="E",AV575&gt;=0.5,AW575=1),PTHealth,IF(AND(AT575=3,AK575="E",AV575&gt;=0.5),PTHealth*P575,0))))</f>
        <v>0</v>
      </c>
      <c r="BD575" s="462">
        <f>IF(AND(AT575&lt;&gt;0,AX575&gt;=MAXSSDI),SSDI*MAXSSDI*P575,IF(AT575&lt;&gt;0,SSDI*W575,0))</f>
        <v>4384.6400000000003</v>
      </c>
      <c r="BE575" s="462">
        <f>IF(AT575&lt;&gt;0,SSHI*W575,0)</f>
        <v>1025.44</v>
      </c>
      <c r="BF575" s="462">
        <f>IF(AND(AT575&lt;&gt;0,AN575&lt;&gt;"NE"),VLOOKUP(AN575,Retirement_Rates,3,FALSE)*W575,0)</f>
        <v>8443.9680000000008</v>
      </c>
      <c r="BG575" s="462">
        <f>IF(AND(AT575&lt;&gt;0,AJ575&lt;&gt;"PF"),Life*W575,0)</f>
        <v>509.89120000000003</v>
      </c>
      <c r="BH575" s="462">
        <f>IF(AND(AT575&lt;&gt;0,AM575="Y"),UI*W575,0)</f>
        <v>346.52799999999996</v>
      </c>
      <c r="BI575" s="462">
        <f>IF(AND(AT575&lt;&gt;0,N575&lt;&gt;"NR"),DHR*W575,0)</f>
        <v>216.4032</v>
      </c>
      <c r="BJ575" s="462">
        <f>IF(AT575&lt;&gt;0,WC*W575,0)</f>
        <v>1082.0159999999998</v>
      </c>
      <c r="BK575" s="462">
        <f>IF(OR(AND(AT575&lt;&gt;0,AJ575&lt;&gt;"PF",AN575&lt;&gt;"NE",AG575&lt;&gt;"A"),AND(AL575="E",OR(AT575=1,AT575=3))),Sick*W575,0)</f>
        <v>0</v>
      </c>
      <c r="BL575" s="462">
        <f t="shared" si="141"/>
        <v>16008.886400000001</v>
      </c>
      <c r="BM575" s="462">
        <f t="shared" si="142"/>
        <v>0</v>
      </c>
      <c r="BN575" s="462">
        <f>IF(AND(AT575=1,AK575="E",AU575&gt;=0.75,AW575=1),HealthBY,IF(AND(AT575=1,AK575="E",AU575&gt;=0.75),HealthBY*P575,IF(AND(AT575=1,AK575="E",AU575&gt;=0.5,AW575=1),PTHealthBY,IF(AND(AT575=1,AK575="E",AU575&gt;=0.5),PTHealthBY*P575,0))))</f>
        <v>11650</v>
      </c>
      <c r="BO575" s="462">
        <f>IF(AND(AT575=3,AK575="E",AV575&gt;=0.75,AW575=1),HealthBY,IF(AND(AT575=3,AK575="E",AV575&gt;=0.75),HealthBY*P575,IF(AND(AT575=3,AK575="E",AV575&gt;=0.5,AW575=1),PTHealthBY,IF(AND(AT575=3,AK575="E",AV575&gt;=0.5),PTHealthBY*P575,0))))</f>
        <v>0</v>
      </c>
      <c r="BP575" s="462">
        <f>IF(AND(AT575&lt;&gt;0,(AX575+BA575)&gt;=MAXSSDIBY),SSDIBY*MAXSSDIBY*P575,IF(AT575&lt;&gt;0,SSDIBY*W575,0))</f>
        <v>4384.6400000000003</v>
      </c>
      <c r="BQ575" s="462">
        <f>IF(AT575&lt;&gt;0,SSHIBY*W575,0)</f>
        <v>1025.44</v>
      </c>
      <c r="BR575" s="462">
        <f>IF(AND(AT575&lt;&gt;0,AN575&lt;&gt;"NE"),VLOOKUP(AN575,Retirement_Rates,4,FALSE)*W575,0)</f>
        <v>8443.9680000000008</v>
      </c>
      <c r="BS575" s="462">
        <f>IF(AND(AT575&lt;&gt;0,AJ575&lt;&gt;"PF"),LifeBY*W575,0)</f>
        <v>509.89120000000003</v>
      </c>
      <c r="BT575" s="462">
        <f>IF(AND(AT575&lt;&gt;0,AM575="Y"),UIBY*W575,0)</f>
        <v>0</v>
      </c>
      <c r="BU575" s="462">
        <f>IF(AND(AT575&lt;&gt;0,N575&lt;&gt;"NR"),DHRBY*W575,0)</f>
        <v>216.4032</v>
      </c>
      <c r="BV575" s="462">
        <f>IF(AT575&lt;&gt;0,WCBY*W575,0)</f>
        <v>1244.672</v>
      </c>
      <c r="BW575" s="462">
        <f>IF(OR(AND(AT575&lt;&gt;0,AJ575&lt;&gt;"PF",AN575&lt;&gt;"NE",AG575&lt;&gt;"A"),AND(AL575="E",OR(AT575=1,AT575=3))),SickBY*W575,0)</f>
        <v>0</v>
      </c>
      <c r="BX575" s="462">
        <f t="shared" si="143"/>
        <v>15825.014400000002</v>
      </c>
      <c r="BY575" s="462">
        <f t="shared" si="144"/>
        <v>0</v>
      </c>
      <c r="BZ575" s="462">
        <f t="shared" si="145"/>
        <v>0</v>
      </c>
      <c r="CA575" s="462">
        <f t="shared" si="146"/>
        <v>0</v>
      </c>
      <c r="CB575" s="462">
        <f t="shared" si="147"/>
        <v>0</v>
      </c>
      <c r="CC575" s="462">
        <f>IF(AT575&lt;&gt;0,SSHICHG*Y575,0)</f>
        <v>0</v>
      </c>
      <c r="CD575" s="462">
        <f>IF(AND(AT575&lt;&gt;0,AN575&lt;&gt;"NE"),VLOOKUP(AN575,Retirement_Rates,5,FALSE)*Y575,0)</f>
        <v>0</v>
      </c>
      <c r="CE575" s="462">
        <f>IF(AND(AT575&lt;&gt;0,AJ575&lt;&gt;"PF"),LifeCHG*Y575,0)</f>
        <v>0</v>
      </c>
      <c r="CF575" s="462">
        <f>IF(AND(AT575&lt;&gt;0,AM575="Y"),UICHG*Y575,0)</f>
        <v>-346.52799999999996</v>
      </c>
      <c r="CG575" s="462">
        <f>IF(AND(AT575&lt;&gt;0,N575&lt;&gt;"NR"),DHRCHG*Y575,0)</f>
        <v>0</v>
      </c>
      <c r="CH575" s="462">
        <f>IF(AT575&lt;&gt;0,WCCHG*Y575,0)</f>
        <v>162.65600000000012</v>
      </c>
      <c r="CI575" s="462">
        <f>IF(OR(AND(AT575&lt;&gt;0,AJ575&lt;&gt;"PF",AN575&lt;&gt;"NE",AG575&lt;&gt;"A"),AND(AL575="E",OR(AT575=1,AT575=3))),SickCHG*Y575,0)</f>
        <v>0</v>
      </c>
      <c r="CJ575" s="462">
        <f t="shared" si="148"/>
        <v>-183.87199999999984</v>
      </c>
      <c r="CK575" s="462" t="str">
        <f t="shared" si="149"/>
        <v/>
      </c>
      <c r="CL575" s="462" t="str">
        <f t="shared" si="150"/>
        <v/>
      </c>
      <c r="CM575" s="462" t="str">
        <f t="shared" si="151"/>
        <v/>
      </c>
      <c r="CN575" s="462" t="str">
        <f t="shared" si="152"/>
        <v>0486-00</v>
      </c>
    </row>
    <row r="576" spans="1:92" ht="15" thickBot="1" x14ac:dyDescent="0.35">
      <c r="A576" s="376" t="s">
        <v>161</v>
      </c>
      <c r="B576" s="376" t="s">
        <v>162</v>
      </c>
      <c r="C576" s="376" t="s">
        <v>1263</v>
      </c>
      <c r="D576" s="376" t="s">
        <v>1181</v>
      </c>
      <c r="E576" s="376" t="s">
        <v>1140</v>
      </c>
      <c r="F576" s="377" t="s">
        <v>166</v>
      </c>
      <c r="G576" s="376" t="s">
        <v>1141</v>
      </c>
      <c r="H576" s="378"/>
      <c r="I576" s="378"/>
      <c r="J576" s="376" t="s">
        <v>185</v>
      </c>
      <c r="K576" s="376" t="s">
        <v>1182</v>
      </c>
      <c r="L576" s="376" t="s">
        <v>166</v>
      </c>
      <c r="M576" s="376" t="s">
        <v>201</v>
      </c>
      <c r="N576" s="376" t="s">
        <v>291</v>
      </c>
      <c r="O576" s="379">
        <v>0</v>
      </c>
      <c r="P576" s="460">
        <v>1</v>
      </c>
      <c r="Q576" s="460">
        <v>0</v>
      </c>
      <c r="R576" s="380">
        <v>0</v>
      </c>
      <c r="S576" s="460">
        <v>0</v>
      </c>
      <c r="T576" s="380">
        <v>0</v>
      </c>
      <c r="U576" s="380">
        <v>0</v>
      </c>
      <c r="V576" s="380">
        <v>0</v>
      </c>
      <c r="W576" s="380">
        <v>0</v>
      </c>
      <c r="X576" s="380">
        <v>0</v>
      </c>
      <c r="Y576" s="380">
        <v>0</v>
      </c>
      <c r="Z576" s="380">
        <v>0</v>
      </c>
      <c r="AA576" s="378"/>
      <c r="AB576" s="376" t="s">
        <v>45</v>
      </c>
      <c r="AC576" s="376" t="s">
        <v>45</v>
      </c>
      <c r="AD576" s="378"/>
      <c r="AE576" s="378"/>
      <c r="AF576" s="378"/>
      <c r="AG576" s="378"/>
      <c r="AH576" s="379">
        <v>0</v>
      </c>
      <c r="AI576" s="379">
        <v>0</v>
      </c>
      <c r="AJ576" s="378"/>
      <c r="AK576" s="378"/>
      <c r="AL576" s="376" t="s">
        <v>180</v>
      </c>
      <c r="AM576" s="378"/>
      <c r="AN576" s="378"/>
      <c r="AO576" s="379">
        <v>0</v>
      </c>
      <c r="AP576" s="460">
        <v>0</v>
      </c>
      <c r="AQ576" s="460">
        <v>0</v>
      </c>
      <c r="AR576" s="459"/>
      <c r="AS576" s="462">
        <f t="shared" si="136"/>
        <v>0</v>
      </c>
      <c r="AT576">
        <f t="shared" si="137"/>
        <v>0</v>
      </c>
      <c r="AU576" s="462" t="str">
        <f>IF(AT576=0,"",IF(AND(AT576=1,M576="F",SUMIF(C2:C698,C576,AS2:AS698)&lt;=1),SUMIF(C2:C698,C576,AS2:AS698),IF(AND(AT576=1,M576="F",SUMIF(C2:C698,C576,AS2:AS698)&gt;1),1,"")))</f>
        <v/>
      </c>
      <c r="AV576" s="462" t="str">
        <f>IF(AT576=0,"",IF(AND(AT576=3,M576="F",SUMIF(C2:C698,C576,AS2:AS698)&lt;=1),SUMIF(C2:C698,C576,AS2:AS698),IF(AND(AT576=3,M576="F",SUMIF(C2:C698,C576,AS2:AS698)&gt;1),1,"")))</f>
        <v/>
      </c>
      <c r="AW576" s="462">
        <f>SUMIF(C2:C698,C576,O2:O698)</f>
        <v>0</v>
      </c>
      <c r="AX576" s="462">
        <f>IF(AND(M576="F",AS576&lt;&gt;0),SUMIF(C2:C698,C576,W2:W698),0)</f>
        <v>0</v>
      </c>
      <c r="AY576" s="462" t="str">
        <f t="shared" si="138"/>
        <v/>
      </c>
      <c r="AZ576" s="462" t="str">
        <f t="shared" si="139"/>
        <v/>
      </c>
      <c r="BA576" s="462">
        <f t="shared" si="140"/>
        <v>0</v>
      </c>
      <c r="BB576" s="462">
        <f>IF(AND(AT576=1,AK576="E",AU576&gt;=0.75,AW576=1),Health,IF(AND(AT576=1,AK576="E",AU576&gt;=0.75),Health*P576,IF(AND(AT576=1,AK576="E",AU576&gt;=0.5,AW576=1),PTHealth,IF(AND(AT576=1,AK576="E",AU576&gt;=0.5),PTHealth*P576,0))))</f>
        <v>0</v>
      </c>
      <c r="BC576" s="462">
        <f>IF(AND(AT576=3,AK576="E",AV576&gt;=0.75,AW576=1),Health,IF(AND(AT576=3,AK576="E",AV576&gt;=0.75),Health*P576,IF(AND(AT576=3,AK576="E",AV576&gt;=0.5,AW576=1),PTHealth,IF(AND(AT576=3,AK576="E",AV576&gt;=0.5),PTHealth*P576,0))))</f>
        <v>0</v>
      </c>
      <c r="BD576" s="462">
        <f>IF(AND(AT576&lt;&gt;0,AX576&gt;=MAXSSDI),SSDI*MAXSSDI*P576,IF(AT576&lt;&gt;0,SSDI*W576,0))</f>
        <v>0</v>
      </c>
      <c r="BE576" s="462">
        <f>IF(AT576&lt;&gt;0,SSHI*W576,0)</f>
        <v>0</v>
      </c>
      <c r="BF576" s="462">
        <f>IF(AND(AT576&lt;&gt;0,AN576&lt;&gt;"NE"),VLOOKUP(AN576,Retirement_Rates,3,FALSE)*W576,0)</f>
        <v>0</v>
      </c>
      <c r="BG576" s="462">
        <f>IF(AND(AT576&lt;&gt;0,AJ576&lt;&gt;"PF"),Life*W576,0)</f>
        <v>0</v>
      </c>
      <c r="BH576" s="462">
        <f>IF(AND(AT576&lt;&gt;0,AM576="Y"),UI*W576,0)</f>
        <v>0</v>
      </c>
      <c r="BI576" s="462">
        <f>IF(AND(AT576&lt;&gt;0,N576&lt;&gt;"NR"),DHR*W576,0)</f>
        <v>0</v>
      </c>
      <c r="BJ576" s="462">
        <f>IF(AT576&lt;&gt;0,WC*W576,0)</f>
        <v>0</v>
      </c>
      <c r="BK576" s="462">
        <f>IF(OR(AND(AT576&lt;&gt;0,AJ576&lt;&gt;"PF",AN576&lt;&gt;"NE",AG576&lt;&gt;"A"),AND(AL576="E",OR(AT576=1,AT576=3))),Sick*W576,0)</f>
        <v>0</v>
      </c>
      <c r="BL576" s="462">
        <f t="shared" si="141"/>
        <v>0</v>
      </c>
      <c r="BM576" s="462">
        <f t="shared" si="142"/>
        <v>0</v>
      </c>
      <c r="BN576" s="462">
        <f>IF(AND(AT576=1,AK576="E",AU576&gt;=0.75,AW576=1),HealthBY,IF(AND(AT576=1,AK576="E",AU576&gt;=0.75),HealthBY*P576,IF(AND(AT576=1,AK576="E",AU576&gt;=0.5,AW576=1),PTHealthBY,IF(AND(AT576=1,AK576="E",AU576&gt;=0.5),PTHealthBY*P576,0))))</f>
        <v>0</v>
      </c>
      <c r="BO576" s="462">
        <f>IF(AND(AT576=3,AK576="E",AV576&gt;=0.75,AW576=1),HealthBY,IF(AND(AT576=3,AK576="E",AV576&gt;=0.75),HealthBY*P576,IF(AND(AT576=3,AK576="E",AV576&gt;=0.5,AW576=1),PTHealthBY,IF(AND(AT576=3,AK576="E",AV576&gt;=0.5),PTHealthBY*P576,0))))</f>
        <v>0</v>
      </c>
      <c r="BP576" s="462">
        <f>IF(AND(AT576&lt;&gt;0,(AX576+BA576)&gt;=MAXSSDIBY),SSDIBY*MAXSSDIBY*P576,IF(AT576&lt;&gt;0,SSDIBY*W576,0))</f>
        <v>0</v>
      </c>
      <c r="BQ576" s="462">
        <f>IF(AT576&lt;&gt;0,SSHIBY*W576,0)</f>
        <v>0</v>
      </c>
      <c r="BR576" s="462">
        <f>IF(AND(AT576&lt;&gt;0,AN576&lt;&gt;"NE"),VLOOKUP(AN576,Retirement_Rates,4,FALSE)*W576,0)</f>
        <v>0</v>
      </c>
      <c r="BS576" s="462">
        <f>IF(AND(AT576&lt;&gt;0,AJ576&lt;&gt;"PF"),LifeBY*W576,0)</f>
        <v>0</v>
      </c>
      <c r="BT576" s="462">
        <f>IF(AND(AT576&lt;&gt;0,AM576="Y"),UIBY*W576,0)</f>
        <v>0</v>
      </c>
      <c r="BU576" s="462">
        <f>IF(AND(AT576&lt;&gt;0,N576&lt;&gt;"NR"),DHRBY*W576,0)</f>
        <v>0</v>
      </c>
      <c r="BV576" s="462">
        <f>IF(AT576&lt;&gt;0,WCBY*W576,0)</f>
        <v>0</v>
      </c>
      <c r="BW576" s="462">
        <f>IF(OR(AND(AT576&lt;&gt;0,AJ576&lt;&gt;"PF",AN576&lt;&gt;"NE",AG576&lt;&gt;"A"),AND(AL576="E",OR(AT576=1,AT576=3))),SickBY*W576,0)</f>
        <v>0</v>
      </c>
      <c r="BX576" s="462">
        <f t="shared" si="143"/>
        <v>0</v>
      </c>
      <c r="BY576" s="462">
        <f t="shared" si="144"/>
        <v>0</v>
      </c>
      <c r="BZ576" s="462">
        <f t="shared" si="145"/>
        <v>0</v>
      </c>
      <c r="CA576" s="462">
        <f t="shared" si="146"/>
        <v>0</v>
      </c>
      <c r="CB576" s="462">
        <f t="shared" si="147"/>
        <v>0</v>
      </c>
      <c r="CC576" s="462">
        <f>IF(AT576&lt;&gt;0,SSHICHG*Y576,0)</f>
        <v>0</v>
      </c>
      <c r="CD576" s="462">
        <f>IF(AND(AT576&lt;&gt;0,AN576&lt;&gt;"NE"),VLOOKUP(AN576,Retirement_Rates,5,FALSE)*Y576,0)</f>
        <v>0</v>
      </c>
      <c r="CE576" s="462">
        <f>IF(AND(AT576&lt;&gt;0,AJ576&lt;&gt;"PF"),LifeCHG*Y576,0)</f>
        <v>0</v>
      </c>
      <c r="CF576" s="462">
        <f>IF(AND(AT576&lt;&gt;0,AM576="Y"),UICHG*Y576,0)</f>
        <v>0</v>
      </c>
      <c r="CG576" s="462">
        <f>IF(AND(AT576&lt;&gt;0,N576&lt;&gt;"NR"),DHRCHG*Y576,0)</f>
        <v>0</v>
      </c>
      <c r="CH576" s="462">
        <f>IF(AT576&lt;&gt;0,WCCHG*Y576,0)</f>
        <v>0</v>
      </c>
      <c r="CI576" s="462">
        <f>IF(OR(AND(AT576&lt;&gt;0,AJ576&lt;&gt;"PF",AN576&lt;&gt;"NE",AG576&lt;&gt;"A"),AND(AL576="E",OR(AT576=1,AT576=3))),SickCHG*Y576,0)</f>
        <v>0</v>
      </c>
      <c r="CJ576" s="462">
        <f t="shared" si="148"/>
        <v>0</v>
      </c>
      <c r="CK576" s="462" t="str">
        <f t="shared" si="149"/>
        <v/>
      </c>
      <c r="CL576" s="462">
        <f t="shared" si="150"/>
        <v>0</v>
      </c>
      <c r="CM576" s="462">
        <f t="shared" si="151"/>
        <v>0</v>
      </c>
      <c r="CN576" s="462" t="str">
        <f t="shared" si="152"/>
        <v>0486-00</v>
      </c>
    </row>
    <row r="577" spans="1:92" ht="15" thickBot="1" x14ac:dyDescent="0.35">
      <c r="A577" s="376" t="s">
        <v>161</v>
      </c>
      <c r="B577" s="376" t="s">
        <v>162</v>
      </c>
      <c r="C577" s="376" t="s">
        <v>1264</v>
      </c>
      <c r="D577" s="376" t="s">
        <v>1156</v>
      </c>
      <c r="E577" s="376" t="s">
        <v>1140</v>
      </c>
      <c r="F577" s="377" t="s">
        <v>166</v>
      </c>
      <c r="G577" s="376" t="s">
        <v>1141</v>
      </c>
      <c r="H577" s="378"/>
      <c r="I577" s="378"/>
      <c r="J577" s="376" t="s">
        <v>168</v>
      </c>
      <c r="K577" s="376" t="s">
        <v>1157</v>
      </c>
      <c r="L577" s="376" t="s">
        <v>166</v>
      </c>
      <c r="M577" s="376" t="s">
        <v>201</v>
      </c>
      <c r="N577" s="376" t="s">
        <v>291</v>
      </c>
      <c r="O577" s="379">
        <v>0</v>
      </c>
      <c r="P577" s="460">
        <v>1</v>
      </c>
      <c r="Q577" s="460">
        <v>0</v>
      </c>
      <c r="R577" s="380">
        <v>0</v>
      </c>
      <c r="S577" s="460">
        <v>0</v>
      </c>
      <c r="T577" s="380">
        <v>0</v>
      </c>
      <c r="U577" s="380">
        <v>0</v>
      </c>
      <c r="V577" s="380">
        <v>0</v>
      </c>
      <c r="W577" s="380">
        <v>0</v>
      </c>
      <c r="X577" s="380">
        <v>0</v>
      </c>
      <c r="Y577" s="380">
        <v>0</v>
      </c>
      <c r="Z577" s="380">
        <v>0</v>
      </c>
      <c r="AA577" s="378"/>
      <c r="AB577" s="376" t="s">
        <v>45</v>
      </c>
      <c r="AC577" s="376" t="s">
        <v>45</v>
      </c>
      <c r="AD577" s="378"/>
      <c r="AE577" s="378"/>
      <c r="AF577" s="378"/>
      <c r="AG577" s="378"/>
      <c r="AH577" s="379">
        <v>0</v>
      </c>
      <c r="AI577" s="379">
        <v>0</v>
      </c>
      <c r="AJ577" s="378"/>
      <c r="AK577" s="378"/>
      <c r="AL577" s="376" t="s">
        <v>180</v>
      </c>
      <c r="AM577" s="378"/>
      <c r="AN577" s="378"/>
      <c r="AO577" s="379">
        <v>0</v>
      </c>
      <c r="AP577" s="460">
        <v>0</v>
      </c>
      <c r="AQ577" s="460">
        <v>0</v>
      </c>
      <c r="AR577" s="459"/>
      <c r="AS577" s="462">
        <f t="shared" si="136"/>
        <v>0</v>
      </c>
      <c r="AT577">
        <f t="shared" si="137"/>
        <v>0</v>
      </c>
      <c r="AU577" s="462" t="str">
        <f>IF(AT577=0,"",IF(AND(AT577=1,M577="F",SUMIF(C2:C698,C577,AS2:AS698)&lt;=1),SUMIF(C2:C698,C577,AS2:AS698),IF(AND(AT577=1,M577="F",SUMIF(C2:C698,C577,AS2:AS698)&gt;1),1,"")))</f>
        <v/>
      </c>
      <c r="AV577" s="462" t="str">
        <f>IF(AT577=0,"",IF(AND(AT577=3,M577="F",SUMIF(C2:C698,C577,AS2:AS698)&lt;=1),SUMIF(C2:C698,C577,AS2:AS698),IF(AND(AT577=3,M577="F",SUMIF(C2:C698,C577,AS2:AS698)&gt;1),1,"")))</f>
        <v/>
      </c>
      <c r="AW577" s="462">
        <f>SUMIF(C2:C698,C577,O2:O698)</f>
        <v>0</v>
      </c>
      <c r="AX577" s="462">
        <f>IF(AND(M577="F",AS577&lt;&gt;0),SUMIF(C2:C698,C577,W2:W698),0)</f>
        <v>0</v>
      </c>
      <c r="AY577" s="462" t="str">
        <f t="shared" si="138"/>
        <v/>
      </c>
      <c r="AZ577" s="462" t="str">
        <f t="shared" si="139"/>
        <v/>
      </c>
      <c r="BA577" s="462">
        <f t="shared" si="140"/>
        <v>0</v>
      </c>
      <c r="BB577" s="462">
        <f>IF(AND(AT577=1,AK577="E",AU577&gt;=0.75,AW577=1),Health,IF(AND(AT577=1,AK577="E",AU577&gt;=0.75),Health*P577,IF(AND(AT577=1,AK577="E",AU577&gt;=0.5,AW577=1),PTHealth,IF(AND(AT577=1,AK577="E",AU577&gt;=0.5),PTHealth*P577,0))))</f>
        <v>0</v>
      </c>
      <c r="BC577" s="462">
        <f>IF(AND(AT577=3,AK577="E",AV577&gt;=0.75,AW577=1),Health,IF(AND(AT577=3,AK577="E",AV577&gt;=0.75),Health*P577,IF(AND(AT577=3,AK577="E",AV577&gt;=0.5,AW577=1),PTHealth,IF(AND(AT577=3,AK577="E",AV577&gt;=0.5),PTHealth*P577,0))))</f>
        <v>0</v>
      </c>
      <c r="BD577" s="462">
        <f>IF(AND(AT577&lt;&gt;0,AX577&gt;=MAXSSDI),SSDI*MAXSSDI*P577,IF(AT577&lt;&gt;0,SSDI*W577,0))</f>
        <v>0</v>
      </c>
      <c r="BE577" s="462">
        <f>IF(AT577&lt;&gt;0,SSHI*W577,0)</f>
        <v>0</v>
      </c>
      <c r="BF577" s="462">
        <f>IF(AND(AT577&lt;&gt;0,AN577&lt;&gt;"NE"),VLOOKUP(AN577,Retirement_Rates,3,FALSE)*W577,0)</f>
        <v>0</v>
      </c>
      <c r="BG577" s="462">
        <f>IF(AND(AT577&lt;&gt;0,AJ577&lt;&gt;"PF"),Life*W577,0)</f>
        <v>0</v>
      </c>
      <c r="BH577" s="462">
        <f>IF(AND(AT577&lt;&gt;0,AM577="Y"),UI*W577,0)</f>
        <v>0</v>
      </c>
      <c r="BI577" s="462">
        <f>IF(AND(AT577&lt;&gt;0,N577&lt;&gt;"NR"),DHR*W577,0)</f>
        <v>0</v>
      </c>
      <c r="BJ577" s="462">
        <f>IF(AT577&lt;&gt;0,WC*W577,0)</f>
        <v>0</v>
      </c>
      <c r="BK577" s="462">
        <f>IF(OR(AND(AT577&lt;&gt;0,AJ577&lt;&gt;"PF",AN577&lt;&gt;"NE",AG577&lt;&gt;"A"),AND(AL577="E",OR(AT577=1,AT577=3))),Sick*W577,0)</f>
        <v>0</v>
      </c>
      <c r="BL577" s="462">
        <f t="shared" si="141"/>
        <v>0</v>
      </c>
      <c r="BM577" s="462">
        <f t="shared" si="142"/>
        <v>0</v>
      </c>
      <c r="BN577" s="462">
        <f>IF(AND(AT577=1,AK577="E",AU577&gt;=0.75,AW577=1),HealthBY,IF(AND(AT577=1,AK577="E",AU577&gt;=0.75),HealthBY*P577,IF(AND(AT577=1,AK577="E",AU577&gt;=0.5,AW577=1),PTHealthBY,IF(AND(AT577=1,AK577="E",AU577&gt;=0.5),PTHealthBY*P577,0))))</f>
        <v>0</v>
      </c>
      <c r="BO577" s="462">
        <f>IF(AND(AT577=3,AK577="E",AV577&gt;=0.75,AW577=1),HealthBY,IF(AND(AT577=3,AK577="E",AV577&gt;=0.75),HealthBY*P577,IF(AND(AT577=3,AK577="E",AV577&gt;=0.5,AW577=1),PTHealthBY,IF(AND(AT577=3,AK577="E",AV577&gt;=0.5),PTHealthBY*P577,0))))</f>
        <v>0</v>
      </c>
      <c r="BP577" s="462">
        <f>IF(AND(AT577&lt;&gt;0,(AX577+BA577)&gt;=MAXSSDIBY),SSDIBY*MAXSSDIBY*P577,IF(AT577&lt;&gt;0,SSDIBY*W577,0))</f>
        <v>0</v>
      </c>
      <c r="BQ577" s="462">
        <f>IF(AT577&lt;&gt;0,SSHIBY*W577,0)</f>
        <v>0</v>
      </c>
      <c r="BR577" s="462">
        <f>IF(AND(AT577&lt;&gt;0,AN577&lt;&gt;"NE"),VLOOKUP(AN577,Retirement_Rates,4,FALSE)*W577,0)</f>
        <v>0</v>
      </c>
      <c r="BS577" s="462">
        <f>IF(AND(AT577&lt;&gt;0,AJ577&lt;&gt;"PF"),LifeBY*W577,0)</f>
        <v>0</v>
      </c>
      <c r="BT577" s="462">
        <f>IF(AND(AT577&lt;&gt;0,AM577="Y"),UIBY*W577,0)</f>
        <v>0</v>
      </c>
      <c r="BU577" s="462">
        <f>IF(AND(AT577&lt;&gt;0,N577&lt;&gt;"NR"),DHRBY*W577,0)</f>
        <v>0</v>
      </c>
      <c r="BV577" s="462">
        <f>IF(AT577&lt;&gt;0,WCBY*W577,0)</f>
        <v>0</v>
      </c>
      <c r="BW577" s="462">
        <f>IF(OR(AND(AT577&lt;&gt;0,AJ577&lt;&gt;"PF",AN577&lt;&gt;"NE",AG577&lt;&gt;"A"),AND(AL577="E",OR(AT577=1,AT577=3))),SickBY*W577,0)</f>
        <v>0</v>
      </c>
      <c r="BX577" s="462">
        <f t="shared" si="143"/>
        <v>0</v>
      </c>
      <c r="BY577" s="462">
        <f t="shared" si="144"/>
        <v>0</v>
      </c>
      <c r="BZ577" s="462">
        <f t="shared" si="145"/>
        <v>0</v>
      </c>
      <c r="CA577" s="462">
        <f t="shared" si="146"/>
        <v>0</v>
      </c>
      <c r="CB577" s="462">
        <f t="shared" si="147"/>
        <v>0</v>
      </c>
      <c r="CC577" s="462">
        <f>IF(AT577&lt;&gt;0,SSHICHG*Y577,0)</f>
        <v>0</v>
      </c>
      <c r="CD577" s="462">
        <f>IF(AND(AT577&lt;&gt;0,AN577&lt;&gt;"NE"),VLOOKUP(AN577,Retirement_Rates,5,FALSE)*Y577,0)</f>
        <v>0</v>
      </c>
      <c r="CE577" s="462">
        <f>IF(AND(AT577&lt;&gt;0,AJ577&lt;&gt;"PF"),LifeCHG*Y577,0)</f>
        <v>0</v>
      </c>
      <c r="CF577" s="462">
        <f>IF(AND(AT577&lt;&gt;0,AM577="Y"),UICHG*Y577,0)</f>
        <v>0</v>
      </c>
      <c r="CG577" s="462">
        <f>IF(AND(AT577&lt;&gt;0,N577&lt;&gt;"NR"),DHRCHG*Y577,0)</f>
        <v>0</v>
      </c>
      <c r="CH577" s="462">
        <f>IF(AT577&lt;&gt;0,WCCHG*Y577,0)</f>
        <v>0</v>
      </c>
      <c r="CI577" s="462">
        <f>IF(OR(AND(AT577&lt;&gt;0,AJ577&lt;&gt;"PF",AN577&lt;&gt;"NE",AG577&lt;&gt;"A"),AND(AL577="E",OR(AT577=1,AT577=3))),SickCHG*Y577,0)</f>
        <v>0</v>
      </c>
      <c r="CJ577" s="462">
        <f t="shared" si="148"/>
        <v>0</v>
      </c>
      <c r="CK577" s="462" t="str">
        <f t="shared" si="149"/>
        <v/>
      </c>
      <c r="CL577" s="462">
        <f t="shared" si="150"/>
        <v>0</v>
      </c>
      <c r="CM577" s="462">
        <f t="shared" si="151"/>
        <v>0</v>
      </c>
      <c r="CN577" s="462" t="str">
        <f t="shared" si="152"/>
        <v>0486-00</v>
      </c>
    </row>
    <row r="578" spans="1:92" ht="15" thickBot="1" x14ac:dyDescent="0.35">
      <c r="A578" s="376" t="s">
        <v>161</v>
      </c>
      <c r="B578" s="376" t="s">
        <v>162</v>
      </c>
      <c r="C578" s="376" t="s">
        <v>1265</v>
      </c>
      <c r="D578" s="376" t="s">
        <v>1156</v>
      </c>
      <c r="E578" s="376" t="s">
        <v>1140</v>
      </c>
      <c r="F578" s="377" t="s">
        <v>166</v>
      </c>
      <c r="G578" s="376" t="s">
        <v>1141</v>
      </c>
      <c r="H578" s="378"/>
      <c r="I578" s="378"/>
      <c r="J578" s="376" t="s">
        <v>168</v>
      </c>
      <c r="K578" s="376" t="s">
        <v>1157</v>
      </c>
      <c r="L578" s="376" t="s">
        <v>166</v>
      </c>
      <c r="M578" s="376" t="s">
        <v>201</v>
      </c>
      <c r="N578" s="376" t="s">
        <v>291</v>
      </c>
      <c r="O578" s="379">
        <v>0</v>
      </c>
      <c r="P578" s="460">
        <v>1</v>
      </c>
      <c r="Q578" s="460">
        <v>0</v>
      </c>
      <c r="R578" s="380">
        <v>0</v>
      </c>
      <c r="S578" s="460">
        <v>0</v>
      </c>
      <c r="T578" s="380">
        <v>0</v>
      </c>
      <c r="U578" s="380">
        <v>0</v>
      </c>
      <c r="V578" s="380">
        <v>0</v>
      </c>
      <c r="W578" s="380">
        <v>0</v>
      </c>
      <c r="X578" s="380">
        <v>0</v>
      </c>
      <c r="Y578" s="380">
        <v>0</v>
      </c>
      <c r="Z578" s="380">
        <v>0</v>
      </c>
      <c r="AA578" s="378"/>
      <c r="AB578" s="376" t="s">
        <v>45</v>
      </c>
      <c r="AC578" s="376" t="s">
        <v>45</v>
      </c>
      <c r="AD578" s="378"/>
      <c r="AE578" s="378"/>
      <c r="AF578" s="378"/>
      <c r="AG578" s="378"/>
      <c r="AH578" s="379">
        <v>0</v>
      </c>
      <c r="AI578" s="379">
        <v>0</v>
      </c>
      <c r="AJ578" s="378"/>
      <c r="AK578" s="378"/>
      <c r="AL578" s="376" t="s">
        <v>180</v>
      </c>
      <c r="AM578" s="378"/>
      <c r="AN578" s="378"/>
      <c r="AO578" s="379">
        <v>0</v>
      </c>
      <c r="AP578" s="460">
        <v>0</v>
      </c>
      <c r="AQ578" s="460">
        <v>0</v>
      </c>
      <c r="AR578" s="459"/>
      <c r="AS578" s="462">
        <f t="shared" si="136"/>
        <v>0</v>
      </c>
      <c r="AT578">
        <f t="shared" si="137"/>
        <v>0</v>
      </c>
      <c r="AU578" s="462" t="str">
        <f>IF(AT578=0,"",IF(AND(AT578=1,M578="F",SUMIF(C2:C698,C578,AS2:AS698)&lt;=1),SUMIF(C2:C698,C578,AS2:AS698),IF(AND(AT578=1,M578="F",SUMIF(C2:C698,C578,AS2:AS698)&gt;1),1,"")))</f>
        <v/>
      </c>
      <c r="AV578" s="462" t="str">
        <f>IF(AT578=0,"",IF(AND(AT578=3,M578="F",SUMIF(C2:C698,C578,AS2:AS698)&lt;=1),SUMIF(C2:C698,C578,AS2:AS698),IF(AND(AT578=3,M578="F",SUMIF(C2:C698,C578,AS2:AS698)&gt;1),1,"")))</f>
        <v/>
      </c>
      <c r="AW578" s="462">
        <f>SUMIF(C2:C698,C578,O2:O698)</f>
        <v>0</v>
      </c>
      <c r="AX578" s="462">
        <f>IF(AND(M578="F",AS578&lt;&gt;0),SUMIF(C2:C698,C578,W2:W698),0)</f>
        <v>0</v>
      </c>
      <c r="AY578" s="462" t="str">
        <f t="shared" si="138"/>
        <v/>
      </c>
      <c r="AZ578" s="462" t="str">
        <f t="shared" si="139"/>
        <v/>
      </c>
      <c r="BA578" s="462">
        <f t="shared" si="140"/>
        <v>0</v>
      </c>
      <c r="BB578" s="462">
        <f>IF(AND(AT578=1,AK578="E",AU578&gt;=0.75,AW578=1),Health,IF(AND(AT578=1,AK578="E",AU578&gt;=0.75),Health*P578,IF(AND(AT578=1,AK578="E",AU578&gt;=0.5,AW578=1),PTHealth,IF(AND(AT578=1,AK578="E",AU578&gt;=0.5),PTHealth*P578,0))))</f>
        <v>0</v>
      </c>
      <c r="BC578" s="462">
        <f>IF(AND(AT578=3,AK578="E",AV578&gt;=0.75,AW578=1),Health,IF(AND(AT578=3,AK578="E",AV578&gt;=0.75),Health*P578,IF(AND(AT578=3,AK578="E",AV578&gt;=0.5,AW578=1),PTHealth,IF(AND(AT578=3,AK578="E",AV578&gt;=0.5),PTHealth*P578,0))))</f>
        <v>0</v>
      </c>
      <c r="BD578" s="462">
        <f>IF(AND(AT578&lt;&gt;0,AX578&gt;=MAXSSDI),SSDI*MAXSSDI*P578,IF(AT578&lt;&gt;0,SSDI*W578,0))</f>
        <v>0</v>
      </c>
      <c r="BE578" s="462">
        <f>IF(AT578&lt;&gt;0,SSHI*W578,0)</f>
        <v>0</v>
      </c>
      <c r="BF578" s="462">
        <f>IF(AND(AT578&lt;&gt;0,AN578&lt;&gt;"NE"),VLOOKUP(AN578,Retirement_Rates,3,FALSE)*W578,0)</f>
        <v>0</v>
      </c>
      <c r="BG578" s="462">
        <f>IF(AND(AT578&lt;&gt;0,AJ578&lt;&gt;"PF"),Life*W578,0)</f>
        <v>0</v>
      </c>
      <c r="BH578" s="462">
        <f>IF(AND(AT578&lt;&gt;0,AM578="Y"),UI*W578,0)</f>
        <v>0</v>
      </c>
      <c r="BI578" s="462">
        <f>IF(AND(AT578&lt;&gt;0,N578&lt;&gt;"NR"),DHR*W578,0)</f>
        <v>0</v>
      </c>
      <c r="BJ578" s="462">
        <f>IF(AT578&lt;&gt;0,WC*W578,0)</f>
        <v>0</v>
      </c>
      <c r="BK578" s="462">
        <f>IF(OR(AND(AT578&lt;&gt;0,AJ578&lt;&gt;"PF",AN578&lt;&gt;"NE",AG578&lt;&gt;"A"),AND(AL578="E",OR(AT578=1,AT578=3))),Sick*W578,0)</f>
        <v>0</v>
      </c>
      <c r="BL578" s="462">
        <f t="shared" si="141"/>
        <v>0</v>
      </c>
      <c r="BM578" s="462">
        <f t="shared" si="142"/>
        <v>0</v>
      </c>
      <c r="BN578" s="462">
        <f>IF(AND(AT578=1,AK578="E",AU578&gt;=0.75,AW578=1),HealthBY,IF(AND(AT578=1,AK578="E",AU578&gt;=0.75),HealthBY*P578,IF(AND(AT578=1,AK578="E",AU578&gt;=0.5,AW578=1),PTHealthBY,IF(AND(AT578=1,AK578="E",AU578&gt;=0.5),PTHealthBY*P578,0))))</f>
        <v>0</v>
      </c>
      <c r="BO578" s="462">
        <f>IF(AND(AT578=3,AK578="E",AV578&gt;=0.75,AW578=1),HealthBY,IF(AND(AT578=3,AK578="E",AV578&gt;=0.75),HealthBY*P578,IF(AND(AT578=3,AK578="E",AV578&gt;=0.5,AW578=1),PTHealthBY,IF(AND(AT578=3,AK578="E",AV578&gt;=0.5),PTHealthBY*P578,0))))</f>
        <v>0</v>
      </c>
      <c r="BP578" s="462">
        <f>IF(AND(AT578&lt;&gt;0,(AX578+BA578)&gt;=MAXSSDIBY),SSDIBY*MAXSSDIBY*P578,IF(AT578&lt;&gt;0,SSDIBY*W578,0))</f>
        <v>0</v>
      </c>
      <c r="BQ578" s="462">
        <f>IF(AT578&lt;&gt;0,SSHIBY*W578,0)</f>
        <v>0</v>
      </c>
      <c r="BR578" s="462">
        <f>IF(AND(AT578&lt;&gt;0,AN578&lt;&gt;"NE"),VLOOKUP(AN578,Retirement_Rates,4,FALSE)*W578,0)</f>
        <v>0</v>
      </c>
      <c r="BS578" s="462">
        <f>IF(AND(AT578&lt;&gt;0,AJ578&lt;&gt;"PF"),LifeBY*W578,0)</f>
        <v>0</v>
      </c>
      <c r="BT578" s="462">
        <f>IF(AND(AT578&lt;&gt;0,AM578="Y"),UIBY*W578,0)</f>
        <v>0</v>
      </c>
      <c r="BU578" s="462">
        <f>IF(AND(AT578&lt;&gt;0,N578&lt;&gt;"NR"),DHRBY*W578,0)</f>
        <v>0</v>
      </c>
      <c r="BV578" s="462">
        <f>IF(AT578&lt;&gt;0,WCBY*W578,0)</f>
        <v>0</v>
      </c>
      <c r="BW578" s="462">
        <f>IF(OR(AND(AT578&lt;&gt;0,AJ578&lt;&gt;"PF",AN578&lt;&gt;"NE",AG578&lt;&gt;"A"),AND(AL578="E",OR(AT578=1,AT578=3))),SickBY*W578,0)</f>
        <v>0</v>
      </c>
      <c r="BX578" s="462">
        <f t="shared" si="143"/>
        <v>0</v>
      </c>
      <c r="BY578" s="462">
        <f t="shared" si="144"/>
        <v>0</v>
      </c>
      <c r="BZ578" s="462">
        <f t="shared" si="145"/>
        <v>0</v>
      </c>
      <c r="CA578" s="462">
        <f t="shared" si="146"/>
        <v>0</v>
      </c>
      <c r="CB578" s="462">
        <f t="shared" si="147"/>
        <v>0</v>
      </c>
      <c r="CC578" s="462">
        <f>IF(AT578&lt;&gt;0,SSHICHG*Y578,0)</f>
        <v>0</v>
      </c>
      <c r="CD578" s="462">
        <f>IF(AND(AT578&lt;&gt;0,AN578&lt;&gt;"NE"),VLOOKUP(AN578,Retirement_Rates,5,FALSE)*Y578,0)</f>
        <v>0</v>
      </c>
      <c r="CE578" s="462">
        <f>IF(AND(AT578&lt;&gt;0,AJ578&lt;&gt;"PF"),LifeCHG*Y578,0)</f>
        <v>0</v>
      </c>
      <c r="CF578" s="462">
        <f>IF(AND(AT578&lt;&gt;0,AM578="Y"),UICHG*Y578,0)</f>
        <v>0</v>
      </c>
      <c r="CG578" s="462">
        <f>IF(AND(AT578&lt;&gt;0,N578&lt;&gt;"NR"),DHRCHG*Y578,0)</f>
        <v>0</v>
      </c>
      <c r="CH578" s="462">
        <f>IF(AT578&lt;&gt;0,WCCHG*Y578,0)</f>
        <v>0</v>
      </c>
      <c r="CI578" s="462">
        <f>IF(OR(AND(AT578&lt;&gt;0,AJ578&lt;&gt;"PF",AN578&lt;&gt;"NE",AG578&lt;&gt;"A"),AND(AL578="E",OR(AT578=1,AT578=3))),SickCHG*Y578,0)</f>
        <v>0</v>
      </c>
      <c r="CJ578" s="462">
        <f t="shared" si="148"/>
        <v>0</v>
      </c>
      <c r="CK578" s="462" t="str">
        <f t="shared" si="149"/>
        <v/>
      </c>
      <c r="CL578" s="462">
        <f t="shared" si="150"/>
        <v>0</v>
      </c>
      <c r="CM578" s="462">
        <f t="shared" si="151"/>
        <v>0</v>
      </c>
      <c r="CN578" s="462" t="str">
        <f t="shared" si="152"/>
        <v>0486-00</v>
      </c>
    </row>
    <row r="579" spans="1:92" ht="15" thickBot="1" x14ac:dyDescent="0.35">
      <c r="A579" s="376" t="s">
        <v>161</v>
      </c>
      <c r="B579" s="376" t="s">
        <v>162</v>
      </c>
      <c r="C579" s="376" t="s">
        <v>646</v>
      </c>
      <c r="D579" s="376" t="s">
        <v>647</v>
      </c>
      <c r="E579" s="376" t="s">
        <v>1140</v>
      </c>
      <c r="F579" s="377" t="s">
        <v>166</v>
      </c>
      <c r="G579" s="376" t="s">
        <v>1141</v>
      </c>
      <c r="H579" s="378"/>
      <c r="I579" s="378"/>
      <c r="J579" s="376" t="s">
        <v>168</v>
      </c>
      <c r="K579" s="376" t="s">
        <v>648</v>
      </c>
      <c r="L579" s="376" t="s">
        <v>166</v>
      </c>
      <c r="M579" s="376" t="s">
        <v>170</v>
      </c>
      <c r="N579" s="376" t="s">
        <v>291</v>
      </c>
      <c r="O579" s="379">
        <v>0</v>
      </c>
      <c r="P579" s="460">
        <v>1</v>
      </c>
      <c r="Q579" s="460">
        <v>0</v>
      </c>
      <c r="R579" s="380">
        <v>0</v>
      </c>
      <c r="S579" s="460">
        <v>0</v>
      </c>
      <c r="T579" s="380">
        <v>242305.3</v>
      </c>
      <c r="U579" s="380">
        <v>2047.99</v>
      </c>
      <c r="V579" s="380">
        <v>164011.17000000001</v>
      </c>
      <c r="W579" s="380">
        <v>245833.79</v>
      </c>
      <c r="X579" s="380">
        <v>165012.79</v>
      </c>
      <c r="Y579" s="380">
        <v>245833.79</v>
      </c>
      <c r="Z579" s="380">
        <v>165012.79</v>
      </c>
      <c r="AA579" s="378"/>
      <c r="AB579" s="376" t="s">
        <v>45</v>
      </c>
      <c r="AC579" s="376" t="s">
        <v>45</v>
      </c>
      <c r="AD579" s="378"/>
      <c r="AE579" s="378"/>
      <c r="AF579" s="378"/>
      <c r="AG579" s="378"/>
      <c r="AH579" s="379">
        <v>0</v>
      </c>
      <c r="AI579" s="379">
        <v>0</v>
      </c>
      <c r="AJ579" s="378"/>
      <c r="AK579" s="378"/>
      <c r="AL579" s="376" t="s">
        <v>180</v>
      </c>
      <c r="AM579" s="378"/>
      <c r="AN579" s="378"/>
      <c r="AO579" s="379">
        <v>0</v>
      </c>
      <c r="AP579" s="460">
        <v>0</v>
      </c>
      <c r="AQ579" s="460">
        <v>0</v>
      </c>
      <c r="AR579" s="459"/>
      <c r="AS579" s="462">
        <f t="shared" ref="AS579:AS642" si="153">IF(((AO579/80)*AP579*P579)&gt;1,AQ579,((AO579/80)*AP579*P579))</f>
        <v>0</v>
      </c>
      <c r="AT579">
        <f t="shared" ref="AT579:AT642" si="154">IF(AND(M579="F",N579&lt;&gt;"NG",AS579&lt;&gt;0,AND(AR579&lt;&gt;6,AR579&lt;&gt;36,AR579&lt;&gt;56),AG579&lt;&gt;"A",OR(AG579="H",AJ579="FS")),1,IF(AND(M579="F",N579&lt;&gt;"NG",AS579&lt;&gt;0,AG579="A"),3,0))</f>
        <v>0</v>
      </c>
      <c r="AU579" s="462" t="str">
        <f>IF(AT579=0,"",IF(AND(AT579=1,M579="F",SUMIF(C2:C698,C579,AS2:AS698)&lt;=1),SUMIF(C2:C698,C579,AS2:AS698),IF(AND(AT579=1,M579="F",SUMIF(C2:C698,C579,AS2:AS698)&gt;1),1,"")))</f>
        <v/>
      </c>
      <c r="AV579" s="462" t="str">
        <f>IF(AT579=0,"",IF(AND(AT579=3,M579="F",SUMIF(C2:C698,C579,AS2:AS698)&lt;=1),SUMIF(C2:C698,C579,AS2:AS698),IF(AND(AT579=3,M579="F",SUMIF(C2:C698,C579,AS2:AS698)&gt;1),1,"")))</f>
        <v/>
      </c>
      <c r="AW579" s="462">
        <f>SUMIF(C2:C698,C579,O2:O698)</f>
        <v>0</v>
      </c>
      <c r="AX579" s="462">
        <f>IF(AND(M579="F",AS579&lt;&gt;0),SUMIF(C2:C698,C579,W2:W698),0)</f>
        <v>0</v>
      </c>
      <c r="AY579" s="462" t="str">
        <f t="shared" ref="AY579:AY642" si="155">IF(AT579=1,W579,"")</f>
        <v/>
      </c>
      <c r="AZ579" s="462" t="str">
        <f t="shared" ref="AZ579:AZ642" si="156">IF(AT579=3,W579,"")</f>
        <v/>
      </c>
      <c r="BA579" s="462">
        <f t="shared" ref="BA579:BA642" si="157">IF(AT579=1,Y579-W579,0)</f>
        <v>0</v>
      </c>
      <c r="BB579" s="462">
        <f>IF(AND(AT579=1,AK579="E",AU579&gt;=0.75,AW579=1),Health,IF(AND(AT579=1,AK579="E",AU579&gt;=0.75),Health*P579,IF(AND(AT579=1,AK579="E",AU579&gt;=0.5,AW579=1),PTHealth,IF(AND(AT579=1,AK579="E",AU579&gt;=0.5),PTHealth*P579,0))))</f>
        <v>0</v>
      </c>
      <c r="BC579" s="462">
        <f>IF(AND(AT579=3,AK579="E",AV579&gt;=0.75,AW579=1),Health,IF(AND(AT579=3,AK579="E",AV579&gt;=0.75),Health*P579,IF(AND(AT579=3,AK579="E",AV579&gt;=0.5,AW579=1),PTHealth,IF(AND(AT579=3,AK579="E",AV579&gt;=0.5),PTHealth*P579,0))))</f>
        <v>0</v>
      </c>
      <c r="BD579" s="462">
        <f>IF(AND(AT579&lt;&gt;0,AX579&gt;=MAXSSDI),SSDI*MAXSSDI*P579,IF(AT579&lt;&gt;0,SSDI*W579,0))</f>
        <v>0</v>
      </c>
      <c r="BE579" s="462">
        <f>IF(AT579&lt;&gt;0,SSHI*W579,0)</f>
        <v>0</v>
      </c>
      <c r="BF579" s="462">
        <f>IF(AND(AT579&lt;&gt;0,AN579&lt;&gt;"NE"),VLOOKUP(AN579,Retirement_Rates,3,FALSE)*W579,0)</f>
        <v>0</v>
      </c>
      <c r="BG579" s="462">
        <f>IF(AND(AT579&lt;&gt;0,AJ579&lt;&gt;"PF"),Life*W579,0)</f>
        <v>0</v>
      </c>
      <c r="BH579" s="462">
        <f>IF(AND(AT579&lt;&gt;0,AM579="Y"),UI*W579,0)</f>
        <v>0</v>
      </c>
      <c r="BI579" s="462">
        <f>IF(AND(AT579&lt;&gt;0,N579&lt;&gt;"NR"),DHR*W579,0)</f>
        <v>0</v>
      </c>
      <c r="BJ579" s="462">
        <f>IF(AT579&lt;&gt;0,WC*W579,0)</f>
        <v>0</v>
      </c>
      <c r="BK579" s="462">
        <f>IF(OR(AND(AT579&lt;&gt;0,AJ579&lt;&gt;"PF",AN579&lt;&gt;"NE",AG579&lt;&gt;"A"),AND(AL579="E",OR(AT579=1,AT579=3))),Sick*W579,0)</f>
        <v>0</v>
      </c>
      <c r="BL579" s="462">
        <f t="shared" ref="BL579:BL642" si="158">IF(AT579=1,SUM(BD579:BK579),0)</f>
        <v>0</v>
      </c>
      <c r="BM579" s="462">
        <f t="shared" ref="BM579:BM642" si="159">IF(AT579=3,SUM(BD579:BK579),0)</f>
        <v>0</v>
      </c>
      <c r="BN579" s="462">
        <f>IF(AND(AT579=1,AK579="E",AU579&gt;=0.75,AW579=1),HealthBY,IF(AND(AT579=1,AK579="E",AU579&gt;=0.75),HealthBY*P579,IF(AND(AT579=1,AK579="E",AU579&gt;=0.5,AW579=1),PTHealthBY,IF(AND(AT579=1,AK579="E",AU579&gt;=0.5),PTHealthBY*P579,0))))</f>
        <v>0</v>
      </c>
      <c r="BO579" s="462">
        <f>IF(AND(AT579=3,AK579="E",AV579&gt;=0.75,AW579=1),HealthBY,IF(AND(AT579=3,AK579="E",AV579&gt;=0.75),HealthBY*P579,IF(AND(AT579=3,AK579="E",AV579&gt;=0.5,AW579=1),PTHealthBY,IF(AND(AT579=3,AK579="E",AV579&gt;=0.5),PTHealthBY*P579,0))))</f>
        <v>0</v>
      </c>
      <c r="BP579" s="462">
        <f>IF(AND(AT579&lt;&gt;0,(AX579+BA579)&gt;=MAXSSDIBY),SSDIBY*MAXSSDIBY*P579,IF(AT579&lt;&gt;0,SSDIBY*W579,0))</f>
        <v>0</v>
      </c>
      <c r="BQ579" s="462">
        <f>IF(AT579&lt;&gt;0,SSHIBY*W579,0)</f>
        <v>0</v>
      </c>
      <c r="BR579" s="462">
        <f>IF(AND(AT579&lt;&gt;0,AN579&lt;&gt;"NE"),VLOOKUP(AN579,Retirement_Rates,4,FALSE)*W579,0)</f>
        <v>0</v>
      </c>
      <c r="BS579" s="462">
        <f>IF(AND(AT579&lt;&gt;0,AJ579&lt;&gt;"PF"),LifeBY*W579,0)</f>
        <v>0</v>
      </c>
      <c r="BT579" s="462">
        <f>IF(AND(AT579&lt;&gt;0,AM579="Y"),UIBY*W579,0)</f>
        <v>0</v>
      </c>
      <c r="BU579" s="462">
        <f>IF(AND(AT579&lt;&gt;0,N579&lt;&gt;"NR"),DHRBY*W579,0)</f>
        <v>0</v>
      </c>
      <c r="BV579" s="462">
        <f>IF(AT579&lt;&gt;0,WCBY*W579,0)</f>
        <v>0</v>
      </c>
      <c r="BW579" s="462">
        <f>IF(OR(AND(AT579&lt;&gt;0,AJ579&lt;&gt;"PF",AN579&lt;&gt;"NE",AG579&lt;&gt;"A"),AND(AL579="E",OR(AT579=1,AT579=3))),SickBY*W579,0)</f>
        <v>0</v>
      </c>
      <c r="BX579" s="462">
        <f t="shared" ref="BX579:BX642" si="160">IF(AT579=1,SUM(BP579:BW579),0)</f>
        <v>0</v>
      </c>
      <c r="BY579" s="462">
        <f t="shared" ref="BY579:BY642" si="161">IF(AT579=3,SUM(BP579:BW579),0)</f>
        <v>0</v>
      </c>
      <c r="BZ579" s="462">
        <f t="shared" ref="BZ579:BZ642" si="162">IF(AT579=1,BN579-BB579,0)</f>
        <v>0</v>
      </c>
      <c r="CA579" s="462">
        <f t="shared" ref="CA579:CA642" si="163">IF(AT579=3,BO579-BC579,0)</f>
        <v>0</v>
      </c>
      <c r="CB579" s="462">
        <f t="shared" ref="CB579:CB642" si="164">BP579-BD579</f>
        <v>0</v>
      </c>
      <c r="CC579" s="462">
        <f>IF(AT579&lt;&gt;0,SSHICHG*Y579,0)</f>
        <v>0</v>
      </c>
      <c r="CD579" s="462">
        <f>IF(AND(AT579&lt;&gt;0,AN579&lt;&gt;"NE"),VLOOKUP(AN579,Retirement_Rates,5,FALSE)*Y579,0)</f>
        <v>0</v>
      </c>
      <c r="CE579" s="462">
        <f>IF(AND(AT579&lt;&gt;0,AJ579&lt;&gt;"PF"),LifeCHG*Y579,0)</f>
        <v>0</v>
      </c>
      <c r="CF579" s="462">
        <f>IF(AND(AT579&lt;&gt;0,AM579="Y"),UICHG*Y579,0)</f>
        <v>0</v>
      </c>
      <c r="CG579" s="462">
        <f>IF(AND(AT579&lt;&gt;0,N579&lt;&gt;"NR"),DHRCHG*Y579,0)</f>
        <v>0</v>
      </c>
      <c r="CH579" s="462">
        <f>IF(AT579&lt;&gt;0,WCCHG*Y579,0)</f>
        <v>0</v>
      </c>
      <c r="CI579" s="462">
        <f>IF(OR(AND(AT579&lt;&gt;0,AJ579&lt;&gt;"PF",AN579&lt;&gt;"NE",AG579&lt;&gt;"A"),AND(AL579="E",OR(AT579=1,AT579=3))),SickCHG*Y579,0)</f>
        <v>0</v>
      </c>
      <c r="CJ579" s="462">
        <f t="shared" ref="CJ579:CJ642" si="165">IF(AT579=1,SUM(CB579:CI579),0)</f>
        <v>0</v>
      </c>
      <c r="CK579" s="462" t="str">
        <f t="shared" ref="CK579:CK642" si="166">IF(AT579=3,SUM(CB579:CI579),"")</f>
        <v/>
      </c>
      <c r="CL579" s="462">
        <f t="shared" ref="CL579:CL642" si="167">IF(OR(N579="NG",AG579="D"),(T579+U579),"")</f>
        <v>244353.28999999998</v>
      </c>
      <c r="CM579" s="462">
        <f t="shared" ref="CM579:CM642" si="168">IF(OR(N579="NG",AG579="D"),V579,"")</f>
        <v>164011.17000000001</v>
      </c>
      <c r="CN579" s="462" t="str">
        <f t="shared" ref="CN579:CN642" si="169">E579 &amp; "-" &amp; F579</f>
        <v>0486-00</v>
      </c>
    </row>
    <row r="580" spans="1:92" ht="15" thickBot="1" x14ac:dyDescent="0.35">
      <c r="A580" s="376" t="s">
        <v>161</v>
      </c>
      <c r="B580" s="376" t="s">
        <v>162</v>
      </c>
      <c r="C580" s="376" t="s">
        <v>1266</v>
      </c>
      <c r="D580" s="376" t="s">
        <v>365</v>
      </c>
      <c r="E580" s="376" t="s">
        <v>1140</v>
      </c>
      <c r="F580" s="377" t="s">
        <v>166</v>
      </c>
      <c r="G580" s="376" t="s">
        <v>1141</v>
      </c>
      <c r="H580" s="378"/>
      <c r="I580" s="378"/>
      <c r="J580" s="376" t="s">
        <v>168</v>
      </c>
      <c r="K580" s="376" t="s">
        <v>366</v>
      </c>
      <c r="L580" s="376" t="s">
        <v>274</v>
      </c>
      <c r="M580" s="376" t="s">
        <v>170</v>
      </c>
      <c r="N580" s="376" t="s">
        <v>202</v>
      </c>
      <c r="O580" s="379">
        <v>1</v>
      </c>
      <c r="P580" s="460">
        <v>1</v>
      </c>
      <c r="Q580" s="460">
        <v>1</v>
      </c>
      <c r="R580" s="380">
        <v>80</v>
      </c>
      <c r="S580" s="460">
        <v>1</v>
      </c>
      <c r="T580" s="380">
        <v>37191.199999999997</v>
      </c>
      <c r="U580" s="380">
        <v>0</v>
      </c>
      <c r="V580" s="380">
        <v>17695.810000000001</v>
      </c>
      <c r="W580" s="380">
        <v>36400</v>
      </c>
      <c r="X580" s="380">
        <v>19889.86</v>
      </c>
      <c r="Y580" s="380">
        <v>36400</v>
      </c>
      <c r="Z580" s="380">
        <v>19795.22</v>
      </c>
      <c r="AA580" s="376" t="s">
        <v>1267</v>
      </c>
      <c r="AB580" s="376" t="s">
        <v>173</v>
      </c>
      <c r="AC580" s="376" t="s">
        <v>311</v>
      </c>
      <c r="AD580" s="376" t="s">
        <v>247</v>
      </c>
      <c r="AE580" s="376" t="s">
        <v>366</v>
      </c>
      <c r="AF580" s="376" t="s">
        <v>279</v>
      </c>
      <c r="AG580" s="376" t="s">
        <v>177</v>
      </c>
      <c r="AH580" s="381">
        <v>17.5</v>
      </c>
      <c r="AI580" s="379">
        <v>320</v>
      </c>
      <c r="AJ580" s="376" t="s">
        <v>178</v>
      </c>
      <c r="AK580" s="376" t="s">
        <v>179</v>
      </c>
      <c r="AL580" s="376" t="s">
        <v>180</v>
      </c>
      <c r="AM580" s="376" t="s">
        <v>181</v>
      </c>
      <c r="AN580" s="376" t="s">
        <v>68</v>
      </c>
      <c r="AO580" s="379">
        <v>80</v>
      </c>
      <c r="AP580" s="460">
        <v>1</v>
      </c>
      <c r="AQ580" s="460">
        <v>1</v>
      </c>
      <c r="AR580" s="458" t="s">
        <v>182</v>
      </c>
      <c r="AS580" s="462">
        <f t="shared" si="153"/>
        <v>1</v>
      </c>
      <c r="AT580">
        <f t="shared" si="154"/>
        <v>1</v>
      </c>
      <c r="AU580" s="462">
        <f>IF(AT580=0,"",IF(AND(AT580=1,M580="F",SUMIF(C2:C698,C580,AS2:AS698)&lt;=1),SUMIF(C2:C698,C580,AS2:AS698),IF(AND(AT580=1,M580="F",SUMIF(C2:C698,C580,AS2:AS698)&gt;1),1,"")))</f>
        <v>1</v>
      </c>
      <c r="AV580" s="462" t="str">
        <f>IF(AT580=0,"",IF(AND(AT580=3,M580="F",SUMIF(C2:C698,C580,AS2:AS698)&lt;=1),SUMIF(C2:C698,C580,AS2:AS698),IF(AND(AT580=3,M580="F",SUMIF(C2:C698,C580,AS2:AS698)&gt;1),1,"")))</f>
        <v/>
      </c>
      <c r="AW580" s="462">
        <f>SUMIF(C2:C698,C580,O2:O698)</f>
        <v>1</v>
      </c>
      <c r="AX580" s="462">
        <f>IF(AND(M580="F",AS580&lt;&gt;0),SUMIF(C2:C698,C580,W2:W698),0)</f>
        <v>36400</v>
      </c>
      <c r="AY580" s="462">
        <f t="shared" si="155"/>
        <v>36400</v>
      </c>
      <c r="AZ580" s="462" t="str">
        <f t="shared" si="156"/>
        <v/>
      </c>
      <c r="BA580" s="462">
        <f t="shared" si="157"/>
        <v>0</v>
      </c>
      <c r="BB580" s="462">
        <f>IF(AND(AT580=1,AK580="E",AU580&gt;=0.75,AW580=1),Health,IF(AND(AT580=1,AK580="E",AU580&gt;=0.75),Health*P580,IF(AND(AT580=1,AK580="E",AU580&gt;=0.5,AW580=1),PTHealth,IF(AND(AT580=1,AK580="E",AU580&gt;=0.5),PTHealth*P580,0))))</f>
        <v>11650</v>
      </c>
      <c r="BC580" s="462">
        <f>IF(AND(AT580=3,AK580="E",AV580&gt;=0.75,AW580=1),Health,IF(AND(AT580=3,AK580="E",AV580&gt;=0.75),Health*P580,IF(AND(AT580=3,AK580="E",AV580&gt;=0.5,AW580=1),PTHealth,IF(AND(AT580=3,AK580="E",AV580&gt;=0.5),PTHealth*P580,0))))</f>
        <v>0</v>
      </c>
      <c r="BD580" s="462">
        <f>IF(AND(AT580&lt;&gt;0,AX580&gt;=MAXSSDI),SSDI*MAXSSDI*P580,IF(AT580&lt;&gt;0,SSDI*W580,0))</f>
        <v>2256.8000000000002</v>
      </c>
      <c r="BE580" s="462">
        <f>IF(AT580&lt;&gt;0,SSHI*W580,0)</f>
        <v>527.80000000000007</v>
      </c>
      <c r="BF580" s="462">
        <f>IF(AND(AT580&lt;&gt;0,AN580&lt;&gt;"NE"),VLOOKUP(AN580,Retirement_Rates,3,FALSE)*W580,0)</f>
        <v>4346.16</v>
      </c>
      <c r="BG580" s="462">
        <f>IF(AND(AT580&lt;&gt;0,AJ580&lt;&gt;"PF"),Life*W580,0)</f>
        <v>262.44400000000002</v>
      </c>
      <c r="BH580" s="462">
        <f>IF(AND(AT580&lt;&gt;0,AM580="Y"),UI*W580,0)</f>
        <v>178.35999999999999</v>
      </c>
      <c r="BI580" s="462">
        <f>IF(AND(AT580&lt;&gt;0,N580&lt;&gt;"NR"),DHR*W580,0)</f>
        <v>111.38399999999999</v>
      </c>
      <c r="BJ580" s="462">
        <f>IF(AT580&lt;&gt;0,WC*W580,0)</f>
        <v>556.91999999999996</v>
      </c>
      <c r="BK580" s="462">
        <f>IF(OR(AND(AT580&lt;&gt;0,AJ580&lt;&gt;"PF",AN580&lt;&gt;"NE",AG580&lt;&gt;"A"),AND(AL580="E",OR(AT580=1,AT580=3))),Sick*W580,0)</f>
        <v>0</v>
      </c>
      <c r="BL580" s="462">
        <f t="shared" si="158"/>
        <v>8239.8680000000004</v>
      </c>
      <c r="BM580" s="462">
        <f t="shared" si="159"/>
        <v>0</v>
      </c>
      <c r="BN580" s="462">
        <f>IF(AND(AT580=1,AK580="E",AU580&gt;=0.75,AW580=1),HealthBY,IF(AND(AT580=1,AK580="E",AU580&gt;=0.75),HealthBY*P580,IF(AND(AT580=1,AK580="E",AU580&gt;=0.5,AW580=1),PTHealthBY,IF(AND(AT580=1,AK580="E",AU580&gt;=0.5),PTHealthBY*P580,0))))</f>
        <v>11650</v>
      </c>
      <c r="BO580" s="462">
        <f>IF(AND(AT580=3,AK580="E",AV580&gt;=0.75,AW580=1),HealthBY,IF(AND(AT580=3,AK580="E",AV580&gt;=0.75),HealthBY*P580,IF(AND(AT580=3,AK580="E",AV580&gt;=0.5,AW580=1),PTHealthBY,IF(AND(AT580=3,AK580="E",AV580&gt;=0.5),PTHealthBY*P580,0))))</f>
        <v>0</v>
      </c>
      <c r="BP580" s="462">
        <f>IF(AND(AT580&lt;&gt;0,(AX580+BA580)&gt;=MAXSSDIBY),SSDIBY*MAXSSDIBY*P580,IF(AT580&lt;&gt;0,SSDIBY*W580,0))</f>
        <v>2256.8000000000002</v>
      </c>
      <c r="BQ580" s="462">
        <f>IF(AT580&lt;&gt;0,SSHIBY*W580,0)</f>
        <v>527.80000000000007</v>
      </c>
      <c r="BR580" s="462">
        <f>IF(AND(AT580&lt;&gt;0,AN580&lt;&gt;"NE"),VLOOKUP(AN580,Retirement_Rates,4,FALSE)*W580,0)</f>
        <v>4346.16</v>
      </c>
      <c r="BS580" s="462">
        <f>IF(AND(AT580&lt;&gt;0,AJ580&lt;&gt;"PF"),LifeBY*W580,0)</f>
        <v>262.44400000000002</v>
      </c>
      <c r="BT580" s="462">
        <f>IF(AND(AT580&lt;&gt;0,AM580="Y"),UIBY*W580,0)</f>
        <v>0</v>
      </c>
      <c r="BU580" s="462">
        <f>IF(AND(AT580&lt;&gt;0,N580&lt;&gt;"NR"),DHRBY*W580,0)</f>
        <v>111.38399999999999</v>
      </c>
      <c r="BV580" s="462">
        <f>IF(AT580&lt;&gt;0,WCBY*W580,0)</f>
        <v>640.64</v>
      </c>
      <c r="BW580" s="462">
        <f>IF(OR(AND(AT580&lt;&gt;0,AJ580&lt;&gt;"PF",AN580&lt;&gt;"NE",AG580&lt;&gt;"A"),AND(AL580="E",OR(AT580=1,AT580=3))),SickBY*W580,0)</f>
        <v>0</v>
      </c>
      <c r="BX580" s="462">
        <f t="shared" si="160"/>
        <v>8145.228000000001</v>
      </c>
      <c r="BY580" s="462">
        <f t="shared" si="161"/>
        <v>0</v>
      </c>
      <c r="BZ580" s="462">
        <f t="shared" si="162"/>
        <v>0</v>
      </c>
      <c r="CA580" s="462">
        <f t="shared" si="163"/>
        <v>0</v>
      </c>
      <c r="CB580" s="462">
        <f t="shared" si="164"/>
        <v>0</v>
      </c>
      <c r="CC580" s="462">
        <f>IF(AT580&lt;&gt;0,SSHICHG*Y580,0)</f>
        <v>0</v>
      </c>
      <c r="CD580" s="462">
        <f>IF(AND(AT580&lt;&gt;0,AN580&lt;&gt;"NE"),VLOOKUP(AN580,Retirement_Rates,5,FALSE)*Y580,0)</f>
        <v>0</v>
      </c>
      <c r="CE580" s="462">
        <f>IF(AND(AT580&lt;&gt;0,AJ580&lt;&gt;"PF"),LifeCHG*Y580,0)</f>
        <v>0</v>
      </c>
      <c r="CF580" s="462">
        <f>IF(AND(AT580&lt;&gt;0,AM580="Y"),UICHG*Y580,0)</f>
        <v>-178.35999999999999</v>
      </c>
      <c r="CG580" s="462">
        <f>IF(AND(AT580&lt;&gt;0,N580&lt;&gt;"NR"),DHRCHG*Y580,0)</f>
        <v>0</v>
      </c>
      <c r="CH580" s="462">
        <f>IF(AT580&lt;&gt;0,WCCHG*Y580,0)</f>
        <v>83.720000000000056</v>
      </c>
      <c r="CI580" s="462">
        <f>IF(OR(AND(AT580&lt;&gt;0,AJ580&lt;&gt;"PF",AN580&lt;&gt;"NE",AG580&lt;&gt;"A"),AND(AL580="E",OR(AT580=1,AT580=3))),SickCHG*Y580,0)</f>
        <v>0</v>
      </c>
      <c r="CJ580" s="462">
        <f t="shared" si="165"/>
        <v>-94.63999999999993</v>
      </c>
      <c r="CK580" s="462" t="str">
        <f t="shared" si="166"/>
        <v/>
      </c>
      <c r="CL580" s="462" t="str">
        <f t="shared" si="167"/>
        <v/>
      </c>
      <c r="CM580" s="462" t="str">
        <f t="shared" si="168"/>
        <v/>
      </c>
      <c r="CN580" s="462" t="str">
        <f t="shared" si="169"/>
        <v>0486-00</v>
      </c>
    </row>
    <row r="581" spans="1:92" ht="15" thickBot="1" x14ac:dyDescent="0.35">
      <c r="A581" s="376" t="s">
        <v>161</v>
      </c>
      <c r="B581" s="376" t="s">
        <v>162</v>
      </c>
      <c r="C581" s="376" t="s">
        <v>1268</v>
      </c>
      <c r="D581" s="376" t="s">
        <v>1196</v>
      </c>
      <c r="E581" s="376" t="s">
        <v>1140</v>
      </c>
      <c r="F581" s="377" t="s">
        <v>166</v>
      </c>
      <c r="G581" s="376" t="s">
        <v>1141</v>
      </c>
      <c r="H581" s="378"/>
      <c r="I581" s="378"/>
      <c r="J581" s="376" t="s">
        <v>168</v>
      </c>
      <c r="K581" s="376" t="s">
        <v>1197</v>
      </c>
      <c r="L581" s="376" t="s">
        <v>166</v>
      </c>
      <c r="M581" s="376" t="s">
        <v>201</v>
      </c>
      <c r="N581" s="376" t="s">
        <v>291</v>
      </c>
      <c r="O581" s="379">
        <v>0</v>
      </c>
      <c r="P581" s="460">
        <v>1</v>
      </c>
      <c r="Q581" s="460">
        <v>0</v>
      </c>
      <c r="R581" s="380">
        <v>0</v>
      </c>
      <c r="S581" s="460">
        <v>0</v>
      </c>
      <c r="T581" s="380">
        <v>0</v>
      </c>
      <c r="U581" s="380">
        <v>0</v>
      </c>
      <c r="V581" s="380">
        <v>0</v>
      </c>
      <c r="W581" s="380">
        <v>0</v>
      </c>
      <c r="X581" s="380">
        <v>0</v>
      </c>
      <c r="Y581" s="380">
        <v>0</v>
      </c>
      <c r="Z581" s="380">
        <v>0</v>
      </c>
      <c r="AA581" s="378"/>
      <c r="AB581" s="376" t="s">
        <v>45</v>
      </c>
      <c r="AC581" s="376" t="s">
        <v>45</v>
      </c>
      <c r="AD581" s="378"/>
      <c r="AE581" s="378"/>
      <c r="AF581" s="378"/>
      <c r="AG581" s="378"/>
      <c r="AH581" s="379">
        <v>0</v>
      </c>
      <c r="AI581" s="379">
        <v>0</v>
      </c>
      <c r="AJ581" s="378"/>
      <c r="AK581" s="378"/>
      <c r="AL581" s="376" t="s">
        <v>180</v>
      </c>
      <c r="AM581" s="378"/>
      <c r="AN581" s="378"/>
      <c r="AO581" s="379">
        <v>0</v>
      </c>
      <c r="AP581" s="460">
        <v>0</v>
      </c>
      <c r="AQ581" s="460">
        <v>0</v>
      </c>
      <c r="AR581" s="459"/>
      <c r="AS581" s="462">
        <f t="shared" si="153"/>
        <v>0</v>
      </c>
      <c r="AT581">
        <f t="shared" si="154"/>
        <v>0</v>
      </c>
      <c r="AU581" s="462" t="str">
        <f>IF(AT581=0,"",IF(AND(AT581=1,M581="F",SUMIF(C2:C698,C581,AS2:AS698)&lt;=1),SUMIF(C2:C698,C581,AS2:AS698),IF(AND(AT581=1,M581="F",SUMIF(C2:C698,C581,AS2:AS698)&gt;1),1,"")))</f>
        <v/>
      </c>
      <c r="AV581" s="462" t="str">
        <f>IF(AT581=0,"",IF(AND(AT581=3,M581="F",SUMIF(C2:C698,C581,AS2:AS698)&lt;=1),SUMIF(C2:C698,C581,AS2:AS698),IF(AND(AT581=3,M581="F",SUMIF(C2:C698,C581,AS2:AS698)&gt;1),1,"")))</f>
        <v/>
      </c>
      <c r="AW581" s="462">
        <f>SUMIF(C2:C698,C581,O2:O698)</f>
        <v>0</v>
      </c>
      <c r="AX581" s="462">
        <f>IF(AND(M581="F",AS581&lt;&gt;0),SUMIF(C2:C698,C581,W2:W698),0)</f>
        <v>0</v>
      </c>
      <c r="AY581" s="462" t="str">
        <f t="shared" si="155"/>
        <v/>
      </c>
      <c r="AZ581" s="462" t="str">
        <f t="shared" si="156"/>
        <v/>
      </c>
      <c r="BA581" s="462">
        <f t="shared" si="157"/>
        <v>0</v>
      </c>
      <c r="BB581" s="462">
        <f>IF(AND(AT581=1,AK581="E",AU581&gt;=0.75,AW581=1),Health,IF(AND(AT581=1,AK581="E",AU581&gt;=0.75),Health*P581,IF(AND(AT581=1,AK581="E",AU581&gt;=0.5,AW581=1),PTHealth,IF(AND(AT581=1,AK581="E",AU581&gt;=0.5),PTHealth*P581,0))))</f>
        <v>0</v>
      </c>
      <c r="BC581" s="462">
        <f>IF(AND(AT581=3,AK581="E",AV581&gt;=0.75,AW581=1),Health,IF(AND(AT581=3,AK581="E",AV581&gt;=0.75),Health*P581,IF(AND(AT581=3,AK581="E",AV581&gt;=0.5,AW581=1),PTHealth,IF(AND(AT581=3,AK581="E",AV581&gt;=0.5),PTHealth*P581,0))))</f>
        <v>0</v>
      </c>
      <c r="BD581" s="462">
        <f>IF(AND(AT581&lt;&gt;0,AX581&gt;=MAXSSDI),SSDI*MAXSSDI*P581,IF(AT581&lt;&gt;0,SSDI*W581,0))</f>
        <v>0</v>
      </c>
      <c r="BE581" s="462">
        <f>IF(AT581&lt;&gt;0,SSHI*W581,0)</f>
        <v>0</v>
      </c>
      <c r="BF581" s="462">
        <f>IF(AND(AT581&lt;&gt;0,AN581&lt;&gt;"NE"),VLOOKUP(AN581,Retirement_Rates,3,FALSE)*W581,0)</f>
        <v>0</v>
      </c>
      <c r="BG581" s="462">
        <f>IF(AND(AT581&lt;&gt;0,AJ581&lt;&gt;"PF"),Life*W581,0)</f>
        <v>0</v>
      </c>
      <c r="BH581" s="462">
        <f>IF(AND(AT581&lt;&gt;0,AM581="Y"),UI*W581,0)</f>
        <v>0</v>
      </c>
      <c r="BI581" s="462">
        <f>IF(AND(AT581&lt;&gt;0,N581&lt;&gt;"NR"),DHR*W581,0)</f>
        <v>0</v>
      </c>
      <c r="BJ581" s="462">
        <f>IF(AT581&lt;&gt;0,WC*W581,0)</f>
        <v>0</v>
      </c>
      <c r="BK581" s="462">
        <f>IF(OR(AND(AT581&lt;&gt;0,AJ581&lt;&gt;"PF",AN581&lt;&gt;"NE",AG581&lt;&gt;"A"),AND(AL581="E",OR(AT581=1,AT581=3))),Sick*W581,0)</f>
        <v>0</v>
      </c>
      <c r="BL581" s="462">
        <f t="shared" si="158"/>
        <v>0</v>
      </c>
      <c r="BM581" s="462">
        <f t="shared" si="159"/>
        <v>0</v>
      </c>
      <c r="BN581" s="462">
        <f>IF(AND(AT581=1,AK581="E",AU581&gt;=0.75,AW581=1),HealthBY,IF(AND(AT581=1,AK581="E",AU581&gt;=0.75),HealthBY*P581,IF(AND(AT581=1,AK581="E",AU581&gt;=0.5,AW581=1),PTHealthBY,IF(AND(AT581=1,AK581="E",AU581&gt;=0.5),PTHealthBY*P581,0))))</f>
        <v>0</v>
      </c>
      <c r="BO581" s="462">
        <f>IF(AND(AT581=3,AK581="E",AV581&gt;=0.75,AW581=1),HealthBY,IF(AND(AT581=3,AK581="E",AV581&gt;=0.75),HealthBY*P581,IF(AND(AT581=3,AK581="E",AV581&gt;=0.5,AW581=1),PTHealthBY,IF(AND(AT581=3,AK581="E",AV581&gt;=0.5),PTHealthBY*P581,0))))</f>
        <v>0</v>
      </c>
      <c r="BP581" s="462">
        <f>IF(AND(AT581&lt;&gt;0,(AX581+BA581)&gt;=MAXSSDIBY),SSDIBY*MAXSSDIBY*P581,IF(AT581&lt;&gt;0,SSDIBY*W581,0))</f>
        <v>0</v>
      </c>
      <c r="BQ581" s="462">
        <f>IF(AT581&lt;&gt;0,SSHIBY*W581,0)</f>
        <v>0</v>
      </c>
      <c r="BR581" s="462">
        <f>IF(AND(AT581&lt;&gt;0,AN581&lt;&gt;"NE"),VLOOKUP(AN581,Retirement_Rates,4,FALSE)*W581,0)</f>
        <v>0</v>
      </c>
      <c r="BS581" s="462">
        <f>IF(AND(AT581&lt;&gt;0,AJ581&lt;&gt;"PF"),LifeBY*W581,0)</f>
        <v>0</v>
      </c>
      <c r="BT581" s="462">
        <f>IF(AND(AT581&lt;&gt;0,AM581="Y"),UIBY*W581,0)</f>
        <v>0</v>
      </c>
      <c r="BU581" s="462">
        <f>IF(AND(AT581&lt;&gt;0,N581&lt;&gt;"NR"),DHRBY*W581,0)</f>
        <v>0</v>
      </c>
      <c r="BV581" s="462">
        <f>IF(AT581&lt;&gt;0,WCBY*W581,0)</f>
        <v>0</v>
      </c>
      <c r="BW581" s="462">
        <f>IF(OR(AND(AT581&lt;&gt;0,AJ581&lt;&gt;"PF",AN581&lt;&gt;"NE",AG581&lt;&gt;"A"),AND(AL581="E",OR(AT581=1,AT581=3))),SickBY*W581,0)</f>
        <v>0</v>
      </c>
      <c r="BX581" s="462">
        <f t="shared" si="160"/>
        <v>0</v>
      </c>
      <c r="BY581" s="462">
        <f t="shared" si="161"/>
        <v>0</v>
      </c>
      <c r="BZ581" s="462">
        <f t="shared" si="162"/>
        <v>0</v>
      </c>
      <c r="CA581" s="462">
        <f t="shared" si="163"/>
        <v>0</v>
      </c>
      <c r="CB581" s="462">
        <f t="shared" si="164"/>
        <v>0</v>
      </c>
      <c r="CC581" s="462">
        <f>IF(AT581&lt;&gt;0,SSHICHG*Y581,0)</f>
        <v>0</v>
      </c>
      <c r="CD581" s="462">
        <f>IF(AND(AT581&lt;&gt;0,AN581&lt;&gt;"NE"),VLOOKUP(AN581,Retirement_Rates,5,FALSE)*Y581,0)</f>
        <v>0</v>
      </c>
      <c r="CE581" s="462">
        <f>IF(AND(AT581&lt;&gt;0,AJ581&lt;&gt;"PF"),LifeCHG*Y581,0)</f>
        <v>0</v>
      </c>
      <c r="CF581" s="462">
        <f>IF(AND(AT581&lt;&gt;0,AM581="Y"),UICHG*Y581,0)</f>
        <v>0</v>
      </c>
      <c r="CG581" s="462">
        <f>IF(AND(AT581&lt;&gt;0,N581&lt;&gt;"NR"),DHRCHG*Y581,0)</f>
        <v>0</v>
      </c>
      <c r="CH581" s="462">
        <f>IF(AT581&lt;&gt;0,WCCHG*Y581,0)</f>
        <v>0</v>
      </c>
      <c r="CI581" s="462">
        <f>IF(OR(AND(AT581&lt;&gt;0,AJ581&lt;&gt;"PF",AN581&lt;&gt;"NE",AG581&lt;&gt;"A"),AND(AL581="E",OR(AT581=1,AT581=3))),SickCHG*Y581,0)</f>
        <v>0</v>
      </c>
      <c r="CJ581" s="462">
        <f t="shared" si="165"/>
        <v>0</v>
      </c>
      <c r="CK581" s="462" t="str">
        <f t="shared" si="166"/>
        <v/>
      </c>
      <c r="CL581" s="462">
        <f t="shared" si="167"/>
        <v>0</v>
      </c>
      <c r="CM581" s="462">
        <f t="shared" si="168"/>
        <v>0</v>
      </c>
      <c r="CN581" s="462" t="str">
        <f t="shared" si="169"/>
        <v>0486-00</v>
      </c>
    </row>
    <row r="582" spans="1:92" ht="15" thickBot="1" x14ac:dyDescent="0.35">
      <c r="A582" s="376" t="s">
        <v>161</v>
      </c>
      <c r="B582" s="376" t="s">
        <v>162</v>
      </c>
      <c r="C582" s="376" t="s">
        <v>1269</v>
      </c>
      <c r="D582" s="376" t="s">
        <v>1153</v>
      </c>
      <c r="E582" s="376" t="s">
        <v>1140</v>
      </c>
      <c r="F582" s="377" t="s">
        <v>166</v>
      </c>
      <c r="G582" s="376" t="s">
        <v>1141</v>
      </c>
      <c r="H582" s="378"/>
      <c r="I582" s="378"/>
      <c r="J582" s="376" t="s">
        <v>168</v>
      </c>
      <c r="K582" s="376" t="s">
        <v>1154</v>
      </c>
      <c r="L582" s="376" t="s">
        <v>166</v>
      </c>
      <c r="M582" s="376" t="s">
        <v>201</v>
      </c>
      <c r="N582" s="376" t="s">
        <v>291</v>
      </c>
      <c r="O582" s="379">
        <v>0</v>
      </c>
      <c r="P582" s="460">
        <v>1</v>
      </c>
      <c r="Q582" s="460">
        <v>0</v>
      </c>
      <c r="R582" s="380">
        <v>0</v>
      </c>
      <c r="S582" s="460">
        <v>0</v>
      </c>
      <c r="T582" s="380">
        <v>0</v>
      </c>
      <c r="U582" s="380">
        <v>0</v>
      </c>
      <c r="V582" s="380">
        <v>0</v>
      </c>
      <c r="W582" s="380">
        <v>0</v>
      </c>
      <c r="X582" s="380">
        <v>0</v>
      </c>
      <c r="Y582" s="380">
        <v>0</v>
      </c>
      <c r="Z582" s="380">
        <v>0</v>
      </c>
      <c r="AA582" s="378"/>
      <c r="AB582" s="376" t="s">
        <v>45</v>
      </c>
      <c r="AC582" s="376" t="s">
        <v>45</v>
      </c>
      <c r="AD582" s="378"/>
      <c r="AE582" s="378"/>
      <c r="AF582" s="378"/>
      <c r="AG582" s="378"/>
      <c r="AH582" s="379">
        <v>0</v>
      </c>
      <c r="AI582" s="379">
        <v>0</v>
      </c>
      <c r="AJ582" s="378"/>
      <c r="AK582" s="378"/>
      <c r="AL582" s="376" t="s">
        <v>180</v>
      </c>
      <c r="AM582" s="378"/>
      <c r="AN582" s="378"/>
      <c r="AO582" s="379">
        <v>0</v>
      </c>
      <c r="AP582" s="460">
        <v>0</v>
      </c>
      <c r="AQ582" s="460">
        <v>0</v>
      </c>
      <c r="AR582" s="459"/>
      <c r="AS582" s="462">
        <f t="shared" si="153"/>
        <v>0</v>
      </c>
      <c r="AT582">
        <f t="shared" si="154"/>
        <v>0</v>
      </c>
      <c r="AU582" s="462" t="str">
        <f>IF(AT582=0,"",IF(AND(AT582=1,M582="F",SUMIF(C2:C698,C582,AS2:AS698)&lt;=1),SUMIF(C2:C698,C582,AS2:AS698),IF(AND(AT582=1,M582="F",SUMIF(C2:C698,C582,AS2:AS698)&gt;1),1,"")))</f>
        <v/>
      </c>
      <c r="AV582" s="462" t="str">
        <f>IF(AT582=0,"",IF(AND(AT582=3,M582="F",SUMIF(C2:C698,C582,AS2:AS698)&lt;=1),SUMIF(C2:C698,C582,AS2:AS698),IF(AND(AT582=3,M582="F",SUMIF(C2:C698,C582,AS2:AS698)&gt;1),1,"")))</f>
        <v/>
      </c>
      <c r="AW582" s="462">
        <f>SUMIF(C2:C698,C582,O2:O698)</f>
        <v>0</v>
      </c>
      <c r="AX582" s="462">
        <f>IF(AND(M582="F",AS582&lt;&gt;0),SUMIF(C2:C698,C582,W2:W698),0)</f>
        <v>0</v>
      </c>
      <c r="AY582" s="462" t="str">
        <f t="shared" si="155"/>
        <v/>
      </c>
      <c r="AZ582" s="462" t="str">
        <f t="shared" si="156"/>
        <v/>
      </c>
      <c r="BA582" s="462">
        <f t="shared" si="157"/>
        <v>0</v>
      </c>
      <c r="BB582" s="462">
        <f>IF(AND(AT582=1,AK582="E",AU582&gt;=0.75,AW582=1),Health,IF(AND(AT582=1,AK582="E",AU582&gt;=0.75),Health*P582,IF(AND(AT582=1,AK582="E",AU582&gt;=0.5,AW582=1),PTHealth,IF(AND(AT582=1,AK582="E",AU582&gt;=0.5),PTHealth*P582,0))))</f>
        <v>0</v>
      </c>
      <c r="BC582" s="462">
        <f>IF(AND(AT582=3,AK582="E",AV582&gt;=0.75,AW582=1),Health,IF(AND(AT582=3,AK582="E",AV582&gt;=0.75),Health*P582,IF(AND(AT582=3,AK582="E",AV582&gt;=0.5,AW582=1),PTHealth,IF(AND(AT582=3,AK582="E",AV582&gt;=0.5),PTHealth*P582,0))))</f>
        <v>0</v>
      </c>
      <c r="BD582" s="462">
        <f>IF(AND(AT582&lt;&gt;0,AX582&gt;=MAXSSDI),SSDI*MAXSSDI*P582,IF(AT582&lt;&gt;0,SSDI*W582,0))</f>
        <v>0</v>
      </c>
      <c r="BE582" s="462">
        <f>IF(AT582&lt;&gt;0,SSHI*W582,0)</f>
        <v>0</v>
      </c>
      <c r="BF582" s="462">
        <f>IF(AND(AT582&lt;&gt;0,AN582&lt;&gt;"NE"),VLOOKUP(AN582,Retirement_Rates,3,FALSE)*W582,0)</f>
        <v>0</v>
      </c>
      <c r="BG582" s="462">
        <f>IF(AND(AT582&lt;&gt;0,AJ582&lt;&gt;"PF"),Life*W582,0)</f>
        <v>0</v>
      </c>
      <c r="BH582" s="462">
        <f>IF(AND(AT582&lt;&gt;0,AM582="Y"),UI*W582,0)</f>
        <v>0</v>
      </c>
      <c r="BI582" s="462">
        <f>IF(AND(AT582&lt;&gt;0,N582&lt;&gt;"NR"),DHR*W582,0)</f>
        <v>0</v>
      </c>
      <c r="BJ582" s="462">
        <f>IF(AT582&lt;&gt;0,WC*W582,0)</f>
        <v>0</v>
      </c>
      <c r="BK582" s="462">
        <f>IF(OR(AND(AT582&lt;&gt;0,AJ582&lt;&gt;"PF",AN582&lt;&gt;"NE",AG582&lt;&gt;"A"),AND(AL582="E",OR(AT582=1,AT582=3))),Sick*W582,0)</f>
        <v>0</v>
      </c>
      <c r="BL582" s="462">
        <f t="shared" si="158"/>
        <v>0</v>
      </c>
      <c r="BM582" s="462">
        <f t="shared" si="159"/>
        <v>0</v>
      </c>
      <c r="BN582" s="462">
        <f>IF(AND(AT582=1,AK582="E",AU582&gt;=0.75,AW582=1),HealthBY,IF(AND(AT582=1,AK582="E",AU582&gt;=0.75),HealthBY*P582,IF(AND(AT582=1,AK582="E",AU582&gt;=0.5,AW582=1),PTHealthBY,IF(AND(AT582=1,AK582="E",AU582&gt;=0.5),PTHealthBY*P582,0))))</f>
        <v>0</v>
      </c>
      <c r="BO582" s="462">
        <f>IF(AND(AT582=3,AK582="E",AV582&gt;=0.75,AW582=1),HealthBY,IF(AND(AT582=3,AK582="E",AV582&gt;=0.75),HealthBY*P582,IF(AND(AT582=3,AK582="E",AV582&gt;=0.5,AW582=1),PTHealthBY,IF(AND(AT582=3,AK582="E",AV582&gt;=0.5),PTHealthBY*P582,0))))</f>
        <v>0</v>
      </c>
      <c r="BP582" s="462">
        <f>IF(AND(AT582&lt;&gt;0,(AX582+BA582)&gt;=MAXSSDIBY),SSDIBY*MAXSSDIBY*P582,IF(AT582&lt;&gt;0,SSDIBY*W582,0))</f>
        <v>0</v>
      </c>
      <c r="BQ582" s="462">
        <f>IF(AT582&lt;&gt;0,SSHIBY*W582,0)</f>
        <v>0</v>
      </c>
      <c r="BR582" s="462">
        <f>IF(AND(AT582&lt;&gt;0,AN582&lt;&gt;"NE"),VLOOKUP(AN582,Retirement_Rates,4,FALSE)*W582,0)</f>
        <v>0</v>
      </c>
      <c r="BS582" s="462">
        <f>IF(AND(AT582&lt;&gt;0,AJ582&lt;&gt;"PF"),LifeBY*W582,0)</f>
        <v>0</v>
      </c>
      <c r="BT582" s="462">
        <f>IF(AND(AT582&lt;&gt;0,AM582="Y"),UIBY*W582,0)</f>
        <v>0</v>
      </c>
      <c r="BU582" s="462">
        <f>IF(AND(AT582&lt;&gt;0,N582&lt;&gt;"NR"),DHRBY*W582,0)</f>
        <v>0</v>
      </c>
      <c r="BV582" s="462">
        <f>IF(AT582&lt;&gt;0,WCBY*W582,0)</f>
        <v>0</v>
      </c>
      <c r="BW582" s="462">
        <f>IF(OR(AND(AT582&lt;&gt;0,AJ582&lt;&gt;"PF",AN582&lt;&gt;"NE",AG582&lt;&gt;"A"),AND(AL582="E",OR(AT582=1,AT582=3))),SickBY*W582,0)</f>
        <v>0</v>
      </c>
      <c r="BX582" s="462">
        <f t="shared" si="160"/>
        <v>0</v>
      </c>
      <c r="BY582" s="462">
        <f t="shared" si="161"/>
        <v>0</v>
      </c>
      <c r="BZ582" s="462">
        <f t="shared" si="162"/>
        <v>0</v>
      </c>
      <c r="CA582" s="462">
        <f t="shared" si="163"/>
        <v>0</v>
      </c>
      <c r="CB582" s="462">
        <f t="shared" si="164"/>
        <v>0</v>
      </c>
      <c r="CC582" s="462">
        <f>IF(AT582&lt;&gt;0,SSHICHG*Y582,0)</f>
        <v>0</v>
      </c>
      <c r="CD582" s="462">
        <f>IF(AND(AT582&lt;&gt;0,AN582&lt;&gt;"NE"),VLOOKUP(AN582,Retirement_Rates,5,FALSE)*Y582,0)</f>
        <v>0</v>
      </c>
      <c r="CE582" s="462">
        <f>IF(AND(AT582&lt;&gt;0,AJ582&lt;&gt;"PF"),LifeCHG*Y582,0)</f>
        <v>0</v>
      </c>
      <c r="CF582" s="462">
        <f>IF(AND(AT582&lt;&gt;0,AM582="Y"),UICHG*Y582,0)</f>
        <v>0</v>
      </c>
      <c r="CG582" s="462">
        <f>IF(AND(AT582&lt;&gt;0,N582&lt;&gt;"NR"),DHRCHG*Y582,0)</f>
        <v>0</v>
      </c>
      <c r="CH582" s="462">
        <f>IF(AT582&lt;&gt;0,WCCHG*Y582,0)</f>
        <v>0</v>
      </c>
      <c r="CI582" s="462">
        <f>IF(OR(AND(AT582&lt;&gt;0,AJ582&lt;&gt;"PF",AN582&lt;&gt;"NE",AG582&lt;&gt;"A"),AND(AL582="E",OR(AT582=1,AT582=3))),SickCHG*Y582,0)</f>
        <v>0</v>
      </c>
      <c r="CJ582" s="462">
        <f t="shared" si="165"/>
        <v>0</v>
      </c>
      <c r="CK582" s="462" t="str">
        <f t="shared" si="166"/>
        <v/>
      </c>
      <c r="CL582" s="462">
        <f t="shared" si="167"/>
        <v>0</v>
      </c>
      <c r="CM582" s="462">
        <f t="shared" si="168"/>
        <v>0</v>
      </c>
      <c r="CN582" s="462" t="str">
        <f t="shared" si="169"/>
        <v>0486-00</v>
      </c>
    </row>
    <row r="583" spans="1:92" ht="15" thickBot="1" x14ac:dyDescent="0.35">
      <c r="A583" s="376" t="s">
        <v>161</v>
      </c>
      <c r="B583" s="376" t="s">
        <v>162</v>
      </c>
      <c r="C583" s="376" t="s">
        <v>1270</v>
      </c>
      <c r="D583" s="376" t="s">
        <v>1153</v>
      </c>
      <c r="E583" s="376" t="s">
        <v>1140</v>
      </c>
      <c r="F583" s="377" t="s">
        <v>166</v>
      </c>
      <c r="G583" s="376" t="s">
        <v>1141</v>
      </c>
      <c r="H583" s="378"/>
      <c r="I583" s="378"/>
      <c r="J583" s="376" t="s">
        <v>168</v>
      </c>
      <c r="K583" s="376" t="s">
        <v>1154</v>
      </c>
      <c r="L583" s="376" t="s">
        <v>166</v>
      </c>
      <c r="M583" s="376" t="s">
        <v>201</v>
      </c>
      <c r="N583" s="376" t="s">
        <v>291</v>
      </c>
      <c r="O583" s="379">
        <v>0</v>
      </c>
      <c r="P583" s="460">
        <v>1</v>
      </c>
      <c r="Q583" s="460">
        <v>0</v>
      </c>
      <c r="R583" s="380">
        <v>0</v>
      </c>
      <c r="S583" s="460">
        <v>0</v>
      </c>
      <c r="T583" s="380">
        <v>0</v>
      </c>
      <c r="U583" s="380">
        <v>0</v>
      </c>
      <c r="V583" s="380">
        <v>0</v>
      </c>
      <c r="W583" s="380">
        <v>0</v>
      </c>
      <c r="X583" s="380">
        <v>0</v>
      </c>
      <c r="Y583" s="380">
        <v>0</v>
      </c>
      <c r="Z583" s="380">
        <v>0</v>
      </c>
      <c r="AA583" s="378"/>
      <c r="AB583" s="376" t="s">
        <v>45</v>
      </c>
      <c r="AC583" s="376" t="s">
        <v>45</v>
      </c>
      <c r="AD583" s="378"/>
      <c r="AE583" s="378"/>
      <c r="AF583" s="378"/>
      <c r="AG583" s="378"/>
      <c r="AH583" s="379">
        <v>0</v>
      </c>
      <c r="AI583" s="379">
        <v>0</v>
      </c>
      <c r="AJ583" s="378"/>
      <c r="AK583" s="378"/>
      <c r="AL583" s="376" t="s">
        <v>180</v>
      </c>
      <c r="AM583" s="378"/>
      <c r="AN583" s="378"/>
      <c r="AO583" s="379">
        <v>0</v>
      </c>
      <c r="AP583" s="460">
        <v>0</v>
      </c>
      <c r="AQ583" s="460">
        <v>0</v>
      </c>
      <c r="AR583" s="459"/>
      <c r="AS583" s="462">
        <f t="shared" si="153"/>
        <v>0</v>
      </c>
      <c r="AT583">
        <f t="shared" si="154"/>
        <v>0</v>
      </c>
      <c r="AU583" s="462" t="str">
        <f>IF(AT583=0,"",IF(AND(AT583=1,M583="F",SUMIF(C2:C698,C583,AS2:AS698)&lt;=1),SUMIF(C2:C698,C583,AS2:AS698),IF(AND(AT583=1,M583="F",SUMIF(C2:C698,C583,AS2:AS698)&gt;1),1,"")))</f>
        <v/>
      </c>
      <c r="AV583" s="462" t="str">
        <f>IF(AT583=0,"",IF(AND(AT583=3,M583="F",SUMIF(C2:C698,C583,AS2:AS698)&lt;=1),SUMIF(C2:C698,C583,AS2:AS698),IF(AND(AT583=3,M583="F",SUMIF(C2:C698,C583,AS2:AS698)&gt;1),1,"")))</f>
        <v/>
      </c>
      <c r="AW583" s="462">
        <f>SUMIF(C2:C698,C583,O2:O698)</f>
        <v>0</v>
      </c>
      <c r="AX583" s="462">
        <f>IF(AND(M583="F",AS583&lt;&gt;0),SUMIF(C2:C698,C583,W2:W698),0)</f>
        <v>0</v>
      </c>
      <c r="AY583" s="462" t="str">
        <f t="shared" si="155"/>
        <v/>
      </c>
      <c r="AZ583" s="462" t="str">
        <f t="shared" si="156"/>
        <v/>
      </c>
      <c r="BA583" s="462">
        <f t="shared" si="157"/>
        <v>0</v>
      </c>
      <c r="BB583" s="462">
        <f>IF(AND(AT583=1,AK583="E",AU583&gt;=0.75,AW583=1),Health,IF(AND(AT583=1,AK583="E",AU583&gt;=0.75),Health*P583,IF(AND(AT583=1,AK583="E",AU583&gt;=0.5,AW583=1),PTHealth,IF(AND(AT583=1,AK583="E",AU583&gt;=0.5),PTHealth*P583,0))))</f>
        <v>0</v>
      </c>
      <c r="BC583" s="462">
        <f>IF(AND(AT583=3,AK583="E",AV583&gt;=0.75,AW583=1),Health,IF(AND(AT583=3,AK583="E",AV583&gt;=0.75),Health*P583,IF(AND(AT583=3,AK583="E",AV583&gt;=0.5,AW583=1),PTHealth,IF(AND(AT583=3,AK583="E",AV583&gt;=0.5),PTHealth*P583,0))))</f>
        <v>0</v>
      </c>
      <c r="BD583" s="462">
        <f>IF(AND(AT583&lt;&gt;0,AX583&gt;=MAXSSDI),SSDI*MAXSSDI*P583,IF(AT583&lt;&gt;0,SSDI*W583,0))</f>
        <v>0</v>
      </c>
      <c r="BE583" s="462">
        <f>IF(AT583&lt;&gt;0,SSHI*W583,0)</f>
        <v>0</v>
      </c>
      <c r="BF583" s="462">
        <f>IF(AND(AT583&lt;&gt;0,AN583&lt;&gt;"NE"),VLOOKUP(AN583,Retirement_Rates,3,FALSE)*W583,0)</f>
        <v>0</v>
      </c>
      <c r="BG583" s="462">
        <f>IF(AND(AT583&lt;&gt;0,AJ583&lt;&gt;"PF"),Life*W583,0)</f>
        <v>0</v>
      </c>
      <c r="BH583" s="462">
        <f>IF(AND(AT583&lt;&gt;0,AM583="Y"),UI*W583,0)</f>
        <v>0</v>
      </c>
      <c r="BI583" s="462">
        <f>IF(AND(AT583&lt;&gt;0,N583&lt;&gt;"NR"),DHR*W583,0)</f>
        <v>0</v>
      </c>
      <c r="BJ583" s="462">
        <f>IF(AT583&lt;&gt;0,WC*W583,0)</f>
        <v>0</v>
      </c>
      <c r="BK583" s="462">
        <f>IF(OR(AND(AT583&lt;&gt;0,AJ583&lt;&gt;"PF",AN583&lt;&gt;"NE",AG583&lt;&gt;"A"),AND(AL583="E",OR(AT583=1,AT583=3))),Sick*W583,0)</f>
        <v>0</v>
      </c>
      <c r="BL583" s="462">
        <f t="shared" si="158"/>
        <v>0</v>
      </c>
      <c r="BM583" s="462">
        <f t="shared" si="159"/>
        <v>0</v>
      </c>
      <c r="BN583" s="462">
        <f>IF(AND(AT583=1,AK583="E",AU583&gt;=0.75,AW583=1),HealthBY,IF(AND(AT583=1,AK583="E",AU583&gt;=0.75),HealthBY*P583,IF(AND(AT583=1,AK583="E",AU583&gt;=0.5,AW583=1),PTHealthBY,IF(AND(AT583=1,AK583="E",AU583&gt;=0.5),PTHealthBY*P583,0))))</f>
        <v>0</v>
      </c>
      <c r="BO583" s="462">
        <f>IF(AND(AT583=3,AK583="E",AV583&gt;=0.75,AW583=1),HealthBY,IF(AND(AT583=3,AK583="E",AV583&gt;=0.75),HealthBY*P583,IF(AND(AT583=3,AK583="E",AV583&gt;=0.5,AW583=1),PTHealthBY,IF(AND(AT583=3,AK583="E",AV583&gt;=0.5),PTHealthBY*P583,0))))</f>
        <v>0</v>
      </c>
      <c r="BP583" s="462">
        <f>IF(AND(AT583&lt;&gt;0,(AX583+BA583)&gt;=MAXSSDIBY),SSDIBY*MAXSSDIBY*P583,IF(AT583&lt;&gt;0,SSDIBY*W583,0))</f>
        <v>0</v>
      </c>
      <c r="BQ583" s="462">
        <f>IF(AT583&lt;&gt;0,SSHIBY*W583,0)</f>
        <v>0</v>
      </c>
      <c r="BR583" s="462">
        <f>IF(AND(AT583&lt;&gt;0,AN583&lt;&gt;"NE"),VLOOKUP(AN583,Retirement_Rates,4,FALSE)*W583,0)</f>
        <v>0</v>
      </c>
      <c r="BS583" s="462">
        <f>IF(AND(AT583&lt;&gt;0,AJ583&lt;&gt;"PF"),LifeBY*W583,0)</f>
        <v>0</v>
      </c>
      <c r="BT583" s="462">
        <f>IF(AND(AT583&lt;&gt;0,AM583="Y"),UIBY*W583,0)</f>
        <v>0</v>
      </c>
      <c r="BU583" s="462">
        <f>IF(AND(AT583&lt;&gt;0,N583&lt;&gt;"NR"),DHRBY*W583,0)</f>
        <v>0</v>
      </c>
      <c r="BV583" s="462">
        <f>IF(AT583&lt;&gt;0,WCBY*W583,0)</f>
        <v>0</v>
      </c>
      <c r="BW583" s="462">
        <f>IF(OR(AND(AT583&lt;&gt;0,AJ583&lt;&gt;"PF",AN583&lt;&gt;"NE",AG583&lt;&gt;"A"),AND(AL583="E",OR(AT583=1,AT583=3))),SickBY*W583,0)</f>
        <v>0</v>
      </c>
      <c r="BX583" s="462">
        <f t="shared" si="160"/>
        <v>0</v>
      </c>
      <c r="BY583" s="462">
        <f t="shared" si="161"/>
        <v>0</v>
      </c>
      <c r="BZ583" s="462">
        <f t="shared" si="162"/>
        <v>0</v>
      </c>
      <c r="CA583" s="462">
        <f t="shared" si="163"/>
        <v>0</v>
      </c>
      <c r="CB583" s="462">
        <f t="shared" si="164"/>
        <v>0</v>
      </c>
      <c r="CC583" s="462">
        <f>IF(AT583&lt;&gt;0,SSHICHG*Y583,0)</f>
        <v>0</v>
      </c>
      <c r="CD583" s="462">
        <f>IF(AND(AT583&lt;&gt;0,AN583&lt;&gt;"NE"),VLOOKUP(AN583,Retirement_Rates,5,FALSE)*Y583,0)</f>
        <v>0</v>
      </c>
      <c r="CE583" s="462">
        <f>IF(AND(AT583&lt;&gt;0,AJ583&lt;&gt;"PF"),LifeCHG*Y583,0)</f>
        <v>0</v>
      </c>
      <c r="CF583" s="462">
        <f>IF(AND(AT583&lt;&gt;0,AM583="Y"),UICHG*Y583,0)</f>
        <v>0</v>
      </c>
      <c r="CG583" s="462">
        <f>IF(AND(AT583&lt;&gt;0,N583&lt;&gt;"NR"),DHRCHG*Y583,0)</f>
        <v>0</v>
      </c>
      <c r="CH583" s="462">
        <f>IF(AT583&lt;&gt;0,WCCHG*Y583,0)</f>
        <v>0</v>
      </c>
      <c r="CI583" s="462">
        <f>IF(OR(AND(AT583&lt;&gt;0,AJ583&lt;&gt;"PF",AN583&lt;&gt;"NE",AG583&lt;&gt;"A"),AND(AL583="E",OR(AT583=1,AT583=3))),SickCHG*Y583,0)</f>
        <v>0</v>
      </c>
      <c r="CJ583" s="462">
        <f t="shared" si="165"/>
        <v>0</v>
      </c>
      <c r="CK583" s="462" t="str">
        <f t="shared" si="166"/>
        <v/>
      </c>
      <c r="CL583" s="462">
        <f t="shared" si="167"/>
        <v>0</v>
      </c>
      <c r="CM583" s="462">
        <f t="shared" si="168"/>
        <v>0</v>
      </c>
      <c r="CN583" s="462" t="str">
        <f t="shared" si="169"/>
        <v>0486-00</v>
      </c>
    </row>
    <row r="584" spans="1:92" ht="15" thickBot="1" x14ac:dyDescent="0.35">
      <c r="A584" s="376" t="s">
        <v>161</v>
      </c>
      <c r="B584" s="376" t="s">
        <v>162</v>
      </c>
      <c r="C584" s="376" t="s">
        <v>1271</v>
      </c>
      <c r="D584" s="376" t="s">
        <v>716</v>
      </c>
      <c r="E584" s="376" t="s">
        <v>1140</v>
      </c>
      <c r="F584" s="377" t="s">
        <v>166</v>
      </c>
      <c r="G584" s="376" t="s">
        <v>1141</v>
      </c>
      <c r="H584" s="378"/>
      <c r="I584" s="378"/>
      <c r="J584" s="376" t="s">
        <v>168</v>
      </c>
      <c r="K584" s="376" t="s">
        <v>717</v>
      </c>
      <c r="L584" s="376" t="s">
        <v>349</v>
      </c>
      <c r="M584" s="376" t="s">
        <v>170</v>
      </c>
      <c r="N584" s="376" t="s">
        <v>202</v>
      </c>
      <c r="O584" s="379">
        <v>1</v>
      </c>
      <c r="P584" s="460">
        <v>1</v>
      </c>
      <c r="Q584" s="460">
        <v>1</v>
      </c>
      <c r="R584" s="380">
        <v>80</v>
      </c>
      <c r="S584" s="460">
        <v>1</v>
      </c>
      <c r="T584" s="380">
        <v>25996.62</v>
      </c>
      <c r="U584" s="380">
        <v>0</v>
      </c>
      <c r="V584" s="380">
        <v>14233.72</v>
      </c>
      <c r="W584" s="380">
        <v>21112</v>
      </c>
      <c r="X584" s="380">
        <v>16429.09</v>
      </c>
      <c r="Y584" s="380">
        <v>21112</v>
      </c>
      <c r="Z584" s="380">
        <v>16374.21</v>
      </c>
      <c r="AA584" s="376" t="s">
        <v>1272</v>
      </c>
      <c r="AB584" s="376" t="s">
        <v>1273</v>
      </c>
      <c r="AC584" s="376" t="s">
        <v>1274</v>
      </c>
      <c r="AD584" s="376" t="s">
        <v>215</v>
      </c>
      <c r="AE584" s="376" t="s">
        <v>717</v>
      </c>
      <c r="AF584" s="376" t="s">
        <v>353</v>
      </c>
      <c r="AG584" s="376" t="s">
        <v>177</v>
      </c>
      <c r="AH584" s="381">
        <v>20.3</v>
      </c>
      <c r="AI584" s="381">
        <v>44951.199999999997</v>
      </c>
      <c r="AJ584" s="376" t="s">
        <v>313</v>
      </c>
      <c r="AK584" s="376" t="s">
        <v>179</v>
      </c>
      <c r="AL584" s="376" t="s">
        <v>180</v>
      </c>
      <c r="AM584" s="376" t="s">
        <v>181</v>
      </c>
      <c r="AN584" s="376" t="s">
        <v>68</v>
      </c>
      <c r="AO584" s="379">
        <v>40</v>
      </c>
      <c r="AP584" s="460">
        <v>1</v>
      </c>
      <c r="AQ584" s="460">
        <v>0.5</v>
      </c>
      <c r="AR584" s="458" t="s">
        <v>182</v>
      </c>
      <c r="AS584" s="462">
        <f t="shared" si="153"/>
        <v>0.5</v>
      </c>
      <c r="AT584">
        <f t="shared" si="154"/>
        <v>1</v>
      </c>
      <c r="AU584" s="462">
        <f>IF(AT584=0,"",IF(AND(AT584=1,M584="F",SUMIF(C2:C698,C584,AS2:AS698)&lt;=1),SUMIF(C2:C698,C584,AS2:AS698),IF(AND(AT584=1,M584="F",SUMIF(C2:C698,C584,AS2:AS698)&gt;1),1,"")))</f>
        <v>0.5</v>
      </c>
      <c r="AV584" s="462" t="str">
        <f>IF(AT584=0,"",IF(AND(AT584=3,M584="F",SUMIF(C2:C698,C584,AS2:AS698)&lt;=1),SUMIF(C2:C698,C584,AS2:AS698),IF(AND(AT584=3,M584="F",SUMIF(C2:C698,C584,AS2:AS698)&gt;1),1,"")))</f>
        <v/>
      </c>
      <c r="AW584" s="462">
        <f>SUMIF(C2:C698,C584,O2:O698)</f>
        <v>1</v>
      </c>
      <c r="AX584" s="462">
        <f>IF(AND(M584="F",AS584&lt;&gt;0),SUMIF(C2:C698,C584,W2:W698),0)</f>
        <v>21112</v>
      </c>
      <c r="AY584" s="462">
        <f t="shared" si="155"/>
        <v>21112</v>
      </c>
      <c r="AZ584" s="462" t="str">
        <f t="shared" si="156"/>
        <v/>
      </c>
      <c r="BA584" s="462">
        <f t="shared" si="157"/>
        <v>0</v>
      </c>
      <c r="BB584" s="462">
        <f>IF(AND(AT584=1,AK584="E",AU584&gt;=0.75,AW584=1),Health,IF(AND(AT584=1,AK584="E",AU584&gt;=0.75),Health*P584,IF(AND(AT584=1,AK584="E",AU584&gt;=0.5,AW584=1),PTHealth,IF(AND(AT584=1,AK584="E",AU584&gt;=0.5),PTHealth*P584,0))))</f>
        <v>9320</v>
      </c>
      <c r="BC584" s="462">
        <f>IF(AND(AT584=3,AK584="E",AV584&gt;=0.75,AW584=1),Health,IF(AND(AT584=3,AK584="E",AV584&gt;=0.75),Health*P584,IF(AND(AT584=3,AK584="E",AV584&gt;=0.5,AW584=1),PTHealth,IF(AND(AT584=3,AK584="E",AV584&gt;=0.5),PTHealth*P584,0))))</f>
        <v>0</v>
      </c>
      <c r="BD584" s="462">
        <f>IF(AND(AT584&lt;&gt;0,AX584&gt;=MAXSSDI),SSDI*MAXSSDI*P584,IF(AT584&lt;&gt;0,SSDI*W584,0))</f>
        <v>1308.944</v>
      </c>
      <c r="BE584" s="462">
        <f>IF(AT584&lt;&gt;0,SSHI*W584,0)</f>
        <v>306.12400000000002</v>
      </c>
      <c r="BF584" s="462">
        <f>IF(AND(AT584&lt;&gt;0,AN584&lt;&gt;"NE"),VLOOKUP(AN584,Retirement_Rates,3,FALSE)*W584,0)</f>
        <v>2520.7728000000002</v>
      </c>
      <c r="BG584" s="462">
        <f>IF(AND(AT584&lt;&gt;0,AJ584&lt;&gt;"PF"),Life*W584,0)</f>
        <v>152.21752000000001</v>
      </c>
      <c r="BH584" s="462">
        <f>IF(AND(AT584&lt;&gt;0,AM584="Y"),UI*W584,0)</f>
        <v>103.44879999999999</v>
      </c>
      <c r="BI584" s="462">
        <f>IF(AND(AT584&lt;&gt;0,N584&lt;&gt;"NR"),DHR*W584,0)</f>
        <v>64.602719999999991</v>
      </c>
      <c r="BJ584" s="462">
        <f>IF(AT584&lt;&gt;0,WC*W584,0)</f>
        <v>323.0136</v>
      </c>
      <c r="BK584" s="462">
        <f>IF(OR(AND(AT584&lt;&gt;0,AJ584&lt;&gt;"PF",AN584&lt;&gt;"NE",AG584&lt;&gt;"A"),AND(AL584="E",OR(AT584=1,AT584=3))),Sick*W584,0)</f>
        <v>0</v>
      </c>
      <c r="BL584" s="462">
        <f t="shared" si="158"/>
        <v>4779.1234400000003</v>
      </c>
      <c r="BM584" s="462">
        <f t="shared" si="159"/>
        <v>0</v>
      </c>
      <c r="BN584" s="462">
        <f>IF(AND(AT584=1,AK584="E",AU584&gt;=0.75,AW584=1),HealthBY,IF(AND(AT584=1,AK584="E",AU584&gt;=0.75),HealthBY*P584,IF(AND(AT584=1,AK584="E",AU584&gt;=0.5,AW584=1),PTHealthBY,IF(AND(AT584=1,AK584="E",AU584&gt;=0.5),PTHealthBY*P584,0))))</f>
        <v>9320</v>
      </c>
      <c r="BO584" s="462">
        <f>IF(AND(AT584=3,AK584="E",AV584&gt;=0.75,AW584=1),HealthBY,IF(AND(AT584=3,AK584="E",AV584&gt;=0.75),HealthBY*P584,IF(AND(AT584=3,AK584="E",AV584&gt;=0.5,AW584=1),PTHealthBY,IF(AND(AT584=3,AK584="E",AV584&gt;=0.5),PTHealthBY*P584,0))))</f>
        <v>0</v>
      </c>
      <c r="BP584" s="462">
        <f>IF(AND(AT584&lt;&gt;0,(AX584+BA584)&gt;=MAXSSDIBY),SSDIBY*MAXSSDIBY*P584,IF(AT584&lt;&gt;0,SSDIBY*W584,0))</f>
        <v>1308.944</v>
      </c>
      <c r="BQ584" s="462">
        <f>IF(AT584&lt;&gt;0,SSHIBY*W584,0)</f>
        <v>306.12400000000002</v>
      </c>
      <c r="BR584" s="462">
        <f>IF(AND(AT584&lt;&gt;0,AN584&lt;&gt;"NE"),VLOOKUP(AN584,Retirement_Rates,4,FALSE)*W584,0)</f>
        <v>2520.7728000000002</v>
      </c>
      <c r="BS584" s="462">
        <f>IF(AND(AT584&lt;&gt;0,AJ584&lt;&gt;"PF"),LifeBY*W584,0)</f>
        <v>152.21752000000001</v>
      </c>
      <c r="BT584" s="462">
        <f>IF(AND(AT584&lt;&gt;0,AM584="Y"),UIBY*W584,0)</f>
        <v>0</v>
      </c>
      <c r="BU584" s="462">
        <f>IF(AND(AT584&lt;&gt;0,N584&lt;&gt;"NR"),DHRBY*W584,0)</f>
        <v>64.602719999999991</v>
      </c>
      <c r="BV584" s="462">
        <f>IF(AT584&lt;&gt;0,WCBY*W584,0)</f>
        <v>371.57120000000003</v>
      </c>
      <c r="BW584" s="462">
        <f>IF(OR(AND(AT584&lt;&gt;0,AJ584&lt;&gt;"PF",AN584&lt;&gt;"NE",AG584&lt;&gt;"A"),AND(AL584="E",OR(AT584=1,AT584=3))),SickBY*W584,0)</f>
        <v>0</v>
      </c>
      <c r="BX584" s="462">
        <f t="shared" si="160"/>
        <v>4724.2322400000003</v>
      </c>
      <c r="BY584" s="462">
        <f t="shared" si="161"/>
        <v>0</v>
      </c>
      <c r="BZ584" s="462">
        <f t="shared" si="162"/>
        <v>0</v>
      </c>
      <c r="CA584" s="462">
        <f t="shared" si="163"/>
        <v>0</v>
      </c>
      <c r="CB584" s="462">
        <f t="shared" si="164"/>
        <v>0</v>
      </c>
      <c r="CC584" s="462">
        <f>IF(AT584&lt;&gt;0,SSHICHG*Y584,0)</f>
        <v>0</v>
      </c>
      <c r="CD584" s="462">
        <f>IF(AND(AT584&lt;&gt;0,AN584&lt;&gt;"NE"),VLOOKUP(AN584,Retirement_Rates,5,FALSE)*Y584,0)</f>
        <v>0</v>
      </c>
      <c r="CE584" s="462">
        <f>IF(AND(AT584&lt;&gt;0,AJ584&lt;&gt;"PF"),LifeCHG*Y584,0)</f>
        <v>0</v>
      </c>
      <c r="CF584" s="462">
        <f>IF(AND(AT584&lt;&gt;0,AM584="Y"),UICHG*Y584,0)</f>
        <v>-103.44879999999999</v>
      </c>
      <c r="CG584" s="462">
        <f>IF(AND(AT584&lt;&gt;0,N584&lt;&gt;"NR"),DHRCHG*Y584,0)</f>
        <v>0</v>
      </c>
      <c r="CH584" s="462">
        <f>IF(AT584&lt;&gt;0,WCCHG*Y584,0)</f>
        <v>48.557600000000036</v>
      </c>
      <c r="CI584" s="462">
        <f>IF(OR(AND(AT584&lt;&gt;0,AJ584&lt;&gt;"PF",AN584&lt;&gt;"NE",AG584&lt;&gt;"A"),AND(AL584="E",OR(AT584=1,AT584=3))),SickCHG*Y584,0)</f>
        <v>0</v>
      </c>
      <c r="CJ584" s="462">
        <f t="shared" si="165"/>
        <v>-54.891199999999955</v>
      </c>
      <c r="CK584" s="462" t="str">
        <f t="shared" si="166"/>
        <v/>
      </c>
      <c r="CL584" s="462" t="str">
        <f t="shared" si="167"/>
        <v/>
      </c>
      <c r="CM584" s="462" t="str">
        <f t="shared" si="168"/>
        <v/>
      </c>
      <c r="CN584" s="462" t="str">
        <f t="shared" si="169"/>
        <v>0486-00</v>
      </c>
    </row>
    <row r="585" spans="1:92" ht="15" thickBot="1" x14ac:dyDescent="0.35">
      <c r="A585" s="376" t="s">
        <v>161</v>
      </c>
      <c r="B585" s="376" t="s">
        <v>162</v>
      </c>
      <c r="C585" s="376" t="s">
        <v>1275</v>
      </c>
      <c r="D585" s="376" t="s">
        <v>1153</v>
      </c>
      <c r="E585" s="376" t="s">
        <v>1140</v>
      </c>
      <c r="F585" s="377" t="s">
        <v>166</v>
      </c>
      <c r="G585" s="376" t="s">
        <v>1141</v>
      </c>
      <c r="H585" s="378"/>
      <c r="I585" s="378"/>
      <c r="J585" s="376" t="s">
        <v>168</v>
      </c>
      <c r="K585" s="376" t="s">
        <v>1154</v>
      </c>
      <c r="L585" s="376" t="s">
        <v>166</v>
      </c>
      <c r="M585" s="376" t="s">
        <v>201</v>
      </c>
      <c r="N585" s="376" t="s">
        <v>291</v>
      </c>
      <c r="O585" s="379">
        <v>0</v>
      </c>
      <c r="P585" s="460">
        <v>1</v>
      </c>
      <c r="Q585" s="460">
        <v>0</v>
      </c>
      <c r="R585" s="380">
        <v>0</v>
      </c>
      <c r="S585" s="460">
        <v>0</v>
      </c>
      <c r="T585" s="380">
        <v>0</v>
      </c>
      <c r="U585" s="380">
        <v>0</v>
      </c>
      <c r="V585" s="380">
        <v>0</v>
      </c>
      <c r="W585" s="380">
        <v>0</v>
      </c>
      <c r="X585" s="380">
        <v>0</v>
      </c>
      <c r="Y585" s="380">
        <v>0</v>
      </c>
      <c r="Z585" s="380">
        <v>0</v>
      </c>
      <c r="AA585" s="378"/>
      <c r="AB585" s="376" t="s">
        <v>45</v>
      </c>
      <c r="AC585" s="376" t="s">
        <v>45</v>
      </c>
      <c r="AD585" s="378"/>
      <c r="AE585" s="378"/>
      <c r="AF585" s="378"/>
      <c r="AG585" s="378"/>
      <c r="AH585" s="379">
        <v>0</v>
      </c>
      <c r="AI585" s="379">
        <v>0</v>
      </c>
      <c r="AJ585" s="378"/>
      <c r="AK585" s="378"/>
      <c r="AL585" s="376" t="s">
        <v>180</v>
      </c>
      <c r="AM585" s="378"/>
      <c r="AN585" s="378"/>
      <c r="AO585" s="379">
        <v>0</v>
      </c>
      <c r="AP585" s="460">
        <v>0</v>
      </c>
      <c r="AQ585" s="460">
        <v>0</v>
      </c>
      <c r="AR585" s="459"/>
      <c r="AS585" s="462">
        <f t="shared" si="153"/>
        <v>0</v>
      </c>
      <c r="AT585">
        <f t="shared" si="154"/>
        <v>0</v>
      </c>
      <c r="AU585" s="462" t="str">
        <f>IF(AT585=0,"",IF(AND(AT585=1,M585="F",SUMIF(C2:C698,C585,AS2:AS698)&lt;=1),SUMIF(C2:C698,C585,AS2:AS698),IF(AND(AT585=1,M585="F",SUMIF(C2:C698,C585,AS2:AS698)&gt;1),1,"")))</f>
        <v/>
      </c>
      <c r="AV585" s="462" t="str">
        <f>IF(AT585=0,"",IF(AND(AT585=3,M585="F",SUMIF(C2:C698,C585,AS2:AS698)&lt;=1),SUMIF(C2:C698,C585,AS2:AS698),IF(AND(AT585=3,M585="F",SUMIF(C2:C698,C585,AS2:AS698)&gt;1),1,"")))</f>
        <v/>
      </c>
      <c r="AW585" s="462">
        <f>SUMIF(C2:C698,C585,O2:O698)</f>
        <v>0</v>
      </c>
      <c r="AX585" s="462">
        <f>IF(AND(M585="F",AS585&lt;&gt;0),SUMIF(C2:C698,C585,W2:W698),0)</f>
        <v>0</v>
      </c>
      <c r="AY585" s="462" t="str">
        <f t="shared" si="155"/>
        <v/>
      </c>
      <c r="AZ585" s="462" t="str">
        <f t="shared" si="156"/>
        <v/>
      </c>
      <c r="BA585" s="462">
        <f t="shared" si="157"/>
        <v>0</v>
      </c>
      <c r="BB585" s="462">
        <f>IF(AND(AT585=1,AK585="E",AU585&gt;=0.75,AW585=1),Health,IF(AND(AT585=1,AK585="E",AU585&gt;=0.75),Health*P585,IF(AND(AT585=1,AK585="E",AU585&gt;=0.5,AW585=1),PTHealth,IF(AND(AT585=1,AK585="E",AU585&gt;=0.5),PTHealth*P585,0))))</f>
        <v>0</v>
      </c>
      <c r="BC585" s="462">
        <f>IF(AND(AT585=3,AK585="E",AV585&gt;=0.75,AW585=1),Health,IF(AND(AT585=3,AK585="E",AV585&gt;=0.75),Health*P585,IF(AND(AT585=3,AK585="E",AV585&gt;=0.5,AW585=1),PTHealth,IF(AND(AT585=3,AK585="E",AV585&gt;=0.5),PTHealth*P585,0))))</f>
        <v>0</v>
      </c>
      <c r="BD585" s="462">
        <f>IF(AND(AT585&lt;&gt;0,AX585&gt;=MAXSSDI),SSDI*MAXSSDI*P585,IF(AT585&lt;&gt;0,SSDI*W585,0))</f>
        <v>0</v>
      </c>
      <c r="BE585" s="462">
        <f>IF(AT585&lt;&gt;0,SSHI*W585,0)</f>
        <v>0</v>
      </c>
      <c r="BF585" s="462">
        <f>IF(AND(AT585&lt;&gt;0,AN585&lt;&gt;"NE"),VLOOKUP(AN585,Retirement_Rates,3,FALSE)*W585,0)</f>
        <v>0</v>
      </c>
      <c r="BG585" s="462">
        <f>IF(AND(AT585&lt;&gt;0,AJ585&lt;&gt;"PF"),Life*W585,0)</f>
        <v>0</v>
      </c>
      <c r="BH585" s="462">
        <f>IF(AND(AT585&lt;&gt;0,AM585="Y"),UI*W585,0)</f>
        <v>0</v>
      </c>
      <c r="BI585" s="462">
        <f>IF(AND(AT585&lt;&gt;0,N585&lt;&gt;"NR"),DHR*W585,0)</f>
        <v>0</v>
      </c>
      <c r="BJ585" s="462">
        <f>IF(AT585&lt;&gt;0,WC*W585,0)</f>
        <v>0</v>
      </c>
      <c r="BK585" s="462">
        <f>IF(OR(AND(AT585&lt;&gt;0,AJ585&lt;&gt;"PF",AN585&lt;&gt;"NE",AG585&lt;&gt;"A"),AND(AL585="E",OR(AT585=1,AT585=3))),Sick*W585,0)</f>
        <v>0</v>
      </c>
      <c r="BL585" s="462">
        <f t="shared" si="158"/>
        <v>0</v>
      </c>
      <c r="BM585" s="462">
        <f t="shared" si="159"/>
        <v>0</v>
      </c>
      <c r="BN585" s="462">
        <f>IF(AND(AT585=1,AK585="E",AU585&gt;=0.75,AW585=1),HealthBY,IF(AND(AT585=1,AK585="E",AU585&gt;=0.75),HealthBY*P585,IF(AND(AT585=1,AK585="E",AU585&gt;=0.5,AW585=1),PTHealthBY,IF(AND(AT585=1,AK585="E",AU585&gt;=0.5),PTHealthBY*P585,0))))</f>
        <v>0</v>
      </c>
      <c r="BO585" s="462">
        <f>IF(AND(AT585=3,AK585="E",AV585&gt;=0.75,AW585=1),HealthBY,IF(AND(AT585=3,AK585="E",AV585&gt;=0.75),HealthBY*P585,IF(AND(AT585=3,AK585="E",AV585&gt;=0.5,AW585=1),PTHealthBY,IF(AND(AT585=3,AK585="E",AV585&gt;=0.5),PTHealthBY*P585,0))))</f>
        <v>0</v>
      </c>
      <c r="BP585" s="462">
        <f>IF(AND(AT585&lt;&gt;0,(AX585+BA585)&gt;=MAXSSDIBY),SSDIBY*MAXSSDIBY*P585,IF(AT585&lt;&gt;0,SSDIBY*W585,0))</f>
        <v>0</v>
      </c>
      <c r="BQ585" s="462">
        <f>IF(AT585&lt;&gt;0,SSHIBY*W585,0)</f>
        <v>0</v>
      </c>
      <c r="BR585" s="462">
        <f>IF(AND(AT585&lt;&gt;0,AN585&lt;&gt;"NE"),VLOOKUP(AN585,Retirement_Rates,4,FALSE)*W585,0)</f>
        <v>0</v>
      </c>
      <c r="BS585" s="462">
        <f>IF(AND(AT585&lt;&gt;0,AJ585&lt;&gt;"PF"),LifeBY*W585,0)</f>
        <v>0</v>
      </c>
      <c r="BT585" s="462">
        <f>IF(AND(AT585&lt;&gt;0,AM585="Y"),UIBY*W585,0)</f>
        <v>0</v>
      </c>
      <c r="BU585" s="462">
        <f>IF(AND(AT585&lt;&gt;0,N585&lt;&gt;"NR"),DHRBY*W585,0)</f>
        <v>0</v>
      </c>
      <c r="BV585" s="462">
        <f>IF(AT585&lt;&gt;0,WCBY*W585,0)</f>
        <v>0</v>
      </c>
      <c r="BW585" s="462">
        <f>IF(OR(AND(AT585&lt;&gt;0,AJ585&lt;&gt;"PF",AN585&lt;&gt;"NE",AG585&lt;&gt;"A"),AND(AL585="E",OR(AT585=1,AT585=3))),SickBY*W585,0)</f>
        <v>0</v>
      </c>
      <c r="BX585" s="462">
        <f t="shared" si="160"/>
        <v>0</v>
      </c>
      <c r="BY585" s="462">
        <f t="shared" si="161"/>
        <v>0</v>
      </c>
      <c r="BZ585" s="462">
        <f t="shared" si="162"/>
        <v>0</v>
      </c>
      <c r="CA585" s="462">
        <f t="shared" si="163"/>
        <v>0</v>
      </c>
      <c r="CB585" s="462">
        <f t="shared" si="164"/>
        <v>0</v>
      </c>
      <c r="CC585" s="462">
        <f>IF(AT585&lt;&gt;0,SSHICHG*Y585,0)</f>
        <v>0</v>
      </c>
      <c r="CD585" s="462">
        <f>IF(AND(AT585&lt;&gt;0,AN585&lt;&gt;"NE"),VLOOKUP(AN585,Retirement_Rates,5,FALSE)*Y585,0)</f>
        <v>0</v>
      </c>
      <c r="CE585" s="462">
        <f>IF(AND(AT585&lt;&gt;0,AJ585&lt;&gt;"PF"),LifeCHG*Y585,0)</f>
        <v>0</v>
      </c>
      <c r="CF585" s="462">
        <f>IF(AND(AT585&lt;&gt;0,AM585="Y"),UICHG*Y585,0)</f>
        <v>0</v>
      </c>
      <c r="CG585" s="462">
        <f>IF(AND(AT585&lt;&gt;0,N585&lt;&gt;"NR"),DHRCHG*Y585,0)</f>
        <v>0</v>
      </c>
      <c r="CH585" s="462">
        <f>IF(AT585&lt;&gt;0,WCCHG*Y585,0)</f>
        <v>0</v>
      </c>
      <c r="CI585" s="462">
        <f>IF(OR(AND(AT585&lt;&gt;0,AJ585&lt;&gt;"PF",AN585&lt;&gt;"NE",AG585&lt;&gt;"A"),AND(AL585="E",OR(AT585=1,AT585=3))),SickCHG*Y585,0)</f>
        <v>0</v>
      </c>
      <c r="CJ585" s="462">
        <f t="shared" si="165"/>
        <v>0</v>
      </c>
      <c r="CK585" s="462" t="str">
        <f t="shared" si="166"/>
        <v/>
      </c>
      <c r="CL585" s="462">
        <f t="shared" si="167"/>
        <v>0</v>
      </c>
      <c r="CM585" s="462">
        <f t="shared" si="168"/>
        <v>0</v>
      </c>
      <c r="CN585" s="462" t="str">
        <f t="shared" si="169"/>
        <v>0486-00</v>
      </c>
    </row>
    <row r="586" spans="1:92" ht="15" thickBot="1" x14ac:dyDescent="0.35">
      <c r="A586" s="376" t="s">
        <v>161</v>
      </c>
      <c r="B586" s="376" t="s">
        <v>162</v>
      </c>
      <c r="C586" s="376" t="s">
        <v>1276</v>
      </c>
      <c r="D586" s="376" t="s">
        <v>1234</v>
      </c>
      <c r="E586" s="376" t="s">
        <v>1140</v>
      </c>
      <c r="F586" s="377" t="s">
        <v>166</v>
      </c>
      <c r="G586" s="376" t="s">
        <v>1141</v>
      </c>
      <c r="H586" s="378"/>
      <c r="I586" s="378"/>
      <c r="J586" s="376" t="s">
        <v>168</v>
      </c>
      <c r="K586" s="376" t="s">
        <v>1235</v>
      </c>
      <c r="L586" s="376" t="s">
        <v>166</v>
      </c>
      <c r="M586" s="376" t="s">
        <v>201</v>
      </c>
      <c r="N586" s="376" t="s">
        <v>291</v>
      </c>
      <c r="O586" s="379">
        <v>0</v>
      </c>
      <c r="P586" s="460">
        <v>1</v>
      </c>
      <c r="Q586" s="460">
        <v>0</v>
      </c>
      <c r="R586" s="380">
        <v>0</v>
      </c>
      <c r="S586" s="460">
        <v>0</v>
      </c>
      <c r="T586" s="380">
        <v>0</v>
      </c>
      <c r="U586" s="380">
        <v>0</v>
      </c>
      <c r="V586" s="380">
        <v>0</v>
      </c>
      <c r="W586" s="380">
        <v>0</v>
      </c>
      <c r="X586" s="380">
        <v>0</v>
      </c>
      <c r="Y586" s="380">
        <v>0</v>
      </c>
      <c r="Z586" s="380">
        <v>0</v>
      </c>
      <c r="AA586" s="378"/>
      <c r="AB586" s="376" t="s">
        <v>45</v>
      </c>
      <c r="AC586" s="376" t="s">
        <v>45</v>
      </c>
      <c r="AD586" s="378"/>
      <c r="AE586" s="378"/>
      <c r="AF586" s="378"/>
      <c r="AG586" s="378"/>
      <c r="AH586" s="379">
        <v>0</v>
      </c>
      <c r="AI586" s="379">
        <v>0</v>
      </c>
      <c r="AJ586" s="378"/>
      <c r="AK586" s="378"/>
      <c r="AL586" s="376" t="s">
        <v>180</v>
      </c>
      <c r="AM586" s="378"/>
      <c r="AN586" s="378"/>
      <c r="AO586" s="379">
        <v>0</v>
      </c>
      <c r="AP586" s="460">
        <v>0</v>
      </c>
      <c r="AQ586" s="460">
        <v>0</v>
      </c>
      <c r="AR586" s="459"/>
      <c r="AS586" s="462">
        <f t="shared" si="153"/>
        <v>0</v>
      </c>
      <c r="AT586">
        <f t="shared" si="154"/>
        <v>0</v>
      </c>
      <c r="AU586" s="462" t="str">
        <f>IF(AT586=0,"",IF(AND(AT586=1,M586="F",SUMIF(C2:C698,C586,AS2:AS698)&lt;=1),SUMIF(C2:C698,C586,AS2:AS698),IF(AND(AT586=1,M586="F",SUMIF(C2:C698,C586,AS2:AS698)&gt;1),1,"")))</f>
        <v/>
      </c>
      <c r="AV586" s="462" t="str">
        <f>IF(AT586=0,"",IF(AND(AT586=3,M586="F",SUMIF(C2:C698,C586,AS2:AS698)&lt;=1),SUMIF(C2:C698,C586,AS2:AS698),IF(AND(AT586=3,M586="F",SUMIF(C2:C698,C586,AS2:AS698)&gt;1),1,"")))</f>
        <v/>
      </c>
      <c r="AW586" s="462">
        <f>SUMIF(C2:C698,C586,O2:O698)</f>
        <v>0</v>
      </c>
      <c r="AX586" s="462">
        <f>IF(AND(M586="F",AS586&lt;&gt;0),SUMIF(C2:C698,C586,W2:W698),0)</f>
        <v>0</v>
      </c>
      <c r="AY586" s="462" t="str">
        <f t="shared" si="155"/>
        <v/>
      </c>
      <c r="AZ586" s="462" t="str">
        <f t="shared" si="156"/>
        <v/>
      </c>
      <c r="BA586" s="462">
        <f t="shared" si="157"/>
        <v>0</v>
      </c>
      <c r="BB586" s="462">
        <f>IF(AND(AT586=1,AK586="E",AU586&gt;=0.75,AW586=1),Health,IF(AND(AT586=1,AK586="E",AU586&gt;=0.75),Health*P586,IF(AND(AT586=1,AK586="E",AU586&gt;=0.5,AW586=1),PTHealth,IF(AND(AT586=1,AK586="E",AU586&gt;=0.5),PTHealth*P586,0))))</f>
        <v>0</v>
      </c>
      <c r="BC586" s="462">
        <f>IF(AND(AT586=3,AK586="E",AV586&gt;=0.75,AW586=1),Health,IF(AND(AT586=3,AK586="E",AV586&gt;=0.75),Health*P586,IF(AND(AT586=3,AK586="E",AV586&gt;=0.5,AW586=1),PTHealth,IF(AND(AT586=3,AK586="E",AV586&gt;=0.5),PTHealth*P586,0))))</f>
        <v>0</v>
      </c>
      <c r="BD586" s="462">
        <f>IF(AND(AT586&lt;&gt;0,AX586&gt;=MAXSSDI),SSDI*MAXSSDI*P586,IF(AT586&lt;&gt;0,SSDI*W586,0))</f>
        <v>0</v>
      </c>
      <c r="BE586" s="462">
        <f>IF(AT586&lt;&gt;0,SSHI*W586,0)</f>
        <v>0</v>
      </c>
      <c r="BF586" s="462">
        <f>IF(AND(AT586&lt;&gt;0,AN586&lt;&gt;"NE"),VLOOKUP(AN586,Retirement_Rates,3,FALSE)*W586,0)</f>
        <v>0</v>
      </c>
      <c r="BG586" s="462">
        <f>IF(AND(AT586&lt;&gt;0,AJ586&lt;&gt;"PF"),Life*W586,0)</f>
        <v>0</v>
      </c>
      <c r="BH586" s="462">
        <f>IF(AND(AT586&lt;&gt;0,AM586="Y"),UI*W586,0)</f>
        <v>0</v>
      </c>
      <c r="BI586" s="462">
        <f>IF(AND(AT586&lt;&gt;0,N586&lt;&gt;"NR"),DHR*W586,0)</f>
        <v>0</v>
      </c>
      <c r="BJ586" s="462">
        <f>IF(AT586&lt;&gt;0,WC*W586,0)</f>
        <v>0</v>
      </c>
      <c r="BK586" s="462">
        <f>IF(OR(AND(AT586&lt;&gt;0,AJ586&lt;&gt;"PF",AN586&lt;&gt;"NE",AG586&lt;&gt;"A"),AND(AL586="E",OR(AT586=1,AT586=3))),Sick*W586,0)</f>
        <v>0</v>
      </c>
      <c r="BL586" s="462">
        <f t="shared" si="158"/>
        <v>0</v>
      </c>
      <c r="BM586" s="462">
        <f t="shared" si="159"/>
        <v>0</v>
      </c>
      <c r="BN586" s="462">
        <f>IF(AND(AT586=1,AK586="E",AU586&gt;=0.75,AW586=1),HealthBY,IF(AND(AT586=1,AK586="E",AU586&gt;=0.75),HealthBY*P586,IF(AND(AT586=1,AK586="E",AU586&gt;=0.5,AW586=1),PTHealthBY,IF(AND(AT586=1,AK586="E",AU586&gt;=0.5),PTHealthBY*P586,0))))</f>
        <v>0</v>
      </c>
      <c r="BO586" s="462">
        <f>IF(AND(AT586=3,AK586="E",AV586&gt;=0.75,AW586=1),HealthBY,IF(AND(AT586=3,AK586="E",AV586&gt;=0.75),HealthBY*P586,IF(AND(AT586=3,AK586="E",AV586&gt;=0.5,AW586=1),PTHealthBY,IF(AND(AT586=3,AK586="E",AV586&gt;=0.5),PTHealthBY*P586,0))))</f>
        <v>0</v>
      </c>
      <c r="BP586" s="462">
        <f>IF(AND(AT586&lt;&gt;0,(AX586+BA586)&gt;=MAXSSDIBY),SSDIBY*MAXSSDIBY*P586,IF(AT586&lt;&gt;0,SSDIBY*W586,0))</f>
        <v>0</v>
      </c>
      <c r="BQ586" s="462">
        <f>IF(AT586&lt;&gt;0,SSHIBY*W586,0)</f>
        <v>0</v>
      </c>
      <c r="BR586" s="462">
        <f>IF(AND(AT586&lt;&gt;0,AN586&lt;&gt;"NE"),VLOOKUP(AN586,Retirement_Rates,4,FALSE)*W586,0)</f>
        <v>0</v>
      </c>
      <c r="BS586" s="462">
        <f>IF(AND(AT586&lt;&gt;0,AJ586&lt;&gt;"PF"),LifeBY*W586,0)</f>
        <v>0</v>
      </c>
      <c r="BT586" s="462">
        <f>IF(AND(AT586&lt;&gt;0,AM586="Y"),UIBY*W586,0)</f>
        <v>0</v>
      </c>
      <c r="BU586" s="462">
        <f>IF(AND(AT586&lt;&gt;0,N586&lt;&gt;"NR"),DHRBY*W586,0)</f>
        <v>0</v>
      </c>
      <c r="BV586" s="462">
        <f>IF(AT586&lt;&gt;0,WCBY*W586,0)</f>
        <v>0</v>
      </c>
      <c r="BW586" s="462">
        <f>IF(OR(AND(AT586&lt;&gt;0,AJ586&lt;&gt;"PF",AN586&lt;&gt;"NE",AG586&lt;&gt;"A"),AND(AL586="E",OR(AT586=1,AT586=3))),SickBY*W586,0)</f>
        <v>0</v>
      </c>
      <c r="BX586" s="462">
        <f t="shared" si="160"/>
        <v>0</v>
      </c>
      <c r="BY586" s="462">
        <f t="shared" si="161"/>
        <v>0</v>
      </c>
      <c r="BZ586" s="462">
        <f t="shared" si="162"/>
        <v>0</v>
      </c>
      <c r="CA586" s="462">
        <f t="shared" si="163"/>
        <v>0</v>
      </c>
      <c r="CB586" s="462">
        <f t="shared" si="164"/>
        <v>0</v>
      </c>
      <c r="CC586" s="462">
        <f>IF(AT586&lt;&gt;0,SSHICHG*Y586,0)</f>
        <v>0</v>
      </c>
      <c r="CD586" s="462">
        <f>IF(AND(AT586&lt;&gt;0,AN586&lt;&gt;"NE"),VLOOKUP(AN586,Retirement_Rates,5,FALSE)*Y586,0)</f>
        <v>0</v>
      </c>
      <c r="CE586" s="462">
        <f>IF(AND(AT586&lt;&gt;0,AJ586&lt;&gt;"PF"),LifeCHG*Y586,0)</f>
        <v>0</v>
      </c>
      <c r="CF586" s="462">
        <f>IF(AND(AT586&lt;&gt;0,AM586="Y"),UICHG*Y586,0)</f>
        <v>0</v>
      </c>
      <c r="CG586" s="462">
        <f>IF(AND(AT586&lt;&gt;0,N586&lt;&gt;"NR"),DHRCHG*Y586,0)</f>
        <v>0</v>
      </c>
      <c r="CH586" s="462">
        <f>IF(AT586&lt;&gt;0,WCCHG*Y586,0)</f>
        <v>0</v>
      </c>
      <c r="CI586" s="462">
        <f>IF(OR(AND(AT586&lt;&gt;0,AJ586&lt;&gt;"PF",AN586&lt;&gt;"NE",AG586&lt;&gt;"A"),AND(AL586="E",OR(AT586=1,AT586=3))),SickCHG*Y586,0)</f>
        <v>0</v>
      </c>
      <c r="CJ586" s="462">
        <f t="shared" si="165"/>
        <v>0</v>
      </c>
      <c r="CK586" s="462" t="str">
        <f t="shared" si="166"/>
        <v/>
      </c>
      <c r="CL586" s="462">
        <f t="shared" si="167"/>
        <v>0</v>
      </c>
      <c r="CM586" s="462">
        <f t="shared" si="168"/>
        <v>0</v>
      </c>
      <c r="CN586" s="462" t="str">
        <f t="shared" si="169"/>
        <v>0486-00</v>
      </c>
    </row>
    <row r="587" spans="1:92" ht="15" thickBot="1" x14ac:dyDescent="0.35">
      <c r="A587" s="376" t="s">
        <v>161</v>
      </c>
      <c r="B587" s="376" t="s">
        <v>162</v>
      </c>
      <c r="C587" s="376" t="s">
        <v>1277</v>
      </c>
      <c r="D587" s="376" t="s">
        <v>365</v>
      </c>
      <c r="E587" s="376" t="s">
        <v>1140</v>
      </c>
      <c r="F587" s="377" t="s">
        <v>166</v>
      </c>
      <c r="G587" s="376" t="s">
        <v>1141</v>
      </c>
      <c r="H587" s="378"/>
      <c r="I587" s="378"/>
      <c r="J587" s="376" t="s">
        <v>168</v>
      </c>
      <c r="K587" s="376" t="s">
        <v>366</v>
      </c>
      <c r="L587" s="376" t="s">
        <v>274</v>
      </c>
      <c r="M587" s="376" t="s">
        <v>170</v>
      </c>
      <c r="N587" s="376" t="s">
        <v>202</v>
      </c>
      <c r="O587" s="379">
        <v>1</v>
      </c>
      <c r="P587" s="460">
        <v>1</v>
      </c>
      <c r="Q587" s="460">
        <v>1</v>
      </c>
      <c r="R587" s="380">
        <v>80</v>
      </c>
      <c r="S587" s="460">
        <v>1</v>
      </c>
      <c r="T587" s="380">
        <v>36998.400000000001</v>
      </c>
      <c r="U587" s="380">
        <v>0</v>
      </c>
      <c r="V587" s="380">
        <v>18984.849999999999</v>
      </c>
      <c r="W587" s="380">
        <v>38396.800000000003</v>
      </c>
      <c r="X587" s="380">
        <v>20341.86</v>
      </c>
      <c r="Y587" s="380">
        <v>38396.800000000003</v>
      </c>
      <c r="Z587" s="380">
        <v>20242.03</v>
      </c>
      <c r="AA587" s="376" t="s">
        <v>1278</v>
      </c>
      <c r="AB587" s="376" t="s">
        <v>1279</v>
      </c>
      <c r="AC587" s="376" t="s">
        <v>311</v>
      </c>
      <c r="AD587" s="376" t="s">
        <v>224</v>
      </c>
      <c r="AE587" s="376" t="s">
        <v>366</v>
      </c>
      <c r="AF587" s="376" t="s">
        <v>279</v>
      </c>
      <c r="AG587" s="376" t="s">
        <v>177</v>
      </c>
      <c r="AH587" s="381">
        <v>18.46</v>
      </c>
      <c r="AI587" s="381">
        <v>40984.199999999997</v>
      </c>
      <c r="AJ587" s="376" t="s">
        <v>178</v>
      </c>
      <c r="AK587" s="376" t="s">
        <v>179</v>
      </c>
      <c r="AL587" s="376" t="s">
        <v>180</v>
      </c>
      <c r="AM587" s="376" t="s">
        <v>181</v>
      </c>
      <c r="AN587" s="376" t="s">
        <v>68</v>
      </c>
      <c r="AO587" s="379">
        <v>80</v>
      </c>
      <c r="AP587" s="460">
        <v>1</v>
      </c>
      <c r="AQ587" s="460">
        <v>1</v>
      </c>
      <c r="AR587" s="458" t="s">
        <v>182</v>
      </c>
      <c r="AS587" s="462">
        <f t="shared" si="153"/>
        <v>1</v>
      </c>
      <c r="AT587">
        <f t="shared" si="154"/>
        <v>1</v>
      </c>
      <c r="AU587" s="462">
        <f>IF(AT587=0,"",IF(AND(AT587=1,M587="F",SUMIF(C2:C698,C587,AS2:AS698)&lt;=1),SUMIF(C2:C698,C587,AS2:AS698),IF(AND(AT587=1,M587="F",SUMIF(C2:C698,C587,AS2:AS698)&gt;1),1,"")))</f>
        <v>1</v>
      </c>
      <c r="AV587" s="462" t="str">
        <f>IF(AT587=0,"",IF(AND(AT587=3,M587="F",SUMIF(C2:C698,C587,AS2:AS698)&lt;=1),SUMIF(C2:C698,C587,AS2:AS698),IF(AND(AT587=3,M587="F",SUMIF(C2:C698,C587,AS2:AS698)&gt;1),1,"")))</f>
        <v/>
      </c>
      <c r="AW587" s="462">
        <f>SUMIF(C2:C698,C587,O2:O698)</f>
        <v>1</v>
      </c>
      <c r="AX587" s="462">
        <f>IF(AND(M587="F",AS587&lt;&gt;0),SUMIF(C2:C698,C587,W2:W698),0)</f>
        <v>38396.800000000003</v>
      </c>
      <c r="AY587" s="462">
        <f t="shared" si="155"/>
        <v>38396.800000000003</v>
      </c>
      <c r="AZ587" s="462" t="str">
        <f t="shared" si="156"/>
        <v/>
      </c>
      <c r="BA587" s="462">
        <f t="shared" si="157"/>
        <v>0</v>
      </c>
      <c r="BB587" s="462">
        <f>IF(AND(AT587=1,AK587="E",AU587&gt;=0.75,AW587=1),Health,IF(AND(AT587=1,AK587="E",AU587&gt;=0.75),Health*P587,IF(AND(AT587=1,AK587="E",AU587&gt;=0.5,AW587=1),PTHealth,IF(AND(AT587=1,AK587="E",AU587&gt;=0.5),PTHealth*P587,0))))</f>
        <v>11650</v>
      </c>
      <c r="BC587" s="462">
        <f>IF(AND(AT587=3,AK587="E",AV587&gt;=0.75,AW587=1),Health,IF(AND(AT587=3,AK587="E",AV587&gt;=0.75),Health*P587,IF(AND(AT587=3,AK587="E",AV587&gt;=0.5,AW587=1),PTHealth,IF(AND(AT587=3,AK587="E",AV587&gt;=0.5),PTHealth*P587,0))))</f>
        <v>0</v>
      </c>
      <c r="BD587" s="462">
        <f>IF(AND(AT587&lt;&gt;0,AX587&gt;=MAXSSDI),SSDI*MAXSSDI*P587,IF(AT587&lt;&gt;0,SSDI*W587,0))</f>
        <v>2380.6016</v>
      </c>
      <c r="BE587" s="462">
        <f>IF(AT587&lt;&gt;0,SSHI*W587,0)</f>
        <v>556.75360000000012</v>
      </c>
      <c r="BF587" s="462">
        <f>IF(AND(AT587&lt;&gt;0,AN587&lt;&gt;"NE"),VLOOKUP(AN587,Retirement_Rates,3,FALSE)*W587,0)</f>
        <v>4584.5779200000006</v>
      </c>
      <c r="BG587" s="462">
        <f>IF(AND(AT587&lt;&gt;0,AJ587&lt;&gt;"PF"),Life*W587,0)</f>
        <v>276.84092800000002</v>
      </c>
      <c r="BH587" s="462">
        <f>IF(AND(AT587&lt;&gt;0,AM587="Y"),UI*W587,0)</f>
        <v>188.14432000000002</v>
      </c>
      <c r="BI587" s="462">
        <f>IF(AND(AT587&lt;&gt;0,N587&lt;&gt;"NR"),DHR*W587,0)</f>
        <v>117.494208</v>
      </c>
      <c r="BJ587" s="462">
        <f>IF(AT587&lt;&gt;0,WC*W587,0)</f>
        <v>587.47104000000002</v>
      </c>
      <c r="BK587" s="462">
        <f>IF(OR(AND(AT587&lt;&gt;0,AJ587&lt;&gt;"PF",AN587&lt;&gt;"NE",AG587&lt;&gt;"A"),AND(AL587="E",OR(AT587=1,AT587=3))),Sick*W587,0)</f>
        <v>0</v>
      </c>
      <c r="BL587" s="462">
        <f t="shared" si="158"/>
        <v>8691.883616000001</v>
      </c>
      <c r="BM587" s="462">
        <f t="shared" si="159"/>
        <v>0</v>
      </c>
      <c r="BN587" s="462">
        <f>IF(AND(AT587=1,AK587="E",AU587&gt;=0.75,AW587=1),HealthBY,IF(AND(AT587=1,AK587="E",AU587&gt;=0.75),HealthBY*P587,IF(AND(AT587=1,AK587="E",AU587&gt;=0.5,AW587=1),PTHealthBY,IF(AND(AT587=1,AK587="E",AU587&gt;=0.5),PTHealthBY*P587,0))))</f>
        <v>11650</v>
      </c>
      <c r="BO587" s="462">
        <f>IF(AND(AT587=3,AK587="E",AV587&gt;=0.75,AW587=1),HealthBY,IF(AND(AT587=3,AK587="E",AV587&gt;=0.75),HealthBY*P587,IF(AND(AT587=3,AK587="E",AV587&gt;=0.5,AW587=1),PTHealthBY,IF(AND(AT587=3,AK587="E",AV587&gt;=0.5),PTHealthBY*P587,0))))</f>
        <v>0</v>
      </c>
      <c r="BP587" s="462">
        <f>IF(AND(AT587&lt;&gt;0,(AX587+BA587)&gt;=MAXSSDIBY),SSDIBY*MAXSSDIBY*P587,IF(AT587&lt;&gt;0,SSDIBY*W587,0))</f>
        <v>2380.6016</v>
      </c>
      <c r="BQ587" s="462">
        <f>IF(AT587&lt;&gt;0,SSHIBY*W587,0)</f>
        <v>556.75360000000012</v>
      </c>
      <c r="BR587" s="462">
        <f>IF(AND(AT587&lt;&gt;0,AN587&lt;&gt;"NE"),VLOOKUP(AN587,Retirement_Rates,4,FALSE)*W587,0)</f>
        <v>4584.5779200000006</v>
      </c>
      <c r="BS587" s="462">
        <f>IF(AND(AT587&lt;&gt;0,AJ587&lt;&gt;"PF"),LifeBY*W587,0)</f>
        <v>276.84092800000002</v>
      </c>
      <c r="BT587" s="462">
        <f>IF(AND(AT587&lt;&gt;0,AM587="Y"),UIBY*W587,0)</f>
        <v>0</v>
      </c>
      <c r="BU587" s="462">
        <f>IF(AND(AT587&lt;&gt;0,N587&lt;&gt;"NR"),DHRBY*W587,0)</f>
        <v>117.494208</v>
      </c>
      <c r="BV587" s="462">
        <f>IF(AT587&lt;&gt;0,WCBY*W587,0)</f>
        <v>675.78368000000012</v>
      </c>
      <c r="BW587" s="462">
        <f>IF(OR(AND(AT587&lt;&gt;0,AJ587&lt;&gt;"PF",AN587&lt;&gt;"NE",AG587&lt;&gt;"A"),AND(AL587="E",OR(AT587=1,AT587=3))),SickBY*W587,0)</f>
        <v>0</v>
      </c>
      <c r="BX587" s="462">
        <f t="shared" si="160"/>
        <v>8592.0519359999998</v>
      </c>
      <c r="BY587" s="462">
        <f t="shared" si="161"/>
        <v>0</v>
      </c>
      <c r="BZ587" s="462">
        <f t="shared" si="162"/>
        <v>0</v>
      </c>
      <c r="CA587" s="462">
        <f t="shared" si="163"/>
        <v>0</v>
      </c>
      <c r="CB587" s="462">
        <f t="shared" si="164"/>
        <v>0</v>
      </c>
      <c r="CC587" s="462">
        <f>IF(AT587&lt;&gt;0,SSHICHG*Y587,0)</f>
        <v>0</v>
      </c>
      <c r="CD587" s="462">
        <f>IF(AND(AT587&lt;&gt;0,AN587&lt;&gt;"NE"),VLOOKUP(AN587,Retirement_Rates,5,FALSE)*Y587,0)</f>
        <v>0</v>
      </c>
      <c r="CE587" s="462">
        <f>IF(AND(AT587&lt;&gt;0,AJ587&lt;&gt;"PF"),LifeCHG*Y587,0)</f>
        <v>0</v>
      </c>
      <c r="CF587" s="462">
        <f>IF(AND(AT587&lt;&gt;0,AM587="Y"),UICHG*Y587,0)</f>
        <v>-188.14432000000002</v>
      </c>
      <c r="CG587" s="462">
        <f>IF(AND(AT587&lt;&gt;0,N587&lt;&gt;"NR"),DHRCHG*Y587,0)</f>
        <v>0</v>
      </c>
      <c r="CH587" s="462">
        <f>IF(AT587&lt;&gt;0,WCCHG*Y587,0)</f>
        <v>88.312640000000073</v>
      </c>
      <c r="CI587" s="462">
        <f>IF(OR(AND(AT587&lt;&gt;0,AJ587&lt;&gt;"PF",AN587&lt;&gt;"NE",AG587&lt;&gt;"A"),AND(AL587="E",OR(AT587=1,AT587=3))),SickCHG*Y587,0)</f>
        <v>0</v>
      </c>
      <c r="CJ587" s="462">
        <f t="shared" si="165"/>
        <v>-99.831679999999949</v>
      </c>
      <c r="CK587" s="462" t="str">
        <f t="shared" si="166"/>
        <v/>
      </c>
      <c r="CL587" s="462" t="str">
        <f t="shared" si="167"/>
        <v/>
      </c>
      <c r="CM587" s="462" t="str">
        <f t="shared" si="168"/>
        <v/>
      </c>
      <c r="CN587" s="462" t="str">
        <f t="shared" si="169"/>
        <v>0486-00</v>
      </c>
    </row>
    <row r="588" spans="1:92" ht="15" thickBot="1" x14ac:dyDescent="0.35">
      <c r="A588" s="376" t="s">
        <v>161</v>
      </c>
      <c r="B588" s="376" t="s">
        <v>162</v>
      </c>
      <c r="C588" s="376" t="s">
        <v>1280</v>
      </c>
      <c r="D588" s="376" t="s">
        <v>1150</v>
      </c>
      <c r="E588" s="376" t="s">
        <v>1140</v>
      </c>
      <c r="F588" s="377" t="s">
        <v>166</v>
      </c>
      <c r="G588" s="376" t="s">
        <v>1141</v>
      </c>
      <c r="H588" s="378"/>
      <c r="I588" s="378"/>
      <c r="J588" s="376" t="s">
        <v>185</v>
      </c>
      <c r="K588" s="376" t="s">
        <v>1151</v>
      </c>
      <c r="L588" s="376" t="s">
        <v>166</v>
      </c>
      <c r="M588" s="376" t="s">
        <v>201</v>
      </c>
      <c r="N588" s="376" t="s">
        <v>291</v>
      </c>
      <c r="O588" s="379">
        <v>0</v>
      </c>
      <c r="P588" s="460">
        <v>1</v>
      </c>
      <c r="Q588" s="460">
        <v>0</v>
      </c>
      <c r="R588" s="380">
        <v>0</v>
      </c>
      <c r="S588" s="460">
        <v>0</v>
      </c>
      <c r="T588" s="380">
        <v>0</v>
      </c>
      <c r="U588" s="380">
        <v>0</v>
      </c>
      <c r="V588" s="380">
        <v>0</v>
      </c>
      <c r="W588" s="380">
        <v>0</v>
      </c>
      <c r="X588" s="380">
        <v>0</v>
      </c>
      <c r="Y588" s="380">
        <v>0</v>
      </c>
      <c r="Z588" s="380">
        <v>0</v>
      </c>
      <c r="AA588" s="378"/>
      <c r="AB588" s="376" t="s">
        <v>45</v>
      </c>
      <c r="AC588" s="376" t="s">
        <v>45</v>
      </c>
      <c r="AD588" s="378"/>
      <c r="AE588" s="378"/>
      <c r="AF588" s="378"/>
      <c r="AG588" s="378"/>
      <c r="AH588" s="379">
        <v>0</v>
      </c>
      <c r="AI588" s="379">
        <v>0</v>
      </c>
      <c r="AJ588" s="378"/>
      <c r="AK588" s="378"/>
      <c r="AL588" s="376" t="s">
        <v>180</v>
      </c>
      <c r="AM588" s="378"/>
      <c r="AN588" s="378"/>
      <c r="AO588" s="379">
        <v>0</v>
      </c>
      <c r="AP588" s="460">
        <v>0</v>
      </c>
      <c r="AQ588" s="460">
        <v>0</v>
      </c>
      <c r="AR588" s="459"/>
      <c r="AS588" s="462">
        <f t="shared" si="153"/>
        <v>0</v>
      </c>
      <c r="AT588">
        <f t="shared" si="154"/>
        <v>0</v>
      </c>
      <c r="AU588" s="462" t="str">
        <f>IF(AT588=0,"",IF(AND(AT588=1,M588="F",SUMIF(C2:C698,C588,AS2:AS698)&lt;=1),SUMIF(C2:C698,C588,AS2:AS698),IF(AND(AT588=1,M588="F",SUMIF(C2:C698,C588,AS2:AS698)&gt;1),1,"")))</f>
        <v/>
      </c>
      <c r="AV588" s="462" t="str">
        <f>IF(AT588=0,"",IF(AND(AT588=3,M588="F",SUMIF(C2:C698,C588,AS2:AS698)&lt;=1),SUMIF(C2:C698,C588,AS2:AS698),IF(AND(AT588=3,M588="F",SUMIF(C2:C698,C588,AS2:AS698)&gt;1),1,"")))</f>
        <v/>
      </c>
      <c r="AW588" s="462">
        <f>SUMIF(C2:C698,C588,O2:O698)</f>
        <v>0</v>
      </c>
      <c r="AX588" s="462">
        <f>IF(AND(M588="F",AS588&lt;&gt;0),SUMIF(C2:C698,C588,W2:W698),0)</f>
        <v>0</v>
      </c>
      <c r="AY588" s="462" t="str">
        <f t="shared" si="155"/>
        <v/>
      </c>
      <c r="AZ588" s="462" t="str">
        <f t="shared" si="156"/>
        <v/>
      </c>
      <c r="BA588" s="462">
        <f t="shared" si="157"/>
        <v>0</v>
      </c>
      <c r="BB588" s="462">
        <f>IF(AND(AT588=1,AK588="E",AU588&gt;=0.75,AW588=1),Health,IF(AND(AT588=1,AK588="E",AU588&gt;=0.75),Health*P588,IF(AND(AT588=1,AK588="E",AU588&gt;=0.5,AW588=1),PTHealth,IF(AND(AT588=1,AK588="E",AU588&gt;=0.5),PTHealth*P588,0))))</f>
        <v>0</v>
      </c>
      <c r="BC588" s="462">
        <f>IF(AND(AT588=3,AK588="E",AV588&gt;=0.75,AW588=1),Health,IF(AND(AT588=3,AK588="E",AV588&gt;=0.75),Health*P588,IF(AND(AT588=3,AK588="E",AV588&gt;=0.5,AW588=1),PTHealth,IF(AND(AT588=3,AK588="E",AV588&gt;=0.5),PTHealth*P588,0))))</f>
        <v>0</v>
      </c>
      <c r="BD588" s="462">
        <f>IF(AND(AT588&lt;&gt;0,AX588&gt;=MAXSSDI),SSDI*MAXSSDI*P588,IF(AT588&lt;&gt;0,SSDI*W588,0))</f>
        <v>0</v>
      </c>
      <c r="BE588" s="462">
        <f>IF(AT588&lt;&gt;0,SSHI*W588,0)</f>
        <v>0</v>
      </c>
      <c r="BF588" s="462">
        <f>IF(AND(AT588&lt;&gt;0,AN588&lt;&gt;"NE"),VLOOKUP(AN588,Retirement_Rates,3,FALSE)*W588,0)</f>
        <v>0</v>
      </c>
      <c r="BG588" s="462">
        <f>IF(AND(AT588&lt;&gt;0,AJ588&lt;&gt;"PF"),Life*W588,0)</f>
        <v>0</v>
      </c>
      <c r="BH588" s="462">
        <f>IF(AND(AT588&lt;&gt;0,AM588="Y"),UI*W588,0)</f>
        <v>0</v>
      </c>
      <c r="BI588" s="462">
        <f>IF(AND(AT588&lt;&gt;0,N588&lt;&gt;"NR"),DHR*W588,0)</f>
        <v>0</v>
      </c>
      <c r="BJ588" s="462">
        <f>IF(AT588&lt;&gt;0,WC*W588,0)</f>
        <v>0</v>
      </c>
      <c r="BK588" s="462">
        <f>IF(OR(AND(AT588&lt;&gt;0,AJ588&lt;&gt;"PF",AN588&lt;&gt;"NE",AG588&lt;&gt;"A"),AND(AL588="E",OR(AT588=1,AT588=3))),Sick*W588,0)</f>
        <v>0</v>
      </c>
      <c r="BL588" s="462">
        <f t="shared" si="158"/>
        <v>0</v>
      </c>
      <c r="BM588" s="462">
        <f t="shared" si="159"/>
        <v>0</v>
      </c>
      <c r="BN588" s="462">
        <f>IF(AND(AT588=1,AK588="E",AU588&gt;=0.75,AW588=1),HealthBY,IF(AND(AT588=1,AK588="E",AU588&gt;=0.75),HealthBY*P588,IF(AND(AT588=1,AK588="E",AU588&gt;=0.5,AW588=1),PTHealthBY,IF(AND(AT588=1,AK588="E",AU588&gt;=0.5),PTHealthBY*P588,0))))</f>
        <v>0</v>
      </c>
      <c r="BO588" s="462">
        <f>IF(AND(AT588=3,AK588="E",AV588&gt;=0.75,AW588=1),HealthBY,IF(AND(AT588=3,AK588="E",AV588&gt;=0.75),HealthBY*P588,IF(AND(AT588=3,AK588="E",AV588&gt;=0.5,AW588=1),PTHealthBY,IF(AND(AT588=3,AK588="E",AV588&gt;=0.5),PTHealthBY*P588,0))))</f>
        <v>0</v>
      </c>
      <c r="BP588" s="462">
        <f>IF(AND(AT588&lt;&gt;0,(AX588+BA588)&gt;=MAXSSDIBY),SSDIBY*MAXSSDIBY*P588,IF(AT588&lt;&gt;0,SSDIBY*W588,0))</f>
        <v>0</v>
      </c>
      <c r="BQ588" s="462">
        <f>IF(AT588&lt;&gt;0,SSHIBY*W588,0)</f>
        <v>0</v>
      </c>
      <c r="BR588" s="462">
        <f>IF(AND(AT588&lt;&gt;0,AN588&lt;&gt;"NE"),VLOOKUP(AN588,Retirement_Rates,4,FALSE)*W588,0)</f>
        <v>0</v>
      </c>
      <c r="BS588" s="462">
        <f>IF(AND(AT588&lt;&gt;0,AJ588&lt;&gt;"PF"),LifeBY*W588,0)</f>
        <v>0</v>
      </c>
      <c r="BT588" s="462">
        <f>IF(AND(AT588&lt;&gt;0,AM588="Y"),UIBY*W588,0)</f>
        <v>0</v>
      </c>
      <c r="BU588" s="462">
        <f>IF(AND(AT588&lt;&gt;0,N588&lt;&gt;"NR"),DHRBY*W588,0)</f>
        <v>0</v>
      </c>
      <c r="BV588" s="462">
        <f>IF(AT588&lt;&gt;0,WCBY*W588,0)</f>
        <v>0</v>
      </c>
      <c r="BW588" s="462">
        <f>IF(OR(AND(AT588&lt;&gt;0,AJ588&lt;&gt;"PF",AN588&lt;&gt;"NE",AG588&lt;&gt;"A"),AND(AL588="E",OR(AT588=1,AT588=3))),SickBY*W588,0)</f>
        <v>0</v>
      </c>
      <c r="BX588" s="462">
        <f t="shared" si="160"/>
        <v>0</v>
      </c>
      <c r="BY588" s="462">
        <f t="shared" si="161"/>
        <v>0</v>
      </c>
      <c r="BZ588" s="462">
        <f t="shared" si="162"/>
        <v>0</v>
      </c>
      <c r="CA588" s="462">
        <f t="shared" si="163"/>
        <v>0</v>
      </c>
      <c r="CB588" s="462">
        <f t="shared" si="164"/>
        <v>0</v>
      </c>
      <c r="CC588" s="462">
        <f>IF(AT588&lt;&gt;0,SSHICHG*Y588,0)</f>
        <v>0</v>
      </c>
      <c r="CD588" s="462">
        <f>IF(AND(AT588&lt;&gt;0,AN588&lt;&gt;"NE"),VLOOKUP(AN588,Retirement_Rates,5,FALSE)*Y588,0)</f>
        <v>0</v>
      </c>
      <c r="CE588" s="462">
        <f>IF(AND(AT588&lt;&gt;0,AJ588&lt;&gt;"PF"),LifeCHG*Y588,0)</f>
        <v>0</v>
      </c>
      <c r="CF588" s="462">
        <f>IF(AND(AT588&lt;&gt;0,AM588="Y"),UICHG*Y588,0)</f>
        <v>0</v>
      </c>
      <c r="CG588" s="462">
        <f>IF(AND(AT588&lt;&gt;0,N588&lt;&gt;"NR"),DHRCHG*Y588,0)</f>
        <v>0</v>
      </c>
      <c r="CH588" s="462">
        <f>IF(AT588&lt;&gt;0,WCCHG*Y588,0)</f>
        <v>0</v>
      </c>
      <c r="CI588" s="462">
        <f>IF(OR(AND(AT588&lt;&gt;0,AJ588&lt;&gt;"PF",AN588&lt;&gt;"NE",AG588&lt;&gt;"A"),AND(AL588="E",OR(AT588=1,AT588=3))),SickCHG*Y588,0)</f>
        <v>0</v>
      </c>
      <c r="CJ588" s="462">
        <f t="shared" si="165"/>
        <v>0</v>
      </c>
      <c r="CK588" s="462" t="str">
        <f t="shared" si="166"/>
        <v/>
      </c>
      <c r="CL588" s="462">
        <f t="shared" si="167"/>
        <v>0</v>
      </c>
      <c r="CM588" s="462">
        <f t="shared" si="168"/>
        <v>0</v>
      </c>
      <c r="CN588" s="462" t="str">
        <f t="shared" si="169"/>
        <v>0486-00</v>
      </c>
    </row>
    <row r="589" spans="1:92" ht="15" thickBot="1" x14ac:dyDescent="0.35">
      <c r="A589" s="376" t="s">
        <v>161</v>
      </c>
      <c r="B589" s="376" t="s">
        <v>162</v>
      </c>
      <c r="C589" s="376" t="s">
        <v>1281</v>
      </c>
      <c r="D589" s="376" t="s">
        <v>647</v>
      </c>
      <c r="E589" s="376" t="s">
        <v>1140</v>
      </c>
      <c r="F589" s="377" t="s">
        <v>166</v>
      </c>
      <c r="G589" s="376" t="s">
        <v>1141</v>
      </c>
      <c r="H589" s="378"/>
      <c r="I589" s="378"/>
      <c r="J589" s="376" t="s">
        <v>168</v>
      </c>
      <c r="K589" s="376" t="s">
        <v>648</v>
      </c>
      <c r="L589" s="376" t="s">
        <v>166</v>
      </c>
      <c r="M589" s="376" t="s">
        <v>201</v>
      </c>
      <c r="N589" s="376" t="s">
        <v>291</v>
      </c>
      <c r="O589" s="379">
        <v>0</v>
      </c>
      <c r="P589" s="460">
        <v>1</v>
      </c>
      <c r="Q589" s="460">
        <v>0</v>
      </c>
      <c r="R589" s="380">
        <v>0</v>
      </c>
      <c r="S589" s="460">
        <v>0</v>
      </c>
      <c r="T589" s="380">
        <v>16753.099999999999</v>
      </c>
      <c r="U589" s="380">
        <v>995.8</v>
      </c>
      <c r="V589" s="380">
        <v>2359.08</v>
      </c>
      <c r="W589" s="380">
        <v>17748.900000000001</v>
      </c>
      <c r="X589" s="380">
        <v>2359.08</v>
      </c>
      <c r="Y589" s="380">
        <v>17748.900000000001</v>
      </c>
      <c r="Z589" s="380">
        <v>2359.08</v>
      </c>
      <c r="AA589" s="378"/>
      <c r="AB589" s="376" t="s">
        <v>45</v>
      </c>
      <c r="AC589" s="376" t="s">
        <v>45</v>
      </c>
      <c r="AD589" s="378"/>
      <c r="AE589" s="378"/>
      <c r="AF589" s="378"/>
      <c r="AG589" s="378"/>
      <c r="AH589" s="379">
        <v>0</v>
      </c>
      <c r="AI589" s="379">
        <v>0</v>
      </c>
      <c r="AJ589" s="378"/>
      <c r="AK589" s="378"/>
      <c r="AL589" s="376" t="s">
        <v>180</v>
      </c>
      <c r="AM589" s="378"/>
      <c r="AN589" s="378"/>
      <c r="AO589" s="379">
        <v>0</v>
      </c>
      <c r="AP589" s="460">
        <v>0</v>
      </c>
      <c r="AQ589" s="460">
        <v>0</v>
      </c>
      <c r="AR589" s="459"/>
      <c r="AS589" s="462">
        <f t="shared" si="153"/>
        <v>0</v>
      </c>
      <c r="AT589">
        <f t="shared" si="154"/>
        <v>0</v>
      </c>
      <c r="AU589" s="462" t="str">
        <f>IF(AT589=0,"",IF(AND(AT589=1,M589="F",SUMIF(C2:C698,C589,AS2:AS698)&lt;=1),SUMIF(C2:C698,C589,AS2:AS698),IF(AND(AT589=1,M589="F",SUMIF(C2:C698,C589,AS2:AS698)&gt;1),1,"")))</f>
        <v/>
      </c>
      <c r="AV589" s="462" t="str">
        <f>IF(AT589=0,"",IF(AND(AT589=3,M589="F",SUMIF(C2:C698,C589,AS2:AS698)&lt;=1),SUMIF(C2:C698,C589,AS2:AS698),IF(AND(AT589=3,M589="F",SUMIF(C2:C698,C589,AS2:AS698)&gt;1),1,"")))</f>
        <v/>
      </c>
      <c r="AW589" s="462">
        <f>SUMIF(C2:C698,C589,O2:O698)</f>
        <v>0</v>
      </c>
      <c r="AX589" s="462">
        <f>IF(AND(M589="F",AS589&lt;&gt;0),SUMIF(C2:C698,C589,W2:W698),0)</f>
        <v>0</v>
      </c>
      <c r="AY589" s="462" t="str">
        <f t="shared" si="155"/>
        <v/>
      </c>
      <c r="AZ589" s="462" t="str">
        <f t="shared" si="156"/>
        <v/>
      </c>
      <c r="BA589" s="462">
        <f t="shared" si="157"/>
        <v>0</v>
      </c>
      <c r="BB589" s="462">
        <f>IF(AND(AT589=1,AK589="E",AU589&gt;=0.75,AW589=1),Health,IF(AND(AT589=1,AK589="E",AU589&gt;=0.75),Health*P589,IF(AND(AT589=1,AK589="E",AU589&gt;=0.5,AW589=1),PTHealth,IF(AND(AT589=1,AK589="E",AU589&gt;=0.5),PTHealth*P589,0))))</f>
        <v>0</v>
      </c>
      <c r="BC589" s="462">
        <f>IF(AND(AT589=3,AK589="E",AV589&gt;=0.75,AW589=1),Health,IF(AND(AT589=3,AK589="E",AV589&gt;=0.75),Health*P589,IF(AND(AT589=3,AK589="E",AV589&gt;=0.5,AW589=1),PTHealth,IF(AND(AT589=3,AK589="E",AV589&gt;=0.5),PTHealth*P589,0))))</f>
        <v>0</v>
      </c>
      <c r="BD589" s="462">
        <f>IF(AND(AT589&lt;&gt;0,AX589&gt;=MAXSSDI),SSDI*MAXSSDI*P589,IF(AT589&lt;&gt;0,SSDI*W589,0))</f>
        <v>0</v>
      </c>
      <c r="BE589" s="462">
        <f>IF(AT589&lt;&gt;0,SSHI*W589,0)</f>
        <v>0</v>
      </c>
      <c r="BF589" s="462">
        <f>IF(AND(AT589&lt;&gt;0,AN589&lt;&gt;"NE"),VLOOKUP(AN589,Retirement_Rates,3,FALSE)*W589,0)</f>
        <v>0</v>
      </c>
      <c r="BG589" s="462">
        <f>IF(AND(AT589&lt;&gt;0,AJ589&lt;&gt;"PF"),Life*W589,0)</f>
        <v>0</v>
      </c>
      <c r="BH589" s="462">
        <f>IF(AND(AT589&lt;&gt;0,AM589="Y"),UI*W589,0)</f>
        <v>0</v>
      </c>
      <c r="BI589" s="462">
        <f>IF(AND(AT589&lt;&gt;0,N589&lt;&gt;"NR"),DHR*W589,0)</f>
        <v>0</v>
      </c>
      <c r="BJ589" s="462">
        <f>IF(AT589&lt;&gt;0,WC*W589,0)</f>
        <v>0</v>
      </c>
      <c r="BK589" s="462">
        <f>IF(OR(AND(AT589&lt;&gt;0,AJ589&lt;&gt;"PF",AN589&lt;&gt;"NE",AG589&lt;&gt;"A"),AND(AL589="E",OR(AT589=1,AT589=3))),Sick*W589,0)</f>
        <v>0</v>
      </c>
      <c r="BL589" s="462">
        <f t="shared" si="158"/>
        <v>0</v>
      </c>
      <c r="BM589" s="462">
        <f t="shared" si="159"/>
        <v>0</v>
      </c>
      <c r="BN589" s="462">
        <f>IF(AND(AT589=1,AK589="E",AU589&gt;=0.75,AW589=1),HealthBY,IF(AND(AT589=1,AK589="E",AU589&gt;=0.75),HealthBY*P589,IF(AND(AT589=1,AK589="E",AU589&gt;=0.5,AW589=1),PTHealthBY,IF(AND(AT589=1,AK589="E",AU589&gt;=0.5),PTHealthBY*P589,0))))</f>
        <v>0</v>
      </c>
      <c r="BO589" s="462">
        <f>IF(AND(AT589=3,AK589="E",AV589&gt;=0.75,AW589=1),HealthBY,IF(AND(AT589=3,AK589="E",AV589&gt;=0.75),HealthBY*P589,IF(AND(AT589=3,AK589="E",AV589&gt;=0.5,AW589=1),PTHealthBY,IF(AND(AT589=3,AK589="E",AV589&gt;=0.5),PTHealthBY*P589,0))))</f>
        <v>0</v>
      </c>
      <c r="BP589" s="462">
        <f>IF(AND(AT589&lt;&gt;0,(AX589+BA589)&gt;=MAXSSDIBY),SSDIBY*MAXSSDIBY*P589,IF(AT589&lt;&gt;0,SSDIBY*W589,0))</f>
        <v>0</v>
      </c>
      <c r="BQ589" s="462">
        <f>IF(AT589&lt;&gt;0,SSHIBY*W589,0)</f>
        <v>0</v>
      </c>
      <c r="BR589" s="462">
        <f>IF(AND(AT589&lt;&gt;0,AN589&lt;&gt;"NE"),VLOOKUP(AN589,Retirement_Rates,4,FALSE)*W589,0)</f>
        <v>0</v>
      </c>
      <c r="BS589" s="462">
        <f>IF(AND(AT589&lt;&gt;0,AJ589&lt;&gt;"PF"),LifeBY*W589,0)</f>
        <v>0</v>
      </c>
      <c r="BT589" s="462">
        <f>IF(AND(AT589&lt;&gt;0,AM589="Y"),UIBY*W589,0)</f>
        <v>0</v>
      </c>
      <c r="BU589" s="462">
        <f>IF(AND(AT589&lt;&gt;0,N589&lt;&gt;"NR"),DHRBY*W589,0)</f>
        <v>0</v>
      </c>
      <c r="BV589" s="462">
        <f>IF(AT589&lt;&gt;0,WCBY*W589,0)</f>
        <v>0</v>
      </c>
      <c r="BW589" s="462">
        <f>IF(OR(AND(AT589&lt;&gt;0,AJ589&lt;&gt;"PF",AN589&lt;&gt;"NE",AG589&lt;&gt;"A"),AND(AL589="E",OR(AT589=1,AT589=3))),SickBY*W589,0)</f>
        <v>0</v>
      </c>
      <c r="BX589" s="462">
        <f t="shared" si="160"/>
        <v>0</v>
      </c>
      <c r="BY589" s="462">
        <f t="shared" si="161"/>
        <v>0</v>
      </c>
      <c r="BZ589" s="462">
        <f t="shared" si="162"/>
        <v>0</v>
      </c>
      <c r="CA589" s="462">
        <f t="shared" si="163"/>
        <v>0</v>
      </c>
      <c r="CB589" s="462">
        <f t="shared" si="164"/>
        <v>0</v>
      </c>
      <c r="CC589" s="462">
        <f>IF(AT589&lt;&gt;0,SSHICHG*Y589,0)</f>
        <v>0</v>
      </c>
      <c r="CD589" s="462">
        <f>IF(AND(AT589&lt;&gt;0,AN589&lt;&gt;"NE"),VLOOKUP(AN589,Retirement_Rates,5,FALSE)*Y589,0)</f>
        <v>0</v>
      </c>
      <c r="CE589" s="462">
        <f>IF(AND(AT589&lt;&gt;0,AJ589&lt;&gt;"PF"),LifeCHG*Y589,0)</f>
        <v>0</v>
      </c>
      <c r="CF589" s="462">
        <f>IF(AND(AT589&lt;&gt;0,AM589="Y"),UICHG*Y589,0)</f>
        <v>0</v>
      </c>
      <c r="CG589" s="462">
        <f>IF(AND(AT589&lt;&gt;0,N589&lt;&gt;"NR"),DHRCHG*Y589,0)</f>
        <v>0</v>
      </c>
      <c r="CH589" s="462">
        <f>IF(AT589&lt;&gt;0,WCCHG*Y589,0)</f>
        <v>0</v>
      </c>
      <c r="CI589" s="462">
        <f>IF(OR(AND(AT589&lt;&gt;0,AJ589&lt;&gt;"PF",AN589&lt;&gt;"NE",AG589&lt;&gt;"A"),AND(AL589="E",OR(AT589=1,AT589=3))),SickCHG*Y589,0)</f>
        <v>0</v>
      </c>
      <c r="CJ589" s="462">
        <f t="shared" si="165"/>
        <v>0</v>
      </c>
      <c r="CK589" s="462" t="str">
        <f t="shared" si="166"/>
        <v/>
      </c>
      <c r="CL589" s="462">
        <f t="shared" si="167"/>
        <v>17748.899999999998</v>
      </c>
      <c r="CM589" s="462">
        <f t="shared" si="168"/>
        <v>2359.08</v>
      </c>
      <c r="CN589" s="462" t="str">
        <f t="shared" si="169"/>
        <v>0486-00</v>
      </c>
    </row>
    <row r="590" spans="1:92" ht="15" thickBot="1" x14ac:dyDescent="0.35">
      <c r="A590" s="376" t="s">
        <v>161</v>
      </c>
      <c r="B590" s="376" t="s">
        <v>162</v>
      </c>
      <c r="C590" s="376" t="s">
        <v>1282</v>
      </c>
      <c r="D590" s="376" t="s">
        <v>1150</v>
      </c>
      <c r="E590" s="376" t="s">
        <v>1140</v>
      </c>
      <c r="F590" s="377" t="s">
        <v>166</v>
      </c>
      <c r="G590" s="376" t="s">
        <v>1141</v>
      </c>
      <c r="H590" s="378"/>
      <c r="I590" s="378"/>
      <c r="J590" s="376" t="s">
        <v>168</v>
      </c>
      <c r="K590" s="376" t="s">
        <v>1151</v>
      </c>
      <c r="L590" s="376" t="s">
        <v>166</v>
      </c>
      <c r="M590" s="376" t="s">
        <v>201</v>
      </c>
      <c r="N590" s="376" t="s">
        <v>291</v>
      </c>
      <c r="O590" s="379">
        <v>0</v>
      </c>
      <c r="P590" s="460">
        <v>1</v>
      </c>
      <c r="Q590" s="460">
        <v>0</v>
      </c>
      <c r="R590" s="380">
        <v>0</v>
      </c>
      <c r="S590" s="460">
        <v>0</v>
      </c>
      <c r="T590" s="380">
        <v>0</v>
      </c>
      <c r="U590" s="380">
        <v>0</v>
      </c>
      <c r="V590" s="380">
        <v>0</v>
      </c>
      <c r="W590" s="380">
        <v>0</v>
      </c>
      <c r="X590" s="380">
        <v>0</v>
      </c>
      <c r="Y590" s="380">
        <v>0</v>
      </c>
      <c r="Z590" s="380">
        <v>0</v>
      </c>
      <c r="AA590" s="378"/>
      <c r="AB590" s="376" t="s">
        <v>45</v>
      </c>
      <c r="AC590" s="376" t="s">
        <v>45</v>
      </c>
      <c r="AD590" s="378"/>
      <c r="AE590" s="378"/>
      <c r="AF590" s="378"/>
      <c r="AG590" s="378"/>
      <c r="AH590" s="379">
        <v>0</v>
      </c>
      <c r="AI590" s="379">
        <v>0</v>
      </c>
      <c r="AJ590" s="378"/>
      <c r="AK590" s="378"/>
      <c r="AL590" s="376" t="s">
        <v>180</v>
      </c>
      <c r="AM590" s="378"/>
      <c r="AN590" s="378"/>
      <c r="AO590" s="379">
        <v>0</v>
      </c>
      <c r="AP590" s="460">
        <v>0</v>
      </c>
      <c r="AQ590" s="460">
        <v>0</v>
      </c>
      <c r="AR590" s="459"/>
      <c r="AS590" s="462">
        <f t="shared" si="153"/>
        <v>0</v>
      </c>
      <c r="AT590">
        <f t="shared" si="154"/>
        <v>0</v>
      </c>
      <c r="AU590" s="462" t="str">
        <f>IF(AT590=0,"",IF(AND(AT590=1,M590="F",SUMIF(C2:C698,C590,AS2:AS698)&lt;=1),SUMIF(C2:C698,C590,AS2:AS698),IF(AND(AT590=1,M590="F",SUMIF(C2:C698,C590,AS2:AS698)&gt;1),1,"")))</f>
        <v/>
      </c>
      <c r="AV590" s="462" t="str">
        <f>IF(AT590=0,"",IF(AND(AT590=3,M590="F",SUMIF(C2:C698,C590,AS2:AS698)&lt;=1),SUMIF(C2:C698,C590,AS2:AS698),IF(AND(AT590=3,M590="F",SUMIF(C2:C698,C590,AS2:AS698)&gt;1),1,"")))</f>
        <v/>
      </c>
      <c r="AW590" s="462">
        <f>SUMIF(C2:C698,C590,O2:O698)</f>
        <v>0</v>
      </c>
      <c r="AX590" s="462">
        <f>IF(AND(M590="F",AS590&lt;&gt;0),SUMIF(C2:C698,C590,W2:W698),0)</f>
        <v>0</v>
      </c>
      <c r="AY590" s="462" t="str">
        <f t="shared" si="155"/>
        <v/>
      </c>
      <c r="AZ590" s="462" t="str">
        <f t="shared" si="156"/>
        <v/>
      </c>
      <c r="BA590" s="462">
        <f t="shared" si="157"/>
        <v>0</v>
      </c>
      <c r="BB590" s="462">
        <f>IF(AND(AT590=1,AK590="E",AU590&gt;=0.75,AW590=1),Health,IF(AND(AT590=1,AK590="E",AU590&gt;=0.75),Health*P590,IF(AND(AT590=1,AK590="E",AU590&gt;=0.5,AW590=1),PTHealth,IF(AND(AT590=1,AK590="E",AU590&gt;=0.5),PTHealth*P590,0))))</f>
        <v>0</v>
      </c>
      <c r="BC590" s="462">
        <f>IF(AND(AT590=3,AK590="E",AV590&gt;=0.75,AW590=1),Health,IF(AND(AT590=3,AK590="E",AV590&gt;=0.75),Health*P590,IF(AND(AT590=3,AK590="E",AV590&gt;=0.5,AW590=1),PTHealth,IF(AND(AT590=3,AK590="E",AV590&gt;=0.5),PTHealth*P590,0))))</f>
        <v>0</v>
      </c>
      <c r="BD590" s="462">
        <f>IF(AND(AT590&lt;&gt;0,AX590&gt;=MAXSSDI),SSDI*MAXSSDI*P590,IF(AT590&lt;&gt;0,SSDI*W590,0))</f>
        <v>0</v>
      </c>
      <c r="BE590" s="462">
        <f>IF(AT590&lt;&gt;0,SSHI*W590,0)</f>
        <v>0</v>
      </c>
      <c r="BF590" s="462">
        <f>IF(AND(AT590&lt;&gt;0,AN590&lt;&gt;"NE"),VLOOKUP(AN590,Retirement_Rates,3,FALSE)*W590,0)</f>
        <v>0</v>
      </c>
      <c r="BG590" s="462">
        <f>IF(AND(AT590&lt;&gt;0,AJ590&lt;&gt;"PF"),Life*W590,0)</f>
        <v>0</v>
      </c>
      <c r="BH590" s="462">
        <f>IF(AND(AT590&lt;&gt;0,AM590="Y"),UI*W590,0)</f>
        <v>0</v>
      </c>
      <c r="BI590" s="462">
        <f>IF(AND(AT590&lt;&gt;0,N590&lt;&gt;"NR"),DHR*W590,0)</f>
        <v>0</v>
      </c>
      <c r="BJ590" s="462">
        <f>IF(AT590&lt;&gt;0,WC*W590,0)</f>
        <v>0</v>
      </c>
      <c r="BK590" s="462">
        <f>IF(OR(AND(AT590&lt;&gt;0,AJ590&lt;&gt;"PF",AN590&lt;&gt;"NE",AG590&lt;&gt;"A"),AND(AL590="E",OR(AT590=1,AT590=3))),Sick*W590,0)</f>
        <v>0</v>
      </c>
      <c r="BL590" s="462">
        <f t="shared" si="158"/>
        <v>0</v>
      </c>
      <c r="BM590" s="462">
        <f t="shared" si="159"/>
        <v>0</v>
      </c>
      <c r="BN590" s="462">
        <f>IF(AND(AT590=1,AK590="E",AU590&gt;=0.75,AW590=1),HealthBY,IF(AND(AT590=1,AK590="E",AU590&gt;=0.75),HealthBY*P590,IF(AND(AT590=1,AK590="E",AU590&gt;=0.5,AW590=1),PTHealthBY,IF(AND(AT590=1,AK590="E",AU590&gt;=0.5),PTHealthBY*P590,0))))</f>
        <v>0</v>
      </c>
      <c r="BO590" s="462">
        <f>IF(AND(AT590=3,AK590="E",AV590&gt;=0.75,AW590=1),HealthBY,IF(AND(AT590=3,AK590="E",AV590&gt;=0.75),HealthBY*P590,IF(AND(AT590=3,AK590="E",AV590&gt;=0.5,AW590=1),PTHealthBY,IF(AND(AT590=3,AK590="E",AV590&gt;=0.5),PTHealthBY*P590,0))))</f>
        <v>0</v>
      </c>
      <c r="BP590" s="462">
        <f>IF(AND(AT590&lt;&gt;0,(AX590+BA590)&gt;=MAXSSDIBY),SSDIBY*MAXSSDIBY*P590,IF(AT590&lt;&gt;0,SSDIBY*W590,0))</f>
        <v>0</v>
      </c>
      <c r="BQ590" s="462">
        <f>IF(AT590&lt;&gt;0,SSHIBY*W590,0)</f>
        <v>0</v>
      </c>
      <c r="BR590" s="462">
        <f>IF(AND(AT590&lt;&gt;0,AN590&lt;&gt;"NE"),VLOOKUP(AN590,Retirement_Rates,4,FALSE)*W590,0)</f>
        <v>0</v>
      </c>
      <c r="BS590" s="462">
        <f>IF(AND(AT590&lt;&gt;0,AJ590&lt;&gt;"PF"),LifeBY*W590,0)</f>
        <v>0</v>
      </c>
      <c r="BT590" s="462">
        <f>IF(AND(AT590&lt;&gt;0,AM590="Y"),UIBY*W590,0)</f>
        <v>0</v>
      </c>
      <c r="BU590" s="462">
        <f>IF(AND(AT590&lt;&gt;0,N590&lt;&gt;"NR"),DHRBY*W590,0)</f>
        <v>0</v>
      </c>
      <c r="BV590" s="462">
        <f>IF(AT590&lt;&gt;0,WCBY*W590,0)</f>
        <v>0</v>
      </c>
      <c r="BW590" s="462">
        <f>IF(OR(AND(AT590&lt;&gt;0,AJ590&lt;&gt;"PF",AN590&lt;&gt;"NE",AG590&lt;&gt;"A"),AND(AL590="E",OR(AT590=1,AT590=3))),SickBY*W590,0)</f>
        <v>0</v>
      </c>
      <c r="BX590" s="462">
        <f t="shared" si="160"/>
        <v>0</v>
      </c>
      <c r="BY590" s="462">
        <f t="shared" si="161"/>
        <v>0</v>
      </c>
      <c r="BZ590" s="462">
        <f t="shared" si="162"/>
        <v>0</v>
      </c>
      <c r="CA590" s="462">
        <f t="shared" si="163"/>
        <v>0</v>
      </c>
      <c r="CB590" s="462">
        <f t="shared" si="164"/>
        <v>0</v>
      </c>
      <c r="CC590" s="462">
        <f>IF(AT590&lt;&gt;0,SSHICHG*Y590,0)</f>
        <v>0</v>
      </c>
      <c r="CD590" s="462">
        <f>IF(AND(AT590&lt;&gt;0,AN590&lt;&gt;"NE"),VLOOKUP(AN590,Retirement_Rates,5,FALSE)*Y590,0)</f>
        <v>0</v>
      </c>
      <c r="CE590" s="462">
        <f>IF(AND(AT590&lt;&gt;0,AJ590&lt;&gt;"PF"),LifeCHG*Y590,0)</f>
        <v>0</v>
      </c>
      <c r="CF590" s="462">
        <f>IF(AND(AT590&lt;&gt;0,AM590="Y"),UICHG*Y590,0)</f>
        <v>0</v>
      </c>
      <c r="CG590" s="462">
        <f>IF(AND(AT590&lt;&gt;0,N590&lt;&gt;"NR"),DHRCHG*Y590,0)</f>
        <v>0</v>
      </c>
      <c r="CH590" s="462">
        <f>IF(AT590&lt;&gt;0,WCCHG*Y590,0)</f>
        <v>0</v>
      </c>
      <c r="CI590" s="462">
        <f>IF(OR(AND(AT590&lt;&gt;0,AJ590&lt;&gt;"PF",AN590&lt;&gt;"NE",AG590&lt;&gt;"A"),AND(AL590="E",OR(AT590=1,AT590=3))),SickCHG*Y590,0)</f>
        <v>0</v>
      </c>
      <c r="CJ590" s="462">
        <f t="shared" si="165"/>
        <v>0</v>
      </c>
      <c r="CK590" s="462" t="str">
        <f t="shared" si="166"/>
        <v/>
      </c>
      <c r="CL590" s="462">
        <f t="shared" si="167"/>
        <v>0</v>
      </c>
      <c r="CM590" s="462">
        <f t="shared" si="168"/>
        <v>0</v>
      </c>
      <c r="CN590" s="462" t="str">
        <f t="shared" si="169"/>
        <v>0486-00</v>
      </c>
    </row>
    <row r="591" spans="1:92" ht="15" thickBot="1" x14ac:dyDescent="0.35">
      <c r="A591" s="376" t="s">
        <v>161</v>
      </c>
      <c r="B591" s="376" t="s">
        <v>162</v>
      </c>
      <c r="C591" s="376" t="s">
        <v>1283</v>
      </c>
      <c r="D591" s="376" t="s">
        <v>858</v>
      </c>
      <c r="E591" s="376" t="s">
        <v>1140</v>
      </c>
      <c r="F591" s="377" t="s">
        <v>166</v>
      </c>
      <c r="G591" s="376" t="s">
        <v>1141</v>
      </c>
      <c r="H591" s="378"/>
      <c r="I591" s="378"/>
      <c r="J591" s="376" t="s">
        <v>168</v>
      </c>
      <c r="K591" s="376" t="s">
        <v>859</v>
      </c>
      <c r="L591" s="376" t="s">
        <v>166</v>
      </c>
      <c r="M591" s="376" t="s">
        <v>170</v>
      </c>
      <c r="N591" s="376" t="s">
        <v>291</v>
      </c>
      <c r="O591" s="379">
        <v>0</v>
      </c>
      <c r="P591" s="460">
        <v>1</v>
      </c>
      <c r="Q591" s="460">
        <v>0</v>
      </c>
      <c r="R591" s="380">
        <v>0</v>
      </c>
      <c r="S591" s="460">
        <v>0</v>
      </c>
      <c r="T591" s="380">
        <v>365251.26</v>
      </c>
      <c r="U591" s="380">
        <v>16612.02</v>
      </c>
      <c r="V591" s="380">
        <v>206725</v>
      </c>
      <c r="W591" s="380">
        <v>381863.28</v>
      </c>
      <c r="X591" s="380">
        <v>206725</v>
      </c>
      <c r="Y591" s="380">
        <v>381863.28</v>
      </c>
      <c r="Z591" s="380">
        <v>206725</v>
      </c>
      <c r="AA591" s="378"/>
      <c r="AB591" s="376" t="s">
        <v>45</v>
      </c>
      <c r="AC591" s="376" t="s">
        <v>45</v>
      </c>
      <c r="AD591" s="378"/>
      <c r="AE591" s="378"/>
      <c r="AF591" s="378"/>
      <c r="AG591" s="378"/>
      <c r="AH591" s="379">
        <v>0</v>
      </c>
      <c r="AI591" s="379">
        <v>0</v>
      </c>
      <c r="AJ591" s="378"/>
      <c r="AK591" s="378"/>
      <c r="AL591" s="376" t="s">
        <v>180</v>
      </c>
      <c r="AM591" s="378"/>
      <c r="AN591" s="378"/>
      <c r="AO591" s="379">
        <v>0</v>
      </c>
      <c r="AP591" s="460">
        <v>0</v>
      </c>
      <c r="AQ591" s="460">
        <v>0</v>
      </c>
      <c r="AR591" s="459"/>
      <c r="AS591" s="462">
        <f t="shared" si="153"/>
        <v>0</v>
      </c>
      <c r="AT591">
        <f t="shared" si="154"/>
        <v>0</v>
      </c>
      <c r="AU591" s="462" t="str">
        <f>IF(AT591=0,"",IF(AND(AT591=1,M591="F",SUMIF(C2:C698,C591,AS2:AS698)&lt;=1),SUMIF(C2:C698,C591,AS2:AS698),IF(AND(AT591=1,M591="F",SUMIF(C2:C698,C591,AS2:AS698)&gt;1),1,"")))</f>
        <v/>
      </c>
      <c r="AV591" s="462" t="str">
        <f>IF(AT591=0,"",IF(AND(AT591=3,M591="F",SUMIF(C2:C698,C591,AS2:AS698)&lt;=1),SUMIF(C2:C698,C591,AS2:AS698),IF(AND(AT591=3,M591="F",SUMIF(C2:C698,C591,AS2:AS698)&gt;1),1,"")))</f>
        <v/>
      </c>
      <c r="AW591" s="462">
        <f>SUMIF(C2:C698,C591,O2:O698)</f>
        <v>0</v>
      </c>
      <c r="AX591" s="462">
        <f>IF(AND(M591="F",AS591&lt;&gt;0),SUMIF(C2:C698,C591,W2:W698),0)</f>
        <v>0</v>
      </c>
      <c r="AY591" s="462" t="str">
        <f t="shared" si="155"/>
        <v/>
      </c>
      <c r="AZ591" s="462" t="str">
        <f t="shared" si="156"/>
        <v/>
      </c>
      <c r="BA591" s="462">
        <f t="shared" si="157"/>
        <v>0</v>
      </c>
      <c r="BB591" s="462">
        <f>IF(AND(AT591=1,AK591="E",AU591&gt;=0.75,AW591=1),Health,IF(AND(AT591=1,AK591="E",AU591&gt;=0.75),Health*P591,IF(AND(AT591=1,AK591="E",AU591&gt;=0.5,AW591=1),PTHealth,IF(AND(AT591=1,AK591="E",AU591&gt;=0.5),PTHealth*P591,0))))</f>
        <v>0</v>
      </c>
      <c r="BC591" s="462">
        <f>IF(AND(AT591=3,AK591="E",AV591&gt;=0.75,AW591=1),Health,IF(AND(AT591=3,AK591="E",AV591&gt;=0.75),Health*P591,IF(AND(AT591=3,AK591="E",AV591&gt;=0.5,AW591=1),PTHealth,IF(AND(AT591=3,AK591="E",AV591&gt;=0.5),PTHealth*P591,0))))</f>
        <v>0</v>
      </c>
      <c r="BD591" s="462">
        <f>IF(AND(AT591&lt;&gt;0,AX591&gt;=MAXSSDI),SSDI*MAXSSDI*P591,IF(AT591&lt;&gt;0,SSDI*W591,0))</f>
        <v>0</v>
      </c>
      <c r="BE591" s="462">
        <f>IF(AT591&lt;&gt;0,SSHI*W591,0)</f>
        <v>0</v>
      </c>
      <c r="BF591" s="462">
        <f>IF(AND(AT591&lt;&gt;0,AN591&lt;&gt;"NE"),VLOOKUP(AN591,Retirement_Rates,3,FALSE)*W591,0)</f>
        <v>0</v>
      </c>
      <c r="BG591" s="462">
        <f>IF(AND(AT591&lt;&gt;0,AJ591&lt;&gt;"PF"),Life*W591,0)</f>
        <v>0</v>
      </c>
      <c r="BH591" s="462">
        <f>IF(AND(AT591&lt;&gt;0,AM591="Y"),UI*W591,0)</f>
        <v>0</v>
      </c>
      <c r="BI591" s="462">
        <f>IF(AND(AT591&lt;&gt;0,N591&lt;&gt;"NR"),DHR*W591,0)</f>
        <v>0</v>
      </c>
      <c r="BJ591" s="462">
        <f>IF(AT591&lt;&gt;0,WC*W591,0)</f>
        <v>0</v>
      </c>
      <c r="BK591" s="462">
        <f>IF(OR(AND(AT591&lt;&gt;0,AJ591&lt;&gt;"PF",AN591&lt;&gt;"NE",AG591&lt;&gt;"A"),AND(AL591="E",OR(AT591=1,AT591=3))),Sick*W591,0)</f>
        <v>0</v>
      </c>
      <c r="BL591" s="462">
        <f t="shared" si="158"/>
        <v>0</v>
      </c>
      <c r="BM591" s="462">
        <f t="shared" si="159"/>
        <v>0</v>
      </c>
      <c r="BN591" s="462">
        <f>IF(AND(AT591=1,AK591="E",AU591&gt;=0.75,AW591=1),HealthBY,IF(AND(AT591=1,AK591="E",AU591&gt;=0.75),HealthBY*P591,IF(AND(AT591=1,AK591="E",AU591&gt;=0.5,AW591=1),PTHealthBY,IF(AND(AT591=1,AK591="E",AU591&gt;=0.5),PTHealthBY*P591,0))))</f>
        <v>0</v>
      </c>
      <c r="BO591" s="462">
        <f>IF(AND(AT591=3,AK591="E",AV591&gt;=0.75,AW591=1),HealthBY,IF(AND(AT591=3,AK591="E",AV591&gt;=0.75),HealthBY*P591,IF(AND(AT591=3,AK591="E",AV591&gt;=0.5,AW591=1),PTHealthBY,IF(AND(AT591=3,AK591="E",AV591&gt;=0.5),PTHealthBY*P591,0))))</f>
        <v>0</v>
      </c>
      <c r="BP591" s="462">
        <f>IF(AND(AT591&lt;&gt;0,(AX591+BA591)&gt;=MAXSSDIBY),SSDIBY*MAXSSDIBY*P591,IF(AT591&lt;&gt;0,SSDIBY*W591,0))</f>
        <v>0</v>
      </c>
      <c r="BQ591" s="462">
        <f>IF(AT591&lt;&gt;0,SSHIBY*W591,0)</f>
        <v>0</v>
      </c>
      <c r="BR591" s="462">
        <f>IF(AND(AT591&lt;&gt;0,AN591&lt;&gt;"NE"),VLOOKUP(AN591,Retirement_Rates,4,FALSE)*W591,0)</f>
        <v>0</v>
      </c>
      <c r="BS591" s="462">
        <f>IF(AND(AT591&lt;&gt;0,AJ591&lt;&gt;"PF"),LifeBY*W591,0)</f>
        <v>0</v>
      </c>
      <c r="BT591" s="462">
        <f>IF(AND(AT591&lt;&gt;0,AM591="Y"),UIBY*W591,0)</f>
        <v>0</v>
      </c>
      <c r="BU591" s="462">
        <f>IF(AND(AT591&lt;&gt;0,N591&lt;&gt;"NR"),DHRBY*W591,0)</f>
        <v>0</v>
      </c>
      <c r="BV591" s="462">
        <f>IF(AT591&lt;&gt;0,WCBY*W591,0)</f>
        <v>0</v>
      </c>
      <c r="BW591" s="462">
        <f>IF(OR(AND(AT591&lt;&gt;0,AJ591&lt;&gt;"PF",AN591&lt;&gt;"NE",AG591&lt;&gt;"A"),AND(AL591="E",OR(AT591=1,AT591=3))),SickBY*W591,0)</f>
        <v>0</v>
      </c>
      <c r="BX591" s="462">
        <f t="shared" si="160"/>
        <v>0</v>
      </c>
      <c r="BY591" s="462">
        <f t="shared" si="161"/>
        <v>0</v>
      </c>
      <c r="BZ591" s="462">
        <f t="shared" si="162"/>
        <v>0</v>
      </c>
      <c r="CA591" s="462">
        <f t="shared" si="163"/>
        <v>0</v>
      </c>
      <c r="CB591" s="462">
        <f t="shared" si="164"/>
        <v>0</v>
      </c>
      <c r="CC591" s="462">
        <f>IF(AT591&lt;&gt;0,SSHICHG*Y591,0)</f>
        <v>0</v>
      </c>
      <c r="CD591" s="462">
        <f>IF(AND(AT591&lt;&gt;0,AN591&lt;&gt;"NE"),VLOOKUP(AN591,Retirement_Rates,5,FALSE)*Y591,0)</f>
        <v>0</v>
      </c>
      <c r="CE591" s="462">
        <f>IF(AND(AT591&lt;&gt;0,AJ591&lt;&gt;"PF"),LifeCHG*Y591,0)</f>
        <v>0</v>
      </c>
      <c r="CF591" s="462">
        <f>IF(AND(AT591&lt;&gt;0,AM591="Y"),UICHG*Y591,0)</f>
        <v>0</v>
      </c>
      <c r="CG591" s="462">
        <f>IF(AND(AT591&lt;&gt;0,N591&lt;&gt;"NR"),DHRCHG*Y591,0)</f>
        <v>0</v>
      </c>
      <c r="CH591" s="462">
        <f>IF(AT591&lt;&gt;0,WCCHG*Y591,0)</f>
        <v>0</v>
      </c>
      <c r="CI591" s="462">
        <f>IF(OR(AND(AT591&lt;&gt;0,AJ591&lt;&gt;"PF",AN591&lt;&gt;"NE",AG591&lt;&gt;"A"),AND(AL591="E",OR(AT591=1,AT591=3))),SickCHG*Y591,0)</f>
        <v>0</v>
      </c>
      <c r="CJ591" s="462">
        <f t="shared" si="165"/>
        <v>0</v>
      </c>
      <c r="CK591" s="462" t="str">
        <f t="shared" si="166"/>
        <v/>
      </c>
      <c r="CL591" s="462">
        <f t="shared" si="167"/>
        <v>381863.28</v>
      </c>
      <c r="CM591" s="462">
        <f t="shared" si="168"/>
        <v>206725</v>
      </c>
      <c r="CN591" s="462" t="str">
        <f t="shared" si="169"/>
        <v>0486-00</v>
      </c>
    </row>
    <row r="592" spans="1:92" ht="15" thickBot="1" x14ac:dyDescent="0.35">
      <c r="A592" s="376" t="s">
        <v>161</v>
      </c>
      <c r="B592" s="376" t="s">
        <v>162</v>
      </c>
      <c r="C592" s="376" t="s">
        <v>1284</v>
      </c>
      <c r="D592" s="376" t="s">
        <v>802</v>
      </c>
      <c r="E592" s="376" t="s">
        <v>1140</v>
      </c>
      <c r="F592" s="377" t="s">
        <v>166</v>
      </c>
      <c r="G592" s="376" t="s">
        <v>1141</v>
      </c>
      <c r="H592" s="378"/>
      <c r="I592" s="378"/>
      <c r="J592" s="376" t="s">
        <v>168</v>
      </c>
      <c r="K592" s="376" t="s">
        <v>803</v>
      </c>
      <c r="L592" s="376" t="s">
        <v>243</v>
      </c>
      <c r="M592" s="376" t="s">
        <v>170</v>
      </c>
      <c r="N592" s="376" t="s">
        <v>202</v>
      </c>
      <c r="O592" s="379">
        <v>1</v>
      </c>
      <c r="P592" s="460">
        <v>1</v>
      </c>
      <c r="Q592" s="460">
        <v>1</v>
      </c>
      <c r="R592" s="380">
        <v>80</v>
      </c>
      <c r="S592" s="460">
        <v>1</v>
      </c>
      <c r="T592" s="380">
        <v>71029.600000000006</v>
      </c>
      <c r="U592" s="380">
        <v>0</v>
      </c>
      <c r="V592" s="380">
        <v>26929.599999999999</v>
      </c>
      <c r="W592" s="380">
        <v>73403.199999999997</v>
      </c>
      <c r="X592" s="380">
        <v>28266.240000000002</v>
      </c>
      <c r="Y592" s="380">
        <v>73403.199999999997</v>
      </c>
      <c r="Z592" s="380">
        <v>28075.4</v>
      </c>
      <c r="AA592" s="376" t="s">
        <v>1285</v>
      </c>
      <c r="AB592" s="376" t="s">
        <v>1286</v>
      </c>
      <c r="AC592" s="376" t="s">
        <v>1287</v>
      </c>
      <c r="AD592" s="376" t="s">
        <v>374</v>
      </c>
      <c r="AE592" s="376" t="s">
        <v>803</v>
      </c>
      <c r="AF592" s="376" t="s">
        <v>248</v>
      </c>
      <c r="AG592" s="376" t="s">
        <v>177</v>
      </c>
      <c r="AH592" s="381">
        <v>35.29</v>
      </c>
      <c r="AI592" s="381">
        <v>28552.799999999999</v>
      </c>
      <c r="AJ592" s="376" t="s">
        <v>178</v>
      </c>
      <c r="AK592" s="376" t="s">
        <v>179</v>
      </c>
      <c r="AL592" s="376" t="s">
        <v>180</v>
      </c>
      <c r="AM592" s="376" t="s">
        <v>181</v>
      </c>
      <c r="AN592" s="376" t="s">
        <v>68</v>
      </c>
      <c r="AO592" s="379">
        <v>80</v>
      </c>
      <c r="AP592" s="460">
        <v>1</v>
      </c>
      <c r="AQ592" s="460">
        <v>1</v>
      </c>
      <c r="AR592" s="458" t="s">
        <v>182</v>
      </c>
      <c r="AS592" s="462">
        <f t="shared" si="153"/>
        <v>1</v>
      </c>
      <c r="AT592">
        <f t="shared" si="154"/>
        <v>1</v>
      </c>
      <c r="AU592" s="462">
        <f>IF(AT592=0,"",IF(AND(AT592=1,M592="F",SUMIF(C2:C698,C592,AS2:AS698)&lt;=1),SUMIF(C2:C698,C592,AS2:AS698),IF(AND(AT592=1,M592="F",SUMIF(C2:C698,C592,AS2:AS698)&gt;1),1,"")))</f>
        <v>1</v>
      </c>
      <c r="AV592" s="462" t="str">
        <f>IF(AT592=0,"",IF(AND(AT592=3,M592="F",SUMIF(C2:C698,C592,AS2:AS698)&lt;=1),SUMIF(C2:C698,C592,AS2:AS698),IF(AND(AT592=3,M592="F",SUMIF(C2:C698,C592,AS2:AS698)&gt;1),1,"")))</f>
        <v/>
      </c>
      <c r="AW592" s="462">
        <f>SUMIF(C2:C698,C592,O2:O698)</f>
        <v>1</v>
      </c>
      <c r="AX592" s="462">
        <f>IF(AND(M592="F",AS592&lt;&gt;0),SUMIF(C2:C698,C592,W2:W698),0)</f>
        <v>73403.199999999997</v>
      </c>
      <c r="AY592" s="462">
        <f t="shared" si="155"/>
        <v>73403.199999999997</v>
      </c>
      <c r="AZ592" s="462" t="str">
        <f t="shared" si="156"/>
        <v/>
      </c>
      <c r="BA592" s="462">
        <f t="shared" si="157"/>
        <v>0</v>
      </c>
      <c r="BB592" s="462">
        <f>IF(AND(AT592=1,AK592="E",AU592&gt;=0.75,AW592=1),Health,IF(AND(AT592=1,AK592="E",AU592&gt;=0.75),Health*P592,IF(AND(AT592=1,AK592="E",AU592&gt;=0.5,AW592=1),PTHealth,IF(AND(AT592=1,AK592="E",AU592&gt;=0.5),PTHealth*P592,0))))</f>
        <v>11650</v>
      </c>
      <c r="BC592" s="462">
        <f>IF(AND(AT592=3,AK592="E",AV592&gt;=0.75,AW592=1),Health,IF(AND(AT592=3,AK592="E",AV592&gt;=0.75),Health*P592,IF(AND(AT592=3,AK592="E",AV592&gt;=0.5,AW592=1),PTHealth,IF(AND(AT592=3,AK592="E",AV592&gt;=0.5),PTHealth*P592,0))))</f>
        <v>0</v>
      </c>
      <c r="BD592" s="462">
        <f>IF(AND(AT592&lt;&gt;0,AX592&gt;=MAXSSDI),SSDI*MAXSSDI*P592,IF(AT592&lt;&gt;0,SSDI*W592,0))</f>
        <v>4550.9983999999995</v>
      </c>
      <c r="BE592" s="462">
        <f>IF(AT592&lt;&gt;0,SSHI*W592,0)</f>
        <v>1064.3463999999999</v>
      </c>
      <c r="BF592" s="462">
        <f>IF(AND(AT592&lt;&gt;0,AN592&lt;&gt;"NE"),VLOOKUP(AN592,Retirement_Rates,3,FALSE)*W592,0)</f>
        <v>8764.3420800000004</v>
      </c>
      <c r="BG592" s="462">
        <f>IF(AND(AT592&lt;&gt;0,AJ592&lt;&gt;"PF"),Life*W592,0)</f>
        <v>529.23707200000001</v>
      </c>
      <c r="BH592" s="462">
        <f>IF(AND(AT592&lt;&gt;0,AM592="Y"),UI*W592,0)</f>
        <v>359.67568</v>
      </c>
      <c r="BI592" s="462">
        <f>IF(AND(AT592&lt;&gt;0,N592&lt;&gt;"NR"),DHR*W592,0)</f>
        <v>224.61379199999999</v>
      </c>
      <c r="BJ592" s="462">
        <f>IF(AT592&lt;&gt;0,WC*W592,0)</f>
        <v>1123.0689599999998</v>
      </c>
      <c r="BK592" s="462">
        <f>IF(OR(AND(AT592&lt;&gt;0,AJ592&lt;&gt;"PF",AN592&lt;&gt;"NE",AG592&lt;&gt;"A"),AND(AL592="E",OR(AT592=1,AT592=3))),Sick*W592,0)</f>
        <v>0</v>
      </c>
      <c r="BL592" s="462">
        <f t="shared" si="158"/>
        <v>16616.282383999998</v>
      </c>
      <c r="BM592" s="462">
        <f t="shared" si="159"/>
        <v>0</v>
      </c>
      <c r="BN592" s="462">
        <f>IF(AND(AT592=1,AK592="E",AU592&gt;=0.75,AW592=1),HealthBY,IF(AND(AT592=1,AK592="E",AU592&gt;=0.75),HealthBY*P592,IF(AND(AT592=1,AK592="E",AU592&gt;=0.5,AW592=1),PTHealthBY,IF(AND(AT592=1,AK592="E",AU592&gt;=0.5),PTHealthBY*P592,0))))</f>
        <v>11650</v>
      </c>
      <c r="BO592" s="462">
        <f>IF(AND(AT592=3,AK592="E",AV592&gt;=0.75,AW592=1),HealthBY,IF(AND(AT592=3,AK592="E",AV592&gt;=0.75),HealthBY*P592,IF(AND(AT592=3,AK592="E",AV592&gt;=0.5,AW592=1),PTHealthBY,IF(AND(AT592=3,AK592="E",AV592&gt;=0.5),PTHealthBY*P592,0))))</f>
        <v>0</v>
      </c>
      <c r="BP592" s="462">
        <f>IF(AND(AT592&lt;&gt;0,(AX592+BA592)&gt;=MAXSSDIBY),SSDIBY*MAXSSDIBY*P592,IF(AT592&lt;&gt;0,SSDIBY*W592,0))</f>
        <v>4550.9983999999995</v>
      </c>
      <c r="BQ592" s="462">
        <f>IF(AT592&lt;&gt;0,SSHIBY*W592,0)</f>
        <v>1064.3463999999999</v>
      </c>
      <c r="BR592" s="462">
        <f>IF(AND(AT592&lt;&gt;0,AN592&lt;&gt;"NE"),VLOOKUP(AN592,Retirement_Rates,4,FALSE)*W592,0)</f>
        <v>8764.3420800000004</v>
      </c>
      <c r="BS592" s="462">
        <f>IF(AND(AT592&lt;&gt;0,AJ592&lt;&gt;"PF"),LifeBY*W592,0)</f>
        <v>529.23707200000001</v>
      </c>
      <c r="BT592" s="462">
        <f>IF(AND(AT592&lt;&gt;0,AM592="Y"),UIBY*W592,0)</f>
        <v>0</v>
      </c>
      <c r="BU592" s="462">
        <f>IF(AND(AT592&lt;&gt;0,N592&lt;&gt;"NR"),DHRBY*W592,0)</f>
        <v>224.61379199999999</v>
      </c>
      <c r="BV592" s="462">
        <f>IF(AT592&lt;&gt;0,WCBY*W592,0)</f>
        <v>1291.8963200000001</v>
      </c>
      <c r="BW592" s="462">
        <f>IF(OR(AND(AT592&lt;&gt;0,AJ592&lt;&gt;"PF",AN592&lt;&gt;"NE",AG592&lt;&gt;"A"),AND(AL592="E",OR(AT592=1,AT592=3))),SickBY*W592,0)</f>
        <v>0</v>
      </c>
      <c r="BX592" s="462">
        <f t="shared" si="160"/>
        <v>16425.434064000001</v>
      </c>
      <c r="BY592" s="462">
        <f t="shared" si="161"/>
        <v>0</v>
      </c>
      <c r="BZ592" s="462">
        <f t="shared" si="162"/>
        <v>0</v>
      </c>
      <c r="CA592" s="462">
        <f t="shared" si="163"/>
        <v>0</v>
      </c>
      <c r="CB592" s="462">
        <f t="shared" si="164"/>
        <v>0</v>
      </c>
      <c r="CC592" s="462">
        <f>IF(AT592&lt;&gt;0,SSHICHG*Y592,0)</f>
        <v>0</v>
      </c>
      <c r="CD592" s="462">
        <f>IF(AND(AT592&lt;&gt;0,AN592&lt;&gt;"NE"),VLOOKUP(AN592,Retirement_Rates,5,FALSE)*Y592,0)</f>
        <v>0</v>
      </c>
      <c r="CE592" s="462">
        <f>IF(AND(AT592&lt;&gt;0,AJ592&lt;&gt;"PF"),LifeCHG*Y592,0)</f>
        <v>0</v>
      </c>
      <c r="CF592" s="462">
        <f>IF(AND(AT592&lt;&gt;0,AM592="Y"),UICHG*Y592,0)</f>
        <v>-359.67568</v>
      </c>
      <c r="CG592" s="462">
        <f>IF(AND(AT592&lt;&gt;0,N592&lt;&gt;"NR"),DHRCHG*Y592,0)</f>
        <v>0</v>
      </c>
      <c r="CH592" s="462">
        <f>IF(AT592&lt;&gt;0,WCCHG*Y592,0)</f>
        <v>168.82736000000011</v>
      </c>
      <c r="CI592" s="462">
        <f>IF(OR(AND(AT592&lt;&gt;0,AJ592&lt;&gt;"PF",AN592&lt;&gt;"NE",AG592&lt;&gt;"A"),AND(AL592="E",OR(AT592=1,AT592=3))),SickCHG*Y592,0)</f>
        <v>0</v>
      </c>
      <c r="CJ592" s="462">
        <f t="shared" si="165"/>
        <v>-190.84831999999989</v>
      </c>
      <c r="CK592" s="462" t="str">
        <f t="shared" si="166"/>
        <v/>
      </c>
      <c r="CL592" s="462" t="str">
        <f t="shared" si="167"/>
        <v/>
      </c>
      <c r="CM592" s="462" t="str">
        <f t="shared" si="168"/>
        <v/>
      </c>
      <c r="CN592" s="462" t="str">
        <f t="shared" si="169"/>
        <v>0486-00</v>
      </c>
    </row>
    <row r="593" spans="1:92" ht="15" thickBot="1" x14ac:dyDescent="0.35">
      <c r="A593" s="376" t="s">
        <v>161</v>
      </c>
      <c r="B593" s="376" t="s">
        <v>162</v>
      </c>
      <c r="C593" s="376" t="s">
        <v>1288</v>
      </c>
      <c r="D593" s="376" t="s">
        <v>1189</v>
      </c>
      <c r="E593" s="376" t="s">
        <v>1140</v>
      </c>
      <c r="F593" s="377" t="s">
        <v>166</v>
      </c>
      <c r="G593" s="376" t="s">
        <v>1141</v>
      </c>
      <c r="H593" s="378"/>
      <c r="I593" s="378"/>
      <c r="J593" s="376" t="s">
        <v>168</v>
      </c>
      <c r="K593" s="376" t="s">
        <v>1190</v>
      </c>
      <c r="L593" s="376" t="s">
        <v>166</v>
      </c>
      <c r="M593" s="376" t="s">
        <v>201</v>
      </c>
      <c r="N593" s="376" t="s">
        <v>291</v>
      </c>
      <c r="O593" s="379">
        <v>0</v>
      </c>
      <c r="P593" s="460">
        <v>1</v>
      </c>
      <c r="Q593" s="460">
        <v>0</v>
      </c>
      <c r="R593" s="380">
        <v>0</v>
      </c>
      <c r="S593" s="460">
        <v>0</v>
      </c>
      <c r="T593" s="380">
        <v>0</v>
      </c>
      <c r="U593" s="380">
        <v>0</v>
      </c>
      <c r="V593" s="380">
        <v>0</v>
      </c>
      <c r="W593" s="380">
        <v>0</v>
      </c>
      <c r="X593" s="380">
        <v>0</v>
      </c>
      <c r="Y593" s="380">
        <v>0</v>
      </c>
      <c r="Z593" s="380">
        <v>0</v>
      </c>
      <c r="AA593" s="378"/>
      <c r="AB593" s="376" t="s">
        <v>45</v>
      </c>
      <c r="AC593" s="376" t="s">
        <v>45</v>
      </c>
      <c r="AD593" s="378"/>
      <c r="AE593" s="378"/>
      <c r="AF593" s="378"/>
      <c r="AG593" s="378"/>
      <c r="AH593" s="379">
        <v>0</v>
      </c>
      <c r="AI593" s="379">
        <v>0</v>
      </c>
      <c r="AJ593" s="378"/>
      <c r="AK593" s="378"/>
      <c r="AL593" s="376" t="s">
        <v>180</v>
      </c>
      <c r="AM593" s="378"/>
      <c r="AN593" s="378"/>
      <c r="AO593" s="379">
        <v>0</v>
      </c>
      <c r="AP593" s="460">
        <v>0</v>
      </c>
      <c r="AQ593" s="460">
        <v>0</v>
      </c>
      <c r="AR593" s="459"/>
      <c r="AS593" s="462">
        <f t="shared" si="153"/>
        <v>0</v>
      </c>
      <c r="AT593">
        <f t="shared" si="154"/>
        <v>0</v>
      </c>
      <c r="AU593" s="462" t="str">
        <f>IF(AT593=0,"",IF(AND(AT593=1,M593="F",SUMIF(C2:C698,C593,AS2:AS698)&lt;=1),SUMIF(C2:C698,C593,AS2:AS698),IF(AND(AT593=1,M593="F",SUMIF(C2:C698,C593,AS2:AS698)&gt;1),1,"")))</f>
        <v/>
      </c>
      <c r="AV593" s="462" t="str">
        <f>IF(AT593=0,"",IF(AND(AT593=3,M593="F",SUMIF(C2:C698,C593,AS2:AS698)&lt;=1),SUMIF(C2:C698,C593,AS2:AS698),IF(AND(AT593=3,M593="F",SUMIF(C2:C698,C593,AS2:AS698)&gt;1),1,"")))</f>
        <v/>
      </c>
      <c r="AW593" s="462">
        <f>SUMIF(C2:C698,C593,O2:O698)</f>
        <v>0</v>
      </c>
      <c r="AX593" s="462">
        <f>IF(AND(M593="F",AS593&lt;&gt;0),SUMIF(C2:C698,C593,W2:W698),0)</f>
        <v>0</v>
      </c>
      <c r="AY593" s="462" t="str">
        <f t="shared" si="155"/>
        <v/>
      </c>
      <c r="AZ593" s="462" t="str">
        <f t="shared" si="156"/>
        <v/>
      </c>
      <c r="BA593" s="462">
        <f t="shared" si="157"/>
        <v>0</v>
      </c>
      <c r="BB593" s="462">
        <f>IF(AND(AT593=1,AK593="E",AU593&gt;=0.75,AW593=1),Health,IF(AND(AT593=1,AK593="E",AU593&gt;=0.75),Health*P593,IF(AND(AT593=1,AK593="E",AU593&gt;=0.5,AW593=1),PTHealth,IF(AND(AT593=1,AK593="E",AU593&gt;=0.5),PTHealth*P593,0))))</f>
        <v>0</v>
      </c>
      <c r="BC593" s="462">
        <f>IF(AND(AT593=3,AK593="E",AV593&gt;=0.75,AW593=1),Health,IF(AND(AT593=3,AK593="E",AV593&gt;=0.75),Health*P593,IF(AND(AT593=3,AK593="E",AV593&gt;=0.5,AW593=1),PTHealth,IF(AND(AT593=3,AK593="E",AV593&gt;=0.5),PTHealth*P593,0))))</f>
        <v>0</v>
      </c>
      <c r="BD593" s="462">
        <f>IF(AND(AT593&lt;&gt;0,AX593&gt;=MAXSSDI),SSDI*MAXSSDI*P593,IF(AT593&lt;&gt;0,SSDI*W593,0))</f>
        <v>0</v>
      </c>
      <c r="BE593" s="462">
        <f>IF(AT593&lt;&gt;0,SSHI*W593,0)</f>
        <v>0</v>
      </c>
      <c r="BF593" s="462">
        <f>IF(AND(AT593&lt;&gt;0,AN593&lt;&gt;"NE"),VLOOKUP(AN593,Retirement_Rates,3,FALSE)*W593,0)</f>
        <v>0</v>
      </c>
      <c r="BG593" s="462">
        <f>IF(AND(AT593&lt;&gt;0,AJ593&lt;&gt;"PF"),Life*W593,0)</f>
        <v>0</v>
      </c>
      <c r="BH593" s="462">
        <f>IF(AND(AT593&lt;&gt;0,AM593="Y"),UI*W593,0)</f>
        <v>0</v>
      </c>
      <c r="BI593" s="462">
        <f>IF(AND(AT593&lt;&gt;0,N593&lt;&gt;"NR"),DHR*W593,0)</f>
        <v>0</v>
      </c>
      <c r="BJ593" s="462">
        <f>IF(AT593&lt;&gt;0,WC*W593,0)</f>
        <v>0</v>
      </c>
      <c r="BK593" s="462">
        <f>IF(OR(AND(AT593&lt;&gt;0,AJ593&lt;&gt;"PF",AN593&lt;&gt;"NE",AG593&lt;&gt;"A"),AND(AL593="E",OR(AT593=1,AT593=3))),Sick*W593,0)</f>
        <v>0</v>
      </c>
      <c r="BL593" s="462">
        <f t="shared" si="158"/>
        <v>0</v>
      </c>
      <c r="BM593" s="462">
        <f t="shared" si="159"/>
        <v>0</v>
      </c>
      <c r="BN593" s="462">
        <f>IF(AND(AT593=1,AK593="E",AU593&gt;=0.75,AW593=1),HealthBY,IF(AND(AT593=1,AK593="E",AU593&gt;=0.75),HealthBY*P593,IF(AND(AT593=1,AK593="E",AU593&gt;=0.5,AW593=1),PTHealthBY,IF(AND(AT593=1,AK593="E",AU593&gt;=0.5),PTHealthBY*P593,0))))</f>
        <v>0</v>
      </c>
      <c r="BO593" s="462">
        <f>IF(AND(AT593=3,AK593="E",AV593&gt;=0.75,AW593=1),HealthBY,IF(AND(AT593=3,AK593="E",AV593&gt;=0.75),HealthBY*P593,IF(AND(AT593=3,AK593="E",AV593&gt;=0.5,AW593=1),PTHealthBY,IF(AND(AT593=3,AK593="E",AV593&gt;=0.5),PTHealthBY*P593,0))))</f>
        <v>0</v>
      </c>
      <c r="BP593" s="462">
        <f>IF(AND(AT593&lt;&gt;0,(AX593+BA593)&gt;=MAXSSDIBY),SSDIBY*MAXSSDIBY*P593,IF(AT593&lt;&gt;0,SSDIBY*W593,0))</f>
        <v>0</v>
      </c>
      <c r="BQ593" s="462">
        <f>IF(AT593&lt;&gt;0,SSHIBY*W593,0)</f>
        <v>0</v>
      </c>
      <c r="BR593" s="462">
        <f>IF(AND(AT593&lt;&gt;0,AN593&lt;&gt;"NE"),VLOOKUP(AN593,Retirement_Rates,4,FALSE)*W593,0)</f>
        <v>0</v>
      </c>
      <c r="BS593" s="462">
        <f>IF(AND(AT593&lt;&gt;0,AJ593&lt;&gt;"PF"),LifeBY*W593,0)</f>
        <v>0</v>
      </c>
      <c r="BT593" s="462">
        <f>IF(AND(AT593&lt;&gt;0,AM593="Y"),UIBY*W593,0)</f>
        <v>0</v>
      </c>
      <c r="BU593" s="462">
        <f>IF(AND(AT593&lt;&gt;0,N593&lt;&gt;"NR"),DHRBY*W593,0)</f>
        <v>0</v>
      </c>
      <c r="BV593" s="462">
        <f>IF(AT593&lt;&gt;0,WCBY*W593,0)</f>
        <v>0</v>
      </c>
      <c r="BW593" s="462">
        <f>IF(OR(AND(AT593&lt;&gt;0,AJ593&lt;&gt;"PF",AN593&lt;&gt;"NE",AG593&lt;&gt;"A"),AND(AL593="E",OR(AT593=1,AT593=3))),SickBY*W593,0)</f>
        <v>0</v>
      </c>
      <c r="BX593" s="462">
        <f t="shared" si="160"/>
        <v>0</v>
      </c>
      <c r="BY593" s="462">
        <f t="shared" si="161"/>
        <v>0</v>
      </c>
      <c r="BZ593" s="462">
        <f t="shared" si="162"/>
        <v>0</v>
      </c>
      <c r="CA593" s="462">
        <f t="shared" si="163"/>
        <v>0</v>
      </c>
      <c r="CB593" s="462">
        <f t="shared" si="164"/>
        <v>0</v>
      </c>
      <c r="CC593" s="462">
        <f>IF(AT593&lt;&gt;0,SSHICHG*Y593,0)</f>
        <v>0</v>
      </c>
      <c r="CD593" s="462">
        <f>IF(AND(AT593&lt;&gt;0,AN593&lt;&gt;"NE"),VLOOKUP(AN593,Retirement_Rates,5,FALSE)*Y593,0)</f>
        <v>0</v>
      </c>
      <c r="CE593" s="462">
        <f>IF(AND(AT593&lt;&gt;0,AJ593&lt;&gt;"PF"),LifeCHG*Y593,0)</f>
        <v>0</v>
      </c>
      <c r="CF593" s="462">
        <f>IF(AND(AT593&lt;&gt;0,AM593="Y"),UICHG*Y593,0)</f>
        <v>0</v>
      </c>
      <c r="CG593" s="462">
        <f>IF(AND(AT593&lt;&gt;0,N593&lt;&gt;"NR"),DHRCHG*Y593,0)</f>
        <v>0</v>
      </c>
      <c r="CH593" s="462">
        <f>IF(AT593&lt;&gt;0,WCCHG*Y593,0)</f>
        <v>0</v>
      </c>
      <c r="CI593" s="462">
        <f>IF(OR(AND(AT593&lt;&gt;0,AJ593&lt;&gt;"PF",AN593&lt;&gt;"NE",AG593&lt;&gt;"A"),AND(AL593="E",OR(AT593=1,AT593=3))),SickCHG*Y593,0)</f>
        <v>0</v>
      </c>
      <c r="CJ593" s="462">
        <f t="shared" si="165"/>
        <v>0</v>
      </c>
      <c r="CK593" s="462" t="str">
        <f t="shared" si="166"/>
        <v/>
      </c>
      <c r="CL593" s="462">
        <f t="shared" si="167"/>
        <v>0</v>
      </c>
      <c r="CM593" s="462">
        <f t="shared" si="168"/>
        <v>0</v>
      </c>
      <c r="CN593" s="462" t="str">
        <f t="shared" si="169"/>
        <v>0486-00</v>
      </c>
    </row>
    <row r="594" spans="1:92" ht="15" thickBot="1" x14ac:dyDescent="0.35">
      <c r="A594" s="376" t="s">
        <v>161</v>
      </c>
      <c r="B594" s="376" t="s">
        <v>162</v>
      </c>
      <c r="C594" s="376" t="s">
        <v>1289</v>
      </c>
      <c r="D594" s="376" t="s">
        <v>1181</v>
      </c>
      <c r="E594" s="376" t="s">
        <v>1140</v>
      </c>
      <c r="F594" s="377" t="s">
        <v>166</v>
      </c>
      <c r="G594" s="376" t="s">
        <v>1141</v>
      </c>
      <c r="H594" s="378"/>
      <c r="I594" s="378"/>
      <c r="J594" s="376" t="s">
        <v>168</v>
      </c>
      <c r="K594" s="376" t="s">
        <v>1182</v>
      </c>
      <c r="L594" s="376" t="s">
        <v>166</v>
      </c>
      <c r="M594" s="376" t="s">
        <v>201</v>
      </c>
      <c r="N594" s="376" t="s">
        <v>291</v>
      </c>
      <c r="O594" s="379">
        <v>0</v>
      </c>
      <c r="P594" s="460">
        <v>1</v>
      </c>
      <c r="Q594" s="460">
        <v>0</v>
      </c>
      <c r="R594" s="380">
        <v>0</v>
      </c>
      <c r="S594" s="460">
        <v>0</v>
      </c>
      <c r="T594" s="380">
        <v>0</v>
      </c>
      <c r="U594" s="380">
        <v>0</v>
      </c>
      <c r="V594" s="380">
        <v>0</v>
      </c>
      <c r="W594" s="380">
        <v>0</v>
      </c>
      <c r="X594" s="380">
        <v>0</v>
      </c>
      <c r="Y594" s="380">
        <v>0</v>
      </c>
      <c r="Z594" s="380">
        <v>0</v>
      </c>
      <c r="AA594" s="378"/>
      <c r="AB594" s="376" t="s">
        <v>45</v>
      </c>
      <c r="AC594" s="376" t="s">
        <v>45</v>
      </c>
      <c r="AD594" s="378"/>
      <c r="AE594" s="378"/>
      <c r="AF594" s="378"/>
      <c r="AG594" s="378"/>
      <c r="AH594" s="379">
        <v>0</v>
      </c>
      <c r="AI594" s="379">
        <v>0</v>
      </c>
      <c r="AJ594" s="378"/>
      <c r="AK594" s="378"/>
      <c r="AL594" s="376" t="s">
        <v>180</v>
      </c>
      <c r="AM594" s="378"/>
      <c r="AN594" s="378"/>
      <c r="AO594" s="379">
        <v>0</v>
      </c>
      <c r="AP594" s="460">
        <v>0</v>
      </c>
      <c r="AQ594" s="460">
        <v>0</v>
      </c>
      <c r="AR594" s="459"/>
      <c r="AS594" s="462">
        <f t="shared" si="153"/>
        <v>0</v>
      </c>
      <c r="AT594">
        <f t="shared" si="154"/>
        <v>0</v>
      </c>
      <c r="AU594" s="462" t="str">
        <f>IF(AT594=0,"",IF(AND(AT594=1,M594="F",SUMIF(C2:C698,C594,AS2:AS698)&lt;=1),SUMIF(C2:C698,C594,AS2:AS698),IF(AND(AT594=1,M594="F",SUMIF(C2:C698,C594,AS2:AS698)&gt;1),1,"")))</f>
        <v/>
      </c>
      <c r="AV594" s="462" t="str">
        <f>IF(AT594=0,"",IF(AND(AT594=3,M594="F",SUMIF(C2:C698,C594,AS2:AS698)&lt;=1),SUMIF(C2:C698,C594,AS2:AS698),IF(AND(AT594=3,M594="F",SUMIF(C2:C698,C594,AS2:AS698)&gt;1),1,"")))</f>
        <v/>
      </c>
      <c r="AW594" s="462">
        <f>SUMIF(C2:C698,C594,O2:O698)</f>
        <v>0</v>
      </c>
      <c r="AX594" s="462">
        <f>IF(AND(M594="F",AS594&lt;&gt;0),SUMIF(C2:C698,C594,W2:W698),0)</f>
        <v>0</v>
      </c>
      <c r="AY594" s="462" t="str">
        <f t="shared" si="155"/>
        <v/>
      </c>
      <c r="AZ594" s="462" t="str">
        <f t="shared" si="156"/>
        <v/>
      </c>
      <c r="BA594" s="462">
        <f t="shared" si="157"/>
        <v>0</v>
      </c>
      <c r="BB594" s="462">
        <f>IF(AND(AT594=1,AK594="E",AU594&gt;=0.75,AW594=1),Health,IF(AND(AT594=1,AK594="E",AU594&gt;=0.75),Health*P594,IF(AND(AT594=1,AK594="E",AU594&gt;=0.5,AW594=1),PTHealth,IF(AND(AT594=1,AK594="E",AU594&gt;=0.5),PTHealth*P594,0))))</f>
        <v>0</v>
      </c>
      <c r="BC594" s="462">
        <f>IF(AND(AT594=3,AK594="E",AV594&gt;=0.75,AW594=1),Health,IF(AND(AT594=3,AK594="E",AV594&gt;=0.75),Health*P594,IF(AND(AT594=3,AK594="E",AV594&gt;=0.5,AW594=1),PTHealth,IF(AND(AT594=3,AK594="E",AV594&gt;=0.5),PTHealth*P594,0))))</f>
        <v>0</v>
      </c>
      <c r="BD594" s="462">
        <f>IF(AND(AT594&lt;&gt;0,AX594&gt;=MAXSSDI),SSDI*MAXSSDI*P594,IF(AT594&lt;&gt;0,SSDI*W594,0))</f>
        <v>0</v>
      </c>
      <c r="BE594" s="462">
        <f>IF(AT594&lt;&gt;0,SSHI*W594,0)</f>
        <v>0</v>
      </c>
      <c r="BF594" s="462">
        <f>IF(AND(AT594&lt;&gt;0,AN594&lt;&gt;"NE"),VLOOKUP(AN594,Retirement_Rates,3,FALSE)*W594,0)</f>
        <v>0</v>
      </c>
      <c r="BG594" s="462">
        <f>IF(AND(AT594&lt;&gt;0,AJ594&lt;&gt;"PF"),Life*W594,0)</f>
        <v>0</v>
      </c>
      <c r="BH594" s="462">
        <f>IF(AND(AT594&lt;&gt;0,AM594="Y"),UI*W594,0)</f>
        <v>0</v>
      </c>
      <c r="BI594" s="462">
        <f>IF(AND(AT594&lt;&gt;0,N594&lt;&gt;"NR"),DHR*W594,0)</f>
        <v>0</v>
      </c>
      <c r="BJ594" s="462">
        <f>IF(AT594&lt;&gt;0,WC*W594,0)</f>
        <v>0</v>
      </c>
      <c r="BK594" s="462">
        <f>IF(OR(AND(AT594&lt;&gt;0,AJ594&lt;&gt;"PF",AN594&lt;&gt;"NE",AG594&lt;&gt;"A"),AND(AL594="E",OR(AT594=1,AT594=3))),Sick*W594,0)</f>
        <v>0</v>
      </c>
      <c r="BL594" s="462">
        <f t="shared" si="158"/>
        <v>0</v>
      </c>
      <c r="BM594" s="462">
        <f t="shared" si="159"/>
        <v>0</v>
      </c>
      <c r="BN594" s="462">
        <f>IF(AND(AT594=1,AK594="E",AU594&gt;=0.75,AW594=1),HealthBY,IF(AND(AT594=1,AK594="E",AU594&gt;=0.75),HealthBY*P594,IF(AND(AT594=1,AK594="E",AU594&gt;=0.5,AW594=1),PTHealthBY,IF(AND(AT594=1,AK594="E",AU594&gt;=0.5),PTHealthBY*P594,0))))</f>
        <v>0</v>
      </c>
      <c r="BO594" s="462">
        <f>IF(AND(AT594=3,AK594="E",AV594&gt;=0.75,AW594=1),HealthBY,IF(AND(AT594=3,AK594="E",AV594&gt;=0.75),HealthBY*P594,IF(AND(AT594=3,AK594="E",AV594&gt;=0.5,AW594=1),PTHealthBY,IF(AND(AT594=3,AK594="E",AV594&gt;=0.5),PTHealthBY*P594,0))))</f>
        <v>0</v>
      </c>
      <c r="BP594" s="462">
        <f>IF(AND(AT594&lt;&gt;0,(AX594+BA594)&gt;=MAXSSDIBY),SSDIBY*MAXSSDIBY*P594,IF(AT594&lt;&gt;0,SSDIBY*W594,0))</f>
        <v>0</v>
      </c>
      <c r="BQ594" s="462">
        <f>IF(AT594&lt;&gt;0,SSHIBY*W594,0)</f>
        <v>0</v>
      </c>
      <c r="BR594" s="462">
        <f>IF(AND(AT594&lt;&gt;0,AN594&lt;&gt;"NE"),VLOOKUP(AN594,Retirement_Rates,4,FALSE)*W594,0)</f>
        <v>0</v>
      </c>
      <c r="BS594" s="462">
        <f>IF(AND(AT594&lt;&gt;0,AJ594&lt;&gt;"PF"),LifeBY*W594,0)</f>
        <v>0</v>
      </c>
      <c r="BT594" s="462">
        <f>IF(AND(AT594&lt;&gt;0,AM594="Y"),UIBY*W594,0)</f>
        <v>0</v>
      </c>
      <c r="BU594" s="462">
        <f>IF(AND(AT594&lt;&gt;0,N594&lt;&gt;"NR"),DHRBY*W594,0)</f>
        <v>0</v>
      </c>
      <c r="BV594" s="462">
        <f>IF(AT594&lt;&gt;0,WCBY*W594,0)</f>
        <v>0</v>
      </c>
      <c r="BW594" s="462">
        <f>IF(OR(AND(AT594&lt;&gt;0,AJ594&lt;&gt;"PF",AN594&lt;&gt;"NE",AG594&lt;&gt;"A"),AND(AL594="E",OR(AT594=1,AT594=3))),SickBY*W594,0)</f>
        <v>0</v>
      </c>
      <c r="BX594" s="462">
        <f t="shared" si="160"/>
        <v>0</v>
      </c>
      <c r="BY594" s="462">
        <f t="shared" si="161"/>
        <v>0</v>
      </c>
      <c r="BZ594" s="462">
        <f t="shared" si="162"/>
        <v>0</v>
      </c>
      <c r="CA594" s="462">
        <f t="shared" si="163"/>
        <v>0</v>
      </c>
      <c r="CB594" s="462">
        <f t="shared" si="164"/>
        <v>0</v>
      </c>
      <c r="CC594" s="462">
        <f>IF(AT594&lt;&gt;0,SSHICHG*Y594,0)</f>
        <v>0</v>
      </c>
      <c r="CD594" s="462">
        <f>IF(AND(AT594&lt;&gt;0,AN594&lt;&gt;"NE"),VLOOKUP(AN594,Retirement_Rates,5,FALSE)*Y594,0)</f>
        <v>0</v>
      </c>
      <c r="CE594" s="462">
        <f>IF(AND(AT594&lt;&gt;0,AJ594&lt;&gt;"PF"),LifeCHG*Y594,0)</f>
        <v>0</v>
      </c>
      <c r="CF594" s="462">
        <f>IF(AND(AT594&lt;&gt;0,AM594="Y"),UICHG*Y594,0)</f>
        <v>0</v>
      </c>
      <c r="CG594" s="462">
        <f>IF(AND(AT594&lt;&gt;0,N594&lt;&gt;"NR"),DHRCHG*Y594,0)</f>
        <v>0</v>
      </c>
      <c r="CH594" s="462">
        <f>IF(AT594&lt;&gt;0,WCCHG*Y594,0)</f>
        <v>0</v>
      </c>
      <c r="CI594" s="462">
        <f>IF(OR(AND(AT594&lt;&gt;0,AJ594&lt;&gt;"PF",AN594&lt;&gt;"NE",AG594&lt;&gt;"A"),AND(AL594="E",OR(AT594=1,AT594=3))),SickCHG*Y594,0)</f>
        <v>0</v>
      </c>
      <c r="CJ594" s="462">
        <f t="shared" si="165"/>
        <v>0</v>
      </c>
      <c r="CK594" s="462" t="str">
        <f t="shared" si="166"/>
        <v/>
      </c>
      <c r="CL594" s="462">
        <f t="shared" si="167"/>
        <v>0</v>
      </c>
      <c r="CM594" s="462">
        <f t="shared" si="168"/>
        <v>0</v>
      </c>
      <c r="CN594" s="462" t="str">
        <f t="shared" si="169"/>
        <v>0486-00</v>
      </c>
    </row>
    <row r="595" spans="1:92" ht="15" thickBot="1" x14ac:dyDescent="0.35">
      <c r="A595" s="376" t="s">
        <v>161</v>
      </c>
      <c r="B595" s="376" t="s">
        <v>162</v>
      </c>
      <c r="C595" s="376" t="s">
        <v>1290</v>
      </c>
      <c r="D595" s="376" t="s">
        <v>1147</v>
      </c>
      <c r="E595" s="376" t="s">
        <v>1140</v>
      </c>
      <c r="F595" s="377" t="s">
        <v>166</v>
      </c>
      <c r="G595" s="376" t="s">
        <v>1141</v>
      </c>
      <c r="H595" s="378"/>
      <c r="I595" s="378"/>
      <c r="J595" s="376" t="s">
        <v>168</v>
      </c>
      <c r="K595" s="376" t="s">
        <v>1148</v>
      </c>
      <c r="L595" s="376" t="s">
        <v>166</v>
      </c>
      <c r="M595" s="376" t="s">
        <v>201</v>
      </c>
      <c r="N595" s="376" t="s">
        <v>291</v>
      </c>
      <c r="O595" s="379">
        <v>0</v>
      </c>
      <c r="P595" s="460">
        <v>1</v>
      </c>
      <c r="Q595" s="460">
        <v>0</v>
      </c>
      <c r="R595" s="380">
        <v>0</v>
      </c>
      <c r="S595" s="460">
        <v>0</v>
      </c>
      <c r="T595" s="380">
        <v>0</v>
      </c>
      <c r="U595" s="380">
        <v>0</v>
      </c>
      <c r="V595" s="380">
        <v>0</v>
      </c>
      <c r="W595" s="380">
        <v>0</v>
      </c>
      <c r="X595" s="380">
        <v>0</v>
      </c>
      <c r="Y595" s="380">
        <v>0</v>
      </c>
      <c r="Z595" s="380">
        <v>0</v>
      </c>
      <c r="AA595" s="378"/>
      <c r="AB595" s="376" t="s">
        <v>45</v>
      </c>
      <c r="AC595" s="376" t="s">
        <v>45</v>
      </c>
      <c r="AD595" s="378"/>
      <c r="AE595" s="378"/>
      <c r="AF595" s="378"/>
      <c r="AG595" s="378"/>
      <c r="AH595" s="379">
        <v>0</v>
      </c>
      <c r="AI595" s="379">
        <v>0</v>
      </c>
      <c r="AJ595" s="378"/>
      <c r="AK595" s="378"/>
      <c r="AL595" s="376" t="s">
        <v>180</v>
      </c>
      <c r="AM595" s="378"/>
      <c r="AN595" s="378"/>
      <c r="AO595" s="379">
        <v>0</v>
      </c>
      <c r="AP595" s="460">
        <v>0</v>
      </c>
      <c r="AQ595" s="460">
        <v>0</v>
      </c>
      <c r="AR595" s="459"/>
      <c r="AS595" s="462">
        <f t="shared" si="153"/>
        <v>0</v>
      </c>
      <c r="AT595">
        <f t="shared" si="154"/>
        <v>0</v>
      </c>
      <c r="AU595" s="462" t="str">
        <f>IF(AT595=0,"",IF(AND(AT595=1,M595="F",SUMIF(C2:C698,C595,AS2:AS698)&lt;=1),SUMIF(C2:C698,C595,AS2:AS698),IF(AND(AT595=1,M595="F",SUMIF(C2:C698,C595,AS2:AS698)&gt;1),1,"")))</f>
        <v/>
      </c>
      <c r="AV595" s="462" t="str">
        <f>IF(AT595=0,"",IF(AND(AT595=3,M595="F",SUMIF(C2:C698,C595,AS2:AS698)&lt;=1),SUMIF(C2:C698,C595,AS2:AS698),IF(AND(AT595=3,M595="F",SUMIF(C2:C698,C595,AS2:AS698)&gt;1),1,"")))</f>
        <v/>
      </c>
      <c r="AW595" s="462">
        <f>SUMIF(C2:C698,C595,O2:O698)</f>
        <v>0</v>
      </c>
      <c r="AX595" s="462">
        <f>IF(AND(M595="F",AS595&lt;&gt;0),SUMIF(C2:C698,C595,W2:W698),0)</f>
        <v>0</v>
      </c>
      <c r="AY595" s="462" t="str">
        <f t="shared" si="155"/>
        <v/>
      </c>
      <c r="AZ595" s="462" t="str">
        <f t="shared" si="156"/>
        <v/>
      </c>
      <c r="BA595" s="462">
        <f t="shared" si="157"/>
        <v>0</v>
      </c>
      <c r="BB595" s="462">
        <f>IF(AND(AT595=1,AK595="E",AU595&gt;=0.75,AW595=1),Health,IF(AND(AT595=1,AK595="E",AU595&gt;=0.75),Health*P595,IF(AND(AT595=1,AK595="E",AU595&gt;=0.5,AW595=1),PTHealth,IF(AND(AT595=1,AK595="E",AU595&gt;=0.5),PTHealth*P595,0))))</f>
        <v>0</v>
      </c>
      <c r="BC595" s="462">
        <f>IF(AND(AT595=3,AK595="E",AV595&gt;=0.75,AW595=1),Health,IF(AND(AT595=3,AK595="E",AV595&gt;=0.75),Health*P595,IF(AND(AT595=3,AK595="E",AV595&gt;=0.5,AW595=1),PTHealth,IF(AND(AT595=3,AK595="E",AV595&gt;=0.5),PTHealth*P595,0))))</f>
        <v>0</v>
      </c>
      <c r="BD595" s="462">
        <f>IF(AND(AT595&lt;&gt;0,AX595&gt;=MAXSSDI),SSDI*MAXSSDI*P595,IF(AT595&lt;&gt;0,SSDI*W595,0))</f>
        <v>0</v>
      </c>
      <c r="BE595" s="462">
        <f>IF(AT595&lt;&gt;0,SSHI*W595,0)</f>
        <v>0</v>
      </c>
      <c r="BF595" s="462">
        <f>IF(AND(AT595&lt;&gt;0,AN595&lt;&gt;"NE"),VLOOKUP(AN595,Retirement_Rates,3,FALSE)*W595,0)</f>
        <v>0</v>
      </c>
      <c r="BG595" s="462">
        <f>IF(AND(AT595&lt;&gt;0,AJ595&lt;&gt;"PF"),Life*W595,0)</f>
        <v>0</v>
      </c>
      <c r="BH595" s="462">
        <f>IF(AND(AT595&lt;&gt;0,AM595="Y"),UI*W595,0)</f>
        <v>0</v>
      </c>
      <c r="BI595" s="462">
        <f>IF(AND(AT595&lt;&gt;0,N595&lt;&gt;"NR"),DHR*W595,0)</f>
        <v>0</v>
      </c>
      <c r="BJ595" s="462">
        <f>IF(AT595&lt;&gt;0,WC*W595,0)</f>
        <v>0</v>
      </c>
      <c r="BK595" s="462">
        <f>IF(OR(AND(AT595&lt;&gt;0,AJ595&lt;&gt;"PF",AN595&lt;&gt;"NE",AG595&lt;&gt;"A"),AND(AL595="E",OR(AT595=1,AT595=3))),Sick*W595,0)</f>
        <v>0</v>
      </c>
      <c r="BL595" s="462">
        <f t="shared" si="158"/>
        <v>0</v>
      </c>
      <c r="BM595" s="462">
        <f t="shared" si="159"/>
        <v>0</v>
      </c>
      <c r="BN595" s="462">
        <f>IF(AND(AT595=1,AK595="E",AU595&gt;=0.75,AW595=1),HealthBY,IF(AND(AT595=1,AK595="E",AU595&gt;=0.75),HealthBY*P595,IF(AND(AT595=1,AK595="E",AU595&gt;=0.5,AW595=1),PTHealthBY,IF(AND(AT595=1,AK595="E",AU595&gt;=0.5),PTHealthBY*P595,0))))</f>
        <v>0</v>
      </c>
      <c r="BO595" s="462">
        <f>IF(AND(AT595=3,AK595="E",AV595&gt;=0.75,AW595=1),HealthBY,IF(AND(AT595=3,AK595="E",AV595&gt;=0.75),HealthBY*P595,IF(AND(AT595=3,AK595="E",AV595&gt;=0.5,AW595=1),PTHealthBY,IF(AND(AT595=3,AK595="E",AV595&gt;=0.5),PTHealthBY*P595,0))))</f>
        <v>0</v>
      </c>
      <c r="BP595" s="462">
        <f>IF(AND(AT595&lt;&gt;0,(AX595+BA595)&gt;=MAXSSDIBY),SSDIBY*MAXSSDIBY*P595,IF(AT595&lt;&gt;0,SSDIBY*W595,0))</f>
        <v>0</v>
      </c>
      <c r="BQ595" s="462">
        <f>IF(AT595&lt;&gt;0,SSHIBY*W595,0)</f>
        <v>0</v>
      </c>
      <c r="BR595" s="462">
        <f>IF(AND(AT595&lt;&gt;0,AN595&lt;&gt;"NE"),VLOOKUP(AN595,Retirement_Rates,4,FALSE)*W595,0)</f>
        <v>0</v>
      </c>
      <c r="BS595" s="462">
        <f>IF(AND(AT595&lt;&gt;0,AJ595&lt;&gt;"PF"),LifeBY*W595,0)</f>
        <v>0</v>
      </c>
      <c r="BT595" s="462">
        <f>IF(AND(AT595&lt;&gt;0,AM595="Y"),UIBY*W595,0)</f>
        <v>0</v>
      </c>
      <c r="BU595" s="462">
        <f>IF(AND(AT595&lt;&gt;0,N595&lt;&gt;"NR"),DHRBY*W595,0)</f>
        <v>0</v>
      </c>
      <c r="BV595" s="462">
        <f>IF(AT595&lt;&gt;0,WCBY*W595,0)</f>
        <v>0</v>
      </c>
      <c r="BW595" s="462">
        <f>IF(OR(AND(AT595&lt;&gt;0,AJ595&lt;&gt;"PF",AN595&lt;&gt;"NE",AG595&lt;&gt;"A"),AND(AL595="E",OR(AT595=1,AT595=3))),SickBY*W595,0)</f>
        <v>0</v>
      </c>
      <c r="BX595" s="462">
        <f t="shared" si="160"/>
        <v>0</v>
      </c>
      <c r="BY595" s="462">
        <f t="shared" si="161"/>
        <v>0</v>
      </c>
      <c r="BZ595" s="462">
        <f t="shared" si="162"/>
        <v>0</v>
      </c>
      <c r="CA595" s="462">
        <f t="shared" si="163"/>
        <v>0</v>
      </c>
      <c r="CB595" s="462">
        <f t="shared" si="164"/>
        <v>0</v>
      </c>
      <c r="CC595" s="462">
        <f>IF(AT595&lt;&gt;0,SSHICHG*Y595,0)</f>
        <v>0</v>
      </c>
      <c r="CD595" s="462">
        <f>IF(AND(AT595&lt;&gt;0,AN595&lt;&gt;"NE"),VLOOKUP(AN595,Retirement_Rates,5,FALSE)*Y595,0)</f>
        <v>0</v>
      </c>
      <c r="CE595" s="462">
        <f>IF(AND(AT595&lt;&gt;0,AJ595&lt;&gt;"PF"),LifeCHG*Y595,0)</f>
        <v>0</v>
      </c>
      <c r="CF595" s="462">
        <f>IF(AND(AT595&lt;&gt;0,AM595="Y"),UICHG*Y595,0)</f>
        <v>0</v>
      </c>
      <c r="CG595" s="462">
        <f>IF(AND(AT595&lt;&gt;0,N595&lt;&gt;"NR"),DHRCHG*Y595,0)</f>
        <v>0</v>
      </c>
      <c r="CH595" s="462">
        <f>IF(AT595&lt;&gt;0,WCCHG*Y595,0)</f>
        <v>0</v>
      </c>
      <c r="CI595" s="462">
        <f>IF(OR(AND(AT595&lt;&gt;0,AJ595&lt;&gt;"PF",AN595&lt;&gt;"NE",AG595&lt;&gt;"A"),AND(AL595="E",OR(AT595=1,AT595=3))),SickCHG*Y595,0)</f>
        <v>0</v>
      </c>
      <c r="CJ595" s="462">
        <f t="shared" si="165"/>
        <v>0</v>
      </c>
      <c r="CK595" s="462" t="str">
        <f t="shared" si="166"/>
        <v/>
      </c>
      <c r="CL595" s="462">
        <f t="shared" si="167"/>
        <v>0</v>
      </c>
      <c r="CM595" s="462">
        <f t="shared" si="168"/>
        <v>0</v>
      </c>
      <c r="CN595" s="462" t="str">
        <f t="shared" si="169"/>
        <v>0486-00</v>
      </c>
    </row>
    <row r="596" spans="1:92" ht="15" thickBot="1" x14ac:dyDescent="0.35">
      <c r="A596" s="376" t="s">
        <v>161</v>
      </c>
      <c r="B596" s="376" t="s">
        <v>162</v>
      </c>
      <c r="C596" s="376" t="s">
        <v>1291</v>
      </c>
      <c r="D596" s="376" t="s">
        <v>650</v>
      </c>
      <c r="E596" s="376" t="s">
        <v>1140</v>
      </c>
      <c r="F596" s="377" t="s">
        <v>166</v>
      </c>
      <c r="G596" s="376" t="s">
        <v>1141</v>
      </c>
      <c r="H596" s="378"/>
      <c r="I596" s="378"/>
      <c r="J596" s="376" t="s">
        <v>168</v>
      </c>
      <c r="K596" s="376" t="s">
        <v>652</v>
      </c>
      <c r="L596" s="376" t="s">
        <v>166</v>
      </c>
      <c r="M596" s="376" t="s">
        <v>170</v>
      </c>
      <c r="N596" s="376" t="s">
        <v>291</v>
      </c>
      <c r="O596" s="379">
        <v>0</v>
      </c>
      <c r="P596" s="460">
        <v>1</v>
      </c>
      <c r="Q596" s="460">
        <v>0</v>
      </c>
      <c r="R596" s="380">
        <v>0</v>
      </c>
      <c r="S596" s="460">
        <v>0</v>
      </c>
      <c r="T596" s="380">
        <v>58339.72</v>
      </c>
      <c r="U596" s="380">
        <v>3341.21</v>
      </c>
      <c r="V596" s="380">
        <v>40001.089999999997</v>
      </c>
      <c r="W596" s="380">
        <v>61680.93</v>
      </c>
      <c r="X596" s="380">
        <v>40001.089999999997</v>
      </c>
      <c r="Y596" s="380">
        <v>61680.93</v>
      </c>
      <c r="Z596" s="380">
        <v>40001.089999999997</v>
      </c>
      <c r="AA596" s="378"/>
      <c r="AB596" s="376" t="s">
        <v>45</v>
      </c>
      <c r="AC596" s="376" t="s">
        <v>45</v>
      </c>
      <c r="AD596" s="378"/>
      <c r="AE596" s="378"/>
      <c r="AF596" s="378"/>
      <c r="AG596" s="378"/>
      <c r="AH596" s="379">
        <v>0</v>
      </c>
      <c r="AI596" s="379">
        <v>0</v>
      </c>
      <c r="AJ596" s="378"/>
      <c r="AK596" s="378"/>
      <c r="AL596" s="376" t="s">
        <v>180</v>
      </c>
      <c r="AM596" s="378"/>
      <c r="AN596" s="378"/>
      <c r="AO596" s="379">
        <v>0</v>
      </c>
      <c r="AP596" s="460">
        <v>0</v>
      </c>
      <c r="AQ596" s="460">
        <v>0</v>
      </c>
      <c r="AR596" s="459"/>
      <c r="AS596" s="462">
        <f t="shared" si="153"/>
        <v>0</v>
      </c>
      <c r="AT596">
        <f t="shared" si="154"/>
        <v>0</v>
      </c>
      <c r="AU596" s="462" t="str">
        <f>IF(AT596=0,"",IF(AND(AT596=1,M596="F",SUMIF(C2:C698,C596,AS2:AS698)&lt;=1),SUMIF(C2:C698,C596,AS2:AS698),IF(AND(AT596=1,M596="F",SUMIF(C2:C698,C596,AS2:AS698)&gt;1),1,"")))</f>
        <v/>
      </c>
      <c r="AV596" s="462" t="str">
        <f>IF(AT596=0,"",IF(AND(AT596=3,M596="F",SUMIF(C2:C698,C596,AS2:AS698)&lt;=1),SUMIF(C2:C698,C596,AS2:AS698),IF(AND(AT596=3,M596="F",SUMIF(C2:C698,C596,AS2:AS698)&gt;1),1,"")))</f>
        <v/>
      </c>
      <c r="AW596" s="462">
        <f>SUMIF(C2:C698,C596,O2:O698)</f>
        <v>0</v>
      </c>
      <c r="AX596" s="462">
        <f>IF(AND(M596="F",AS596&lt;&gt;0),SUMIF(C2:C698,C596,W2:W698),0)</f>
        <v>0</v>
      </c>
      <c r="AY596" s="462" t="str">
        <f t="shared" si="155"/>
        <v/>
      </c>
      <c r="AZ596" s="462" t="str">
        <f t="shared" si="156"/>
        <v/>
      </c>
      <c r="BA596" s="462">
        <f t="shared" si="157"/>
        <v>0</v>
      </c>
      <c r="BB596" s="462">
        <f>IF(AND(AT596=1,AK596="E",AU596&gt;=0.75,AW596=1),Health,IF(AND(AT596=1,AK596="E",AU596&gt;=0.75),Health*P596,IF(AND(AT596=1,AK596="E",AU596&gt;=0.5,AW596=1),PTHealth,IF(AND(AT596=1,AK596="E",AU596&gt;=0.5),PTHealth*P596,0))))</f>
        <v>0</v>
      </c>
      <c r="BC596" s="462">
        <f>IF(AND(AT596=3,AK596="E",AV596&gt;=0.75,AW596=1),Health,IF(AND(AT596=3,AK596="E",AV596&gt;=0.75),Health*P596,IF(AND(AT596=3,AK596="E",AV596&gt;=0.5,AW596=1),PTHealth,IF(AND(AT596=3,AK596="E",AV596&gt;=0.5),PTHealth*P596,0))))</f>
        <v>0</v>
      </c>
      <c r="BD596" s="462">
        <f>IF(AND(AT596&lt;&gt;0,AX596&gt;=MAXSSDI),SSDI*MAXSSDI*P596,IF(AT596&lt;&gt;0,SSDI*W596,0))</f>
        <v>0</v>
      </c>
      <c r="BE596" s="462">
        <f>IF(AT596&lt;&gt;0,SSHI*W596,0)</f>
        <v>0</v>
      </c>
      <c r="BF596" s="462">
        <f>IF(AND(AT596&lt;&gt;0,AN596&lt;&gt;"NE"),VLOOKUP(AN596,Retirement_Rates,3,FALSE)*W596,0)</f>
        <v>0</v>
      </c>
      <c r="BG596" s="462">
        <f>IF(AND(AT596&lt;&gt;0,AJ596&lt;&gt;"PF"),Life*W596,0)</f>
        <v>0</v>
      </c>
      <c r="BH596" s="462">
        <f>IF(AND(AT596&lt;&gt;0,AM596="Y"),UI*W596,0)</f>
        <v>0</v>
      </c>
      <c r="BI596" s="462">
        <f>IF(AND(AT596&lt;&gt;0,N596&lt;&gt;"NR"),DHR*W596,0)</f>
        <v>0</v>
      </c>
      <c r="BJ596" s="462">
        <f>IF(AT596&lt;&gt;0,WC*W596,0)</f>
        <v>0</v>
      </c>
      <c r="BK596" s="462">
        <f>IF(OR(AND(AT596&lt;&gt;0,AJ596&lt;&gt;"PF",AN596&lt;&gt;"NE",AG596&lt;&gt;"A"),AND(AL596="E",OR(AT596=1,AT596=3))),Sick*W596,0)</f>
        <v>0</v>
      </c>
      <c r="BL596" s="462">
        <f t="shared" si="158"/>
        <v>0</v>
      </c>
      <c r="BM596" s="462">
        <f t="shared" si="159"/>
        <v>0</v>
      </c>
      <c r="BN596" s="462">
        <f>IF(AND(AT596=1,AK596="E",AU596&gt;=0.75,AW596=1),HealthBY,IF(AND(AT596=1,AK596="E",AU596&gt;=0.75),HealthBY*P596,IF(AND(AT596=1,AK596="E",AU596&gt;=0.5,AW596=1),PTHealthBY,IF(AND(AT596=1,AK596="E",AU596&gt;=0.5),PTHealthBY*P596,0))))</f>
        <v>0</v>
      </c>
      <c r="BO596" s="462">
        <f>IF(AND(AT596=3,AK596="E",AV596&gt;=0.75,AW596=1),HealthBY,IF(AND(AT596=3,AK596="E",AV596&gt;=0.75),HealthBY*P596,IF(AND(AT596=3,AK596="E",AV596&gt;=0.5,AW596=1),PTHealthBY,IF(AND(AT596=3,AK596="E",AV596&gt;=0.5),PTHealthBY*P596,0))))</f>
        <v>0</v>
      </c>
      <c r="BP596" s="462">
        <f>IF(AND(AT596&lt;&gt;0,(AX596+BA596)&gt;=MAXSSDIBY),SSDIBY*MAXSSDIBY*P596,IF(AT596&lt;&gt;0,SSDIBY*W596,0))</f>
        <v>0</v>
      </c>
      <c r="BQ596" s="462">
        <f>IF(AT596&lt;&gt;0,SSHIBY*W596,0)</f>
        <v>0</v>
      </c>
      <c r="BR596" s="462">
        <f>IF(AND(AT596&lt;&gt;0,AN596&lt;&gt;"NE"),VLOOKUP(AN596,Retirement_Rates,4,FALSE)*W596,0)</f>
        <v>0</v>
      </c>
      <c r="BS596" s="462">
        <f>IF(AND(AT596&lt;&gt;0,AJ596&lt;&gt;"PF"),LifeBY*W596,0)</f>
        <v>0</v>
      </c>
      <c r="BT596" s="462">
        <f>IF(AND(AT596&lt;&gt;0,AM596="Y"),UIBY*W596,0)</f>
        <v>0</v>
      </c>
      <c r="BU596" s="462">
        <f>IF(AND(AT596&lt;&gt;0,N596&lt;&gt;"NR"),DHRBY*W596,0)</f>
        <v>0</v>
      </c>
      <c r="BV596" s="462">
        <f>IF(AT596&lt;&gt;0,WCBY*W596,0)</f>
        <v>0</v>
      </c>
      <c r="BW596" s="462">
        <f>IF(OR(AND(AT596&lt;&gt;0,AJ596&lt;&gt;"PF",AN596&lt;&gt;"NE",AG596&lt;&gt;"A"),AND(AL596="E",OR(AT596=1,AT596=3))),SickBY*W596,0)</f>
        <v>0</v>
      </c>
      <c r="BX596" s="462">
        <f t="shared" si="160"/>
        <v>0</v>
      </c>
      <c r="BY596" s="462">
        <f t="shared" si="161"/>
        <v>0</v>
      </c>
      <c r="BZ596" s="462">
        <f t="shared" si="162"/>
        <v>0</v>
      </c>
      <c r="CA596" s="462">
        <f t="shared" si="163"/>
        <v>0</v>
      </c>
      <c r="CB596" s="462">
        <f t="shared" si="164"/>
        <v>0</v>
      </c>
      <c r="CC596" s="462">
        <f>IF(AT596&lt;&gt;0,SSHICHG*Y596,0)</f>
        <v>0</v>
      </c>
      <c r="CD596" s="462">
        <f>IF(AND(AT596&lt;&gt;0,AN596&lt;&gt;"NE"),VLOOKUP(AN596,Retirement_Rates,5,FALSE)*Y596,0)</f>
        <v>0</v>
      </c>
      <c r="CE596" s="462">
        <f>IF(AND(AT596&lt;&gt;0,AJ596&lt;&gt;"PF"),LifeCHG*Y596,0)</f>
        <v>0</v>
      </c>
      <c r="CF596" s="462">
        <f>IF(AND(AT596&lt;&gt;0,AM596="Y"),UICHG*Y596,0)</f>
        <v>0</v>
      </c>
      <c r="CG596" s="462">
        <f>IF(AND(AT596&lt;&gt;0,N596&lt;&gt;"NR"),DHRCHG*Y596,0)</f>
        <v>0</v>
      </c>
      <c r="CH596" s="462">
        <f>IF(AT596&lt;&gt;0,WCCHG*Y596,0)</f>
        <v>0</v>
      </c>
      <c r="CI596" s="462">
        <f>IF(OR(AND(AT596&lt;&gt;0,AJ596&lt;&gt;"PF",AN596&lt;&gt;"NE",AG596&lt;&gt;"A"),AND(AL596="E",OR(AT596=1,AT596=3))),SickCHG*Y596,0)</f>
        <v>0</v>
      </c>
      <c r="CJ596" s="462">
        <f t="shared" si="165"/>
        <v>0</v>
      </c>
      <c r="CK596" s="462" t="str">
        <f t="shared" si="166"/>
        <v/>
      </c>
      <c r="CL596" s="462">
        <f t="shared" si="167"/>
        <v>61680.93</v>
      </c>
      <c r="CM596" s="462">
        <f t="shared" si="168"/>
        <v>40001.089999999997</v>
      </c>
      <c r="CN596" s="462" t="str">
        <f t="shared" si="169"/>
        <v>0486-00</v>
      </c>
    </row>
    <row r="597" spans="1:92" ht="15" thickBot="1" x14ac:dyDescent="0.35">
      <c r="A597" s="376" t="s">
        <v>161</v>
      </c>
      <c r="B597" s="376" t="s">
        <v>162</v>
      </c>
      <c r="C597" s="376" t="s">
        <v>1292</v>
      </c>
      <c r="D597" s="376" t="s">
        <v>716</v>
      </c>
      <c r="E597" s="376" t="s">
        <v>1140</v>
      </c>
      <c r="F597" s="377" t="s">
        <v>166</v>
      </c>
      <c r="G597" s="376" t="s">
        <v>1141</v>
      </c>
      <c r="H597" s="378"/>
      <c r="I597" s="378"/>
      <c r="J597" s="376" t="s">
        <v>168</v>
      </c>
      <c r="K597" s="376" t="s">
        <v>717</v>
      </c>
      <c r="L597" s="376" t="s">
        <v>349</v>
      </c>
      <c r="M597" s="376" t="s">
        <v>170</v>
      </c>
      <c r="N597" s="376" t="s">
        <v>202</v>
      </c>
      <c r="O597" s="379">
        <v>1</v>
      </c>
      <c r="P597" s="460">
        <v>1</v>
      </c>
      <c r="Q597" s="460">
        <v>1</v>
      </c>
      <c r="R597" s="380">
        <v>80</v>
      </c>
      <c r="S597" s="460">
        <v>1</v>
      </c>
      <c r="T597" s="380">
        <v>32529.26</v>
      </c>
      <c r="U597" s="380">
        <v>0</v>
      </c>
      <c r="V597" s="380">
        <v>19031.32</v>
      </c>
      <c r="W597" s="380">
        <v>33508.800000000003</v>
      </c>
      <c r="X597" s="380">
        <v>19235.349999999999</v>
      </c>
      <c r="Y597" s="380">
        <v>33508.800000000003</v>
      </c>
      <c r="Z597" s="380">
        <v>19148.23</v>
      </c>
      <c r="AA597" s="376" t="s">
        <v>1293</v>
      </c>
      <c r="AB597" s="376" t="s">
        <v>1294</v>
      </c>
      <c r="AC597" s="376" t="s">
        <v>1295</v>
      </c>
      <c r="AD597" s="376" t="s">
        <v>370</v>
      </c>
      <c r="AE597" s="376" t="s">
        <v>717</v>
      </c>
      <c r="AF597" s="376" t="s">
        <v>353</v>
      </c>
      <c r="AG597" s="376" t="s">
        <v>177</v>
      </c>
      <c r="AH597" s="381">
        <v>16.11</v>
      </c>
      <c r="AI597" s="381">
        <v>14408.8</v>
      </c>
      <c r="AJ597" s="376" t="s">
        <v>178</v>
      </c>
      <c r="AK597" s="376" t="s">
        <v>179</v>
      </c>
      <c r="AL597" s="376" t="s">
        <v>180</v>
      </c>
      <c r="AM597" s="376" t="s">
        <v>181</v>
      </c>
      <c r="AN597" s="376" t="s">
        <v>68</v>
      </c>
      <c r="AO597" s="379">
        <v>80</v>
      </c>
      <c r="AP597" s="460">
        <v>1</v>
      </c>
      <c r="AQ597" s="460">
        <v>1</v>
      </c>
      <c r="AR597" s="458" t="s">
        <v>182</v>
      </c>
      <c r="AS597" s="462">
        <f t="shared" si="153"/>
        <v>1</v>
      </c>
      <c r="AT597">
        <f t="shared" si="154"/>
        <v>1</v>
      </c>
      <c r="AU597" s="462">
        <f>IF(AT597=0,"",IF(AND(AT597=1,M597="F",SUMIF(C2:C698,C597,AS2:AS698)&lt;=1),SUMIF(C2:C698,C597,AS2:AS698),IF(AND(AT597=1,M597="F",SUMIF(C2:C698,C597,AS2:AS698)&gt;1),1,"")))</f>
        <v>1</v>
      </c>
      <c r="AV597" s="462" t="str">
        <f>IF(AT597=0,"",IF(AND(AT597=3,M597="F",SUMIF(C2:C698,C597,AS2:AS698)&lt;=1),SUMIF(C2:C698,C597,AS2:AS698),IF(AND(AT597=3,M597="F",SUMIF(C2:C698,C597,AS2:AS698)&gt;1),1,"")))</f>
        <v/>
      </c>
      <c r="AW597" s="462">
        <f>SUMIF(C2:C698,C597,O2:O698)</f>
        <v>1</v>
      </c>
      <c r="AX597" s="462">
        <f>IF(AND(M597="F",AS597&lt;&gt;0),SUMIF(C2:C698,C597,W2:W698),0)</f>
        <v>33508.800000000003</v>
      </c>
      <c r="AY597" s="462">
        <f t="shared" si="155"/>
        <v>33508.800000000003</v>
      </c>
      <c r="AZ597" s="462" t="str">
        <f t="shared" si="156"/>
        <v/>
      </c>
      <c r="BA597" s="462">
        <f t="shared" si="157"/>
        <v>0</v>
      </c>
      <c r="BB597" s="462">
        <f>IF(AND(AT597=1,AK597="E",AU597&gt;=0.75,AW597=1),Health,IF(AND(AT597=1,AK597="E",AU597&gt;=0.75),Health*P597,IF(AND(AT597=1,AK597="E",AU597&gt;=0.5,AW597=1),PTHealth,IF(AND(AT597=1,AK597="E",AU597&gt;=0.5),PTHealth*P597,0))))</f>
        <v>11650</v>
      </c>
      <c r="BC597" s="462">
        <f>IF(AND(AT597=3,AK597="E",AV597&gt;=0.75,AW597=1),Health,IF(AND(AT597=3,AK597="E",AV597&gt;=0.75),Health*P597,IF(AND(AT597=3,AK597="E",AV597&gt;=0.5,AW597=1),PTHealth,IF(AND(AT597=3,AK597="E",AV597&gt;=0.5),PTHealth*P597,0))))</f>
        <v>0</v>
      </c>
      <c r="BD597" s="462">
        <f>IF(AND(AT597&lt;&gt;0,AX597&gt;=MAXSSDI),SSDI*MAXSSDI*P597,IF(AT597&lt;&gt;0,SSDI*W597,0))</f>
        <v>2077.5456000000004</v>
      </c>
      <c r="BE597" s="462">
        <f>IF(AT597&lt;&gt;0,SSHI*W597,0)</f>
        <v>485.87760000000009</v>
      </c>
      <c r="BF597" s="462">
        <f>IF(AND(AT597&lt;&gt;0,AN597&lt;&gt;"NE"),VLOOKUP(AN597,Retirement_Rates,3,FALSE)*W597,0)</f>
        <v>4000.9507200000007</v>
      </c>
      <c r="BG597" s="462">
        <f>IF(AND(AT597&lt;&gt;0,AJ597&lt;&gt;"PF"),Life*W597,0)</f>
        <v>241.59844800000002</v>
      </c>
      <c r="BH597" s="462">
        <f>IF(AND(AT597&lt;&gt;0,AM597="Y"),UI*W597,0)</f>
        <v>164.19312000000002</v>
      </c>
      <c r="BI597" s="462">
        <f>IF(AND(AT597&lt;&gt;0,N597&lt;&gt;"NR"),DHR*W597,0)</f>
        <v>102.536928</v>
      </c>
      <c r="BJ597" s="462">
        <f>IF(AT597&lt;&gt;0,WC*W597,0)</f>
        <v>512.68464000000006</v>
      </c>
      <c r="BK597" s="462">
        <f>IF(OR(AND(AT597&lt;&gt;0,AJ597&lt;&gt;"PF",AN597&lt;&gt;"NE",AG597&lt;&gt;"A"),AND(AL597="E",OR(AT597=1,AT597=3))),Sick*W597,0)</f>
        <v>0</v>
      </c>
      <c r="BL597" s="462">
        <f t="shared" si="158"/>
        <v>7585.3870560000023</v>
      </c>
      <c r="BM597" s="462">
        <f t="shared" si="159"/>
        <v>0</v>
      </c>
      <c r="BN597" s="462">
        <f>IF(AND(AT597=1,AK597="E",AU597&gt;=0.75,AW597=1),HealthBY,IF(AND(AT597=1,AK597="E",AU597&gt;=0.75),HealthBY*P597,IF(AND(AT597=1,AK597="E",AU597&gt;=0.5,AW597=1),PTHealthBY,IF(AND(AT597=1,AK597="E",AU597&gt;=0.5),PTHealthBY*P597,0))))</f>
        <v>11650</v>
      </c>
      <c r="BO597" s="462">
        <f>IF(AND(AT597=3,AK597="E",AV597&gt;=0.75,AW597=1),HealthBY,IF(AND(AT597=3,AK597="E",AV597&gt;=0.75),HealthBY*P597,IF(AND(AT597=3,AK597="E",AV597&gt;=0.5,AW597=1),PTHealthBY,IF(AND(AT597=3,AK597="E",AV597&gt;=0.5),PTHealthBY*P597,0))))</f>
        <v>0</v>
      </c>
      <c r="BP597" s="462">
        <f>IF(AND(AT597&lt;&gt;0,(AX597+BA597)&gt;=MAXSSDIBY),SSDIBY*MAXSSDIBY*P597,IF(AT597&lt;&gt;0,SSDIBY*W597,0))</f>
        <v>2077.5456000000004</v>
      </c>
      <c r="BQ597" s="462">
        <f>IF(AT597&lt;&gt;0,SSHIBY*W597,0)</f>
        <v>485.87760000000009</v>
      </c>
      <c r="BR597" s="462">
        <f>IF(AND(AT597&lt;&gt;0,AN597&lt;&gt;"NE"),VLOOKUP(AN597,Retirement_Rates,4,FALSE)*W597,0)</f>
        <v>4000.9507200000007</v>
      </c>
      <c r="BS597" s="462">
        <f>IF(AND(AT597&lt;&gt;0,AJ597&lt;&gt;"PF"),LifeBY*W597,0)</f>
        <v>241.59844800000002</v>
      </c>
      <c r="BT597" s="462">
        <f>IF(AND(AT597&lt;&gt;0,AM597="Y"),UIBY*W597,0)</f>
        <v>0</v>
      </c>
      <c r="BU597" s="462">
        <f>IF(AND(AT597&lt;&gt;0,N597&lt;&gt;"NR"),DHRBY*W597,0)</f>
        <v>102.536928</v>
      </c>
      <c r="BV597" s="462">
        <f>IF(AT597&lt;&gt;0,WCBY*W597,0)</f>
        <v>589.75488000000007</v>
      </c>
      <c r="BW597" s="462">
        <f>IF(OR(AND(AT597&lt;&gt;0,AJ597&lt;&gt;"PF",AN597&lt;&gt;"NE",AG597&lt;&gt;"A"),AND(AL597="E",OR(AT597=1,AT597=3))),SickBY*W597,0)</f>
        <v>0</v>
      </c>
      <c r="BX597" s="462">
        <f t="shared" si="160"/>
        <v>7498.2641760000024</v>
      </c>
      <c r="BY597" s="462">
        <f t="shared" si="161"/>
        <v>0</v>
      </c>
      <c r="BZ597" s="462">
        <f t="shared" si="162"/>
        <v>0</v>
      </c>
      <c r="CA597" s="462">
        <f t="shared" si="163"/>
        <v>0</v>
      </c>
      <c r="CB597" s="462">
        <f t="shared" si="164"/>
        <v>0</v>
      </c>
      <c r="CC597" s="462">
        <f>IF(AT597&lt;&gt;0,SSHICHG*Y597,0)</f>
        <v>0</v>
      </c>
      <c r="CD597" s="462">
        <f>IF(AND(AT597&lt;&gt;0,AN597&lt;&gt;"NE"),VLOOKUP(AN597,Retirement_Rates,5,FALSE)*Y597,0)</f>
        <v>0</v>
      </c>
      <c r="CE597" s="462">
        <f>IF(AND(AT597&lt;&gt;0,AJ597&lt;&gt;"PF"),LifeCHG*Y597,0)</f>
        <v>0</v>
      </c>
      <c r="CF597" s="462">
        <f>IF(AND(AT597&lt;&gt;0,AM597="Y"),UICHG*Y597,0)</f>
        <v>-164.19312000000002</v>
      </c>
      <c r="CG597" s="462">
        <f>IF(AND(AT597&lt;&gt;0,N597&lt;&gt;"NR"),DHRCHG*Y597,0)</f>
        <v>0</v>
      </c>
      <c r="CH597" s="462">
        <f>IF(AT597&lt;&gt;0,WCCHG*Y597,0)</f>
        <v>77.070240000000069</v>
      </c>
      <c r="CI597" s="462">
        <f>IF(OR(AND(AT597&lt;&gt;0,AJ597&lt;&gt;"PF",AN597&lt;&gt;"NE",AG597&lt;&gt;"A"),AND(AL597="E",OR(AT597=1,AT597=3))),SickCHG*Y597,0)</f>
        <v>0</v>
      </c>
      <c r="CJ597" s="462">
        <f t="shared" si="165"/>
        <v>-87.122879999999952</v>
      </c>
      <c r="CK597" s="462" t="str">
        <f t="shared" si="166"/>
        <v/>
      </c>
      <c r="CL597" s="462" t="str">
        <f t="shared" si="167"/>
        <v/>
      </c>
      <c r="CM597" s="462" t="str">
        <f t="shared" si="168"/>
        <v/>
      </c>
      <c r="CN597" s="462" t="str">
        <f t="shared" si="169"/>
        <v>0486-00</v>
      </c>
    </row>
    <row r="598" spans="1:92" ht="15" thickBot="1" x14ac:dyDescent="0.35">
      <c r="A598" s="376" t="s">
        <v>161</v>
      </c>
      <c r="B598" s="376" t="s">
        <v>162</v>
      </c>
      <c r="C598" s="376" t="s">
        <v>1296</v>
      </c>
      <c r="D598" s="376" t="s">
        <v>1153</v>
      </c>
      <c r="E598" s="376" t="s">
        <v>1140</v>
      </c>
      <c r="F598" s="377" t="s">
        <v>166</v>
      </c>
      <c r="G598" s="376" t="s">
        <v>1141</v>
      </c>
      <c r="H598" s="378"/>
      <c r="I598" s="378"/>
      <c r="J598" s="376" t="s">
        <v>185</v>
      </c>
      <c r="K598" s="376" t="s">
        <v>1154</v>
      </c>
      <c r="L598" s="376" t="s">
        <v>166</v>
      </c>
      <c r="M598" s="376" t="s">
        <v>201</v>
      </c>
      <c r="N598" s="376" t="s">
        <v>291</v>
      </c>
      <c r="O598" s="379">
        <v>0</v>
      </c>
      <c r="P598" s="460">
        <v>1</v>
      </c>
      <c r="Q598" s="460">
        <v>0</v>
      </c>
      <c r="R598" s="380">
        <v>0</v>
      </c>
      <c r="S598" s="460">
        <v>0</v>
      </c>
      <c r="T598" s="380">
        <v>0</v>
      </c>
      <c r="U598" s="380">
        <v>0</v>
      </c>
      <c r="V598" s="380">
        <v>0</v>
      </c>
      <c r="W598" s="380">
        <v>0</v>
      </c>
      <c r="X598" s="380">
        <v>0</v>
      </c>
      <c r="Y598" s="380">
        <v>0</v>
      </c>
      <c r="Z598" s="380">
        <v>0</v>
      </c>
      <c r="AA598" s="378"/>
      <c r="AB598" s="376" t="s">
        <v>45</v>
      </c>
      <c r="AC598" s="376" t="s">
        <v>45</v>
      </c>
      <c r="AD598" s="378"/>
      <c r="AE598" s="378"/>
      <c r="AF598" s="378"/>
      <c r="AG598" s="378"/>
      <c r="AH598" s="379">
        <v>0</v>
      </c>
      <c r="AI598" s="379">
        <v>0</v>
      </c>
      <c r="AJ598" s="378"/>
      <c r="AK598" s="378"/>
      <c r="AL598" s="376" t="s">
        <v>180</v>
      </c>
      <c r="AM598" s="378"/>
      <c r="AN598" s="378"/>
      <c r="AO598" s="379">
        <v>0</v>
      </c>
      <c r="AP598" s="460">
        <v>0</v>
      </c>
      <c r="AQ598" s="460">
        <v>0</v>
      </c>
      <c r="AR598" s="459"/>
      <c r="AS598" s="462">
        <f t="shared" si="153"/>
        <v>0</v>
      </c>
      <c r="AT598">
        <f t="shared" si="154"/>
        <v>0</v>
      </c>
      <c r="AU598" s="462" t="str">
        <f>IF(AT598=0,"",IF(AND(AT598=1,M598="F",SUMIF(C2:C698,C598,AS2:AS698)&lt;=1),SUMIF(C2:C698,C598,AS2:AS698),IF(AND(AT598=1,M598="F",SUMIF(C2:C698,C598,AS2:AS698)&gt;1),1,"")))</f>
        <v/>
      </c>
      <c r="AV598" s="462" t="str">
        <f>IF(AT598=0,"",IF(AND(AT598=3,M598="F",SUMIF(C2:C698,C598,AS2:AS698)&lt;=1),SUMIF(C2:C698,C598,AS2:AS698),IF(AND(AT598=3,M598="F",SUMIF(C2:C698,C598,AS2:AS698)&gt;1),1,"")))</f>
        <v/>
      </c>
      <c r="AW598" s="462">
        <f>SUMIF(C2:C698,C598,O2:O698)</f>
        <v>0</v>
      </c>
      <c r="AX598" s="462">
        <f>IF(AND(M598="F",AS598&lt;&gt;0),SUMIF(C2:C698,C598,W2:W698),0)</f>
        <v>0</v>
      </c>
      <c r="AY598" s="462" t="str">
        <f t="shared" si="155"/>
        <v/>
      </c>
      <c r="AZ598" s="462" t="str">
        <f t="shared" si="156"/>
        <v/>
      </c>
      <c r="BA598" s="462">
        <f t="shared" si="157"/>
        <v>0</v>
      </c>
      <c r="BB598" s="462">
        <f>IF(AND(AT598=1,AK598="E",AU598&gt;=0.75,AW598=1),Health,IF(AND(AT598=1,AK598="E",AU598&gt;=0.75),Health*P598,IF(AND(AT598=1,AK598="E",AU598&gt;=0.5,AW598=1),PTHealth,IF(AND(AT598=1,AK598="E",AU598&gt;=0.5),PTHealth*P598,0))))</f>
        <v>0</v>
      </c>
      <c r="BC598" s="462">
        <f>IF(AND(AT598=3,AK598="E",AV598&gt;=0.75,AW598=1),Health,IF(AND(AT598=3,AK598="E",AV598&gt;=0.75),Health*P598,IF(AND(AT598=3,AK598="E",AV598&gt;=0.5,AW598=1),PTHealth,IF(AND(AT598=3,AK598="E",AV598&gt;=0.5),PTHealth*P598,0))))</f>
        <v>0</v>
      </c>
      <c r="BD598" s="462">
        <f>IF(AND(AT598&lt;&gt;0,AX598&gt;=MAXSSDI),SSDI*MAXSSDI*P598,IF(AT598&lt;&gt;0,SSDI*W598,0))</f>
        <v>0</v>
      </c>
      <c r="BE598" s="462">
        <f>IF(AT598&lt;&gt;0,SSHI*W598,0)</f>
        <v>0</v>
      </c>
      <c r="BF598" s="462">
        <f>IF(AND(AT598&lt;&gt;0,AN598&lt;&gt;"NE"),VLOOKUP(AN598,Retirement_Rates,3,FALSE)*W598,0)</f>
        <v>0</v>
      </c>
      <c r="BG598" s="462">
        <f>IF(AND(AT598&lt;&gt;0,AJ598&lt;&gt;"PF"),Life*W598,0)</f>
        <v>0</v>
      </c>
      <c r="BH598" s="462">
        <f>IF(AND(AT598&lt;&gt;0,AM598="Y"),UI*W598,0)</f>
        <v>0</v>
      </c>
      <c r="BI598" s="462">
        <f>IF(AND(AT598&lt;&gt;0,N598&lt;&gt;"NR"),DHR*W598,0)</f>
        <v>0</v>
      </c>
      <c r="BJ598" s="462">
        <f>IF(AT598&lt;&gt;0,WC*W598,0)</f>
        <v>0</v>
      </c>
      <c r="BK598" s="462">
        <f>IF(OR(AND(AT598&lt;&gt;0,AJ598&lt;&gt;"PF",AN598&lt;&gt;"NE",AG598&lt;&gt;"A"),AND(AL598="E",OR(AT598=1,AT598=3))),Sick*W598,0)</f>
        <v>0</v>
      </c>
      <c r="BL598" s="462">
        <f t="shared" si="158"/>
        <v>0</v>
      </c>
      <c r="BM598" s="462">
        <f t="shared" si="159"/>
        <v>0</v>
      </c>
      <c r="BN598" s="462">
        <f>IF(AND(AT598=1,AK598="E",AU598&gt;=0.75,AW598=1),HealthBY,IF(AND(AT598=1,AK598="E",AU598&gt;=0.75),HealthBY*P598,IF(AND(AT598=1,AK598="E",AU598&gt;=0.5,AW598=1),PTHealthBY,IF(AND(AT598=1,AK598="E",AU598&gt;=0.5),PTHealthBY*P598,0))))</f>
        <v>0</v>
      </c>
      <c r="BO598" s="462">
        <f>IF(AND(AT598=3,AK598="E",AV598&gt;=0.75,AW598=1),HealthBY,IF(AND(AT598=3,AK598="E",AV598&gt;=0.75),HealthBY*P598,IF(AND(AT598=3,AK598="E",AV598&gt;=0.5,AW598=1),PTHealthBY,IF(AND(AT598=3,AK598="E",AV598&gt;=0.5),PTHealthBY*P598,0))))</f>
        <v>0</v>
      </c>
      <c r="BP598" s="462">
        <f>IF(AND(AT598&lt;&gt;0,(AX598+BA598)&gt;=MAXSSDIBY),SSDIBY*MAXSSDIBY*P598,IF(AT598&lt;&gt;0,SSDIBY*W598,0))</f>
        <v>0</v>
      </c>
      <c r="BQ598" s="462">
        <f>IF(AT598&lt;&gt;0,SSHIBY*W598,0)</f>
        <v>0</v>
      </c>
      <c r="BR598" s="462">
        <f>IF(AND(AT598&lt;&gt;0,AN598&lt;&gt;"NE"),VLOOKUP(AN598,Retirement_Rates,4,FALSE)*W598,0)</f>
        <v>0</v>
      </c>
      <c r="BS598" s="462">
        <f>IF(AND(AT598&lt;&gt;0,AJ598&lt;&gt;"PF"),LifeBY*W598,0)</f>
        <v>0</v>
      </c>
      <c r="BT598" s="462">
        <f>IF(AND(AT598&lt;&gt;0,AM598="Y"),UIBY*W598,0)</f>
        <v>0</v>
      </c>
      <c r="BU598" s="462">
        <f>IF(AND(AT598&lt;&gt;0,N598&lt;&gt;"NR"),DHRBY*W598,0)</f>
        <v>0</v>
      </c>
      <c r="BV598" s="462">
        <f>IF(AT598&lt;&gt;0,WCBY*W598,0)</f>
        <v>0</v>
      </c>
      <c r="BW598" s="462">
        <f>IF(OR(AND(AT598&lt;&gt;0,AJ598&lt;&gt;"PF",AN598&lt;&gt;"NE",AG598&lt;&gt;"A"),AND(AL598="E",OR(AT598=1,AT598=3))),SickBY*W598,0)</f>
        <v>0</v>
      </c>
      <c r="BX598" s="462">
        <f t="shared" si="160"/>
        <v>0</v>
      </c>
      <c r="BY598" s="462">
        <f t="shared" si="161"/>
        <v>0</v>
      </c>
      <c r="BZ598" s="462">
        <f t="shared" si="162"/>
        <v>0</v>
      </c>
      <c r="CA598" s="462">
        <f t="shared" si="163"/>
        <v>0</v>
      </c>
      <c r="CB598" s="462">
        <f t="shared" si="164"/>
        <v>0</v>
      </c>
      <c r="CC598" s="462">
        <f>IF(AT598&lt;&gt;0,SSHICHG*Y598,0)</f>
        <v>0</v>
      </c>
      <c r="CD598" s="462">
        <f>IF(AND(AT598&lt;&gt;0,AN598&lt;&gt;"NE"),VLOOKUP(AN598,Retirement_Rates,5,FALSE)*Y598,0)</f>
        <v>0</v>
      </c>
      <c r="CE598" s="462">
        <f>IF(AND(AT598&lt;&gt;0,AJ598&lt;&gt;"PF"),LifeCHG*Y598,0)</f>
        <v>0</v>
      </c>
      <c r="CF598" s="462">
        <f>IF(AND(AT598&lt;&gt;0,AM598="Y"),UICHG*Y598,0)</f>
        <v>0</v>
      </c>
      <c r="CG598" s="462">
        <f>IF(AND(AT598&lt;&gt;0,N598&lt;&gt;"NR"),DHRCHG*Y598,0)</f>
        <v>0</v>
      </c>
      <c r="CH598" s="462">
        <f>IF(AT598&lt;&gt;0,WCCHG*Y598,0)</f>
        <v>0</v>
      </c>
      <c r="CI598" s="462">
        <f>IF(OR(AND(AT598&lt;&gt;0,AJ598&lt;&gt;"PF",AN598&lt;&gt;"NE",AG598&lt;&gt;"A"),AND(AL598="E",OR(AT598=1,AT598=3))),SickCHG*Y598,0)</f>
        <v>0</v>
      </c>
      <c r="CJ598" s="462">
        <f t="shared" si="165"/>
        <v>0</v>
      </c>
      <c r="CK598" s="462" t="str">
        <f t="shared" si="166"/>
        <v/>
      </c>
      <c r="CL598" s="462">
        <f t="shared" si="167"/>
        <v>0</v>
      </c>
      <c r="CM598" s="462">
        <f t="shared" si="168"/>
        <v>0</v>
      </c>
      <c r="CN598" s="462" t="str">
        <f t="shared" si="169"/>
        <v>0486-00</v>
      </c>
    </row>
    <row r="599" spans="1:92" ht="15" thickBot="1" x14ac:dyDescent="0.35">
      <c r="A599" s="376" t="s">
        <v>161</v>
      </c>
      <c r="B599" s="376" t="s">
        <v>162</v>
      </c>
      <c r="C599" s="376" t="s">
        <v>1297</v>
      </c>
      <c r="D599" s="376" t="s">
        <v>287</v>
      </c>
      <c r="E599" s="376" t="s">
        <v>1140</v>
      </c>
      <c r="F599" s="377" t="s">
        <v>166</v>
      </c>
      <c r="G599" s="376" t="s">
        <v>1141</v>
      </c>
      <c r="H599" s="378"/>
      <c r="I599" s="378"/>
      <c r="J599" s="376" t="s">
        <v>168</v>
      </c>
      <c r="K599" s="376" t="s">
        <v>290</v>
      </c>
      <c r="L599" s="376" t="s">
        <v>166</v>
      </c>
      <c r="M599" s="376" t="s">
        <v>201</v>
      </c>
      <c r="N599" s="376" t="s">
        <v>291</v>
      </c>
      <c r="O599" s="379">
        <v>0</v>
      </c>
      <c r="P599" s="460">
        <v>1</v>
      </c>
      <c r="Q599" s="460">
        <v>0</v>
      </c>
      <c r="R599" s="380">
        <v>0</v>
      </c>
      <c r="S599" s="460">
        <v>0</v>
      </c>
      <c r="T599" s="380">
        <v>0</v>
      </c>
      <c r="U599" s="380">
        <v>0</v>
      </c>
      <c r="V599" s="380">
        <v>0</v>
      </c>
      <c r="W599" s="380">
        <v>0</v>
      </c>
      <c r="X599" s="380">
        <v>0</v>
      </c>
      <c r="Y599" s="380">
        <v>0</v>
      </c>
      <c r="Z599" s="380">
        <v>0</v>
      </c>
      <c r="AA599" s="378"/>
      <c r="AB599" s="376" t="s">
        <v>45</v>
      </c>
      <c r="AC599" s="376" t="s">
        <v>45</v>
      </c>
      <c r="AD599" s="378"/>
      <c r="AE599" s="378"/>
      <c r="AF599" s="378"/>
      <c r="AG599" s="378"/>
      <c r="AH599" s="379">
        <v>0</v>
      </c>
      <c r="AI599" s="379">
        <v>0</v>
      </c>
      <c r="AJ599" s="378"/>
      <c r="AK599" s="378"/>
      <c r="AL599" s="376" t="s">
        <v>180</v>
      </c>
      <c r="AM599" s="378"/>
      <c r="AN599" s="378"/>
      <c r="AO599" s="379">
        <v>0</v>
      </c>
      <c r="AP599" s="460">
        <v>0</v>
      </c>
      <c r="AQ599" s="460">
        <v>0</v>
      </c>
      <c r="AR599" s="459"/>
      <c r="AS599" s="462">
        <f t="shared" si="153"/>
        <v>0</v>
      </c>
      <c r="AT599">
        <f t="shared" si="154"/>
        <v>0</v>
      </c>
      <c r="AU599" s="462" t="str">
        <f>IF(AT599=0,"",IF(AND(AT599=1,M599="F",SUMIF(C2:C698,C599,AS2:AS698)&lt;=1),SUMIF(C2:C698,C599,AS2:AS698),IF(AND(AT599=1,M599="F",SUMIF(C2:C698,C599,AS2:AS698)&gt;1),1,"")))</f>
        <v/>
      </c>
      <c r="AV599" s="462" t="str">
        <f>IF(AT599=0,"",IF(AND(AT599=3,M599="F",SUMIF(C2:C698,C599,AS2:AS698)&lt;=1),SUMIF(C2:C698,C599,AS2:AS698),IF(AND(AT599=3,M599="F",SUMIF(C2:C698,C599,AS2:AS698)&gt;1),1,"")))</f>
        <v/>
      </c>
      <c r="AW599" s="462">
        <f>SUMIF(C2:C698,C599,O2:O698)</f>
        <v>0</v>
      </c>
      <c r="AX599" s="462">
        <f>IF(AND(M599="F",AS599&lt;&gt;0),SUMIF(C2:C698,C599,W2:W698),0)</f>
        <v>0</v>
      </c>
      <c r="AY599" s="462" t="str">
        <f t="shared" si="155"/>
        <v/>
      </c>
      <c r="AZ599" s="462" t="str">
        <f t="shared" si="156"/>
        <v/>
      </c>
      <c r="BA599" s="462">
        <f t="shared" si="157"/>
        <v>0</v>
      </c>
      <c r="BB599" s="462">
        <f>IF(AND(AT599=1,AK599="E",AU599&gt;=0.75,AW599=1),Health,IF(AND(AT599=1,AK599="E",AU599&gt;=0.75),Health*P599,IF(AND(AT599=1,AK599="E",AU599&gt;=0.5,AW599=1),PTHealth,IF(AND(AT599=1,AK599="E",AU599&gt;=0.5),PTHealth*P599,0))))</f>
        <v>0</v>
      </c>
      <c r="BC599" s="462">
        <f>IF(AND(AT599=3,AK599="E",AV599&gt;=0.75,AW599=1),Health,IF(AND(AT599=3,AK599="E",AV599&gt;=0.75),Health*P599,IF(AND(AT599=3,AK599="E",AV599&gt;=0.5,AW599=1),PTHealth,IF(AND(AT599=3,AK599="E",AV599&gt;=0.5),PTHealth*P599,0))))</f>
        <v>0</v>
      </c>
      <c r="BD599" s="462">
        <f>IF(AND(AT599&lt;&gt;0,AX599&gt;=MAXSSDI),SSDI*MAXSSDI*P599,IF(AT599&lt;&gt;0,SSDI*W599,0))</f>
        <v>0</v>
      </c>
      <c r="BE599" s="462">
        <f>IF(AT599&lt;&gt;0,SSHI*W599,0)</f>
        <v>0</v>
      </c>
      <c r="BF599" s="462">
        <f>IF(AND(AT599&lt;&gt;0,AN599&lt;&gt;"NE"),VLOOKUP(AN599,Retirement_Rates,3,FALSE)*W599,0)</f>
        <v>0</v>
      </c>
      <c r="BG599" s="462">
        <f>IF(AND(AT599&lt;&gt;0,AJ599&lt;&gt;"PF"),Life*W599,0)</f>
        <v>0</v>
      </c>
      <c r="BH599" s="462">
        <f>IF(AND(AT599&lt;&gt;0,AM599="Y"),UI*W599,0)</f>
        <v>0</v>
      </c>
      <c r="BI599" s="462">
        <f>IF(AND(AT599&lt;&gt;0,N599&lt;&gt;"NR"),DHR*W599,0)</f>
        <v>0</v>
      </c>
      <c r="BJ599" s="462">
        <f>IF(AT599&lt;&gt;0,WC*W599,0)</f>
        <v>0</v>
      </c>
      <c r="BK599" s="462">
        <f>IF(OR(AND(AT599&lt;&gt;0,AJ599&lt;&gt;"PF",AN599&lt;&gt;"NE",AG599&lt;&gt;"A"),AND(AL599="E",OR(AT599=1,AT599=3))),Sick*W599,0)</f>
        <v>0</v>
      </c>
      <c r="BL599" s="462">
        <f t="shared" si="158"/>
        <v>0</v>
      </c>
      <c r="BM599" s="462">
        <f t="shared" si="159"/>
        <v>0</v>
      </c>
      <c r="BN599" s="462">
        <f>IF(AND(AT599=1,AK599="E",AU599&gt;=0.75,AW599=1),HealthBY,IF(AND(AT599=1,AK599="E",AU599&gt;=0.75),HealthBY*P599,IF(AND(AT599=1,AK599="E",AU599&gt;=0.5,AW599=1),PTHealthBY,IF(AND(AT599=1,AK599="E",AU599&gt;=0.5),PTHealthBY*P599,0))))</f>
        <v>0</v>
      </c>
      <c r="BO599" s="462">
        <f>IF(AND(AT599=3,AK599="E",AV599&gt;=0.75,AW599=1),HealthBY,IF(AND(AT599=3,AK599="E",AV599&gt;=0.75),HealthBY*P599,IF(AND(AT599=3,AK599="E",AV599&gt;=0.5,AW599=1),PTHealthBY,IF(AND(AT599=3,AK599="E",AV599&gt;=0.5),PTHealthBY*P599,0))))</f>
        <v>0</v>
      </c>
      <c r="BP599" s="462">
        <f>IF(AND(AT599&lt;&gt;0,(AX599+BA599)&gt;=MAXSSDIBY),SSDIBY*MAXSSDIBY*P599,IF(AT599&lt;&gt;0,SSDIBY*W599,0))</f>
        <v>0</v>
      </c>
      <c r="BQ599" s="462">
        <f>IF(AT599&lt;&gt;0,SSHIBY*W599,0)</f>
        <v>0</v>
      </c>
      <c r="BR599" s="462">
        <f>IF(AND(AT599&lt;&gt;0,AN599&lt;&gt;"NE"),VLOOKUP(AN599,Retirement_Rates,4,FALSE)*W599,0)</f>
        <v>0</v>
      </c>
      <c r="BS599" s="462">
        <f>IF(AND(AT599&lt;&gt;0,AJ599&lt;&gt;"PF"),LifeBY*W599,0)</f>
        <v>0</v>
      </c>
      <c r="BT599" s="462">
        <f>IF(AND(AT599&lt;&gt;0,AM599="Y"),UIBY*W599,0)</f>
        <v>0</v>
      </c>
      <c r="BU599" s="462">
        <f>IF(AND(AT599&lt;&gt;0,N599&lt;&gt;"NR"),DHRBY*W599,0)</f>
        <v>0</v>
      </c>
      <c r="BV599" s="462">
        <f>IF(AT599&lt;&gt;0,WCBY*W599,0)</f>
        <v>0</v>
      </c>
      <c r="BW599" s="462">
        <f>IF(OR(AND(AT599&lt;&gt;0,AJ599&lt;&gt;"PF",AN599&lt;&gt;"NE",AG599&lt;&gt;"A"),AND(AL599="E",OR(AT599=1,AT599=3))),SickBY*W599,0)</f>
        <v>0</v>
      </c>
      <c r="BX599" s="462">
        <f t="shared" si="160"/>
        <v>0</v>
      </c>
      <c r="BY599" s="462">
        <f t="shared" si="161"/>
        <v>0</v>
      </c>
      <c r="BZ599" s="462">
        <f t="shared" si="162"/>
        <v>0</v>
      </c>
      <c r="CA599" s="462">
        <f t="shared" si="163"/>
        <v>0</v>
      </c>
      <c r="CB599" s="462">
        <f t="shared" si="164"/>
        <v>0</v>
      </c>
      <c r="CC599" s="462">
        <f>IF(AT599&lt;&gt;0,SSHICHG*Y599,0)</f>
        <v>0</v>
      </c>
      <c r="CD599" s="462">
        <f>IF(AND(AT599&lt;&gt;0,AN599&lt;&gt;"NE"),VLOOKUP(AN599,Retirement_Rates,5,FALSE)*Y599,0)</f>
        <v>0</v>
      </c>
      <c r="CE599" s="462">
        <f>IF(AND(AT599&lt;&gt;0,AJ599&lt;&gt;"PF"),LifeCHG*Y599,0)</f>
        <v>0</v>
      </c>
      <c r="CF599" s="462">
        <f>IF(AND(AT599&lt;&gt;0,AM599="Y"),UICHG*Y599,0)</f>
        <v>0</v>
      </c>
      <c r="CG599" s="462">
        <f>IF(AND(AT599&lt;&gt;0,N599&lt;&gt;"NR"),DHRCHG*Y599,0)</f>
        <v>0</v>
      </c>
      <c r="CH599" s="462">
        <f>IF(AT599&lt;&gt;0,WCCHG*Y599,0)</f>
        <v>0</v>
      </c>
      <c r="CI599" s="462">
        <f>IF(OR(AND(AT599&lt;&gt;0,AJ599&lt;&gt;"PF",AN599&lt;&gt;"NE",AG599&lt;&gt;"A"),AND(AL599="E",OR(AT599=1,AT599=3))),SickCHG*Y599,0)</f>
        <v>0</v>
      </c>
      <c r="CJ599" s="462">
        <f t="shared" si="165"/>
        <v>0</v>
      </c>
      <c r="CK599" s="462" t="str">
        <f t="shared" si="166"/>
        <v/>
      </c>
      <c r="CL599" s="462">
        <f t="shared" si="167"/>
        <v>0</v>
      </c>
      <c r="CM599" s="462">
        <f t="shared" si="168"/>
        <v>0</v>
      </c>
      <c r="CN599" s="462" t="str">
        <f t="shared" si="169"/>
        <v>0486-00</v>
      </c>
    </row>
    <row r="600" spans="1:92" ht="15" thickBot="1" x14ac:dyDescent="0.35">
      <c r="A600" s="376" t="s">
        <v>161</v>
      </c>
      <c r="B600" s="376" t="s">
        <v>162</v>
      </c>
      <c r="C600" s="376" t="s">
        <v>1298</v>
      </c>
      <c r="D600" s="376" t="s">
        <v>1147</v>
      </c>
      <c r="E600" s="376" t="s">
        <v>1140</v>
      </c>
      <c r="F600" s="377" t="s">
        <v>166</v>
      </c>
      <c r="G600" s="376" t="s">
        <v>1141</v>
      </c>
      <c r="H600" s="378"/>
      <c r="I600" s="378"/>
      <c r="J600" s="376" t="s">
        <v>185</v>
      </c>
      <c r="K600" s="376" t="s">
        <v>1148</v>
      </c>
      <c r="L600" s="376" t="s">
        <v>166</v>
      </c>
      <c r="M600" s="376" t="s">
        <v>201</v>
      </c>
      <c r="N600" s="376" t="s">
        <v>291</v>
      </c>
      <c r="O600" s="379">
        <v>0</v>
      </c>
      <c r="P600" s="460">
        <v>1</v>
      </c>
      <c r="Q600" s="460">
        <v>0</v>
      </c>
      <c r="R600" s="380">
        <v>0</v>
      </c>
      <c r="S600" s="460">
        <v>0</v>
      </c>
      <c r="T600" s="380">
        <v>0</v>
      </c>
      <c r="U600" s="380">
        <v>0</v>
      </c>
      <c r="V600" s="380">
        <v>0</v>
      </c>
      <c r="W600" s="380">
        <v>0</v>
      </c>
      <c r="X600" s="380">
        <v>0</v>
      </c>
      <c r="Y600" s="380">
        <v>0</v>
      </c>
      <c r="Z600" s="380">
        <v>0</v>
      </c>
      <c r="AA600" s="378"/>
      <c r="AB600" s="376" t="s">
        <v>45</v>
      </c>
      <c r="AC600" s="376" t="s">
        <v>45</v>
      </c>
      <c r="AD600" s="378"/>
      <c r="AE600" s="378"/>
      <c r="AF600" s="378"/>
      <c r="AG600" s="378"/>
      <c r="AH600" s="379">
        <v>0</v>
      </c>
      <c r="AI600" s="379">
        <v>0</v>
      </c>
      <c r="AJ600" s="378"/>
      <c r="AK600" s="378"/>
      <c r="AL600" s="376" t="s">
        <v>180</v>
      </c>
      <c r="AM600" s="378"/>
      <c r="AN600" s="378"/>
      <c r="AO600" s="379">
        <v>0</v>
      </c>
      <c r="AP600" s="460">
        <v>0</v>
      </c>
      <c r="AQ600" s="460">
        <v>0</v>
      </c>
      <c r="AR600" s="459"/>
      <c r="AS600" s="462">
        <f t="shared" si="153"/>
        <v>0</v>
      </c>
      <c r="AT600">
        <f t="shared" si="154"/>
        <v>0</v>
      </c>
      <c r="AU600" s="462" t="str">
        <f>IF(AT600=0,"",IF(AND(AT600=1,M600="F",SUMIF(C2:C698,C600,AS2:AS698)&lt;=1),SUMIF(C2:C698,C600,AS2:AS698),IF(AND(AT600=1,M600="F",SUMIF(C2:C698,C600,AS2:AS698)&gt;1),1,"")))</f>
        <v/>
      </c>
      <c r="AV600" s="462" t="str">
        <f>IF(AT600=0,"",IF(AND(AT600=3,M600="F",SUMIF(C2:C698,C600,AS2:AS698)&lt;=1),SUMIF(C2:C698,C600,AS2:AS698),IF(AND(AT600=3,M600="F",SUMIF(C2:C698,C600,AS2:AS698)&gt;1),1,"")))</f>
        <v/>
      </c>
      <c r="AW600" s="462">
        <f>SUMIF(C2:C698,C600,O2:O698)</f>
        <v>0</v>
      </c>
      <c r="AX600" s="462">
        <f>IF(AND(M600="F",AS600&lt;&gt;0),SUMIF(C2:C698,C600,W2:W698),0)</f>
        <v>0</v>
      </c>
      <c r="AY600" s="462" t="str">
        <f t="shared" si="155"/>
        <v/>
      </c>
      <c r="AZ600" s="462" t="str">
        <f t="shared" si="156"/>
        <v/>
      </c>
      <c r="BA600" s="462">
        <f t="shared" si="157"/>
        <v>0</v>
      </c>
      <c r="BB600" s="462">
        <f>IF(AND(AT600=1,AK600="E",AU600&gt;=0.75,AW600=1),Health,IF(AND(AT600=1,AK600="E",AU600&gt;=0.75),Health*P600,IF(AND(AT600=1,AK600="E",AU600&gt;=0.5,AW600=1),PTHealth,IF(AND(AT600=1,AK600="E",AU600&gt;=0.5),PTHealth*P600,0))))</f>
        <v>0</v>
      </c>
      <c r="BC600" s="462">
        <f>IF(AND(AT600=3,AK600="E",AV600&gt;=0.75,AW600=1),Health,IF(AND(AT600=3,AK600="E",AV600&gt;=0.75),Health*P600,IF(AND(AT600=3,AK600="E",AV600&gt;=0.5,AW600=1),PTHealth,IF(AND(AT600=3,AK600="E",AV600&gt;=0.5),PTHealth*P600,0))))</f>
        <v>0</v>
      </c>
      <c r="BD600" s="462">
        <f>IF(AND(AT600&lt;&gt;0,AX600&gt;=MAXSSDI),SSDI*MAXSSDI*P600,IF(AT600&lt;&gt;0,SSDI*W600,0))</f>
        <v>0</v>
      </c>
      <c r="BE600" s="462">
        <f>IF(AT600&lt;&gt;0,SSHI*W600,0)</f>
        <v>0</v>
      </c>
      <c r="BF600" s="462">
        <f>IF(AND(AT600&lt;&gt;0,AN600&lt;&gt;"NE"),VLOOKUP(AN600,Retirement_Rates,3,FALSE)*W600,0)</f>
        <v>0</v>
      </c>
      <c r="BG600" s="462">
        <f>IF(AND(AT600&lt;&gt;0,AJ600&lt;&gt;"PF"),Life*W600,0)</f>
        <v>0</v>
      </c>
      <c r="BH600" s="462">
        <f>IF(AND(AT600&lt;&gt;0,AM600="Y"),UI*W600,0)</f>
        <v>0</v>
      </c>
      <c r="BI600" s="462">
        <f>IF(AND(AT600&lt;&gt;0,N600&lt;&gt;"NR"),DHR*W600,0)</f>
        <v>0</v>
      </c>
      <c r="BJ600" s="462">
        <f>IF(AT600&lt;&gt;0,WC*W600,0)</f>
        <v>0</v>
      </c>
      <c r="BK600" s="462">
        <f>IF(OR(AND(AT600&lt;&gt;0,AJ600&lt;&gt;"PF",AN600&lt;&gt;"NE",AG600&lt;&gt;"A"),AND(AL600="E",OR(AT600=1,AT600=3))),Sick*W600,0)</f>
        <v>0</v>
      </c>
      <c r="BL600" s="462">
        <f t="shared" si="158"/>
        <v>0</v>
      </c>
      <c r="BM600" s="462">
        <f t="shared" si="159"/>
        <v>0</v>
      </c>
      <c r="BN600" s="462">
        <f>IF(AND(AT600=1,AK600="E",AU600&gt;=0.75,AW600=1),HealthBY,IF(AND(AT600=1,AK600="E",AU600&gt;=0.75),HealthBY*P600,IF(AND(AT600=1,AK600="E",AU600&gt;=0.5,AW600=1),PTHealthBY,IF(AND(AT600=1,AK600="E",AU600&gt;=0.5),PTHealthBY*P600,0))))</f>
        <v>0</v>
      </c>
      <c r="BO600" s="462">
        <f>IF(AND(AT600=3,AK600="E",AV600&gt;=0.75,AW600=1),HealthBY,IF(AND(AT600=3,AK600="E",AV600&gt;=0.75),HealthBY*P600,IF(AND(AT600=3,AK600="E",AV600&gt;=0.5,AW600=1),PTHealthBY,IF(AND(AT600=3,AK600="E",AV600&gt;=0.5),PTHealthBY*P600,0))))</f>
        <v>0</v>
      </c>
      <c r="BP600" s="462">
        <f>IF(AND(AT600&lt;&gt;0,(AX600+BA600)&gt;=MAXSSDIBY),SSDIBY*MAXSSDIBY*P600,IF(AT600&lt;&gt;0,SSDIBY*W600,0))</f>
        <v>0</v>
      </c>
      <c r="BQ600" s="462">
        <f>IF(AT600&lt;&gt;0,SSHIBY*W600,0)</f>
        <v>0</v>
      </c>
      <c r="BR600" s="462">
        <f>IF(AND(AT600&lt;&gt;0,AN600&lt;&gt;"NE"),VLOOKUP(AN600,Retirement_Rates,4,FALSE)*W600,0)</f>
        <v>0</v>
      </c>
      <c r="BS600" s="462">
        <f>IF(AND(AT600&lt;&gt;0,AJ600&lt;&gt;"PF"),LifeBY*W600,0)</f>
        <v>0</v>
      </c>
      <c r="BT600" s="462">
        <f>IF(AND(AT600&lt;&gt;0,AM600="Y"),UIBY*W600,0)</f>
        <v>0</v>
      </c>
      <c r="BU600" s="462">
        <f>IF(AND(AT600&lt;&gt;0,N600&lt;&gt;"NR"),DHRBY*W600,0)</f>
        <v>0</v>
      </c>
      <c r="BV600" s="462">
        <f>IF(AT600&lt;&gt;0,WCBY*W600,0)</f>
        <v>0</v>
      </c>
      <c r="BW600" s="462">
        <f>IF(OR(AND(AT600&lt;&gt;0,AJ600&lt;&gt;"PF",AN600&lt;&gt;"NE",AG600&lt;&gt;"A"),AND(AL600="E",OR(AT600=1,AT600=3))),SickBY*W600,0)</f>
        <v>0</v>
      </c>
      <c r="BX600" s="462">
        <f t="shared" si="160"/>
        <v>0</v>
      </c>
      <c r="BY600" s="462">
        <f t="shared" si="161"/>
        <v>0</v>
      </c>
      <c r="BZ600" s="462">
        <f t="shared" si="162"/>
        <v>0</v>
      </c>
      <c r="CA600" s="462">
        <f t="shared" si="163"/>
        <v>0</v>
      </c>
      <c r="CB600" s="462">
        <f t="shared" si="164"/>
        <v>0</v>
      </c>
      <c r="CC600" s="462">
        <f>IF(AT600&lt;&gt;0,SSHICHG*Y600,0)</f>
        <v>0</v>
      </c>
      <c r="CD600" s="462">
        <f>IF(AND(AT600&lt;&gt;0,AN600&lt;&gt;"NE"),VLOOKUP(AN600,Retirement_Rates,5,FALSE)*Y600,0)</f>
        <v>0</v>
      </c>
      <c r="CE600" s="462">
        <f>IF(AND(AT600&lt;&gt;0,AJ600&lt;&gt;"PF"),LifeCHG*Y600,0)</f>
        <v>0</v>
      </c>
      <c r="CF600" s="462">
        <f>IF(AND(AT600&lt;&gt;0,AM600="Y"),UICHG*Y600,0)</f>
        <v>0</v>
      </c>
      <c r="CG600" s="462">
        <f>IF(AND(AT600&lt;&gt;0,N600&lt;&gt;"NR"),DHRCHG*Y600,0)</f>
        <v>0</v>
      </c>
      <c r="CH600" s="462">
        <f>IF(AT600&lt;&gt;0,WCCHG*Y600,0)</f>
        <v>0</v>
      </c>
      <c r="CI600" s="462">
        <f>IF(OR(AND(AT600&lt;&gt;0,AJ600&lt;&gt;"PF",AN600&lt;&gt;"NE",AG600&lt;&gt;"A"),AND(AL600="E",OR(AT600=1,AT600=3))),SickCHG*Y600,0)</f>
        <v>0</v>
      </c>
      <c r="CJ600" s="462">
        <f t="shared" si="165"/>
        <v>0</v>
      </c>
      <c r="CK600" s="462" t="str">
        <f t="shared" si="166"/>
        <v/>
      </c>
      <c r="CL600" s="462">
        <f t="shared" si="167"/>
        <v>0</v>
      </c>
      <c r="CM600" s="462">
        <f t="shared" si="168"/>
        <v>0</v>
      </c>
      <c r="CN600" s="462" t="str">
        <f t="shared" si="169"/>
        <v>0486-00</v>
      </c>
    </row>
    <row r="601" spans="1:92" ht="15" thickBot="1" x14ac:dyDescent="0.35">
      <c r="A601" s="376" t="s">
        <v>161</v>
      </c>
      <c r="B601" s="376" t="s">
        <v>162</v>
      </c>
      <c r="C601" s="376" t="s">
        <v>1299</v>
      </c>
      <c r="D601" s="376" t="s">
        <v>365</v>
      </c>
      <c r="E601" s="376" t="s">
        <v>1140</v>
      </c>
      <c r="F601" s="377" t="s">
        <v>166</v>
      </c>
      <c r="G601" s="376" t="s">
        <v>1141</v>
      </c>
      <c r="H601" s="378"/>
      <c r="I601" s="378"/>
      <c r="J601" s="376" t="s">
        <v>168</v>
      </c>
      <c r="K601" s="376" t="s">
        <v>366</v>
      </c>
      <c r="L601" s="376" t="s">
        <v>274</v>
      </c>
      <c r="M601" s="376" t="s">
        <v>170</v>
      </c>
      <c r="N601" s="376" t="s">
        <v>202</v>
      </c>
      <c r="O601" s="379">
        <v>1</v>
      </c>
      <c r="P601" s="460">
        <v>1</v>
      </c>
      <c r="Q601" s="460">
        <v>1</v>
      </c>
      <c r="R601" s="380">
        <v>80</v>
      </c>
      <c r="S601" s="460">
        <v>1</v>
      </c>
      <c r="T601" s="380">
        <v>26201.4</v>
      </c>
      <c r="U601" s="380">
        <v>0</v>
      </c>
      <c r="V601" s="380">
        <v>17758.490000000002</v>
      </c>
      <c r="W601" s="380">
        <v>38396.800000000003</v>
      </c>
      <c r="X601" s="380">
        <v>20341.86</v>
      </c>
      <c r="Y601" s="380">
        <v>38396.800000000003</v>
      </c>
      <c r="Z601" s="380">
        <v>20242.03</v>
      </c>
      <c r="AA601" s="376" t="s">
        <v>1300</v>
      </c>
      <c r="AB601" s="376" t="s">
        <v>1301</v>
      </c>
      <c r="AC601" s="376" t="s">
        <v>319</v>
      </c>
      <c r="AD601" s="376" t="s">
        <v>215</v>
      </c>
      <c r="AE601" s="376" t="s">
        <v>366</v>
      </c>
      <c r="AF601" s="376" t="s">
        <v>279</v>
      </c>
      <c r="AG601" s="376" t="s">
        <v>177</v>
      </c>
      <c r="AH601" s="381">
        <v>18.46</v>
      </c>
      <c r="AI601" s="381">
        <v>29468.1</v>
      </c>
      <c r="AJ601" s="376" t="s">
        <v>178</v>
      </c>
      <c r="AK601" s="376" t="s">
        <v>179</v>
      </c>
      <c r="AL601" s="376" t="s">
        <v>180</v>
      </c>
      <c r="AM601" s="376" t="s">
        <v>181</v>
      </c>
      <c r="AN601" s="376" t="s">
        <v>68</v>
      </c>
      <c r="AO601" s="379">
        <v>80</v>
      </c>
      <c r="AP601" s="460">
        <v>1</v>
      </c>
      <c r="AQ601" s="460">
        <v>1</v>
      </c>
      <c r="AR601" s="458" t="s">
        <v>182</v>
      </c>
      <c r="AS601" s="462">
        <f t="shared" si="153"/>
        <v>1</v>
      </c>
      <c r="AT601">
        <f t="shared" si="154"/>
        <v>1</v>
      </c>
      <c r="AU601" s="462">
        <f>IF(AT601=0,"",IF(AND(AT601=1,M601="F",SUMIF(C2:C698,C601,AS2:AS698)&lt;=1),SUMIF(C2:C698,C601,AS2:AS698),IF(AND(AT601=1,M601="F",SUMIF(C2:C698,C601,AS2:AS698)&gt;1),1,"")))</f>
        <v>1</v>
      </c>
      <c r="AV601" s="462" t="str">
        <f>IF(AT601=0,"",IF(AND(AT601=3,M601="F",SUMIF(C2:C698,C601,AS2:AS698)&lt;=1),SUMIF(C2:C698,C601,AS2:AS698),IF(AND(AT601=3,M601="F",SUMIF(C2:C698,C601,AS2:AS698)&gt;1),1,"")))</f>
        <v/>
      </c>
      <c r="AW601" s="462">
        <f>SUMIF(C2:C698,C601,O2:O698)</f>
        <v>1</v>
      </c>
      <c r="AX601" s="462">
        <f>IF(AND(M601="F",AS601&lt;&gt;0),SUMIF(C2:C698,C601,W2:W698),0)</f>
        <v>38396.800000000003</v>
      </c>
      <c r="AY601" s="462">
        <f t="shared" si="155"/>
        <v>38396.800000000003</v>
      </c>
      <c r="AZ601" s="462" t="str">
        <f t="shared" si="156"/>
        <v/>
      </c>
      <c r="BA601" s="462">
        <f t="shared" si="157"/>
        <v>0</v>
      </c>
      <c r="BB601" s="462">
        <f>IF(AND(AT601=1,AK601="E",AU601&gt;=0.75,AW601=1),Health,IF(AND(AT601=1,AK601="E",AU601&gt;=0.75),Health*P601,IF(AND(AT601=1,AK601="E",AU601&gt;=0.5,AW601=1),PTHealth,IF(AND(AT601=1,AK601="E",AU601&gt;=0.5),PTHealth*P601,0))))</f>
        <v>11650</v>
      </c>
      <c r="BC601" s="462">
        <f>IF(AND(AT601=3,AK601="E",AV601&gt;=0.75,AW601=1),Health,IF(AND(AT601=3,AK601="E",AV601&gt;=0.75),Health*P601,IF(AND(AT601=3,AK601="E",AV601&gt;=0.5,AW601=1),PTHealth,IF(AND(AT601=3,AK601="E",AV601&gt;=0.5),PTHealth*P601,0))))</f>
        <v>0</v>
      </c>
      <c r="BD601" s="462">
        <f>IF(AND(AT601&lt;&gt;0,AX601&gt;=MAXSSDI),SSDI*MAXSSDI*P601,IF(AT601&lt;&gt;0,SSDI*W601,0))</f>
        <v>2380.6016</v>
      </c>
      <c r="BE601" s="462">
        <f>IF(AT601&lt;&gt;0,SSHI*W601,0)</f>
        <v>556.75360000000012</v>
      </c>
      <c r="BF601" s="462">
        <f>IF(AND(AT601&lt;&gt;0,AN601&lt;&gt;"NE"),VLOOKUP(AN601,Retirement_Rates,3,FALSE)*W601,0)</f>
        <v>4584.5779200000006</v>
      </c>
      <c r="BG601" s="462">
        <f>IF(AND(AT601&lt;&gt;0,AJ601&lt;&gt;"PF"),Life*W601,0)</f>
        <v>276.84092800000002</v>
      </c>
      <c r="BH601" s="462">
        <f>IF(AND(AT601&lt;&gt;0,AM601="Y"),UI*W601,0)</f>
        <v>188.14432000000002</v>
      </c>
      <c r="BI601" s="462">
        <f>IF(AND(AT601&lt;&gt;0,N601&lt;&gt;"NR"),DHR*W601,0)</f>
        <v>117.494208</v>
      </c>
      <c r="BJ601" s="462">
        <f>IF(AT601&lt;&gt;0,WC*W601,0)</f>
        <v>587.47104000000002</v>
      </c>
      <c r="BK601" s="462">
        <f>IF(OR(AND(AT601&lt;&gt;0,AJ601&lt;&gt;"PF",AN601&lt;&gt;"NE",AG601&lt;&gt;"A"),AND(AL601="E",OR(AT601=1,AT601=3))),Sick*W601,0)</f>
        <v>0</v>
      </c>
      <c r="BL601" s="462">
        <f t="shared" si="158"/>
        <v>8691.883616000001</v>
      </c>
      <c r="BM601" s="462">
        <f t="shared" si="159"/>
        <v>0</v>
      </c>
      <c r="BN601" s="462">
        <f>IF(AND(AT601=1,AK601="E",AU601&gt;=0.75,AW601=1),HealthBY,IF(AND(AT601=1,AK601="E",AU601&gt;=0.75),HealthBY*P601,IF(AND(AT601=1,AK601="E",AU601&gt;=0.5,AW601=1),PTHealthBY,IF(AND(AT601=1,AK601="E",AU601&gt;=0.5),PTHealthBY*P601,0))))</f>
        <v>11650</v>
      </c>
      <c r="BO601" s="462">
        <f>IF(AND(AT601=3,AK601="E",AV601&gt;=0.75,AW601=1),HealthBY,IF(AND(AT601=3,AK601="E",AV601&gt;=0.75),HealthBY*P601,IF(AND(AT601=3,AK601="E",AV601&gt;=0.5,AW601=1),PTHealthBY,IF(AND(AT601=3,AK601="E",AV601&gt;=0.5),PTHealthBY*P601,0))))</f>
        <v>0</v>
      </c>
      <c r="BP601" s="462">
        <f>IF(AND(AT601&lt;&gt;0,(AX601+BA601)&gt;=MAXSSDIBY),SSDIBY*MAXSSDIBY*P601,IF(AT601&lt;&gt;0,SSDIBY*W601,0))</f>
        <v>2380.6016</v>
      </c>
      <c r="BQ601" s="462">
        <f>IF(AT601&lt;&gt;0,SSHIBY*W601,0)</f>
        <v>556.75360000000012</v>
      </c>
      <c r="BR601" s="462">
        <f>IF(AND(AT601&lt;&gt;0,AN601&lt;&gt;"NE"),VLOOKUP(AN601,Retirement_Rates,4,FALSE)*W601,0)</f>
        <v>4584.5779200000006</v>
      </c>
      <c r="BS601" s="462">
        <f>IF(AND(AT601&lt;&gt;0,AJ601&lt;&gt;"PF"),LifeBY*W601,0)</f>
        <v>276.84092800000002</v>
      </c>
      <c r="BT601" s="462">
        <f>IF(AND(AT601&lt;&gt;0,AM601="Y"),UIBY*W601,0)</f>
        <v>0</v>
      </c>
      <c r="BU601" s="462">
        <f>IF(AND(AT601&lt;&gt;0,N601&lt;&gt;"NR"),DHRBY*W601,0)</f>
        <v>117.494208</v>
      </c>
      <c r="BV601" s="462">
        <f>IF(AT601&lt;&gt;0,WCBY*W601,0)</f>
        <v>675.78368000000012</v>
      </c>
      <c r="BW601" s="462">
        <f>IF(OR(AND(AT601&lt;&gt;0,AJ601&lt;&gt;"PF",AN601&lt;&gt;"NE",AG601&lt;&gt;"A"),AND(AL601="E",OR(AT601=1,AT601=3))),SickBY*W601,0)</f>
        <v>0</v>
      </c>
      <c r="BX601" s="462">
        <f t="shared" si="160"/>
        <v>8592.0519359999998</v>
      </c>
      <c r="BY601" s="462">
        <f t="shared" si="161"/>
        <v>0</v>
      </c>
      <c r="BZ601" s="462">
        <f t="shared" si="162"/>
        <v>0</v>
      </c>
      <c r="CA601" s="462">
        <f t="shared" si="163"/>
        <v>0</v>
      </c>
      <c r="CB601" s="462">
        <f t="shared" si="164"/>
        <v>0</v>
      </c>
      <c r="CC601" s="462">
        <f>IF(AT601&lt;&gt;0,SSHICHG*Y601,0)</f>
        <v>0</v>
      </c>
      <c r="CD601" s="462">
        <f>IF(AND(AT601&lt;&gt;0,AN601&lt;&gt;"NE"),VLOOKUP(AN601,Retirement_Rates,5,FALSE)*Y601,0)</f>
        <v>0</v>
      </c>
      <c r="CE601" s="462">
        <f>IF(AND(AT601&lt;&gt;0,AJ601&lt;&gt;"PF"),LifeCHG*Y601,0)</f>
        <v>0</v>
      </c>
      <c r="CF601" s="462">
        <f>IF(AND(AT601&lt;&gt;0,AM601="Y"),UICHG*Y601,0)</f>
        <v>-188.14432000000002</v>
      </c>
      <c r="CG601" s="462">
        <f>IF(AND(AT601&lt;&gt;0,N601&lt;&gt;"NR"),DHRCHG*Y601,0)</f>
        <v>0</v>
      </c>
      <c r="CH601" s="462">
        <f>IF(AT601&lt;&gt;0,WCCHG*Y601,0)</f>
        <v>88.312640000000073</v>
      </c>
      <c r="CI601" s="462">
        <f>IF(OR(AND(AT601&lt;&gt;0,AJ601&lt;&gt;"PF",AN601&lt;&gt;"NE",AG601&lt;&gt;"A"),AND(AL601="E",OR(AT601=1,AT601=3))),SickCHG*Y601,0)</f>
        <v>0</v>
      </c>
      <c r="CJ601" s="462">
        <f t="shared" si="165"/>
        <v>-99.831679999999949</v>
      </c>
      <c r="CK601" s="462" t="str">
        <f t="shared" si="166"/>
        <v/>
      </c>
      <c r="CL601" s="462" t="str">
        <f t="shared" si="167"/>
        <v/>
      </c>
      <c r="CM601" s="462" t="str">
        <f t="shared" si="168"/>
        <v/>
      </c>
      <c r="CN601" s="462" t="str">
        <f t="shared" si="169"/>
        <v>0486-00</v>
      </c>
    </row>
    <row r="602" spans="1:92" ht="15" thickBot="1" x14ac:dyDescent="0.35">
      <c r="A602" s="376" t="s">
        <v>161</v>
      </c>
      <c r="B602" s="376" t="s">
        <v>162</v>
      </c>
      <c r="C602" s="376" t="s">
        <v>1302</v>
      </c>
      <c r="D602" s="376" t="s">
        <v>1156</v>
      </c>
      <c r="E602" s="376" t="s">
        <v>1140</v>
      </c>
      <c r="F602" s="377" t="s">
        <v>166</v>
      </c>
      <c r="G602" s="376" t="s">
        <v>1141</v>
      </c>
      <c r="H602" s="378"/>
      <c r="I602" s="378"/>
      <c r="J602" s="376" t="s">
        <v>168</v>
      </c>
      <c r="K602" s="376" t="s">
        <v>1157</v>
      </c>
      <c r="L602" s="376" t="s">
        <v>166</v>
      </c>
      <c r="M602" s="376" t="s">
        <v>201</v>
      </c>
      <c r="N602" s="376" t="s">
        <v>291</v>
      </c>
      <c r="O602" s="379">
        <v>0</v>
      </c>
      <c r="P602" s="460">
        <v>1</v>
      </c>
      <c r="Q602" s="460">
        <v>0</v>
      </c>
      <c r="R602" s="380">
        <v>0</v>
      </c>
      <c r="S602" s="460">
        <v>0</v>
      </c>
      <c r="T602" s="380">
        <v>0</v>
      </c>
      <c r="U602" s="380">
        <v>0</v>
      </c>
      <c r="V602" s="380">
        <v>0</v>
      </c>
      <c r="W602" s="380">
        <v>0</v>
      </c>
      <c r="X602" s="380">
        <v>0</v>
      </c>
      <c r="Y602" s="380">
        <v>0</v>
      </c>
      <c r="Z602" s="380">
        <v>0</v>
      </c>
      <c r="AA602" s="378"/>
      <c r="AB602" s="376" t="s">
        <v>45</v>
      </c>
      <c r="AC602" s="376" t="s">
        <v>45</v>
      </c>
      <c r="AD602" s="378"/>
      <c r="AE602" s="378"/>
      <c r="AF602" s="378"/>
      <c r="AG602" s="378"/>
      <c r="AH602" s="379">
        <v>0</v>
      </c>
      <c r="AI602" s="379">
        <v>0</v>
      </c>
      <c r="AJ602" s="378"/>
      <c r="AK602" s="378"/>
      <c r="AL602" s="376" t="s">
        <v>180</v>
      </c>
      <c r="AM602" s="378"/>
      <c r="AN602" s="378"/>
      <c r="AO602" s="379">
        <v>0</v>
      </c>
      <c r="AP602" s="460">
        <v>0</v>
      </c>
      <c r="AQ602" s="460">
        <v>0</v>
      </c>
      <c r="AR602" s="459"/>
      <c r="AS602" s="462">
        <f t="shared" si="153"/>
        <v>0</v>
      </c>
      <c r="AT602">
        <f t="shared" si="154"/>
        <v>0</v>
      </c>
      <c r="AU602" s="462" t="str">
        <f>IF(AT602=0,"",IF(AND(AT602=1,M602="F",SUMIF(C2:C698,C602,AS2:AS698)&lt;=1),SUMIF(C2:C698,C602,AS2:AS698),IF(AND(AT602=1,M602="F",SUMIF(C2:C698,C602,AS2:AS698)&gt;1),1,"")))</f>
        <v/>
      </c>
      <c r="AV602" s="462" t="str">
        <f>IF(AT602=0,"",IF(AND(AT602=3,M602="F",SUMIF(C2:C698,C602,AS2:AS698)&lt;=1),SUMIF(C2:C698,C602,AS2:AS698),IF(AND(AT602=3,M602="F",SUMIF(C2:C698,C602,AS2:AS698)&gt;1),1,"")))</f>
        <v/>
      </c>
      <c r="AW602" s="462">
        <f>SUMIF(C2:C698,C602,O2:O698)</f>
        <v>0</v>
      </c>
      <c r="AX602" s="462">
        <f>IF(AND(M602="F",AS602&lt;&gt;0),SUMIF(C2:C698,C602,W2:W698),0)</f>
        <v>0</v>
      </c>
      <c r="AY602" s="462" t="str">
        <f t="shared" si="155"/>
        <v/>
      </c>
      <c r="AZ602" s="462" t="str">
        <f t="shared" si="156"/>
        <v/>
      </c>
      <c r="BA602" s="462">
        <f t="shared" si="157"/>
        <v>0</v>
      </c>
      <c r="BB602" s="462">
        <f>IF(AND(AT602=1,AK602="E",AU602&gt;=0.75,AW602=1),Health,IF(AND(AT602=1,AK602="E",AU602&gt;=0.75),Health*P602,IF(AND(AT602=1,AK602="E",AU602&gt;=0.5,AW602=1),PTHealth,IF(AND(AT602=1,AK602="E",AU602&gt;=0.5),PTHealth*P602,0))))</f>
        <v>0</v>
      </c>
      <c r="BC602" s="462">
        <f>IF(AND(AT602=3,AK602="E",AV602&gt;=0.75,AW602=1),Health,IF(AND(AT602=3,AK602="E",AV602&gt;=0.75),Health*P602,IF(AND(AT602=3,AK602="E",AV602&gt;=0.5,AW602=1),PTHealth,IF(AND(AT602=3,AK602="E",AV602&gt;=0.5),PTHealth*P602,0))))</f>
        <v>0</v>
      </c>
      <c r="BD602" s="462">
        <f>IF(AND(AT602&lt;&gt;0,AX602&gt;=MAXSSDI),SSDI*MAXSSDI*P602,IF(AT602&lt;&gt;0,SSDI*W602,0))</f>
        <v>0</v>
      </c>
      <c r="BE602" s="462">
        <f>IF(AT602&lt;&gt;0,SSHI*W602,0)</f>
        <v>0</v>
      </c>
      <c r="BF602" s="462">
        <f>IF(AND(AT602&lt;&gt;0,AN602&lt;&gt;"NE"),VLOOKUP(AN602,Retirement_Rates,3,FALSE)*W602,0)</f>
        <v>0</v>
      </c>
      <c r="BG602" s="462">
        <f>IF(AND(AT602&lt;&gt;0,AJ602&lt;&gt;"PF"),Life*W602,0)</f>
        <v>0</v>
      </c>
      <c r="BH602" s="462">
        <f>IF(AND(AT602&lt;&gt;0,AM602="Y"),UI*W602,0)</f>
        <v>0</v>
      </c>
      <c r="BI602" s="462">
        <f>IF(AND(AT602&lt;&gt;0,N602&lt;&gt;"NR"),DHR*W602,0)</f>
        <v>0</v>
      </c>
      <c r="BJ602" s="462">
        <f>IF(AT602&lt;&gt;0,WC*W602,0)</f>
        <v>0</v>
      </c>
      <c r="BK602" s="462">
        <f>IF(OR(AND(AT602&lt;&gt;0,AJ602&lt;&gt;"PF",AN602&lt;&gt;"NE",AG602&lt;&gt;"A"),AND(AL602="E",OR(AT602=1,AT602=3))),Sick*W602,0)</f>
        <v>0</v>
      </c>
      <c r="BL602" s="462">
        <f t="shared" si="158"/>
        <v>0</v>
      </c>
      <c r="BM602" s="462">
        <f t="shared" si="159"/>
        <v>0</v>
      </c>
      <c r="BN602" s="462">
        <f>IF(AND(AT602=1,AK602="E",AU602&gt;=0.75,AW602=1),HealthBY,IF(AND(AT602=1,AK602="E",AU602&gt;=0.75),HealthBY*P602,IF(AND(AT602=1,AK602="E",AU602&gt;=0.5,AW602=1),PTHealthBY,IF(AND(AT602=1,AK602="E",AU602&gt;=0.5),PTHealthBY*P602,0))))</f>
        <v>0</v>
      </c>
      <c r="BO602" s="462">
        <f>IF(AND(AT602=3,AK602="E",AV602&gt;=0.75,AW602=1),HealthBY,IF(AND(AT602=3,AK602="E",AV602&gt;=0.75),HealthBY*P602,IF(AND(AT602=3,AK602="E",AV602&gt;=0.5,AW602=1),PTHealthBY,IF(AND(AT602=3,AK602="E",AV602&gt;=0.5),PTHealthBY*P602,0))))</f>
        <v>0</v>
      </c>
      <c r="BP602" s="462">
        <f>IF(AND(AT602&lt;&gt;0,(AX602+BA602)&gt;=MAXSSDIBY),SSDIBY*MAXSSDIBY*P602,IF(AT602&lt;&gt;0,SSDIBY*W602,0))</f>
        <v>0</v>
      </c>
      <c r="BQ602" s="462">
        <f>IF(AT602&lt;&gt;0,SSHIBY*W602,0)</f>
        <v>0</v>
      </c>
      <c r="BR602" s="462">
        <f>IF(AND(AT602&lt;&gt;0,AN602&lt;&gt;"NE"),VLOOKUP(AN602,Retirement_Rates,4,FALSE)*W602,0)</f>
        <v>0</v>
      </c>
      <c r="BS602" s="462">
        <f>IF(AND(AT602&lt;&gt;0,AJ602&lt;&gt;"PF"),LifeBY*W602,0)</f>
        <v>0</v>
      </c>
      <c r="BT602" s="462">
        <f>IF(AND(AT602&lt;&gt;0,AM602="Y"),UIBY*W602,0)</f>
        <v>0</v>
      </c>
      <c r="BU602" s="462">
        <f>IF(AND(AT602&lt;&gt;0,N602&lt;&gt;"NR"),DHRBY*W602,0)</f>
        <v>0</v>
      </c>
      <c r="BV602" s="462">
        <f>IF(AT602&lt;&gt;0,WCBY*W602,0)</f>
        <v>0</v>
      </c>
      <c r="BW602" s="462">
        <f>IF(OR(AND(AT602&lt;&gt;0,AJ602&lt;&gt;"PF",AN602&lt;&gt;"NE",AG602&lt;&gt;"A"),AND(AL602="E",OR(AT602=1,AT602=3))),SickBY*W602,0)</f>
        <v>0</v>
      </c>
      <c r="BX602" s="462">
        <f t="shared" si="160"/>
        <v>0</v>
      </c>
      <c r="BY602" s="462">
        <f t="shared" si="161"/>
        <v>0</v>
      </c>
      <c r="BZ602" s="462">
        <f t="shared" si="162"/>
        <v>0</v>
      </c>
      <c r="CA602" s="462">
        <f t="shared" si="163"/>
        <v>0</v>
      </c>
      <c r="CB602" s="462">
        <f t="shared" si="164"/>
        <v>0</v>
      </c>
      <c r="CC602" s="462">
        <f>IF(AT602&lt;&gt;0,SSHICHG*Y602,0)</f>
        <v>0</v>
      </c>
      <c r="CD602" s="462">
        <f>IF(AND(AT602&lt;&gt;0,AN602&lt;&gt;"NE"),VLOOKUP(AN602,Retirement_Rates,5,FALSE)*Y602,0)</f>
        <v>0</v>
      </c>
      <c r="CE602" s="462">
        <f>IF(AND(AT602&lt;&gt;0,AJ602&lt;&gt;"PF"),LifeCHG*Y602,0)</f>
        <v>0</v>
      </c>
      <c r="CF602" s="462">
        <f>IF(AND(AT602&lt;&gt;0,AM602="Y"),UICHG*Y602,0)</f>
        <v>0</v>
      </c>
      <c r="CG602" s="462">
        <f>IF(AND(AT602&lt;&gt;0,N602&lt;&gt;"NR"),DHRCHG*Y602,0)</f>
        <v>0</v>
      </c>
      <c r="CH602" s="462">
        <f>IF(AT602&lt;&gt;0,WCCHG*Y602,0)</f>
        <v>0</v>
      </c>
      <c r="CI602" s="462">
        <f>IF(OR(AND(AT602&lt;&gt;0,AJ602&lt;&gt;"PF",AN602&lt;&gt;"NE",AG602&lt;&gt;"A"),AND(AL602="E",OR(AT602=1,AT602=3))),SickCHG*Y602,0)</f>
        <v>0</v>
      </c>
      <c r="CJ602" s="462">
        <f t="shared" si="165"/>
        <v>0</v>
      </c>
      <c r="CK602" s="462" t="str">
        <f t="shared" si="166"/>
        <v/>
      </c>
      <c r="CL602" s="462">
        <f t="shared" si="167"/>
        <v>0</v>
      </c>
      <c r="CM602" s="462">
        <f t="shared" si="168"/>
        <v>0</v>
      </c>
      <c r="CN602" s="462" t="str">
        <f t="shared" si="169"/>
        <v>0486-00</v>
      </c>
    </row>
    <row r="603" spans="1:92" ht="15" thickBot="1" x14ac:dyDescent="0.35">
      <c r="A603" s="376" t="s">
        <v>161</v>
      </c>
      <c r="B603" s="376" t="s">
        <v>162</v>
      </c>
      <c r="C603" s="376" t="s">
        <v>1303</v>
      </c>
      <c r="D603" s="376" t="s">
        <v>287</v>
      </c>
      <c r="E603" s="376" t="s">
        <v>1140</v>
      </c>
      <c r="F603" s="377" t="s">
        <v>166</v>
      </c>
      <c r="G603" s="376" t="s">
        <v>1141</v>
      </c>
      <c r="H603" s="378"/>
      <c r="I603" s="378"/>
      <c r="J603" s="376" t="s">
        <v>168</v>
      </c>
      <c r="K603" s="376" t="s">
        <v>290</v>
      </c>
      <c r="L603" s="376" t="s">
        <v>166</v>
      </c>
      <c r="M603" s="376" t="s">
        <v>201</v>
      </c>
      <c r="N603" s="376" t="s">
        <v>291</v>
      </c>
      <c r="O603" s="379">
        <v>0</v>
      </c>
      <c r="P603" s="460">
        <v>1</v>
      </c>
      <c r="Q603" s="460">
        <v>0</v>
      </c>
      <c r="R603" s="380">
        <v>0</v>
      </c>
      <c r="S603" s="460">
        <v>0</v>
      </c>
      <c r="T603" s="380">
        <v>0</v>
      </c>
      <c r="U603" s="380">
        <v>0</v>
      </c>
      <c r="V603" s="380">
        <v>0</v>
      </c>
      <c r="W603" s="380">
        <v>0</v>
      </c>
      <c r="X603" s="380">
        <v>0</v>
      </c>
      <c r="Y603" s="380">
        <v>0</v>
      </c>
      <c r="Z603" s="380">
        <v>0</v>
      </c>
      <c r="AA603" s="378"/>
      <c r="AB603" s="376" t="s">
        <v>45</v>
      </c>
      <c r="AC603" s="376" t="s">
        <v>45</v>
      </c>
      <c r="AD603" s="378"/>
      <c r="AE603" s="378"/>
      <c r="AF603" s="378"/>
      <c r="AG603" s="378"/>
      <c r="AH603" s="379">
        <v>0</v>
      </c>
      <c r="AI603" s="379">
        <v>0</v>
      </c>
      <c r="AJ603" s="378"/>
      <c r="AK603" s="378"/>
      <c r="AL603" s="376" t="s">
        <v>180</v>
      </c>
      <c r="AM603" s="378"/>
      <c r="AN603" s="378"/>
      <c r="AO603" s="379">
        <v>0</v>
      </c>
      <c r="AP603" s="460">
        <v>0</v>
      </c>
      <c r="AQ603" s="460">
        <v>0</v>
      </c>
      <c r="AR603" s="459"/>
      <c r="AS603" s="462">
        <f t="shared" si="153"/>
        <v>0</v>
      </c>
      <c r="AT603">
        <f t="shared" si="154"/>
        <v>0</v>
      </c>
      <c r="AU603" s="462" t="str">
        <f>IF(AT603=0,"",IF(AND(AT603=1,M603="F",SUMIF(C2:C698,C603,AS2:AS698)&lt;=1),SUMIF(C2:C698,C603,AS2:AS698),IF(AND(AT603=1,M603="F",SUMIF(C2:C698,C603,AS2:AS698)&gt;1),1,"")))</f>
        <v/>
      </c>
      <c r="AV603" s="462" t="str">
        <f>IF(AT603=0,"",IF(AND(AT603=3,M603="F",SUMIF(C2:C698,C603,AS2:AS698)&lt;=1),SUMIF(C2:C698,C603,AS2:AS698),IF(AND(AT603=3,M603="F",SUMIF(C2:C698,C603,AS2:AS698)&gt;1),1,"")))</f>
        <v/>
      </c>
      <c r="AW603" s="462">
        <f>SUMIF(C2:C698,C603,O2:O698)</f>
        <v>0</v>
      </c>
      <c r="AX603" s="462">
        <f>IF(AND(M603="F",AS603&lt;&gt;0),SUMIF(C2:C698,C603,W2:W698),0)</f>
        <v>0</v>
      </c>
      <c r="AY603" s="462" t="str">
        <f t="shared" si="155"/>
        <v/>
      </c>
      <c r="AZ603" s="462" t="str">
        <f t="shared" si="156"/>
        <v/>
      </c>
      <c r="BA603" s="462">
        <f t="shared" si="157"/>
        <v>0</v>
      </c>
      <c r="BB603" s="462">
        <f>IF(AND(AT603=1,AK603="E",AU603&gt;=0.75,AW603=1),Health,IF(AND(AT603=1,AK603="E",AU603&gt;=0.75),Health*P603,IF(AND(AT603=1,AK603="E",AU603&gt;=0.5,AW603=1),PTHealth,IF(AND(AT603=1,AK603="E",AU603&gt;=0.5),PTHealth*P603,0))))</f>
        <v>0</v>
      </c>
      <c r="BC603" s="462">
        <f>IF(AND(AT603=3,AK603="E",AV603&gt;=0.75,AW603=1),Health,IF(AND(AT603=3,AK603="E",AV603&gt;=0.75),Health*P603,IF(AND(AT603=3,AK603="E",AV603&gt;=0.5,AW603=1),PTHealth,IF(AND(AT603=3,AK603="E",AV603&gt;=0.5),PTHealth*P603,0))))</f>
        <v>0</v>
      </c>
      <c r="BD603" s="462">
        <f>IF(AND(AT603&lt;&gt;0,AX603&gt;=MAXSSDI),SSDI*MAXSSDI*P603,IF(AT603&lt;&gt;0,SSDI*W603,0))</f>
        <v>0</v>
      </c>
      <c r="BE603" s="462">
        <f>IF(AT603&lt;&gt;0,SSHI*W603,0)</f>
        <v>0</v>
      </c>
      <c r="BF603" s="462">
        <f>IF(AND(AT603&lt;&gt;0,AN603&lt;&gt;"NE"),VLOOKUP(AN603,Retirement_Rates,3,FALSE)*W603,0)</f>
        <v>0</v>
      </c>
      <c r="BG603" s="462">
        <f>IF(AND(AT603&lt;&gt;0,AJ603&lt;&gt;"PF"),Life*W603,0)</f>
        <v>0</v>
      </c>
      <c r="BH603" s="462">
        <f>IF(AND(AT603&lt;&gt;0,AM603="Y"),UI*W603,0)</f>
        <v>0</v>
      </c>
      <c r="BI603" s="462">
        <f>IF(AND(AT603&lt;&gt;0,N603&lt;&gt;"NR"),DHR*W603,0)</f>
        <v>0</v>
      </c>
      <c r="BJ603" s="462">
        <f>IF(AT603&lt;&gt;0,WC*W603,0)</f>
        <v>0</v>
      </c>
      <c r="BK603" s="462">
        <f>IF(OR(AND(AT603&lt;&gt;0,AJ603&lt;&gt;"PF",AN603&lt;&gt;"NE",AG603&lt;&gt;"A"),AND(AL603="E",OR(AT603=1,AT603=3))),Sick*W603,0)</f>
        <v>0</v>
      </c>
      <c r="BL603" s="462">
        <f t="shared" si="158"/>
        <v>0</v>
      </c>
      <c r="BM603" s="462">
        <f t="shared" si="159"/>
        <v>0</v>
      </c>
      <c r="BN603" s="462">
        <f>IF(AND(AT603=1,AK603="E",AU603&gt;=0.75,AW603=1),HealthBY,IF(AND(AT603=1,AK603="E",AU603&gt;=0.75),HealthBY*P603,IF(AND(AT603=1,AK603="E",AU603&gt;=0.5,AW603=1),PTHealthBY,IF(AND(AT603=1,AK603="E",AU603&gt;=0.5),PTHealthBY*P603,0))))</f>
        <v>0</v>
      </c>
      <c r="BO603" s="462">
        <f>IF(AND(AT603=3,AK603="E",AV603&gt;=0.75,AW603=1),HealthBY,IF(AND(AT603=3,AK603="E",AV603&gt;=0.75),HealthBY*P603,IF(AND(AT603=3,AK603="E",AV603&gt;=0.5,AW603=1),PTHealthBY,IF(AND(AT603=3,AK603="E",AV603&gt;=0.5),PTHealthBY*P603,0))))</f>
        <v>0</v>
      </c>
      <c r="BP603" s="462">
        <f>IF(AND(AT603&lt;&gt;0,(AX603+BA603)&gt;=MAXSSDIBY),SSDIBY*MAXSSDIBY*P603,IF(AT603&lt;&gt;0,SSDIBY*W603,0))</f>
        <v>0</v>
      </c>
      <c r="BQ603" s="462">
        <f>IF(AT603&lt;&gt;0,SSHIBY*W603,0)</f>
        <v>0</v>
      </c>
      <c r="BR603" s="462">
        <f>IF(AND(AT603&lt;&gt;0,AN603&lt;&gt;"NE"),VLOOKUP(AN603,Retirement_Rates,4,FALSE)*W603,0)</f>
        <v>0</v>
      </c>
      <c r="BS603" s="462">
        <f>IF(AND(AT603&lt;&gt;0,AJ603&lt;&gt;"PF"),LifeBY*W603,0)</f>
        <v>0</v>
      </c>
      <c r="BT603" s="462">
        <f>IF(AND(AT603&lt;&gt;0,AM603="Y"),UIBY*W603,0)</f>
        <v>0</v>
      </c>
      <c r="BU603" s="462">
        <f>IF(AND(AT603&lt;&gt;0,N603&lt;&gt;"NR"),DHRBY*W603,0)</f>
        <v>0</v>
      </c>
      <c r="BV603" s="462">
        <f>IF(AT603&lt;&gt;0,WCBY*W603,0)</f>
        <v>0</v>
      </c>
      <c r="BW603" s="462">
        <f>IF(OR(AND(AT603&lt;&gt;0,AJ603&lt;&gt;"PF",AN603&lt;&gt;"NE",AG603&lt;&gt;"A"),AND(AL603="E",OR(AT603=1,AT603=3))),SickBY*W603,0)</f>
        <v>0</v>
      </c>
      <c r="BX603" s="462">
        <f t="shared" si="160"/>
        <v>0</v>
      </c>
      <c r="BY603" s="462">
        <f t="shared" si="161"/>
        <v>0</v>
      </c>
      <c r="BZ603" s="462">
        <f t="shared" si="162"/>
        <v>0</v>
      </c>
      <c r="CA603" s="462">
        <f t="shared" si="163"/>
        <v>0</v>
      </c>
      <c r="CB603" s="462">
        <f t="shared" si="164"/>
        <v>0</v>
      </c>
      <c r="CC603" s="462">
        <f>IF(AT603&lt;&gt;0,SSHICHG*Y603,0)</f>
        <v>0</v>
      </c>
      <c r="CD603" s="462">
        <f>IF(AND(AT603&lt;&gt;0,AN603&lt;&gt;"NE"),VLOOKUP(AN603,Retirement_Rates,5,FALSE)*Y603,0)</f>
        <v>0</v>
      </c>
      <c r="CE603" s="462">
        <f>IF(AND(AT603&lt;&gt;0,AJ603&lt;&gt;"PF"),LifeCHG*Y603,0)</f>
        <v>0</v>
      </c>
      <c r="CF603" s="462">
        <f>IF(AND(AT603&lt;&gt;0,AM603="Y"),UICHG*Y603,0)</f>
        <v>0</v>
      </c>
      <c r="CG603" s="462">
        <f>IF(AND(AT603&lt;&gt;0,N603&lt;&gt;"NR"),DHRCHG*Y603,0)</f>
        <v>0</v>
      </c>
      <c r="CH603" s="462">
        <f>IF(AT603&lt;&gt;0,WCCHG*Y603,0)</f>
        <v>0</v>
      </c>
      <c r="CI603" s="462">
        <f>IF(OR(AND(AT603&lt;&gt;0,AJ603&lt;&gt;"PF",AN603&lt;&gt;"NE",AG603&lt;&gt;"A"),AND(AL603="E",OR(AT603=1,AT603=3))),SickCHG*Y603,0)</f>
        <v>0</v>
      </c>
      <c r="CJ603" s="462">
        <f t="shared" si="165"/>
        <v>0</v>
      </c>
      <c r="CK603" s="462" t="str">
        <f t="shared" si="166"/>
        <v/>
      </c>
      <c r="CL603" s="462">
        <f t="shared" si="167"/>
        <v>0</v>
      </c>
      <c r="CM603" s="462">
        <f t="shared" si="168"/>
        <v>0</v>
      </c>
      <c r="CN603" s="462" t="str">
        <f t="shared" si="169"/>
        <v>0486-00</v>
      </c>
    </row>
    <row r="604" spans="1:92" ht="15" thickBot="1" x14ac:dyDescent="0.35">
      <c r="A604" s="376" t="s">
        <v>161</v>
      </c>
      <c r="B604" s="376" t="s">
        <v>162</v>
      </c>
      <c r="C604" s="376" t="s">
        <v>1304</v>
      </c>
      <c r="D604" s="376" t="s">
        <v>647</v>
      </c>
      <c r="E604" s="376" t="s">
        <v>1140</v>
      </c>
      <c r="F604" s="377" t="s">
        <v>166</v>
      </c>
      <c r="G604" s="376" t="s">
        <v>1141</v>
      </c>
      <c r="H604" s="378"/>
      <c r="I604" s="378"/>
      <c r="J604" s="376" t="s">
        <v>168</v>
      </c>
      <c r="K604" s="376" t="s">
        <v>648</v>
      </c>
      <c r="L604" s="376" t="s">
        <v>166</v>
      </c>
      <c r="M604" s="376" t="s">
        <v>170</v>
      </c>
      <c r="N604" s="376" t="s">
        <v>291</v>
      </c>
      <c r="O604" s="379">
        <v>0</v>
      </c>
      <c r="P604" s="460">
        <v>1</v>
      </c>
      <c r="Q604" s="460">
        <v>0</v>
      </c>
      <c r="R604" s="380">
        <v>0</v>
      </c>
      <c r="S604" s="460">
        <v>0</v>
      </c>
      <c r="T604" s="380">
        <v>726262.84</v>
      </c>
      <c r="U604" s="380">
        <v>25362.18</v>
      </c>
      <c r="V604" s="380">
        <v>508202.6</v>
      </c>
      <c r="W604" s="380">
        <v>751625.02</v>
      </c>
      <c r="X604" s="380">
        <v>508202.6</v>
      </c>
      <c r="Y604" s="380">
        <v>751625.02</v>
      </c>
      <c r="Z604" s="380">
        <v>508202.6</v>
      </c>
      <c r="AA604" s="378"/>
      <c r="AB604" s="376" t="s">
        <v>45</v>
      </c>
      <c r="AC604" s="376" t="s">
        <v>45</v>
      </c>
      <c r="AD604" s="378"/>
      <c r="AE604" s="378"/>
      <c r="AF604" s="378"/>
      <c r="AG604" s="378"/>
      <c r="AH604" s="379">
        <v>0</v>
      </c>
      <c r="AI604" s="379">
        <v>0</v>
      </c>
      <c r="AJ604" s="378"/>
      <c r="AK604" s="378"/>
      <c r="AL604" s="376" t="s">
        <v>180</v>
      </c>
      <c r="AM604" s="378"/>
      <c r="AN604" s="378"/>
      <c r="AO604" s="379">
        <v>0</v>
      </c>
      <c r="AP604" s="460">
        <v>0</v>
      </c>
      <c r="AQ604" s="460">
        <v>0</v>
      </c>
      <c r="AR604" s="459"/>
      <c r="AS604" s="462">
        <f t="shared" si="153"/>
        <v>0</v>
      </c>
      <c r="AT604">
        <f t="shared" si="154"/>
        <v>0</v>
      </c>
      <c r="AU604" s="462" t="str">
        <f>IF(AT604=0,"",IF(AND(AT604=1,M604="F",SUMIF(C2:C698,C604,AS2:AS698)&lt;=1),SUMIF(C2:C698,C604,AS2:AS698),IF(AND(AT604=1,M604="F",SUMIF(C2:C698,C604,AS2:AS698)&gt;1),1,"")))</f>
        <v/>
      </c>
      <c r="AV604" s="462" t="str">
        <f>IF(AT604=0,"",IF(AND(AT604=3,M604="F",SUMIF(C2:C698,C604,AS2:AS698)&lt;=1),SUMIF(C2:C698,C604,AS2:AS698),IF(AND(AT604=3,M604="F",SUMIF(C2:C698,C604,AS2:AS698)&gt;1),1,"")))</f>
        <v/>
      </c>
      <c r="AW604" s="462">
        <f>SUMIF(C2:C698,C604,O2:O698)</f>
        <v>0</v>
      </c>
      <c r="AX604" s="462">
        <f>IF(AND(M604="F",AS604&lt;&gt;0),SUMIF(C2:C698,C604,W2:W698),0)</f>
        <v>0</v>
      </c>
      <c r="AY604" s="462" t="str">
        <f t="shared" si="155"/>
        <v/>
      </c>
      <c r="AZ604" s="462" t="str">
        <f t="shared" si="156"/>
        <v/>
      </c>
      <c r="BA604" s="462">
        <f t="shared" si="157"/>
        <v>0</v>
      </c>
      <c r="BB604" s="462">
        <f>IF(AND(AT604=1,AK604="E",AU604&gt;=0.75,AW604=1),Health,IF(AND(AT604=1,AK604="E",AU604&gt;=0.75),Health*P604,IF(AND(AT604=1,AK604="E",AU604&gt;=0.5,AW604=1),PTHealth,IF(AND(AT604=1,AK604="E",AU604&gt;=0.5),PTHealth*P604,0))))</f>
        <v>0</v>
      </c>
      <c r="BC604" s="462">
        <f>IF(AND(AT604=3,AK604="E",AV604&gt;=0.75,AW604=1),Health,IF(AND(AT604=3,AK604="E",AV604&gt;=0.75),Health*P604,IF(AND(AT604=3,AK604="E",AV604&gt;=0.5,AW604=1),PTHealth,IF(AND(AT604=3,AK604="E",AV604&gt;=0.5),PTHealth*P604,0))))</f>
        <v>0</v>
      </c>
      <c r="BD604" s="462">
        <f>IF(AND(AT604&lt;&gt;0,AX604&gt;=MAXSSDI),SSDI*MAXSSDI*P604,IF(AT604&lt;&gt;0,SSDI*W604,0))</f>
        <v>0</v>
      </c>
      <c r="BE604" s="462">
        <f>IF(AT604&lt;&gt;0,SSHI*W604,0)</f>
        <v>0</v>
      </c>
      <c r="BF604" s="462">
        <f>IF(AND(AT604&lt;&gt;0,AN604&lt;&gt;"NE"),VLOOKUP(AN604,Retirement_Rates,3,FALSE)*W604,0)</f>
        <v>0</v>
      </c>
      <c r="BG604" s="462">
        <f>IF(AND(AT604&lt;&gt;0,AJ604&lt;&gt;"PF"),Life*W604,0)</f>
        <v>0</v>
      </c>
      <c r="BH604" s="462">
        <f>IF(AND(AT604&lt;&gt;0,AM604="Y"),UI*W604,0)</f>
        <v>0</v>
      </c>
      <c r="BI604" s="462">
        <f>IF(AND(AT604&lt;&gt;0,N604&lt;&gt;"NR"),DHR*W604,0)</f>
        <v>0</v>
      </c>
      <c r="BJ604" s="462">
        <f>IF(AT604&lt;&gt;0,WC*W604,0)</f>
        <v>0</v>
      </c>
      <c r="BK604" s="462">
        <f>IF(OR(AND(AT604&lt;&gt;0,AJ604&lt;&gt;"PF",AN604&lt;&gt;"NE",AG604&lt;&gt;"A"),AND(AL604="E",OR(AT604=1,AT604=3))),Sick*W604,0)</f>
        <v>0</v>
      </c>
      <c r="BL604" s="462">
        <f t="shared" si="158"/>
        <v>0</v>
      </c>
      <c r="BM604" s="462">
        <f t="shared" si="159"/>
        <v>0</v>
      </c>
      <c r="BN604" s="462">
        <f>IF(AND(AT604=1,AK604="E",AU604&gt;=0.75,AW604=1),HealthBY,IF(AND(AT604=1,AK604="E",AU604&gt;=0.75),HealthBY*P604,IF(AND(AT604=1,AK604="E",AU604&gt;=0.5,AW604=1),PTHealthBY,IF(AND(AT604=1,AK604="E",AU604&gt;=0.5),PTHealthBY*P604,0))))</f>
        <v>0</v>
      </c>
      <c r="BO604" s="462">
        <f>IF(AND(AT604=3,AK604="E",AV604&gt;=0.75,AW604=1),HealthBY,IF(AND(AT604=3,AK604="E",AV604&gt;=0.75),HealthBY*P604,IF(AND(AT604=3,AK604="E",AV604&gt;=0.5,AW604=1),PTHealthBY,IF(AND(AT604=3,AK604="E",AV604&gt;=0.5),PTHealthBY*P604,0))))</f>
        <v>0</v>
      </c>
      <c r="BP604" s="462">
        <f>IF(AND(AT604&lt;&gt;0,(AX604+BA604)&gt;=MAXSSDIBY),SSDIBY*MAXSSDIBY*P604,IF(AT604&lt;&gt;0,SSDIBY*W604,0))</f>
        <v>0</v>
      </c>
      <c r="BQ604" s="462">
        <f>IF(AT604&lt;&gt;0,SSHIBY*W604,0)</f>
        <v>0</v>
      </c>
      <c r="BR604" s="462">
        <f>IF(AND(AT604&lt;&gt;0,AN604&lt;&gt;"NE"),VLOOKUP(AN604,Retirement_Rates,4,FALSE)*W604,0)</f>
        <v>0</v>
      </c>
      <c r="BS604" s="462">
        <f>IF(AND(AT604&lt;&gt;0,AJ604&lt;&gt;"PF"),LifeBY*W604,0)</f>
        <v>0</v>
      </c>
      <c r="BT604" s="462">
        <f>IF(AND(AT604&lt;&gt;0,AM604="Y"),UIBY*W604,0)</f>
        <v>0</v>
      </c>
      <c r="BU604" s="462">
        <f>IF(AND(AT604&lt;&gt;0,N604&lt;&gt;"NR"),DHRBY*W604,0)</f>
        <v>0</v>
      </c>
      <c r="BV604" s="462">
        <f>IF(AT604&lt;&gt;0,WCBY*W604,0)</f>
        <v>0</v>
      </c>
      <c r="BW604" s="462">
        <f>IF(OR(AND(AT604&lt;&gt;0,AJ604&lt;&gt;"PF",AN604&lt;&gt;"NE",AG604&lt;&gt;"A"),AND(AL604="E",OR(AT604=1,AT604=3))),SickBY*W604,0)</f>
        <v>0</v>
      </c>
      <c r="BX604" s="462">
        <f t="shared" si="160"/>
        <v>0</v>
      </c>
      <c r="BY604" s="462">
        <f t="shared" si="161"/>
        <v>0</v>
      </c>
      <c r="BZ604" s="462">
        <f t="shared" si="162"/>
        <v>0</v>
      </c>
      <c r="CA604" s="462">
        <f t="shared" si="163"/>
        <v>0</v>
      </c>
      <c r="CB604" s="462">
        <f t="shared" si="164"/>
        <v>0</v>
      </c>
      <c r="CC604" s="462">
        <f>IF(AT604&lt;&gt;0,SSHICHG*Y604,0)</f>
        <v>0</v>
      </c>
      <c r="CD604" s="462">
        <f>IF(AND(AT604&lt;&gt;0,AN604&lt;&gt;"NE"),VLOOKUP(AN604,Retirement_Rates,5,FALSE)*Y604,0)</f>
        <v>0</v>
      </c>
      <c r="CE604" s="462">
        <f>IF(AND(AT604&lt;&gt;0,AJ604&lt;&gt;"PF"),LifeCHG*Y604,0)</f>
        <v>0</v>
      </c>
      <c r="CF604" s="462">
        <f>IF(AND(AT604&lt;&gt;0,AM604="Y"),UICHG*Y604,0)</f>
        <v>0</v>
      </c>
      <c r="CG604" s="462">
        <f>IF(AND(AT604&lt;&gt;0,N604&lt;&gt;"NR"),DHRCHG*Y604,0)</f>
        <v>0</v>
      </c>
      <c r="CH604" s="462">
        <f>IF(AT604&lt;&gt;0,WCCHG*Y604,0)</f>
        <v>0</v>
      </c>
      <c r="CI604" s="462">
        <f>IF(OR(AND(AT604&lt;&gt;0,AJ604&lt;&gt;"PF",AN604&lt;&gt;"NE",AG604&lt;&gt;"A"),AND(AL604="E",OR(AT604=1,AT604=3))),SickCHG*Y604,0)</f>
        <v>0</v>
      </c>
      <c r="CJ604" s="462">
        <f t="shared" si="165"/>
        <v>0</v>
      </c>
      <c r="CK604" s="462" t="str">
        <f t="shared" si="166"/>
        <v/>
      </c>
      <c r="CL604" s="462">
        <f t="shared" si="167"/>
        <v>751625.02</v>
      </c>
      <c r="CM604" s="462">
        <f t="shared" si="168"/>
        <v>508202.6</v>
      </c>
      <c r="CN604" s="462" t="str">
        <f t="shared" si="169"/>
        <v>0486-00</v>
      </c>
    </row>
    <row r="605" spans="1:92" ht="15" thickBot="1" x14ac:dyDescent="0.35">
      <c r="A605" s="376" t="s">
        <v>161</v>
      </c>
      <c r="B605" s="376" t="s">
        <v>162</v>
      </c>
      <c r="C605" s="376" t="s">
        <v>1305</v>
      </c>
      <c r="D605" s="376" t="s">
        <v>802</v>
      </c>
      <c r="E605" s="376" t="s">
        <v>1140</v>
      </c>
      <c r="F605" s="377" t="s">
        <v>166</v>
      </c>
      <c r="G605" s="376" t="s">
        <v>1141</v>
      </c>
      <c r="H605" s="378"/>
      <c r="I605" s="378"/>
      <c r="J605" s="376" t="s">
        <v>168</v>
      </c>
      <c r="K605" s="376" t="s">
        <v>803</v>
      </c>
      <c r="L605" s="376" t="s">
        <v>243</v>
      </c>
      <c r="M605" s="376" t="s">
        <v>170</v>
      </c>
      <c r="N605" s="376" t="s">
        <v>202</v>
      </c>
      <c r="O605" s="379">
        <v>1</v>
      </c>
      <c r="P605" s="460">
        <v>1</v>
      </c>
      <c r="Q605" s="460">
        <v>1</v>
      </c>
      <c r="R605" s="380">
        <v>80</v>
      </c>
      <c r="S605" s="460">
        <v>1</v>
      </c>
      <c r="T605" s="380">
        <v>72046</v>
      </c>
      <c r="U605" s="380">
        <v>0</v>
      </c>
      <c r="V605" s="380">
        <v>23996.26</v>
      </c>
      <c r="W605" s="380">
        <v>70720</v>
      </c>
      <c r="X605" s="380">
        <v>27658.86</v>
      </c>
      <c r="Y605" s="380">
        <v>70720</v>
      </c>
      <c r="Z605" s="380">
        <v>27475</v>
      </c>
      <c r="AA605" s="376" t="s">
        <v>1306</v>
      </c>
      <c r="AB605" s="376" t="s">
        <v>1307</v>
      </c>
      <c r="AC605" s="376" t="s">
        <v>1308</v>
      </c>
      <c r="AD605" s="376" t="s">
        <v>1309</v>
      </c>
      <c r="AE605" s="376" t="s">
        <v>803</v>
      </c>
      <c r="AF605" s="376" t="s">
        <v>248</v>
      </c>
      <c r="AG605" s="376" t="s">
        <v>177</v>
      </c>
      <c r="AH605" s="379">
        <v>34</v>
      </c>
      <c r="AI605" s="381">
        <v>19719.599999999999</v>
      </c>
      <c r="AJ605" s="376" t="s">
        <v>178</v>
      </c>
      <c r="AK605" s="376" t="s">
        <v>179</v>
      </c>
      <c r="AL605" s="376" t="s">
        <v>180</v>
      </c>
      <c r="AM605" s="376" t="s">
        <v>181</v>
      </c>
      <c r="AN605" s="376" t="s">
        <v>68</v>
      </c>
      <c r="AO605" s="379">
        <v>80</v>
      </c>
      <c r="AP605" s="460">
        <v>1</v>
      </c>
      <c r="AQ605" s="460">
        <v>1</v>
      </c>
      <c r="AR605" s="458" t="s">
        <v>182</v>
      </c>
      <c r="AS605" s="462">
        <f t="shared" si="153"/>
        <v>1</v>
      </c>
      <c r="AT605">
        <f t="shared" si="154"/>
        <v>1</v>
      </c>
      <c r="AU605" s="462">
        <f>IF(AT605=0,"",IF(AND(AT605=1,M605="F",SUMIF(C2:C698,C605,AS2:AS698)&lt;=1),SUMIF(C2:C698,C605,AS2:AS698),IF(AND(AT605=1,M605="F",SUMIF(C2:C698,C605,AS2:AS698)&gt;1),1,"")))</f>
        <v>1</v>
      </c>
      <c r="AV605" s="462" t="str">
        <f>IF(AT605=0,"",IF(AND(AT605=3,M605="F",SUMIF(C2:C698,C605,AS2:AS698)&lt;=1),SUMIF(C2:C698,C605,AS2:AS698),IF(AND(AT605=3,M605="F",SUMIF(C2:C698,C605,AS2:AS698)&gt;1),1,"")))</f>
        <v/>
      </c>
      <c r="AW605" s="462">
        <f>SUMIF(C2:C698,C605,O2:O698)</f>
        <v>1</v>
      </c>
      <c r="AX605" s="462">
        <f>IF(AND(M605="F",AS605&lt;&gt;0),SUMIF(C2:C698,C605,W2:W698),0)</f>
        <v>70720</v>
      </c>
      <c r="AY605" s="462">
        <f t="shared" si="155"/>
        <v>70720</v>
      </c>
      <c r="AZ605" s="462" t="str">
        <f t="shared" si="156"/>
        <v/>
      </c>
      <c r="BA605" s="462">
        <f t="shared" si="157"/>
        <v>0</v>
      </c>
      <c r="BB605" s="462">
        <f>IF(AND(AT605=1,AK605="E",AU605&gt;=0.75,AW605=1),Health,IF(AND(AT605=1,AK605="E",AU605&gt;=0.75),Health*P605,IF(AND(AT605=1,AK605="E",AU605&gt;=0.5,AW605=1),PTHealth,IF(AND(AT605=1,AK605="E",AU605&gt;=0.5),PTHealth*P605,0))))</f>
        <v>11650</v>
      </c>
      <c r="BC605" s="462">
        <f>IF(AND(AT605=3,AK605="E",AV605&gt;=0.75,AW605=1),Health,IF(AND(AT605=3,AK605="E",AV605&gt;=0.75),Health*P605,IF(AND(AT605=3,AK605="E",AV605&gt;=0.5,AW605=1),PTHealth,IF(AND(AT605=3,AK605="E",AV605&gt;=0.5),PTHealth*P605,0))))</f>
        <v>0</v>
      </c>
      <c r="BD605" s="462">
        <f>IF(AND(AT605&lt;&gt;0,AX605&gt;=MAXSSDI),SSDI*MAXSSDI*P605,IF(AT605&lt;&gt;0,SSDI*W605,0))</f>
        <v>4384.6400000000003</v>
      </c>
      <c r="BE605" s="462">
        <f>IF(AT605&lt;&gt;0,SSHI*W605,0)</f>
        <v>1025.44</v>
      </c>
      <c r="BF605" s="462">
        <f>IF(AND(AT605&lt;&gt;0,AN605&lt;&gt;"NE"),VLOOKUP(AN605,Retirement_Rates,3,FALSE)*W605,0)</f>
        <v>8443.9680000000008</v>
      </c>
      <c r="BG605" s="462">
        <f>IF(AND(AT605&lt;&gt;0,AJ605&lt;&gt;"PF"),Life*W605,0)</f>
        <v>509.89120000000003</v>
      </c>
      <c r="BH605" s="462">
        <f>IF(AND(AT605&lt;&gt;0,AM605="Y"),UI*W605,0)</f>
        <v>346.52799999999996</v>
      </c>
      <c r="BI605" s="462">
        <f>IF(AND(AT605&lt;&gt;0,N605&lt;&gt;"NR"),DHR*W605,0)</f>
        <v>216.4032</v>
      </c>
      <c r="BJ605" s="462">
        <f>IF(AT605&lt;&gt;0,WC*W605,0)</f>
        <v>1082.0159999999998</v>
      </c>
      <c r="BK605" s="462">
        <f>IF(OR(AND(AT605&lt;&gt;0,AJ605&lt;&gt;"PF",AN605&lt;&gt;"NE",AG605&lt;&gt;"A"),AND(AL605="E",OR(AT605=1,AT605=3))),Sick*W605,0)</f>
        <v>0</v>
      </c>
      <c r="BL605" s="462">
        <f t="shared" si="158"/>
        <v>16008.886400000001</v>
      </c>
      <c r="BM605" s="462">
        <f t="shared" si="159"/>
        <v>0</v>
      </c>
      <c r="BN605" s="462">
        <f>IF(AND(AT605=1,AK605="E",AU605&gt;=0.75,AW605=1),HealthBY,IF(AND(AT605=1,AK605="E",AU605&gt;=0.75),HealthBY*P605,IF(AND(AT605=1,AK605="E",AU605&gt;=0.5,AW605=1),PTHealthBY,IF(AND(AT605=1,AK605="E",AU605&gt;=0.5),PTHealthBY*P605,0))))</f>
        <v>11650</v>
      </c>
      <c r="BO605" s="462">
        <f>IF(AND(AT605=3,AK605="E",AV605&gt;=0.75,AW605=1),HealthBY,IF(AND(AT605=3,AK605="E",AV605&gt;=0.75),HealthBY*P605,IF(AND(AT605=3,AK605="E",AV605&gt;=0.5,AW605=1),PTHealthBY,IF(AND(AT605=3,AK605="E",AV605&gt;=0.5),PTHealthBY*P605,0))))</f>
        <v>0</v>
      </c>
      <c r="BP605" s="462">
        <f>IF(AND(AT605&lt;&gt;0,(AX605+BA605)&gt;=MAXSSDIBY),SSDIBY*MAXSSDIBY*P605,IF(AT605&lt;&gt;0,SSDIBY*W605,0))</f>
        <v>4384.6400000000003</v>
      </c>
      <c r="BQ605" s="462">
        <f>IF(AT605&lt;&gt;0,SSHIBY*W605,0)</f>
        <v>1025.44</v>
      </c>
      <c r="BR605" s="462">
        <f>IF(AND(AT605&lt;&gt;0,AN605&lt;&gt;"NE"),VLOOKUP(AN605,Retirement_Rates,4,FALSE)*W605,0)</f>
        <v>8443.9680000000008</v>
      </c>
      <c r="BS605" s="462">
        <f>IF(AND(AT605&lt;&gt;0,AJ605&lt;&gt;"PF"),LifeBY*W605,0)</f>
        <v>509.89120000000003</v>
      </c>
      <c r="BT605" s="462">
        <f>IF(AND(AT605&lt;&gt;0,AM605="Y"),UIBY*W605,0)</f>
        <v>0</v>
      </c>
      <c r="BU605" s="462">
        <f>IF(AND(AT605&lt;&gt;0,N605&lt;&gt;"NR"),DHRBY*W605,0)</f>
        <v>216.4032</v>
      </c>
      <c r="BV605" s="462">
        <f>IF(AT605&lt;&gt;0,WCBY*W605,0)</f>
        <v>1244.672</v>
      </c>
      <c r="BW605" s="462">
        <f>IF(OR(AND(AT605&lt;&gt;0,AJ605&lt;&gt;"PF",AN605&lt;&gt;"NE",AG605&lt;&gt;"A"),AND(AL605="E",OR(AT605=1,AT605=3))),SickBY*W605,0)</f>
        <v>0</v>
      </c>
      <c r="BX605" s="462">
        <f t="shared" si="160"/>
        <v>15825.014400000002</v>
      </c>
      <c r="BY605" s="462">
        <f t="shared" si="161"/>
        <v>0</v>
      </c>
      <c r="BZ605" s="462">
        <f t="shared" si="162"/>
        <v>0</v>
      </c>
      <c r="CA605" s="462">
        <f t="shared" si="163"/>
        <v>0</v>
      </c>
      <c r="CB605" s="462">
        <f t="shared" si="164"/>
        <v>0</v>
      </c>
      <c r="CC605" s="462">
        <f>IF(AT605&lt;&gt;0,SSHICHG*Y605,0)</f>
        <v>0</v>
      </c>
      <c r="CD605" s="462">
        <f>IF(AND(AT605&lt;&gt;0,AN605&lt;&gt;"NE"),VLOOKUP(AN605,Retirement_Rates,5,FALSE)*Y605,0)</f>
        <v>0</v>
      </c>
      <c r="CE605" s="462">
        <f>IF(AND(AT605&lt;&gt;0,AJ605&lt;&gt;"PF"),LifeCHG*Y605,0)</f>
        <v>0</v>
      </c>
      <c r="CF605" s="462">
        <f>IF(AND(AT605&lt;&gt;0,AM605="Y"),UICHG*Y605,0)</f>
        <v>-346.52799999999996</v>
      </c>
      <c r="CG605" s="462">
        <f>IF(AND(AT605&lt;&gt;0,N605&lt;&gt;"NR"),DHRCHG*Y605,0)</f>
        <v>0</v>
      </c>
      <c r="CH605" s="462">
        <f>IF(AT605&lt;&gt;0,WCCHG*Y605,0)</f>
        <v>162.65600000000012</v>
      </c>
      <c r="CI605" s="462">
        <f>IF(OR(AND(AT605&lt;&gt;0,AJ605&lt;&gt;"PF",AN605&lt;&gt;"NE",AG605&lt;&gt;"A"),AND(AL605="E",OR(AT605=1,AT605=3))),SickCHG*Y605,0)</f>
        <v>0</v>
      </c>
      <c r="CJ605" s="462">
        <f t="shared" si="165"/>
        <v>-183.87199999999984</v>
      </c>
      <c r="CK605" s="462" t="str">
        <f t="shared" si="166"/>
        <v/>
      </c>
      <c r="CL605" s="462" t="str">
        <f t="shared" si="167"/>
        <v/>
      </c>
      <c r="CM605" s="462" t="str">
        <f t="shared" si="168"/>
        <v/>
      </c>
      <c r="CN605" s="462" t="str">
        <f t="shared" si="169"/>
        <v>0486-00</v>
      </c>
    </row>
    <row r="606" spans="1:92" ht="15" thickBot="1" x14ac:dyDescent="0.35">
      <c r="A606" s="376" t="s">
        <v>161</v>
      </c>
      <c r="B606" s="376" t="s">
        <v>162</v>
      </c>
      <c r="C606" s="376" t="s">
        <v>1310</v>
      </c>
      <c r="D606" s="376" t="s">
        <v>1150</v>
      </c>
      <c r="E606" s="376" t="s">
        <v>1140</v>
      </c>
      <c r="F606" s="377" t="s">
        <v>166</v>
      </c>
      <c r="G606" s="376" t="s">
        <v>1141</v>
      </c>
      <c r="H606" s="378"/>
      <c r="I606" s="378"/>
      <c r="J606" s="376" t="s">
        <v>168</v>
      </c>
      <c r="K606" s="376" t="s">
        <v>1151</v>
      </c>
      <c r="L606" s="376" t="s">
        <v>166</v>
      </c>
      <c r="M606" s="376" t="s">
        <v>201</v>
      </c>
      <c r="N606" s="376" t="s">
        <v>291</v>
      </c>
      <c r="O606" s="379">
        <v>0</v>
      </c>
      <c r="P606" s="460">
        <v>1</v>
      </c>
      <c r="Q606" s="460">
        <v>0</v>
      </c>
      <c r="R606" s="380">
        <v>0</v>
      </c>
      <c r="S606" s="460">
        <v>0</v>
      </c>
      <c r="T606" s="380">
        <v>0</v>
      </c>
      <c r="U606" s="380">
        <v>0</v>
      </c>
      <c r="V606" s="380">
        <v>0</v>
      </c>
      <c r="W606" s="380">
        <v>0</v>
      </c>
      <c r="X606" s="380">
        <v>0</v>
      </c>
      <c r="Y606" s="380">
        <v>0</v>
      </c>
      <c r="Z606" s="380">
        <v>0</v>
      </c>
      <c r="AA606" s="378"/>
      <c r="AB606" s="376" t="s">
        <v>45</v>
      </c>
      <c r="AC606" s="376" t="s">
        <v>45</v>
      </c>
      <c r="AD606" s="378"/>
      <c r="AE606" s="378"/>
      <c r="AF606" s="378"/>
      <c r="AG606" s="378"/>
      <c r="AH606" s="379">
        <v>0</v>
      </c>
      <c r="AI606" s="379">
        <v>0</v>
      </c>
      <c r="AJ606" s="378"/>
      <c r="AK606" s="378"/>
      <c r="AL606" s="376" t="s">
        <v>180</v>
      </c>
      <c r="AM606" s="378"/>
      <c r="AN606" s="378"/>
      <c r="AO606" s="379">
        <v>0</v>
      </c>
      <c r="AP606" s="460">
        <v>0</v>
      </c>
      <c r="AQ606" s="460">
        <v>0</v>
      </c>
      <c r="AR606" s="459"/>
      <c r="AS606" s="462">
        <f t="shared" si="153"/>
        <v>0</v>
      </c>
      <c r="AT606">
        <f t="shared" si="154"/>
        <v>0</v>
      </c>
      <c r="AU606" s="462" t="str">
        <f>IF(AT606=0,"",IF(AND(AT606=1,M606="F",SUMIF(C2:C698,C606,AS2:AS698)&lt;=1),SUMIF(C2:C698,C606,AS2:AS698),IF(AND(AT606=1,M606="F",SUMIF(C2:C698,C606,AS2:AS698)&gt;1),1,"")))</f>
        <v/>
      </c>
      <c r="AV606" s="462" t="str">
        <f>IF(AT606=0,"",IF(AND(AT606=3,M606="F",SUMIF(C2:C698,C606,AS2:AS698)&lt;=1),SUMIF(C2:C698,C606,AS2:AS698),IF(AND(AT606=3,M606="F",SUMIF(C2:C698,C606,AS2:AS698)&gt;1),1,"")))</f>
        <v/>
      </c>
      <c r="AW606" s="462">
        <f>SUMIF(C2:C698,C606,O2:O698)</f>
        <v>0</v>
      </c>
      <c r="AX606" s="462">
        <f>IF(AND(M606="F",AS606&lt;&gt;0),SUMIF(C2:C698,C606,W2:W698),0)</f>
        <v>0</v>
      </c>
      <c r="AY606" s="462" t="str">
        <f t="shared" si="155"/>
        <v/>
      </c>
      <c r="AZ606" s="462" t="str">
        <f t="shared" si="156"/>
        <v/>
      </c>
      <c r="BA606" s="462">
        <f t="shared" si="157"/>
        <v>0</v>
      </c>
      <c r="BB606" s="462">
        <f>IF(AND(AT606=1,AK606="E",AU606&gt;=0.75,AW606=1),Health,IF(AND(AT606=1,AK606="E",AU606&gt;=0.75),Health*P606,IF(AND(AT606=1,AK606="E",AU606&gt;=0.5,AW606=1),PTHealth,IF(AND(AT606=1,AK606="E",AU606&gt;=0.5),PTHealth*P606,0))))</f>
        <v>0</v>
      </c>
      <c r="BC606" s="462">
        <f>IF(AND(AT606=3,AK606="E",AV606&gt;=0.75,AW606=1),Health,IF(AND(AT606=3,AK606="E",AV606&gt;=0.75),Health*P606,IF(AND(AT606=3,AK606="E",AV606&gt;=0.5,AW606=1),PTHealth,IF(AND(AT606=3,AK606="E",AV606&gt;=0.5),PTHealth*P606,0))))</f>
        <v>0</v>
      </c>
      <c r="BD606" s="462">
        <f>IF(AND(AT606&lt;&gt;0,AX606&gt;=MAXSSDI),SSDI*MAXSSDI*P606,IF(AT606&lt;&gt;0,SSDI*W606,0))</f>
        <v>0</v>
      </c>
      <c r="BE606" s="462">
        <f>IF(AT606&lt;&gt;0,SSHI*W606,0)</f>
        <v>0</v>
      </c>
      <c r="BF606" s="462">
        <f>IF(AND(AT606&lt;&gt;0,AN606&lt;&gt;"NE"),VLOOKUP(AN606,Retirement_Rates,3,FALSE)*W606,0)</f>
        <v>0</v>
      </c>
      <c r="BG606" s="462">
        <f>IF(AND(AT606&lt;&gt;0,AJ606&lt;&gt;"PF"),Life*W606,0)</f>
        <v>0</v>
      </c>
      <c r="BH606" s="462">
        <f>IF(AND(AT606&lt;&gt;0,AM606="Y"),UI*W606,0)</f>
        <v>0</v>
      </c>
      <c r="BI606" s="462">
        <f>IF(AND(AT606&lt;&gt;0,N606&lt;&gt;"NR"),DHR*W606,0)</f>
        <v>0</v>
      </c>
      <c r="BJ606" s="462">
        <f>IF(AT606&lt;&gt;0,WC*W606,0)</f>
        <v>0</v>
      </c>
      <c r="BK606" s="462">
        <f>IF(OR(AND(AT606&lt;&gt;0,AJ606&lt;&gt;"PF",AN606&lt;&gt;"NE",AG606&lt;&gt;"A"),AND(AL606="E",OR(AT606=1,AT606=3))),Sick*W606,0)</f>
        <v>0</v>
      </c>
      <c r="BL606" s="462">
        <f t="shared" si="158"/>
        <v>0</v>
      </c>
      <c r="BM606" s="462">
        <f t="shared" si="159"/>
        <v>0</v>
      </c>
      <c r="BN606" s="462">
        <f>IF(AND(AT606=1,AK606="E",AU606&gt;=0.75,AW606=1),HealthBY,IF(AND(AT606=1,AK606="E",AU606&gt;=0.75),HealthBY*P606,IF(AND(AT606=1,AK606="E",AU606&gt;=0.5,AW606=1),PTHealthBY,IF(AND(AT606=1,AK606="E",AU606&gt;=0.5),PTHealthBY*P606,0))))</f>
        <v>0</v>
      </c>
      <c r="BO606" s="462">
        <f>IF(AND(AT606=3,AK606="E",AV606&gt;=0.75,AW606=1),HealthBY,IF(AND(AT606=3,AK606="E",AV606&gt;=0.75),HealthBY*P606,IF(AND(AT606=3,AK606="E",AV606&gt;=0.5,AW606=1),PTHealthBY,IF(AND(AT606=3,AK606="E",AV606&gt;=0.5),PTHealthBY*P606,0))))</f>
        <v>0</v>
      </c>
      <c r="BP606" s="462">
        <f>IF(AND(AT606&lt;&gt;0,(AX606+BA606)&gt;=MAXSSDIBY),SSDIBY*MAXSSDIBY*P606,IF(AT606&lt;&gt;0,SSDIBY*W606,0))</f>
        <v>0</v>
      </c>
      <c r="BQ606" s="462">
        <f>IF(AT606&lt;&gt;0,SSHIBY*W606,0)</f>
        <v>0</v>
      </c>
      <c r="BR606" s="462">
        <f>IF(AND(AT606&lt;&gt;0,AN606&lt;&gt;"NE"),VLOOKUP(AN606,Retirement_Rates,4,FALSE)*W606,0)</f>
        <v>0</v>
      </c>
      <c r="BS606" s="462">
        <f>IF(AND(AT606&lt;&gt;0,AJ606&lt;&gt;"PF"),LifeBY*W606,0)</f>
        <v>0</v>
      </c>
      <c r="BT606" s="462">
        <f>IF(AND(AT606&lt;&gt;0,AM606="Y"),UIBY*W606,0)</f>
        <v>0</v>
      </c>
      <c r="BU606" s="462">
        <f>IF(AND(AT606&lt;&gt;0,N606&lt;&gt;"NR"),DHRBY*W606,0)</f>
        <v>0</v>
      </c>
      <c r="BV606" s="462">
        <f>IF(AT606&lt;&gt;0,WCBY*W606,0)</f>
        <v>0</v>
      </c>
      <c r="BW606" s="462">
        <f>IF(OR(AND(AT606&lt;&gt;0,AJ606&lt;&gt;"PF",AN606&lt;&gt;"NE",AG606&lt;&gt;"A"),AND(AL606="E",OR(AT606=1,AT606=3))),SickBY*W606,0)</f>
        <v>0</v>
      </c>
      <c r="BX606" s="462">
        <f t="shared" si="160"/>
        <v>0</v>
      </c>
      <c r="BY606" s="462">
        <f t="shared" si="161"/>
        <v>0</v>
      </c>
      <c r="BZ606" s="462">
        <f t="shared" si="162"/>
        <v>0</v>
      </c>
      <c r="CA606" s="462">
        <f t="shared" si="163"/>
        <v>0</v>
      </c>
      <c r="CB606" s="462">
        <f t="shared" si="164"/>
        <v>0</v>
      </c>
      <c r="CC606" s="462">
        <f>IF(AT606&lt;&gt;0,SSHICHG*Y606,0)</f>
        <v>0</v>
      </c>
      <c r="CD606" s="462">
        <f>IF(AND(AT606&lt;&gt;0,AN606&lt;&gt;"NE"),VLOOKUP(AN606,Retirement_Rates,5,FALSE)*Y606,0)</f>
        <v>0</v>
      </c>
      <c r="CE606" s="462">
        <f>IF(AND(AT606&lt;&gt;0,AJ606&lt;&gt;"PF"),LifeCHG*Y606,0)</f>
        <v>0</v>
      </c>
      <c r="CF606" s="462">
        <f>IF(AND(AT606&lt;&gt;0,AM606="Y"),UICHG*Y606,0)</f>
        <v>0</v>
      </c>
      <c r="CG606" s="462">
        <f>IF(AND(AT606&lt;&gt;0,N606&lt;&gt;"NR"),DHRCHG*Y606,0)</f>
        <v>0</v>
      </c>
      <c r="CH606" s="462">
        <f>IF(AT606&lt;&gt;0,WCCHG*Y606,0)</f>
        <v>0</v>
      </c>
      <c r="CI606" s="462">
        <f>IF(OR(AND(AT606&lt;&gt;0,AJ606&lt;&gt;"PF",AN606&lt;&gt;"NE",AG606&lt;&gt;"A"),AND(AL606="E",OR(AT606=1,AT606=3))),SickCHG*Y606,0)</f>
        <v>0</v>
      </c>
      <c r="CJ606" s="462">
        <f t="shared" si="165"/>
        <v>0</v>
      </c>
      <c r="CK606" s="462" t="str">
        <f t="shared" si="166"/>
        <v/>
      </c>
      <c r="CL606" s="462">
        <f t="shared" si="167"/>
        <v>0</v>
      </c>
      <c r="CM606" s="462">
        <f t="shared" si="168"/>
        <v>0</v>
      </c>
      <c r="CN606" s="462" t="str">
        <f t="shared" si="169"/>
        <v>0486-00</v>
      </c>
    </row>
    <row r="607" spans="1:92" ht="15" thickBot="1" x14ac:dyDescent="0.35">
      <c r="A607" s="376" t="s">
        <v>161</v>
      </c>
      <c r="B607" s="376" t="s">
        <v>162</v>
      </c>
      <c r="C607" s="376" t="s">
        <v>1311</v>
      </c>
      <c r="D607" s="376" t="s">
        <v>1163</v>
      </c>
      <c r="E607" s="376" t="s">
        <v>1140</v>
      </c>
      <c r="F607" s="377" t="s">
        <v>166</v>
      </c>
      <c r="G607" s="376" t="s">
        <v>1141</v>
      </c>
      <c r="H607" s="378"/>
      <c r="I607" s="378"/>
      <c r="J607" s="376" t="s">
        <v>168</v>
      </c>
      <c r="K607" s="376" t="s">
        <v>1164</v>
      </c>
      <c r="L607" s="376" t="s">
        <v>166</v>
      </c>
      <c r="M607" s="376" t="s">
        <v>201</v>
      </c>
      <c r="N607" s="376" t="s">
        <v>291</v>
      </c>
      <c r="O607" s="379">
        <v>0</v>
      </c>
      <c r="P607" s="460">
        <v>1</v>
      </c>
      <c r="Q607" s="460">
        <v>0</v>
      </c>
      <c r="R607" s="380">
        <v>0</v>
      </c>
      <c r="S607" s="460">
        <v>0</v>
      </c>
      <c r="T607" s="380">
        <v>0</v>
      </c>
      <c r="U607" s="380">
        <v>0</v>
      </c>
      <c r="V607" s="380">
        <v>0</v>
      </c>
      <c r="W607" s="380">
        <v>0</v>
      </c>
      <c r="X607" s="380">
        <v>0</v>
      </c>
      <c r="Y607" s="380">
        <v>0</v>
      </c>
      <c r="Z607" s="380">
        <v>0</v>
      </c>
      <c r="AA607" s="378"/>
      <c r="AB607" s="376" t="s">
        <v>45</v>
      </c>
      <c r="AC607" s="376" t="s">
        <v>45</v>
      </c>
      <c r="AD607" s="378"/>
      <c r="AE607" s="378"/>
      <c r="AF607" s="378"/>
      <c r="AG607" s="378"/>
      <c r="AH607" s="379">
        <v>0</v>
      </c>
      <c r="AI607" s="379">
        <v>0</v>
      </c>
      <c r="AJ607" s="378"/>
      <c r="AK607" s="378"/>
      <c r="AL607" s="376" t="s">
        <v>180</v>
      </c>
      <c r="AM607" s="378"/>
      <c r="AN607" s="378"/>
      <c r="AO607" s="379">
        <v>0</v>
      </c>
      <c r="AP607" s="460">
        <v>0</v>
      </c>
      <c r="AQ607" s="460">
        <v>0</v>
      </c>
      <c r="AR607" s="459"/>
      <c r="AS607" s="462">
        <f t="shared" si="153"/>
        <v>0</v>
      </c>
      <c r="AT607">
        <f t="shared" si="154"/>
        <v>0</v>
      </c>
      <c r="AU607" s="462" t="str">
        <f>IF(AT607=0,"",IF(AND(AT607=1,M607="F",SUMIF(C2:C698,C607,AS2:AS698)&lt;=1),SUMIF(C2:C698,C607,AS2:AS698),IF(AND(AT607=1,M607="F",SUMIF(C2:C698,C607,AS2:AS698)&gt;1),1,"")))</f>
        <v/>
      </c>
      <c r="AV607" s="462" t="str">
        <f>IF(AT607=0,"",IF(AND(AT607=3,M607="F",SUMIF(C2:C698,C607,AS2:AS698)&lt;=1),SUMIF(C2:C698,C607,AS2:AS698),IF(AND(AT607=3,M607="F",SUMIF(C2:C698,C607,AS2:AS698)&gt;1),1,"")))</f>
        <v/>
      </c>
      <c r="AW607" s="462">
        <f>SUMIF(C2:C698,C607,O2:O698)</f>
        <v>0</v>
      </c>
      <c r="AX607" s="462">
        <f>IF(AND(M607="F",AS607&lt;&gt;0),SUMIF(C2:C698,C607,W2:W698),0)</f>
        <v>0</v>
      </c>
      <c r="AY607" s="462" t="str">
        <f t="shared" si="155"/>
        <v/>
      </c>
      <c r="AZ607" s="462" t="str">
        <f t="shared" si="156"/>
        <v/>
      </c>
      <c r="BA607" s="462">
        <f t="shared" si="157"/>
        <v>0</v>
      </c>
      <c r="BB607" s="462">
        <f>IF(AND(AT607=1,AK607="E",AU607&gt;=0.75,AW607=1),Health,IF(AND(AT607=1,AK607="E",AU607&gt;=0.75),Health*P607,IF(AND(AT607=1,AK607="E",AU607&gt;=0.5,AW607=1),PTHealth,IF(AND(AT607=1,AK607="E",AU607&gt;=0.5),PTHealth*P607,0))))</f>
        <v>0</v>
      </c>
      <c r="BC607" s="462">
        <f>IF(AND(AT607=3,AK607="E",AV607&gt;=0.75,AW607=1),Health,IF(AND(AT607=3,AK607="E",AV607&gt;=0.75),Health*P607,IF(AND(AT607=3,AK607="E",AV607&gt;=0.5,AW607=1),PTHealth,IF(AND(AT607=3,AK607="E",AV607&gt;=0.5),PTHealth*P607,0))))</f>
        <v>0</v>
      </c>
      <c r="BD607" s="462">
        <f>IF(AND(AT607&lt;&gt;0,AX607&gt;=MAXSSDI),SSDI*MAXSSDI*P607,IF(AT607&lt;&gt;0,SSDI*W607,0))</f>
        <v>0</v>
      </c>
      <c r="BE607" s="462">
        <f>IF(AT607&lt;&gt;0,SSHI*W607,0)</f>
        <v>0</v>
      </c>
      <c r="BF607" s="462">
        <f>IF(AND(AT607&lt;&gt;0,AN607&lt;&gt;"NE"),VLOOKUP(AN607,Retirement_Rates,3,FALSE)*W607,0)</f>
        <v>0</v>
      </c>
      <c r="BG607" s="462">
        <f>IF(AND(AT607&lt;&gt;0,AJ607&lt;&gt;"PF"),Life*W607,0)</f>
        <v>0</v>
      </c>
      <c r="BH607" s="462">
        <f>IF(AND(AT607&lt;&gt;0,AM607="Y"),UI*W607,0)</f>
        <v>0</v>
      </c>
      <c r="BI607" s="462">
        <f>IF(AND(AT607&lt;&gt;0,N607&lt;&gt;"NR"),DHR*W607,0)</f>
        <v>0</v>
      </c>
      <c r="BJ607" s="462">
        <f>IF(AT607&lt;&gt;0,WC*W607,0)</f>
        <v>0</v>
      </c>
      <c r="BK607" s="462">
        <f>IF(OR(AND(AT607&lt;&gt;0,AJ607&lt;&gt;"PF",AN607&lt;&gt;"NE",AG607&lt;&gt;"A"),AND(AL607="E",OR(AT607=1,AT607=3))),Sick*W607,0)</f>
        <v>0</v>
      </c>
      <c r="BL607" s="462">
        <f t="shared" si="158"/>
        <v>0</v>
      </c>
      <c r="BM607" s="462">
        <f t="shared" si="159"/>
        <v>0</v>
      </c>
      <c r="BN607" s="462">
        <f>IF(AND(AT607=1,AK607="E",AU607&gt;=0.75,AW607=1),HealthBY,IF(AND(AT607=1,AK607="E",AU607&gt;=0.75),HealthBY*P607,IF(AND(AT607=1,AK607="E",AU607&gt;=0.5,AW607=1),PTHealthBY,IF(AND(AT607=1,AK607="E",AU607&gt;=0.5),PTHealthBY*P607,0))))</f>
        <v>0</v>
      </c>
      <c r="BO607" s="462">
        <f>IF(AND(AT607=3,AK607="E",AV607&gt;=0.75,AW607=1),HealthBY,IF(AND(AT607=3,AK607="E",AV607&gt;=0.75),HealthBY*P607,IF(AND(AT607=3,AK607="E",AV607&gt;=0.5,AW607=1),PTHealthBY,IF(AND(AT607=3,AK607="E",AV607&gt;=0.5),PTHealthBY*P607,0))))</f>
        <v>0</v>
      </c>
      <c r="BP607" s="462">
        <f>IF(AND(AT607&lt;&gt;0,(AX607+BA607)&gt;=MAXSSDIBY),SSDIBY*MAXSSDIBY*P607,IF(AT607&lt;&gt;0,SSDIBY*W607,0))</f>
        <v>0</v>
      </c>
      <c r="BQ607" s="462">
        <f>IF(AT607&lt;&gt;0,SSHIBY*W607,0)</f>
        <v>0</v>
      </c>
      <c r="BR607" s="462">
        <f>IF(AND(AT607&lt;&gt;0,AN607&lt;&gt;"NE"),VLOOKUP(AN607,Retirement_Rates,4,FALSE)*W607,0)</f>
        <v>0</v>
      </c>
      <c r="BS607" s="462">
        <f>IF(AND(AT607&lt;&gt;0,AJ607&lt;&gt;"PF"),LifeBY*W607,0)</f>
        <v>0</v>
      </c>
      <c r="BT607" s="462">
        <f>IF(AND(AT607&lt;&gt;0,AM607="Y"),UIBY*W607,0)</f>
        <v>0</v>
      </c>
      <c r="BU607" s="462">
        <f>IF(AND(AT607&lt;&gt;0,N607&lt;&gt;"NR"),DHRBY*W607,0)</f>
        <v>0</v>
      </c>
      <c r="BV607" s="462">
        <f>IF(AT607&lt;&gt;0,WCBY*W607,0)</f>
        <v>0</v>
      </c>
      <c r="BW607" s="462">
        <f>IF(OR(AND(AT607&lt;&gt;0,AJ607&lt;&gt;"PF",AN607&lt;&gt;"NE",AG607&lt;&gt;"A"),AND(AL607="E",OR(AT607=1,AT607=3))),SickBY*W607,0)</f>
        <v>0</v>
      </c>
      <c r="BX607" s="462">
        <f t="shared" si="160"/>
        <v>0</v>
      </c>
      <c r="BY607" s="462">
        <f t="shared" si="161"/>
        <v>0</v>
      </c>
      <c r="BZ607" s="462">
        <f t="shared" si="162"/>
        <v>0</v>
      </c>
      <c r="CA607" s="462">
        <f t="shared" si="163"/>
        <v>0</v>
      </c>
      <c r="CB607" s="462">
        <f t="shared" si="164"/>
        <v>0</v>
      </c>
      <c r="CC607" s="462">
        <f>IF(AT607&lt;&gt;0,SSHICHG*Y607,0)</f>
        <v>0</v>
      </c>
      <c r="CD607" s="462">
        <f>IF(AND(AT607&lt;&gt;0,AN607&lt;&gt;"NE"),VLOOKUP(AN607,Retirement_Rates,5,FALSE)*Y607,0)</f>
        <v>0</v>
      </c>
      <c r="CE607" s="462">
        <f>IF(AND(AT607&lt;&gt;0,AJ607&lt;&gt;"PF"),LifeCHG*Y607,0)</f>
        <v>0</v>
      </c>
      <c r="CF607" s="462">
        <f>IF(AND(AT607&lt;&gt;0,AM607="Y"),UICHG*Y607,0)</f>
        <v>0</v>
      </c>
      <c r="CG607" s="462">
        <f>IF(AND(AT607&lt;&gt;0,N607&lt;&gt;"NR"),DHRCHG*Y607,0)</f>
        <v>0</v>
      </c>
      <c r="CH607" s="462">
        <f>IF(AT607&lt;&gt;0,WCCHG*Y607,0)</f>
        <v>0</v>
      </c>
      <c r="CI607" s="462">
        <f>IF(OR(AND(AT607&lt;&gt;0,AJ607&lt;&gt;"PF",AN607&lt;&gt;"NE",AG607&lt;&gt;"A"),AND(AL607="E",OR(AT607=1,AT607=3))),SickCHG*Y607,0)</f>
        <v>0</v>
      </c>
      <c r="CJ607" s="462">
        <f t="shared" si="165"/>
        <v>0</v>
      </c>
      <c r="CK607" s="462" t="str">
        <f t="shared" si="166"/>
        <v/>
      </c>
      <c r="CL607" s="462">
        <f t="shared" si="167"/>
        <v>0</v>
      </c>
      <c r="CM607" s="462">
        <f t="shared" si="168"/>
        <v>0</v>
      </c>
      <c r="CN607" s="462" t="str">
        <f t="shared" si="169"/>
        <v>0486-00</v>
      </c>
    </row>
    <row r="608" spans="1:92" ht="15" thickBot="1" x14ac:dyDescent="0.35">
      <c r="A608" s="376" t="s">
        <v>161</v>
      </c>
      <c r="B608" s="376" t="s">
        <v>162</v>
      </c>
      <c r="C608" s="376" t="s">
        <v>1312</v>
      </c>
      <c r="D608" s="376" t="s">
        <v>1159</v>
      </c>
      <c r="E608" s="376" t="s">
        <v>1140</v>
      </c>
      <c r="F608" s="377" t="s">
        <v>166</v>
      </c>
      <c r="G608" s="376" t="s">
        <v>1141</v>
      </c>
      <c r="H608" s="378"/>
      <c r="I608" s="378"/>
      <c r="J608" s="376" t="s">
        <v>168</v>
      </c>
      <c r="K608" s="376" t="s">
        <v>1160</v>
      </c>
      <c r="L608" s="376" t="s">
        <v>166</v>
      </c>
      <c r="M608" s="376" t="s">
        <v>201</v>
      </c>
      <c r="N608" s="376" t="s">
        <v>291</v>
      </c>
      <c r="O608" s="379">
        <v>0</v>
      </c>
      <c r="P608" s="460">
        <v>1</v>
      </c>
      <c r="Q608" s="460">
        <v>0</v>
      </c>
      <c r="R608" s="380">
        <v>0</v>
      </c>
      <c r="S608" s="460">
        <v>0</v>
      </c>
      <c r="T608" s="380">
        <v>0</v>
      </c>
      <c r="U608" s="380">
        <v>0</v>
      </c>
      <c r="V608" s="380">
        <v>0</v>
      </c>
      <c r="W608" s="380">
        <v>0</v>
      </c>
      <c r="X608" s="380">
        <v>0</v>
      </c>
      <c r="Y608" s="380">
        <v>0</v>
      </c>
      <c r="Z608" s="380">
        <v>0</v>
      </c>
      <c r="AA608" s="378"/>
      <c r="AB608" s="376" t="s">
        <v>45</v>
      </c>
      <c r="AC608" s="376" t="s">
        <v>45</v>
      </c>
      <c r="AD608" s="378"/>
      <c r="AE608" s="378"/>
      <c r="AF608" s="378"/>
      <c r="AG608" s="378"/>
      <c r="AH608" s="379">
        <v>0</v>
      </c>
      <c r="AI608" s="379">
        <v>0</v>
      </c>
      <c r="AJ608" s="378"/>
      <c r="AK608" s="378"/>
      <c r="AL608" s="376" t="s">
        <v>180</v>
      </c>
      <c r="AM608" s="378"/>
      <c r="AN608" s="378"/>
      <c r="AO608" s="379">
        <v>0</v>
      </c>
      <c r="AP608" s="460">
        <v>0</v>
      </c>
      <c r="AQ608" s="460">
        <v>0</v>
      </c>
      <c r="AR608" s="459"/>
      <c r="AS608" s="462">
        <f t="shared" si="153"/>
        <v>0</v>
      </c>
      <c r="AT608">
        <f t="shared" si="154"/>
        <v>0</v>
      </c>
      <c r="AU608" s="462" t="str">
        <f>IF(AT608=0,"",IF(AND(AT608=1,M608="F",SUMIF(C2:C698,C608,AS2:AS698)&lt;=1),SUMIF(C2:C698,C608,AS2:AS698),IF(AND(AT608=1,M608="F",SUMIF(C2:C698,C608,AS2:AS698)&gt;1),1,"")))</f>
        <v/>
      </c>
      <c r="AV608" s="462" t="str">
        <f>IF(AT608=0,"",IF(AND(AT608=3,M608="F",SUMIF(C2:C698,C608,AS2:AS698)&lt;=1),SUMIF(C2:C698,C608,AS2:AS698),IF(AND(AT608=3,M608="F",SUMIF(C2:C698,C608,AS2:AS698)&gt;1),1,"")))</f>
        <v/>
      </c>
      <c r="AW608" s="462">
        <f>SUMIF(C2:C698,C608,O2:O698)</f>
        <v>0</v>
      </c>
      <c r="AX608" s="462">
        <f>IF(AND(M608="F",AS608&lt;&gt;0),SUMIF(C2:C698,C608,W2:W698),0)</f>
        <v>0</v>
      </c>
      <c r="AY608" s="462" t="str">
        <f t="shared" si="155"/>
        <v/>
      </c>
      <c r="AZ608" s="462" t="str">
        <f t="shared" si="156"/>
        <v/>
      </c>
      <c r="BA608" s="462">
        <f t="shared" si="157"/>
        <v>0</v>
      </c>
      <c r="BB608" s="462">
        <f>IF(AND(AT608=1,AK608="E",AU608&gt;=0.75,AW608=1),Health,IF(AND(AT608=1,AK608="E",AU608&gt;=0.75),Health*P608,IF(AND(AT608=1,AK608="E",AU608&gt;=0.5,AW608=1),PTHealth,IF(AND(AT608=1,AK608="E",AU608&gt;=0.5),PTHealth*P608,0))))</f>
        <v>0</v>
      </c>
      <c r="BC608" s="462">
        <f>IF(AND(AT608=3,AK608="E",AV608&gt;=0.75,AW608=1),Health,IF(AND(AT608=3,AK608="E",AV608&gt;=0.75),Health*P608,IF(AND(AT608=3,AK608="E",AV608&gt;=0.5,AW608=1),PTHealth,IF(AND(AT608=3,AK608="E",AV608&gt;=0.5),PTHealth*P608,0))))</f>
        <v>0</v>
      </c>
      <c r="BD608" s="462">
        <f>IF(AND(AT608&lt;&gt;0,AX608&gt;=MAXSSDI),SSDI*MAXSSDI*P608,IF(AT608&lt;&gt;0,SSDI*W608,0))</f>
        <v>0</v>
      </c>
      <c r="BE608" s="462">
        <f>IF(AT608&lt;&gt;0,SSHI*W608,0)</f>
        <v>0</v>
      </c>
      <c r="BF608" s="462">
        <f>IF(AND(AT608&lt;&gt;0,AN608&lt;&gt;"NE"),VLOOKUP(AN608,Retirement_Rates,3,FALSE)*W608,0)</f>
        <v>0</v>
      </c>
      <c r="BG608" s="462">
        <f>IF(AND(AT608&lt;&gt;0,AJ608&lt;&gt;"PF"),Life*W608,0)</f>
        <v>0</v>
      </c>
      <c r="BH608" s="462">
        <f>IF(AND(AT608&lt;&gt;0,AM608="Y"),UI*W608,0)</f>
        <v>0</v>
      </c>
      <c r="BI608" s="462">
        <f>IF(AND(AT608&lt;&gt;0,N608&lt;&gt;"NR"),DHR*W608,0)</f>
        <v>0</v>
      </c>
      <c r="BJ608" s="462">
        <f>IF(AT608&lt;&gt;0,WC*W608,0)</f>
        <v>0</v>
      </c>
      <c r="BK608" s="462">
        <f>IF(OR(AND(AT608&lt;&gt;0,AJ608&lt;&gt;"PF",AN608&lt;&gt;"NE",AG608&lt;&gt;"A"),AND(AL608="E",OR(AT608=1,AT608=3))),Sick*W608,0)</f>
        <v>0</v>
      </c>
      <c r="BL608" s="462">
        <f t="shared" si="158"/>
        <v>0</v>
      </c>
      <c r="BM608" s="462">
        <f t="shared" si="159"/>
        <v>0</v>
      </c>
      <c r="BN608" s="462">
        <f>IF(AND(AT608=1,AK608="E",AU608&gt;=0.75,AW608=1),HealthBY,IF(AND(AT608=1,AK608="E",AU608&gt;=0.75),HealthBY*P608,IF(AND(AT608=1,AK608="E",AU608&gt;=0.5,AW608=1),PTHealthBY,IF(AND(AT608=1,AK608="E",AU608&gt;=0.5),PTHealthBY*P608,0))))</f>
        <v>0</v>
      </c>
      <c r="BO608" s="462">
        <f>IF(AND(AT608=3,AK608="E",AV608&gt;=0.75,AW608=1),HealthBY,IF(AND(AT608=3,AK608="E",AV608&gt;=0.75),HealthBY*P608,IF(AND(AT608=3,AK608="E",AV608&gt;=0.5,AW608=1),PTHealthBY,IF(AND(AT608=3,AK608="E",AV608&gt;=0.5),PTHealthBY*P608,0))))</f>
        <v>0</v>
      </c>
      <c r="BP608" s="462">
        <f>IF(AND(AT608&lt;&gt;0,(AX608+BA608)&gt;=MAXSSDIBY),SSDIBY*MAXSSDIBY*P608,IF(AT608&lt;&gt;0,SSDIBY*W608,0))</f>
        <v>0</v>
      </c>
      <c r="BQ608" s="462">
        <f>IF(AT608&lt;&gt;0,SSHIBY*W608,0)</f>
        <v>0</v>
      </c>
      <c r="BR608" s="462">
        <f>IF(AND(AT608&lt;&gt;0,AN608&lt;&gt;"NE"),VLOOKUP(AN608,Retirement_Rates,4,FALSE)*W608,0)</f>
        <v>0</v>
      </c>
      <c r="BS608" s="462">
        <f>IF(AND(AT608&lt;&gt;0,AJ608&lt;&gt;"PF"),LifeBY*W608,0)</f>
        <v>0</v>
      </c>
      <c r="BT608" s="462">
        <f>IF(AND(AT608&lt;&gt;0,AM608="Y"),UIBY*W608,0)</f>
        <v>0</v>
      </c>
      <c r="BU608" s="462">
        <f>IF(AND(AT608&lt;&gt;0,N608&lt;&gt;"NR"),DHRBY*W608,0)</f>
        <v>0</v>
      </c>
      <c r="BV608" s="462">
        <f>IF(AT608&lt;&gt;0,WCBY*W608,0)</f>
        <v>0</v>
      </c>
      <c r="BW608" s="462">
        <f>IF(OR(AND(AT608&lt;&gt;0,AJ608&lt;&gt;"PF",AN608&lt;&gt;"NE",AG608&lt;&gt;"A"),AND(AL608="E",OR(AT608=1,AT608=3))),SickBY*W608,0)</f>
        <v>0</v>
      </c>
      <c r="BX608" s="462">
        <f t="shared" si="160"/>
        <v>0</v>
      </c>
      <c r="BY608" s="462">
        <f t="shared" si="161"/>
        <v>0</v>
      </c>
      <c r="BZ608" s="462">
        <f t="shared" si="162"/>
        <v>0</v>
      </c>
      <c r="CA608" s="462">
        <f t="shared" si="163"/>
        <v>0</v>
      </c>
      <c r="CB608" s="462">
        <f t="shared" si="164"/>
        <v>0</v>
      </c>
      <c r="CC608" s="462">
        <f>IF(AT608&lt;&gt;0,SSHICHG*Y608,0)</f>
        <v>0</v>
      </c>
      <c r="CD608" s="462">
        <f>IF(AND(AT608&lt;&gt;0,AN608&lt;&gt;"NE"),VLOOKUP(AN608,Retirement_Rates,5,FALSE)*Y608,0)</f>
        <v>0</v>
      </c>
      <c r="CE608" s="462">
        <f>IF(AND(AT608&lt;&gt;0,AJ608&lt;&gt;"PF"),LifeCHG*Y608,0)</f>
        <v>0</v>
      </c>
      <c r="CF608" s="462">
        <f>IF(AND(AT608&lt;&gt;0,AM608="Y"),UICHG*Y608,0)</f>
        <v>0</v>
      </c>
      <c r="CG608" s="462">
        <f>IF(AND(AT608&lt;&gt;0,N608&lt;&gt;"NR"),DHRCHG*Y608,0)</f>
        <v>0</v>
      </c>
      <c r="CH608" s="462">
        <f>IF(AT608&lt;&gt;0,WCCHG*Y608,0)</f>
        <v>0</v>
      </c>
      <c r="CI608" s="462">
        <f>IF(OR(AND(AT608&lt;&gt;0,AJ608&lt;&gt;"PF",AN608&lt;&gt;"NE",AG608&lt;&gt;"A"),AND(AL608="E",OR(AT608=1,AT608=3))),SickCHG*Y608,0)</f>
        <v>0</v>
      </c>
      <c r="CJ608" s="462">
        <f t="shared" si="165"/>
        <v>0</v>
      </c>
      <c r="CK608" s="462" t="str">
        <f t="shared" si="166"/>
        <v/>
      </c>
      <c r="CL608" s="462">
        <f t="shared" si="167"/>
        <v>0</v>
      </c>
      <c r="CM608" s="462">
        <f t="shared" si="168"/>
        <v>0</v>
      </c>
      <c r="CN608" s="462" t="str">
        <f t="shared" si="169"/>
        <v>0486-00</v>
      </c>
    </row>
    <row r="609" spans="1:92" ht="15" thickBot="1" x14ac:dyDescent="0.35">
      <c r="A609" s="376" t="s">
        <v>161</v>
      </c>
      <c r="B609" s="376" t="s">
        <v>162</v>
      </c>
      <c r="C609" s="376" t="s">
        <v>1313</v>
      </c>
      <c r="D609" s="376" t="s">
        <v>365</v>
      </c>
      <c r="E609" s="376" t="s">
        <v>1140</v>
      </c>
      <c r="F609" s="377" t="s">
        <v>166</v>
      </c>
      <c r="G609" s="376" t="s">
        <v>1141</v>
      </c>
      <c r="H609" s="378"/>
      <c r="I609" s="378"/>
      <c r="J609" s="376" t="s">
        <v>168</v>
      </c>
      <c r="K609" s="376" t="s">
        <v>366</v>
      </c>
      <c r="L609" s="376" t="s">
        <v>274</v>
      </c>
      <c r="M609" s="376" t="s">
        <v>170</v>
      </c>
      <c r="N609" s="376" t="s">
        <v>202</v>
      </c>
      <c r="O609" s="379">
        <v>1</v>
      </c>
      <c r="P609" s="460">
        <v>1</v>
      </c>
      <c r="Q609" s="460">
        <v>1</v>
      </c>
      <c r="R609" s="380">
        <v>80</v>
      </c>
      <c r="S609" s="460">
        <v>1</v>
      </c>
      <c r="T609" s="380">
        <v>36644</v>
      </c>
      <c r="U609" s="380">
        <v>0</v>
      </c>
      <c r="V609" s="380">
        <v>19272.41</v>
      </c>
      <c r="W609" s="380">
        <v>37876.800000000003</v>
      </c>
      <c r="X609" s="380">
        <v>20224.14</v>
      </c>
      <c r="Y609" s="380">
        <v>37876.800000000003</v>
      </c>
      <c r="Z609" s="380">
        <v>20125.669999999998</v>
      </c>
      <c r="AA609" s="376" t="s">
        <v>1314</v>
      </c>
      <c r="AB609" s="376" t="s">
        <v>1315</v>
      </c>
      <c r="AC609" s="376" t="s">
        <v>1316</v>
      </c>
      <c r="AD609" s="376" t="s">
        <v>215</v>
      </c>
      <c r="AE609" s="376" t="s">
        <v>366</v>
      </c>
      <c r="AF609" s="376" t="s">
        <v>279</v>
      </c>
      <c r="AG609" s="376" t="s">
        <v>177</v>
      </c>
      <c r="AH609" s="381">
        <v>18.21</v>
      </c>
      <c r="AI609" s="381">
        <v>27796.3</v>
      </c>
      <c r="AJ609" s="376" t="s">
        <v>178</v>
      </c>
      <c r="AK609" s="376" t="s">
        <v>179</v>
      </c>
      <c r="AL609" s="376" t="s">
        <v>180</v>
      </c>
      <c r="AM609" s="376" t="s">
        <v>181</v>
      </c>
      <c r="AN609" s="376" t="s">
        <v>68</v>
      </c>
      <c r="AO609" s="379">
        <v>80</v>
      </c>
      <c r="AP609" s="460">
        <v>1</v>
      </c>
      <c r="AQ609" s="460">
        <v>1</v>
      </c>
      <c r="AR609" s="458" t="s">
        <v>182</v>
      </c>
      <c r="AS609" s="462">
        <f t="shared" si="153"/>
        <v>1</v>
      </c>
      <c r="AT609">
        <f t="shared" si="154"/>
        <v>1</v>
      </c>
      <c r="AU609" s="462">
        <f>IF(AT609=0,"",IF(AND(AT609=1,M609="F",SUMIF(C2:C698,C609,AS2:AS698)&lt;=1),SUMIF(C2:C698,C609,AS2:AS698),IF(AND(AT609=1,M609="F",SUMIF(C2:C698,C609,AS2:AS698)&gt;1),1,"")))</f>
        <v>1</v>
      </c>
      <c r="AV609" s="462" t="str">
        <f>IF(AT609=0,"",IF(AND(AT609=3,M609="F",SUMIF(C2:C698,C609,AS2:AS698)&lt;=1),SUMIF(C2:C698,C609,AS2:AS698),IF(AND(AT609=3,M609="F",SUMIF(C2:C698,C609,AS2:AS698)&gt;1),1,"")))</f>
        <v/>
      </c>
      <c r="AW609" s="462">
        <f>SUMIF(C2:C698,C609,O2:O698)</f>
        <v>1</v>
      </c>
      <c r="AX609" s="462">
        <f>IF(AND(M609="F",AS609&lt;&gt;0),SUMIF(C2:C698,C609,W2:W698),0)</f>
        <v>37876.800000000003</v>
      </c>
      <c r="AY609" s="462">
        <f t="shared" si="155"/>
        <v>37876.800000000003</v>
      </c>
      <c r="AZ609" s="462" t="str">
        <f t="shared" si="156"/>
        <v/>
      </c>
      <c r="BA609" s="462">
        <f t="shared" si="157"/>
        <v>0</v>
      </c>
      <c r="BB609" s="462">
        <f>IF(AND(AT609=1,AK609="E",AU609&gt;=0.75,AW609=1),Health,IF(AND(AT609=1,AK609="E",AU609&gt;=0.75),Health*P609,IF(AND(AT609=1,AK609="E",AU609&gt;=0.5,AW609=1),PTHealth,IF(AND(AT609=1,AK609="E",AU609&gt;=0.5),PTHealth*P609,0))))</f>
        <v>11650</v>
      </c>
      <c r="BC609" s="462">
        <f>IF(AND(AT609=3,AK609="E",AV609&gt;=0.75,AW609=1),Health,IF(AND(AT609=3,AK609="E",AV609&gt;=0.75),Health*P609,IF(AND(AT609=3,AK609="E",AV609&gt;=0.5,AW609=1),PTHealth,IF(AND(AT609=3,AK609="E",AV609&gt;=0.5),PTHealth*P609,0))))</f>
        <v>0</v>
      </c>
      <c r="BD609" s="462">
        <f>IF(AND(AT609&lt;&gt;0,AX609&gt;=MAXSSDI),SSDI*MAXSSDI*P609,IF(AT609&lt;&gt;0,SSDI*W609,0))</f>
        <v>2348.3616000000002</v>
      </c>
      <c r="BE609" s="462">
        <f>IF(AT609&lt;&gt;0,SSHI*W609,0)</f>
        <v>549.21360000000004</v>
      </c>
      <c r="BF609" s="462">
        <f>IF(AND(AT609&lt;&gt;0,AN609&lt;&gt;"NE"),VLOOKUP(AN609,Retirement_Rates,3,FALSE)*W609,0)</f>
        <v>4522.4899200000009</v>
      </c>
      <c r="BG609" s="462">
        <f>IF(AND(AT609&lt;&gt;0,AJ609&lt;&gt;"PF"),Life*W609,0)</f>
        <v>273.09172800000005</v>
      </c>
      <c r="BH609" s="462">
        <f>IF(AND(AT609&lt;&gt;0,AM609="Y"),UI*W609,0)</f>
        <v>185.59632000000002</v>
      </c>
      <c r="BI609" s="462">
        <f>IF(AND(AT609&lt;&gt;0,N609&lt;&gt;"NR"),DHR*W609,0)</f>
        <v>115.903008</v>
      </c>
      <c r="BJ609" s="462">
        <f>IF(AT609&lt;&gt;0,WC*W609,0)</f>
        <v>579.51504</v>
      </c>
      <c r="BK609" s="462">
        <f>IF(OR(AND(AT609&lt;&gt;0,AJ609&lt;&gt;"PF",AN609&lt;&gt;"NE",AG609&lt;&gt;"A"),AND(AL609="E",OR(AT609=1,AT609=3))),Sick*W609,0)</f>
        <v>0</v>
      </c>
      <c r="BL609" s="462">
        <f t="shared" si="158"/>
        <v>8574.1712160000006</v>
      </c>
      <c r="BM609" s="462">
        <f t="shared" si="159"/>
        <v>0</v>
      </c>
      <c r="BN609" s="462">
        <f>IF(AND(AT609=1,AK609="E",AU609&gt;=0.75,AW609=1),HealthBY,IF(AND(AT609=1,AK609="E",AU609&gt;=0.75),HealthBY*P609,IF(AND(AT609=1,AK609="E",AU609&gt;=0.5,AW609=1),PTHealthBY,IF(AND(AT609=1,AK609="E",AU609&gt;=0.5),PTHealthBY*P609,0))))</f>
        <v>11650</v>
      </c>
      <c r="BO609" s="462">
        <f>IF(AND(AT609=3,AK609="E",AV609&gt;=0.75,AW609=1),HealthBY,IF(AND(AT609=3,AK609="E",AV609&gt;=0.75),HealthBY*P609,IF(AND(AT609=3,AK609="E",AV609&gt;=0.5,AW609=1),PTHealthBY,IF(AND(AT609=3,AK609="E",AV609&gt;=0.5),PTHealthBY*P609,0))))</f>
        <v>0</v>
      </c>
      <c r="BP609" s="462">
        <f>IF(AND(AT609&lt;&gt;0,(AX609+BA609)&gt;=MAXSSDIBY),SSDIBY*MAXSSDIBY*P609,IF(AT609&lt;&gt;0,SSDIBY*W609,0))</f>
        <v>2348.3616000000002</v>
      </c>
      <c r="BQ609" s="462">
        <f>IF(AT609&lt;&gt;0,SSHIBY*W609,0)</f>
        <v>549.21360000000004</v>
      </c>
      <c r="BR609" s="462">
        <f>IF(AND(AT609&lt;&gt;0,AN609&lt;&gt;"NE"),VLOOKUP(AN609,Retirement_Rates,4,FALSE)*W609,0)</f>
        <v>4522.4899200000009</v>
      </c>
      <c r="BS609" s="462">
        <f>IF(AND(AT609&lt;&gt;0,AJ609&lt;&gt;"PF"),LifeBY*W609,0)</f>
        <v>273.09172800000005</v>
      </c>
      <c r="BT609" s="462">
        <f>IF(AND(AT609&lt;&gt;0,AM609="Y"),UIBY*W609,0)</f>
        <v>0</v>
      </c>
      <c r="BU609" s="462">
        <f>IF(AND(AT609&lt;&gt;0,N609&lt;&gt;"NR"),DHRBY*W609,0)</f>
        <v>115.903008</v>
      </c>
      <c r="BV609" s="462">
        <f>IF(AT609&lt;&gt;0,WCBY*W609,0)</f>
        <v>666.63168000000007</v>
      </c>
      <c r="BW609" s="462">
        <f>IF(OR(AND(AT609&lt;&gt;0,AJ609&lt;&gt;"PF",AN609&lt;&gt;"NE",AG609&lt;&gt;"A"),AND(AL609="E",OR(AT609=1,AT609=3))),SickBY*W609,0)</f>
        <v>0</v>
      </c>
      <c r="BX609" s="462">
        <f t="shared" si="160"/>
        <v>8475.6915360000021</v>
      </c>
      <c r="BY609" s="462">
        <f t="shared" si="161"/>
        <v>0</v>
      </c>
      <c r="BZ609" s="462">
        <f t="shared" si="162"/>
        <v>0</v>
      </c>
      <c r="CA609" s="462">
        <f t="shared" si="163"/>
        <v>0</v>
      </c>
      <c r="CB609" s="462">
        <f t="shared" si="164"/>
        <v>0</v>
      </c>
      <c r="CC609" s="462">
        <f>IF(AT609&lt;&gt;0,SSHICHG*Y609,0)</f>
        <v>0</v>
      </c>
      <c r="CD609" s="462">
        <f>IF(AND(AT609&lt;&gt;0,AN609&lt;&gt;"NE"),VLOOKUP(AN609,Retirement_Rates,5,FALSE)*Y609,0)</f>
        <v>0</v>
      </c>
      <c r="CE609" s="462">
        <f>IF(AND(AT609&lt;&gt;0,AJ609&lt;&gt;"PF"),LifeCHG*Y609,0)</f>
        <v>0</v>
      </c>
      <c r="CF609" s="462">
        <f>IF(AND(AT609&lt;&gt;0,AM609="Y"),UICHG*Y609,0)</f>
        <v>-185.59632000000002</v>
      </c>
      <c r="CG609" s="462">
        <f>IF(AND(AT609&lt;&gt;0,N609&lt;&gt;"NR"),DHRCHG*Y609,0)</f>
        <v>0</v>
      </c>
      <c r="CH609" s="462">
        <f>IF(AT609&lt;&gt;0,WCCHG*Y609,0)</f>
        <v>87.116640000000075</v>
      </c>
      <c r="CI609" s="462">
        <f>IF(OR(AND(AT609&lt;&gt;0,AJ609&lt;&gt;"PF",AN609&lt;&gt;"NE",AG609&lt;&gt;"A"),AND(AL609="E",OR(AT609=1,AT609=3))),SickCHG*Y609,0)</f>
        <v>0</v>
      </c>
      <c r="CJ609" s="462">
        <f t="shared" si="165"/>
        <v>-98.479679999999945</v>
      </c>
      <c r="CK609" s="462" t="str">
        <f t="shared" si="166"/>
        <v/>
      </c>
      <c r="CL609" s="462" t="str">
        <f t="shared" si="167"/>
        <v/>
      </c>
      <c r="CM609" s="462" t="str">
        <f t="shared" si="168"/>
        <v/>
      </c>
      <c r="CN609" s="462" t="str">
        <f t="shared" si="169"/>
        <v>0486-00</v>
      </c>
    </row>
    <row r="610" spans="1:92" ht="15" thickBot="1" x14ac:dyDescent="0.35">
      <c r="A610" s="376" t="s">
        <v>161</v>
      </c>
      <c r="B610" s="376" t="s">
        <v>162</v>
      </c>
      <c r="C610" s="376" t="s">
        <v>1317</v>
      </c>
      <c r="D610" s="376" t="s">
        <v>1189</v>
      </c>
      <c r="E610" s="376" t="s">
        <v>1140</v>
      </c>
      <c r="F610" s="377" t="s">
        <v>166</v>
      </c>
      <c r="G610" s="376" t="s">
        <v>1141</v>
      </c>
      <c r="H610" s="378"/>
      <c r="I610" s="378"/>
      <c r="J610" s="376" t="s">
        <v>168</v>
      </c>
      <c r="K610" s="376" t="s">
        <v>1190</v>
      </c>
      <c r="L610" s="376" t="s">
        <v>166</v>
      </c>
      <c r="M610" s="376" t="s">
        <v>201</v>
      </c>
      <c r="N610" s="376" t="s">
        <v>291</v>
      </c>
      <c r="O610" s="379">
        <v>0</v>
      </c>
      <c r="P610" s="460">
        <v>1</v>
      </c>
      <c r="Q610" s="460">
        <v>0</v>
      </c>
      <c r="R610" s="380">
        <v>0</v>
      </c>
      <c r="S610" s="460">
        <v>0</v>
      </c>
      <c r="T610" s="380">
        <v>0</v>
      </c>
      <c r="U610" s="380">
        <v>0</v>
      </c>
      <c r="V610" s="380">
        <v>0</v>
      </c>
      <c r="W610" s="380">
        <v>0</v>
      </c>
      <c r="X610" s="380">
        <v>0</v>
      </c>
      <c r="Y610" s="380">
        <v>0</v>
      </c>
      <c r="Z610" s="380">
        <v>0</v>
      </c>
      <c r="AA610" s="378"/>
      <c r="AB610" s="376" t="s">
        <v>45</v>
      </c>
      <c r="AC610" s="376" t="s">
        <v>45</v>
      </c>
      <c r="AD610" s="378"/>
      <c r="AE610" s="378"/>
      <c r="AF610" s="378"/>
      <c r="AG610" s="378"/>
      <c r="AH610" s="379">
        <v>0</v>
      </c>
      <c r="AI610" s="379">
        <v>0</v>
      </c>
      <c r="AJ610" s="378"/>
      <c r="AK610" s="378"/>
      <c r="AL610" s="376" t="s">
        <v>180</v>
      </c>
      <c r="AM610" s="378"/>
      <c r="AN610" s="378"/>
      <c r="AO610" s="379">
        <v>0</v>
      </c>
      <c r="AP610" s="460">
        <v>0</v>
      </c>
      <c r="AQ610" s="460">
        <v>0</v>
      </c>
      <c r="AR610" s="459"/>
      <c r="AS610" s="462">
        <f t="shared" si="153"/>
        <v>0</v>
      </c>
      <c r="AT610">
        <f t="shared" si="154"/>
        <v>0</v>
      </c>
      <c r="AU610" s="462" t="str">
        <f>IF(AT610=0,"",IF(AND(AT610=1,M610="F",SUMIF(C2:C698,C610,AS2:AS698)&lt;=1),SUMIF(C2:C698,C610,AS2:AS698),IF(AND(AT610=1,M610="F",SUMIF(C2:C698,C610,AS2:AS698)&gt;1),1,"")))</f>
        <v/>
      </c>
      <c r="AV610" s="462" t="str">
        <f>IF(AT610=0,"",IF(AND(AT610=3,M610="F",SUMIF(C2:C698,C610,AS2:AS698)&lt;=1),SUMIF(C2:C698,C610,AS2:AS698),IF(AND(AT610=3,M610="F",SUMIF(C2:C698,C610,AS2:AS698)&gt;1),1,"")))</f>
        <v/>
      </c>
      <c r="AW610" s="462">
        <f>SUMIF(C2:C698,C610,O2:O698)</f>
        <v>0</v>
      </c>
      <c r="AX610" s="462">
        <f>IF(AND(M610="F",AS610&lt;&gt;0),SUMIF(C2:C698,C610,W2:W698),0)</f>
        <v>0</v>
      </c>
      <c r="AY610" s="462" t="str">
        <f t="shared" si="155"/>
        <v/>
      </c>
      <c r="AZ610" s="462" t="str">
        <f t="shared" si="156"/>
        <v/>
      </c>
      <c r="BA610" s="462">
        <f t="shared" si="157"/>
        <v>0</v>
      </c>
      <c r="BB610" s="462">
        <f>IF(AND(AT610=1,AK610="E",AU610&gt;=0.75,AW610=1),Health,IF(AND(AT610=1,AK610="E",AU610&gt;=0.75),Health*P610,IF(AND(AT610=1,AK610="E",AU610&gt;=0.5,AW610=1),PTHealth,IF(AND(AT610=1,AK610="E",AU610&gt;=0.5),PTHealth*P610,0))))</f>
        <v>0</v>
      </c>
      <c r="BC610" s="462">
        <f>IF(AND(AT610=3,AK610="E",AV610&gt;=0.75,AW610=1),Health,IF(AND(AT610=3,AK610="E",AV610&gt;=0.75),Health*P610,IF(AND(AT610=3,AK610="E",AV610&gt;=0.5,AW610=1),PTHealth,IF(AND(AT610=3,AK610="E",AV610&gt;=0.5),PTHealth*P610,0))))</f>
        <v>0</v>
      </c>
      <c r="BD610" s="462">
        <f>IF(AND(AT610&lt;&gt;0,AX610&gt;=MAXSSDI),SSDI*MAXSSDI*P610,IF(AT610&lt;&gt;0,SSDI*W610,0))</f>
        <v>0</v>
      </c>
      <c r="BE610" s="462">
        <f>IF(AT610&lt;&gt;0,SSHI*W610,0)</f>
        <v>0</v>
      </c>
      <c r="BF610" s="462">
        <f>IF(AND(AT610&lt;&gt;0,AN610&lt;&gt;"NE"),VLOOKUP(AN610,Retirement_Rates,3,FALSE)*W610,0)</f>
        <v>0</v>
      </c>
      <c r="BG610" s="462">
        <f>IF(AND(AT610&lt;&gt;0,AJ610&lt;&gt;"PF"),Life*W610,0)</f>
        <v>0</v>
      </c>
      <c r="BH610" s="462">
        <f>IF(AND(AT610&lt;&gt;0,AM610="Y"),UI*W610,0)</f>
        <v>0</v>
      </c>
      <c r="BI610" s="462">
        <f>IF(AND(AT610&lt;&gt;0,N610&lt;&gt;"NR"),DHR*W610,0)</f>
        <v>0</v>
      </c>
      <c r="BJ610" s="462">
        <f>IF(AT610&lt;&gt;0,WC*W610,0)</f>
        <v>0</v>
      </c>
      <c r="BK610" s="462">
        <f>IF(OR(AND(AT610&lt;&gt;0,AJ610&lt;&gt;"PF",AN610&lt;&gt;"NE",AG610&lt;&gt;"A"),AND(AL610="E",OR(AT610=1,AT610=3))),Sick*W610,0)</f>
        <v>0</v>
      </c>
      <c r="BL610" s="462">
        <f t="shared" si="158"/>
        <v>0</v>
      </c>
      <c r="BM610" s="462">
        <f t="shared" si="159"/>
        <v>0</v>
      </c>
      <c r="BN610" s="462">
        <f>IF(AND(AT610=1,AK610="E",AU610&gt;=0.75,AW610=1),HealthBY,IF(AND(AT610=1,AK610="E",AU610&gt;=0.75),HealthBY*P610,IF(AND(AT610=1,AK610="E",AU610&gt;=0.5,AW610=1),PTHealthBY,IF(AND(AT610=1,AK610="E",AU610&gt;=0.5),PTHealthBY*P610,0))))</f>
        <v>0</v>
      </c>
      <c r="BO610" s="462">
        <f>IF(AND(AT610=3,AK610="E",AV610&gt;=0.75,AW610=1),HealthBY,IF(AND(AT610=3,AK610="E",AV610&gt;=0.75),HealthBY*P610,IF(AND(AT610=3,AK610="E",AV610&gt;=0.5,AW610=1),PTHealthBY,IF(AND(AT610=3,AK610="E",AV610&gt;=0.5),PTHealthBY*P610,0))))</f>
        <v>0</v>
      </c>
      <c r="BP610" s="462">
        <f>IF(AND(AT610&lt;&gt;0,(AX610+BA610)&gt;=MAXSSDIBY),SSDIBY*MAXSSDIBY*P610,IF(AT610&lt;&gt;0,SSDIBY*W610,0))</f>
        <v>0</v>
      </c>
      <c r="BQ610" s="462">
        <f>IF(AT610&lt;&gt;0,SSHIBY*W610,0)</f>
        <v>0</v>
      </c>
      <c r="BR610" s="462">
        <f>IF(AND(AT610&lt;&gt;0,AN610&lt;&gt;"NE"),VLOOKUP(AN610,Retirement_Rates,4,FALSE)*W610,0)</f>
        <v>0</v>
      </c>
      <c r="BS610" s="462">
        <f>IF(AND(AT610&lt;&gt;0,AJ610&lt;&gt;"PF"),LifeBY*W610,0)</f>
        <v>0</v>
      </c>
      <c r="BT610" s="462">
        <f>IF(AND(AT610&lt;&gt;0,AM610="Y"),UIBY*W610,0)</f>
        <v>0</v>
      </c>
      <c r="BU610" s="462">
        <f>IF(AND(AT610&lt;&gt;0,N610&lt;&gt;"NR"),DHRBY*W610,0)</f>
        <v>0</v>
      </c>
      <c r="BV610" s="462">
        <f>IF(AT610&lt;&gt;0,WCBY*W610,0)</f>
        <v>0</v>
      </c>
      <c r="BW610" s="462">
        <f>IF(OR(AND(AT610&lt;&gt;0,AJ610&lt;&gt;"PF",AN610&lt;&gt;"NE",AG610&lt;&gt;"A"),AND(AL610="E",OR(AT610=1,AT610=3))),SickBY*W610,0)</f>
        <v>0</v>
      </c>
      <c r="BX610" s="462">
        <f t="shared" si="160"/>
        <v>0</v>
      </c>
      <c r="BY610" s="462">
        <f t="shared" si="161"/>
        <v>0</v>
      </c>
      <c r="BZ610" s="462">
        <f t="shared" si="162"/>
        <v>0</v>
      </c>
      <c r="CA610" s="462">
        <f t="shared" si="163"/>
        <v>0</v>
      </c>
      <c r="CB610" s="462">
        <f t="shared" si="164"/>
        <v>0</v>
      </c>
      <c r="CC610" s="462">
        <f>IF(AT610&lt;&gt;0,SSHICHG*Y610,0)</f>
        <v>0</v>
      </c>
      <c r="CD610" s="462">
        <f>IF(AND(AT610&lt;&gt;0,AN610&lt;&gt;"NE"),VLOOKUP(AN610,Retirement_Rates,5,FALSE)*Y610,0)</f>
        <v>0</v>
      </c>
      <c r="CE610" s="462">
        <f>IF(AND(AT610&lt;&gt;0,AJ610&lt;&gt;"PF"),LifeCHG*Y610,0)</f>
        <v>0</v>
      </c>
      <c r="CF610" s="462">
        <f>IF(AND(AT610&lt;&gt;0,AM610="Y"),UICHG*Y610,0)</f>
        <v>0</v>
      </c>
      <c r="CG610" s="462">
        <f>IF(AND(AT610&lt;&gt;0,N610&lt;&gt;"NR"),DHRCHG*Y610,0)</f>
        <v>0</v>
      </c>
      <c r="CH610" s="462">
        <f>IF(AT610&lt;&gt;0,WCCHG*Y610,0)</f>
        <v>0</v>
      </c>
      <c r="CI610" s="462">
        <f>IF(OR(AND(AT610&lt;&gt;0,AJ610&lt;&gt;"PF",AN610&lt;&gt;"NE",AG610&lt;&gt;"A"),AND(AL610="E",OR(AT610=1,AT610=3))),SickCHG*Y610,0)</f>
        <v>0</v>
      </c>
      <c r="CJ610" s="462">
        <f t="shared" si="165"/>
        <v>0</v>
      </c>
      <c r="CK610" s="462" t="str">
        <f t="shared" si="166"/>
        <v/>
      </c>
      <c r="CL610" s="462">
        <f t="shared" si="167"/>
        <v>0</v>
      </c>
      <c r="CM610" s="462">
        <f t="shared" si="168"/>
        <v>0</v>
      </c>
      <c r="CN610" s="462" t="str">
        <f t="shared" si="169"/>
        <v>0486-00</v>
      </c>
    </row>
    <row r="611" spans="1:92" ht="15" thickBot="1" x14ac:dyDescent="0.35">
      <c r="A611" s="376" t="s">
        <v>161</v>
      </c>
      <c r="B611" s="376" t="s">
        <v>162</v>
      </c>
      <c r="C611" s="376" t="s">
        <v>1318</v>
      </c>
      <c r="D611" s="376" t="s">
        <v>250</v>
      </c>
      <c r="E611" s="376" t="s">
        <v>1140</v>
      </c>
      <c r="F611" s="377" t="s">
        <v>166</v>
      </c>
      <c r="G611" s="376" t="s">
        <v>1141</v>
      </c>
      <c r="H611" s="378"/>
      <c r="I611" s="378"/>
      <c r="J611" s="376" t="s">
        <v>168</v>
      </c>
      <c r="K611" s="376" t="s">
        <v>251</v>
      </c>
      <c r="L611" s="376" t="s">
        <v>180</v>
      </c>
      <c r="M611" s="376" t="s">
        <v>170</v>
      </c>
      <c r="N611" s="376" t="s">
        <v>202</v>
      </c>
      <c r="O611" s="379">
        <v>1</v>
      </c>
      <c r="P611" s="460">
        <v>1</v>
      </c>
      <c r="Q611" s="460">
        <v>1</v>
      </c>
      <c r="R611" s="380">
        <v>80</v>
      </c>
      <c r="S611" s="460">
        <v>1</v>
      </c>
      <c r="T611" s="380">
        <v>66179.199999999997</v>
      </c>
      <c r="U611" s="380">
        <v>0</v>
      </c>
      <c r="V611" s="380">
        <v>26097.84</v>
      </c>
      <c r="W611" s="380">
        <v>68681.600000000006</v>
      </c>
      <c r="X611" s="380">
        <v>27197.41</v>
      </c>
      <c r="Y611" s="380">
        <v>68681.600000000006</v>
      </c>
      <c r="Z611" s="380">
        <v>27018.85</v>
      </c>
      <c r="AA611" s="376" t="s">
        <v>1319</v>
      </c>
      <c r="AB611" s="376" t="s">
        <v>1320</v>
      </c>
      <c r="AC611" s="376" t="s">
        <v>1321</v>
      </c>
      <c r="AD611" s="376" t="s">
        <v>349</v>
      </c>
      <c r="AE611" s="376" t="s">
        <v>251</v>
      </c>
      <c r="AF611" s="376" t="s">
        <v>256</v>
      </c>
      <c r="AG611" s="376" t="s">
        <v>177</v>
      </c>
      <c r="AH611" s="381">
        <v>33.020000000000003</v>
      </c>
      <c r="AI611" s="381">
        <v>49359.4</v>
      </c>
      <c r="AJ611" s="376" t="s">
        <v>178</v>
      </c>
      <c r="AK611" s="376" t="s">
        <v>179</v>
      </c>
      <c r="AL611" s="376" t="s">
        <v>180</v>
      </c>
      <c r="AM611" s="376" t="s">
        <v>181</v>
      </c>
      <c r="AN611" s="376" t="s">
        <v>68</v>
      </c>
      <c r="AO611" s="379">
        <v>80</v>
      </c>
      <c r="AP611" s="460">
        <v>1</v>
      </c>
      <c r="AQ611" s="460">
        <v>1</v>
      </c>
      <c r="AR611" s="458" t="s">
        <v>182</v>
      </c>
      <c r="AS611" s="462">
        <f t="shared" si="153"/>
        <v>1</v>
      </c>
      <c r="AT611">
        <f t="shared" si="154"/>
        <v>1</v>
      </c>
      <c r="AU611" s="462">
        <f>IF(AT611=0,"",IF(AND(AT611=1,M611="F",SUMIF(C2:C698,C611,AS2:AS698)&lt;=1),SUMIF(C2:C698,C611,AS2:AS698),IF(AND(AT611=1,M611="F",SUMIF(C2:C698,C611,AS2:AS698)&gt;1),1,"")))</f>
        <v>1</v>
      </c>
      <c r="AV611" s="462" t="str">
        <f>IF(AT611=0,"",IF(AND(AT611=3,M611="F",SUMIF(C2:C698,C611,AS2:AS698)&lt;=1),SUMIF(C2:C698,C611,AS2:AS698),IF(AND(AT611=3,M611="F",SUMIF(C2:C698,C611,AS2:AS698)&gt;1),1,"")))</f>
        <v/>
      </c>
      <c r="AW611" s="462">
        <f>SUMIF(C2:C698,C611,O2:O698)</f>
        <v>1</v>
      </c>
      <c r="AX611" s="462">
        <f>IF(AND(M611="F",AS611&lt;&gt;0),SUMIF(C2:C698,C611,W2:W698),0)</f>
        <v>68681.600000000006</v>
      </c>
      <c r="AY611" s="462">
        <f t="shared" si="155"/>
        <v>68681.600000000006</v>
      </c>
      <c r="AZ611" s="462" t="str">
        <f t="shared" si="156"/>
        <v/>
      </c>
      <c r="BA611" s="462">
        <f t="shared" si="157"/>
        <v>0</v>
      </c>
      <c r="BB611" s="462">
        <f>IF(AND(AT611=1,AK611="E",AU611&gt;=0.75,AW611=1),Health,IF(AND(AT611=1,AK611="E",AU611&gt;=0.75),Health*P611,IF(AND(AT611=1,AK611="E",AU611&gt;=0.5,AW611=1),PTHealth,IF(AND(AT611=1,AK611="E",AU611&gt;=0.5),PTHealth*P611,0))))</f>
        <v>11650</v>
      </c>
      <c r="BC611" s="462">
        <f>IF(AND(AT611=3,AK611="E",AV611&gt;=0.75,AW611=1),Health,IF(AND(AT611=3,AK611="E",AV611&gt;=0.75),Health*P611,IF(AND(AT611=3,AK611="E",AV611&gt;=0.5,AW611=1),PTHealth,IF(AND(AT611=3,AK611="E",AV611&gt;=0.5),PTHealth*P611,0))))</f>
        <v>0</v>
      </c>
      <c r="BD611" s="462">
        <f>IF(AND(AT611&lt;&gt;0,AX611&gt;=MAXSSDI),SSDI*MAXSSDI*P611,IF(AT611&lt;&gt;0,SSDI*W611,0))</f>
        <v>4258.2592000000004</v>
      </c>
      <c r="BE611" s="462">
        <f>IF(AT611&lt;&gt;0,SSHI*W611,0)</f>
        <v>995.8832000000001</v>
      </c>
      <c r="BF611" s="462">
        <f>IF(AND(AT611&lt;&gt;0,AN611&lt;&gt;"NE"),VLOOKUP(AN611,Retirement_Rates,3,FALSE)*W611,0)</f>
        <v>8200.5830400000013</v>
      </c>
      <c r="BG611" s="462">
        <f>IF(AND(AT611&lt;&gt;0,AJ611&lt;&gt;"PF"),Life*W611,0)</f>
        <v>495.19433600000008</v>
      </c>
      <c r="BH611" s="462">
        <f>IF(AND(AT611&lt;&gt;0,AM611="Y"),UI*W611,0)</f>
        <v>336.53984000000003</v>
      </c>
      <c r="BI611" s="462">
        <f>IF(AND(AT611&lt;&gt;0,N611&lt;&gt;"NR"),DHR*W611,0)</f>
        <v>210.165696</v>
      </c>
      <c r="BJ611" s="462">
        <f>IF(AT611&lt;&gt;0,WC*W611,0)</f>
        <v>1050.8284800000001</v>
      </c>
      <c r="BK611" s="462">
        <f>IF(OR(AND(AT611&lt;&gt;0,AJ611&lt;&gt;"PF",AN611&lt;&gt;"NE",AG611&lt;&gt;"A"),AND(AL611="E",OR(AT611=1,AT611=3))),Sick*W611,0)</f>
        <v>0</v>
      </c>
      <c r="BL611" s="462">
        <f t="shared" si="158"/>
        <v>15547.453792000002</v>
      </c>
      <c r="BM611" s="462">
        <f t="shared" si="159"/>
        <v>0</v>
      </c>
      <c r="BN611" s="462">
        <f>IF(AND(AT611=1,AK611="E",AU611&gt;=0.75,AW611=1),HealthBY,IF(AND(AT611=1,AK611="E",AU611&gt;=0.75),HealthBY*P611,IF(AND(AT611=1,AK611="E",AU611&gt;=0.5,AW611=1),PTHealthBY,IF(AND(AT611=1,AK611="E",AU611&gt;=0.5),PTHealthBY*P611,0))))</f>
        <v>11650</v>
      </c>
      <c r="BO611" s="462">
        <f>IF(AND(AT611=3,AK611="E",AV611&gt;=0.75,AW611=1),HealthBY,IF(AND(AT611=3,AK611="E",AV611&gt;=0.75),HealthBY*P611,IF(AND(AT611=3,AK611="E",AV611&gt;=0.5,AW611=1),PTHealthBY,IF(AND(AT611=3,AK611="E",AV611&gt;=0.5),PTHealthBY*P611,0))))</f>
        <v>0</v>
      </c>
      <c r="BP611" s="462">
        <f>IF(AND(AT611&lt;&gt;0,(AX611+BA611)&gt;=MAXSSDIBY),SSDIBY*MAXSSDIBY*P611,IF(AT611&lt;&gt;0,SSDIBY*W611,0))</f>
        <v>4258.2592000000004</v>
      </c>
      <c r="BQ611" s="462">
        <f>IF(AT611&lt;&gt;0,SSHIBY*W611,0)</f>
        <v>995.8832000000001</v>
      </c>
      <c r="BR611" s="462">
        <f>IF(AND(AT611&lt;&gt;0,AN611&lt;&gt;"NE"),VLOOKUP(AN611,Retirement_Rates,4,FALSE)*W611,0)</f>
        <v>8200.5830400000013</v>
      </c>
      <c r="BS611" s="462">
        <f>IF(AND(AT611&lt;&gt;0,AJ611&lt;&gt;"PF"),LifeBY*W611,0)</f>
        <v>495.19433600000008</v>
      </c>
      <c r="BT611" s="462">
        <f>IF(AND(AT611&lt;&gt;0,AM611="Y"),UIBY*W611,0)</f>
        <v>0</v>
      </c>
      <c r="BU611" s="462">
        <f>IF(AND(AT611&lt;&gt;0,N611&lt;&gt;"NR"),DHRBY*W611,0)</f>
        <v>210.165696</v>
      </c>
      <c r="BV611" s="462">
        <f>IF(AT611&lt;&gt;0,WCBY*W611,0)</f>
        <v>1208.7961600000001</v>
      </c>
      <c r="BW611" s="462">
        <f>IF(OR(AND(AT611&lt;&gt;0,AJ611&lt;&gt;"PF",AN611&lt;&gt;"NE",AG611&lt;&gt;"A"),AND(AL611="E",OR(AT611=1,AT611=3))),SickBY*W611,0)</f>
        <v>0</v>
      </c>
      <c r="BX611" s="462">
        <f t="shared" si="160"/>
        <v>15368.881632000002</v>
      </c>
      <c r="BY611" s="462">
        <f t="shared" si="161"/>
        <v>0</v>
      </c>
      <c r="BZ611" s="462">
        <f t="shared" si="162"/>
        <v>0</v>
      </c>
      <c r="CA611" s="462">
        <f t="shared" si="163"/>
        <v>0</v>
      </c>
      <c r="CB611" s="462">
        <f t="shared" si="164"/>
        <v>0</v>
      </c>
      <c r="CC611" s="462">
        <f>IF(AT611&lt;&gt;0,SSHICHG*Y611,0)</f>
        <v>0</v>
      </c>
      <c r="CD611" s="462">
        <f>IF(AND(AT611&lt;&gt;0,AN611&lt;&gt;"NE"),VLOOKUP(AN611,Retirement_Rates,5,FALSE)*Y611,0)</f>
        <v>0</v>
      </c>
      <c r="CE611" s="462">
        <f>IF(AND(AT611&lt;&gt;0,AJ611&lt;&gt;"PF"),LifeCHG*Y611,0)</f>
        <v>0</v>
      </c>
      <c r="CF611" s="462">
        <f>IF(AND(AT611&lt;&gt;0,AM611="Y"),UICHG*Y611,0)</f>
        <v>-336.53984000000003</v>
      </c>
      <c r="CG611" s="462">
        <f>IF(AND(AT611&lt;&gt;0,N611&lt;&gt;"NR"),DHRCHG*Y611,0)</f>
        <v>0</v>
      </c>
      <c r="CH611" s="462">
        <f>IF(AT611&lt;&gt;0,WCCHG*Y611,0)</f>
        <v>157.96768000000014</v>
      </c>
      <c r="CI611" s="462">
        <f>IF(OR(AND(AT611&lt;&gt;0,AJ611&lt;&gt;"PF",AN611&lt;&gt;"NE",AG611&lt;&gt;"A"),AND(AL611="E",OR(AT611=1,AT611=3))),SickCHG*Y611,0)</f>
        <v>0</v>
      </c>
      <c r="CJ611" s="462">
        <f t="shared" si="165"/>
        <v>-178.57215999999988</v>
      </c>
      <c r="CK611" s="462" t="str">
        <f t="shared" si="166"/>
        <v/>
      </c>
      <c r="CL611" s="462" t="str">
        <f t="shared" si="167"/>
        <v/>
      </c>
      <c r="CM611" s="462" t="str">
        <f t="shared" si="168"/>
        <v/>
      </c>
      <c r="CN611" s="462" t="str">
        <f t="shared" si="169"/>
        <v>0486-00</v>
      </c>
    </row>
    <row r="612" spans="1:92" ht="15" thickBot="1" x14ac:dyDescent="0.35">
      <c r="A612" s="376" t="s">
        <v>161</v>
      </c>
      <c r="B612" s="376" t="s">
        <v>162</v>
      </c>
      <c r="C612" s="376" t="s">
        <v>1322</v>
      </c>
      <c r="D612" s="376" t="s">
        <v>1181</v>
      </c>
      <c r="E612" s="376" t="s">
        <v>1140</v>
      </c>
      <c r="F612" s="377" t="s">
        <v>166</v>
      </c>
      <c r="G612" s="376" t="s">
        <v>1141</v>
      </c>
      <c r="H612" s="378"/>
      <c r="I612" s="378"/>
      <c r="J612" s="376" t="s">
        <v>168</v>
      </c>
      <c r="K612" s="376" t="s">
        <v>1182</v>
      </c>
      <c r="L612" s="376" t="s">
        <v>166</v>
      </c>
      <c r="M612" s="376" t="s">
        <v>201</v>
      </c>
      <c r="N612" s="376" t="s">
        <v>291</v>
      </c>
      <c r="O612" s="379">
        <v>0</v>
      </c>
      <c r="P612" s="460">
        <v>1</v>
      </c>
      <c r="Q612" s="460">
        <v>0</v>
      </c>
      <c r="R612" s="380">
        <v>0</v>
      </c>
      <c r="S612" s="460">
        <v>0</v>
      </c>
      <c r="T612" s="380">
        <v>0</v>
      </c>
      <c r="U612" s="380">
        <v>0</v>
      </c>
      <c r="V612" s="380">
        <v>0</v>
      </c>
      <c r="W612" s="380">
        <v>0</v>
      </c>
      <c r="X612" s="380">
        <v>0</v>
      </c>
      <c r="Y612" s="380">
        <v>0</v>
      </c>
      <c r="Z612" s="380">
        <v>0</v>
      </c>
      <c r="AA612" s="378"/>
      <c r="AB612" s="376" t="s">
        <v>45</v>
      </c>
      <c r="AC612" s="376" t="s">
        <v>45</v>
      </c>
      <c r="AD612" s="378"/>
      <c r="AE612" s="378"/>
      <c r="AF612" s="378"/>
      <c r="AG612" s="378"/>
      <c r="AH612" s="379">
        <v>0</v>
      </c>
      <c r="AI612" s="379">
        <v>0</v>
      </c>
      <c r="AJ612" s="378"/>
      <c r="AK612" s="378"/>
      <c r="AL612" s="376" t="s">
        <v>180</v>
      </c>
      <c r="AM612" s="378"/>
      <c r="AN612" s="378"/>
      <c r="AO612" s="379">
        <v>0</v>
      </c>
      <c r="AP612" s="460">
        <v>0</v>
      </c>
      <c r="AQ612" s="460">
        <v>0</v>
      </c>
      <c r="AR612" s="459"/>
      <c r="AS612" s="462">
        <f t="shared" si="153"/>
        <v>0</v>
      </c>
      <c r="AT612">
        <f t="shared" si="154"/>
        <v>0</v>
      </c>
      <c r="AU612" s="462" t="str">
        <f>IF(AT612=0,"",IF(AND(AT612=1,M612="F",SUMIF(C2:C698,C612,AS2:AS698)&lt;=1),SUMIF(C2:C698,C612,AS2:AS698),IF(AND(AT612=1,M612="F",SUMIF(C2:C698,C612,AS2:AS698)&gt;1),1,"")))</f>
        <v/>
      </c>
      <c r="AV612" s="462" t="str">
        <f>IF(AT612=0,"",IF(AND(AT612=3,M612="F",SUMIF(C2:C698,C612,AS2:AS698)&lt;=1),SUMIF(C2:C698,C612,AS2:AS698),IF(AND(AT612=3,M612="F",SUMIF(C2:C698,C612,AS2:AS698)&gt;1),1,"")))</f>
        <v/>
      </c>
      <c r="AW612" s="462">
        <f>SUMIF(C2:C698,C612,O2:O698)</f>
        <v>0</v>
      </c>
      <c r="AX612" s="462">
        <f>IF(AND(M612="F",AS612&lt;&gt;0),SUMIF(C2:C698,C612,W2:W698),0)</f>
        <v>0</v>
      </c>
      <c r="AY612" s="462" t="str">
        <f t="shared" si="155"/>
        <v/>
      </c>
      <c r="AZ612" s="462" t="str">
        <f t="shared" si="156"/>
        <v/>
      </c>
      <c r="BA612" s="462">
        <f t="shared" si="157"/>
        <v>0</v>
      </c>
      <c r="BB612" s="462">
        <f>IF(AND(AT612=1,AK612="E",AU612&gt;=0.75,AW612=1),Health,IF(AND(AT612=1,AK612="E",AU612&gt;=0.75),Health*P612,IF(AND(AT612=1,AK612="E",AU612&gt;=0.5,AW612=1),PTHealth,IF(AND(AT612=1,AK612="E",AU612&gt;=0.5),PTHealth*P612,0))))</f>
        <v>0</v>
      </c>
      <c r="BC612" s="462">
        <f>IF(AND(AT612=3,AK612="E",AV612&gt;=0.75,AW612=1),Health,IF(AND(AT612=3,AK612="E",AV612&gt;=0.75),Health*P612,IF(AND(AT612=3,AK612="E",AV612&gt;=0.5,AW612=1),PTHealth,IF(AND(AT612=3,AK612="E",AV612&gt;=0.5),PTHealth*P612,0))))</f>
        <v>0</v>
      </c>
      <c r="BD612" s="462">
        <f>IF(AND(AT612&lt;&gt;0,AX612&gt;=MAXSSDI),SSDI*MAXSSDI*P612,IF(AT612&lt;&gt;0,SSDI*W612,0))</f>
        <v>0</v>
      </c>
      <c r="BE612" s="462">
        <f>IF(AT612&lt;&gt;0,SSHI*W612,0)</f>
        <v>0</v>
      </c>
      <c r="BF612" s="462">
        <f>IF(AND(AT612&lt;&gt;0,AN612&lt;&gt;"NE"),VLOOKUP(AN612,Retirement_Rates,3,FALSE)*W612,0)</f>
        <v>0</v>
      </c>
      <c r="BG612" s="462">
        <f>IF(AND(AT612&lt;&gt;0,AJ612&lt;&gt;"PF"),Life*W612,0)</f>
        <v>0</v>
      </c>
      <c r="BH612" s="462">
        <f>IF(AND(AT612&lt;&gt;0,AM612="Y"),UI*W612,0)</f>
        <v>0</v>
      </c>
      <c r="BI612" s="462">
        <f>IF(AND(AT612&lt;&gt;0,N612&lt;&gt;"NR"),DHR*W612,0)</f>
        <v>0</v>
      </c>
      <c r="BJ612" s="462">
        <f>IF(AT612&lt;&gt;0,WC*W612,0)</f>
        <v>0</v>
      </c>
      <c r="BK612" s="462">
        <f>IF(OR(AND(AT612&lt;&gt;0,AJ612&lt;&gt;"PF",AN612&lt;&gt;"NE",AG612&lt;&gt;"A"),AND(AL612="E",OR(AT612=1,AT612=3))),Sick*W612,0)</f>
        <v>0</v>
      </c>
      <c r="BL612" s="462">
        <f t="shared" si="158"/>
        <v>0</v>
      </c>
      <c r="BM612" s="462">
        <f t="shared" si="159"/>
        <v>0</v>
      </c>
      <c r="BN612" s="462">
        <f>IF(AND(AT612=1,AK612="E",AU612&gt;=0.75,AW612=1),HealthBY,IF(AND(AT612=1,AK612="E",AU612&gt;=0.75),HealthBY*P612,IF(AND(AT612=1,AK612="E",AU612&gt;=0.5,AW612=1),PTHealthBY,IF(AND(AT612=1,AK612="E",AU612&gt;=0.5),PTHealthBY*P612,0))))</f>
        <v>0</v>
      </c>
      <c r="BO612" s="462">
        <f>IF(AND(AT612=3,AK612="E",AV612&gt;=0.75,AW612=1),HealthBY,IF(AND(AT612=3,AK612="E",AV612&gt;=0.75),HealthBY*P612,IF(AND(AT612=3,AK612="E",AV612&gt;=0.5,AW612=1),PTHealthBY,IF(AND(AT612=3,AK612="E",AV612&gt;=0.5),PTHealthBY*P612,0))))</f>
        <v>0</v>
      </c>
      <c r="BP612" s="462">
        <f>IF(AND(AT612&lt;&gt;0,(AX612+BA612)&gt;=MAXSSDIBY),SSDIBY*MAXSSDIBY*P612,IF(AT612&lt;&gt;0,SSDIBY*W612,0))</f>
        <v>0</v>
      </c>
      <c r="BQ612" s="462">
        <f>IF(AT612&lt;&gt;0,SSHIBY*W612,0)</f>
        <v>0</v>
      </c>
      <c r="BR612" s="462">
        <f>IF(AND(AT612&lt;&gt;0,AN612&lt;&gt;"NE"),VLOOKUP(AN612,Retirement_Rates,4,FALSE)*W612,0)</f>
        <v>0</v>
      </c>
      <c r="BS612" s="462">
        <f>IF(AND(AT612&lt;&gt;0,AJ612&lt;&gt;"PF"),LifeBY*W612,0)</f>
        <v>0</v>
      </c>
      <c r="BT612" s="462">
        <f>IF(AND(AT612&lt;&gt;0,AM612="Y"),UIBY*W612,0)</f>
        <v>0</v>
      </c>
      <c r="BU612" s="462">
        <f>IF(AND(AT612&lt;&gt;0,N612&lt;&gt;"NR"),DHRBY*W612,0)</f>
        <v>0</v>
      </c>
      <c r="BV612" s="462">
        <f>IF(AT612&lt;&gt;0,WCBY*W612,0)</f>
        <v>0</v>
      </c>
      <c r="BW612" s="462">
        <f>IF(OR(AND(AT612&lt;&gt;0,AJ612&lt;&gt;"PF",AN612&lt;&gt;"NE",AG612&lt;&gt;"A"),AND(AL612="E",OR(AT612=1,AT612=3))),SickBY*W612,0)</f>
        <v>0</v>
      </c>
      <c r="BX612" s="462">
        <f t="shared" si="160"/>
        <v>0</v>
      </c>
      <c r="BY612" s="462">
        <f t="shared" si="161"/>
        <v>0</v>
      </c>
      <c r="BZ612" s="462">
        <f t="shared" si="162"/>
        <v>0</v>
      </c>
      <c r="CA612" s="462">
        <f t="shared" si="163"/>
        <v>0</v>
      </c>
      <c r="CB612" s="462">
        <f t="shared" si="164"/>
        <v>0</v>
      </c>
      <c r="CC612" s="462">
        <f>IF(AT612&lt;&gt;0,SSHICHG*Y612,0)</f>
        <v>0</v>
      </c>
      <c r="CD612" s="462">
        <f>IF(AND(AT612&lt;&gt;0,AN612&lt;&gt;"NE"),VLOOKUP(AN612,Retirement_Rates,5,FALSE)*Y612,0)</f>
        <v>0</v>
      </c>
      <c r="CE612" s="462">
        <f>IF(AND(AT612&lt;&gt;0,AJ612&lt;&gt;"PF"),LifeCHG*Y612,0)</f>
        <v>0</v>
      </c>
      <c r="CF612" s="462">
        <f>IF(AND(AT612&lt;&gt;0,AM612="Y"),UICHG*Y612,0)</f>
        <v>0</v>
      </c>
      <c r="CG612" s="462">
        <f>IF(AND(AT612&lt;&gt;0,N612&lt;&gt;"NR"),DHRCHG*Y612,0)</f>
        <v>0</v>
      </c>
      <c r="CH612" s="462">
        <f>IF(AT612&lt;&gt;0,WCCHG*Y612,0)</f>
        <v>0</v>
      </c>
      <c r="CI612" s="462">
        <f>IF(OR(AND(AT612&lt;&gt;0,AJ612&lt;&gt;"PF",AN612&lt;&gt;"NE",AG612&lt;&gt;"A"),AND(AL612="E",OR(AT612=1,AT612=3))),SickCHG*Y612,0)</f>
        <v>0</v>
      </c>
      <c r="CJ612" s="462">
        <f t="shared" si="165"/>
        <v>0</v>
      </c>
      <c r="CK612" s="462" t="str">
        <f t="shared" si="166"/>
        <v/>
      </c>
      <c r="CL612" s="462">
        <f t="shared" si="167"/>
        <v>0</v>
      </c>
      <c r="CM612" s="462">
        <f t="shared" si="168"/>
        <v>0</v>
      </c>
      <c r="CN612" s="462" t="str">
        <f t="shared" si="169"/>
        <v>0486-00</v>
      </c>
    </row>
    <row r="613" spans="1:92" ht="15" thickBot="1" x14ac:dyDescent="0.35">
      <c r="A613" s="376" t="s">
        <v>161</v>
      </c>
      <c r="B613" s="376" t="s">
        <v>162</v>
      </c>
      <c r="C613" s="376" t="s">
        <v>1323</v>
      </c>
      <c r="D613" s="376" t="s">
        <v>1189</v>
      </c>
      <c r="E613" s="376" t="s">
        <v>1140</v>
      </c>
      <c r="F613" s="377" t="s">
        <v>166</v>
      </c>
      <c r="G613" s="376" t="s">
        <v>1141</v>
      </c>
      <c r="H613" s="378"/>
      <c r="I613" s="378"/>
      <c r="J613" s="376" t="s">
        <v>168</v>
      </c>
      <c r="K613" s="376" t="s">
        <v>1190</v>
      </c>
      <c r="L613" s="376" t="s">
        <v>166</v>
      </c>
      <c r="M613" s="376" t="s">
        <v>201</v>
      </c>
      <c r="N613" s="376" t="s">
        <v>291</v>
      </c>
      <c r="O613" s="379">
        <v>0</v>
      </c>
      <c r="P613" s="460">
        <v>1</v>
      </c>
      <c r="Q613" s="460">
        <v>0</v>
      </c>
      <c r="R613" s="380">
        <v>0</v>
      </c>
      <c r="S613" s="460">
        <v>0</v>
      </c>
      <c r="T613" s="380">
        <v>0</v>
      </c>
      <c r="U613" s="380">
        <v>0</v>
      </c>
      <c r="V613" s="380">
        <v>0</v>
      </c>
      <c r="W613" s="380">
        <v>0</v>
      </c>
      <c r="X613" s="380">
        <v>0</v>
      </c>
      <c r="Y613" s="380">
        <v>0</v>
      </c>
      <c r="Z613" s="380">
        <v>0</v>
      </c>
      <c r="AA613" s="378"/>
      <c r="AB613" s="376" t="s">
        <v>45</v>
      </c>
      <c r="AC613" s="376" t="s">
        <v>45</v>
      </c>
      <c r="AD613" s="378"/>
      <c r="AE613" s="378"/>
      <c r="AF613" s="378"/>
      <c r="AG613" s="378"/>
      <c r="AH613" s="379">
        <v>0</v>
      </c>
      <c r="AI613" s="379">
        <v>0</v>
      </c>
      <c r="AJ613" s="378"/>
      <c r="AK613" s="378"/>
      <c r="AL613" s="376" t="s">
        <v>180</v>
      </c>
      <c r="AM613" s="378"/>
      <c r="AN613" s="378"/>
      <c r="AO613" s="379">
        <v>0</v>
      </c>
      <c r="AP613" s="460">
        <v>0</v>
      </c>
      <c r="AQ613" s="460">
        <v>0</v>
      </c>
      <c r="AR613" s="459"/>
      <c r="AS613" s="462">
        <f t="shared" si="153"/>
        <v>0</v>
      </c>
      <c r="AT613">
        <f t="shared" si="154"/>
        <v>0</v>
      </c>
      <c r="AU613" s="462" t="str">
        <f>IF(AT613=0,"",IF(AND(AT613=1,M613="F",SUMIF(C2:C698,C613,AS2:AS698)&lt;=1),SUMIF(C2:C698,C613,AS2:AS698),IF(AND(AT613=1,M613="F",SUMIF(C2:C698,C613,AS2:AS698)&gt;1),1,"")))</f>
        <v/>
      </c>
      <c r="AV613" s="462" t="str">
        <f>IF(AT613=0,"",IF(AND(AT613=3,M613="F",SUMIF(C2:C698,C613,AS2:AS698)&lt;=1),SUMIF(C2:C698,C613,AS2:AS698),IF(AND(AT613=3,M613="F",SUMIF(C2:C698,C613,AS2:AS698)&gt;1),1,"")))</f>
        <v/>
      </c>
      <c r="AW613" s="462">
        <f>SUMIF(C2:C698,C613,O2:O698)</f>
        <v>0</v>
      </c>
      <c r="AX613" s="462">
        <f>IF(AND(M613="F",AS613&lt;&gt;0),SUMIF(C2:C698,C613,W2:W698),0)</f>
        <v>0</v>
      </c>
      <c r="AY613" s="462" t="str">
        <f t="shared" si="155"/>
        <v/>
      </c>
      <c r="AZ613" s="462" t="str">
        <f t="shared" si="156"/>
        <v/>
      </c>
      <c r="BA613" s="462">
        <f t="shared" si="157"/>
        <v>0</v>
      </c>
      <c r="BB613" s="462">
        <f>IF(AND(AT613=1,AK613="E",AU613&gt;=0.75,AW613=1),Health,IF(AND(AT613=1,AK613="E",AU613&gt;=0.75),Health*P613,IF(AND(AT613=1,AK613="E",AU613&gt;=0.5,AW613=1),PTHealth,IF(AND(AT613=1,AK613="E",AU613&gt;=0.5),PTHealth*P613,0))))</f>
        <v>0</v>
      </c>
      <c r="BC613" s="462">
        <f>IF(AND(AT613=3,AK613="E",AV613&gt;=0.75,AW613=1),Health,IF(AND(AT613=3,AK613="E",AV613&gt;=0.75),Health*P613,IF(AND(AT613=3,AK613="E",AV613&gt;=0.5,AW613=1),PTHealth,IF(AND(AT613=3,AK613="E",AV613&gt;=0.5),PTHealth*P613,0))))</f>
        <v>0</v>
      </c>
      <c r="BD613" s="462">
        <f>IF(AND(AT613&lt;&gt;0,AX613&gt;=MAXSSDI),SSDI*MAXSSDI*P613,IF(AT613&lt;&gt;0,SSDI*W613,0))</f>
        <v>0</v>
      </c>
      <c r="BE613" s="462">
        <f>IF(AT613&lt;&gt;0,SSHI*W613,0)</f>
        <v>0</v>
      </c>
      <c r="BF613" s="462">
        <f>IF(AND(AT613&lt;&gt;0,AN613&lt;&gt;"NE"),VLOOKUP(AN613,Retirement_Rates,3,FALSE)*W613,0)</f>
        <v>0</v>
      </c>
      <c r="BG613" s="462">
        <f>IF(AND(AT613&lt;&gt;0,AJ613&lt;&gt;"PF"),Life*W613,0)</f>
        <v>0</v>
      </c>
      <c r="BH613" s="462">
        <f>IF(AND(AT613&lt;&gt;0,AM613="Y"),UI*W613,0)</f>
        <v>0</v>
      </c>
      <c r="BI613" s="462">
        <f>IF(AND(AT613&lt;&gt;0,N613&lt;&gt;"NR"),DHR*W613,0)</f>
        <v>0</v>
      </c>
      <c r="BJ613" s="462">
        <f>IF(AT613&lt;&gt;0,WC*W613,0)</f>
        <v>0</v>
      </c>
      <c r="BK613" s="462">
        <f>IF(OR(AND(AT613&lt;&gt;0,AJ613&lt;&gt;"PF",AN613&lt;&gt;"NE",AG613&lt;&gt;"A"),AND(AL613="E",OR(AT613=1,AT613=3))),Sick*W613,0)</f>
        <v>0</v>
      </c>
      <c r="BL613" s="462">
        <f t="shared" si="158"/>
        <v>0</v>
      </c>
      <c r="BM613" s="462">
        <f t="shared" si="159"/>
        <v>0</v>
      </c>
      <c r="BN613" s="462">
        <f>IF(AND(AT613=1,AK613="E",AU613&gt;=0.75,AW613=1),HealthBY,IF(AND(AT613=1,AK613="E",AU613&gt;=0.75),HealthBY*P613,IF(AND(AT613=1,AK613="E",AU613&gt;=0.5,AW613=1),PTHealthBY,IF(AND(AT613=1,AK613="E",AU613&gt;=0.5),PTHealthBY*P613,0))))</f>
        <v>0</v>
      </c>
      <c r="BO613" s="462">
        <f>IF(AND(AT613=3,AK613="E",AV613&gt;=0.75,AW613=1),HealthBY,IF(AND(AT613=3,AK613="E",AV613&gt;=0.75),HealthBY*P613,IF(AND(AT613=3,AK613="E",AV613&gt;=0.5,AW613=1),PTHealthBY,IF(AND(AT613=3,AK613="E",AV613&gt;=0.5),PTHealthBY*P613,0))))</f>
        <v>0</v>
      </c>
      <c r="BP613" s="462">
        <f>IF(AND(AT613&lt;&gt;0,(AX613+BA613)&gt;=MAXSSDIBY),SSDIBY*MAXSSDIBY*P613,IF(AT613&lt;&gt;0,SSDIBY*W613,0))</f>
        <v>0</v>
      </c>
      <c r="BQ613" s="462">
        <f>IF(AT613&lt;&gt;0,SSHIBY*W613,0)</f>
        <v>0</v>
      </c>
      <c r="BR613" s="462">
        <f>IF(AND(AT613&lt;&gt;0,AN613&lt;&gt;"NE"),VLOOKUP(AN613,Retirement_Rates,4,FALSE)*W613,0)</f>
        <v>0</v>
      </c>
      <c r="BS613" s="462">
        <f>IF(AND(AT613&lt;&gt;0,AJ613&lt;&gt;"PF"),LifeBY*W613,0)</f>
        <v>0</v>
      </c>
      <c r="BT613" s="462">
        <f>IF(AND(AT613&lt;&gt;0,AM613="Y"),UIBY*W613,0)</f>
        <v>0</v>
      </c>
      <c r="BU613" s="462">
        <f>IF(AND(AT613&lt;&gt;0,N613&lt;&gt;"NR"),DHRBY*W613,0)</f>
        <v>0</v>
      </c>
      <c r="BV613" s="462">
        <f>IF(AT613&lt;&gt;0,WCBY*W613,0)</f>
        <v>0</v>
      </c>
      <c r="BW613" s="462">
        <f>IF(OR(AND(AT613&lt;&gt;0,AJ613&lt;&gt;"PF",AN613&lt;&gt;"NE",AG613&lt;&gt;"A"),AND(AL613="E",OR(AT613=1,AT613=3))),SickBY*W613,0)</f>
        <v>0</v>
      </c>
      <c r="BX613" s="462">
        <f t="shared" si="160"/>
        <v>0</v>
      </c>
      <c r="BY613" s="462">
        <f t="shared" si="161"/>
        <v>0</v>
      </c>
      <c r="BZ613" s="462">
        <f t="shared" si="162"/>
        <v>0</v>
      </c>
      <c r="CA613" s="462">
        <f t="shared" si="163"/>
        <v>0</v>
      </c>
      <c r="CB613" s="462">
        <f t="shared" si="164"/>
        <v>0</v>
      </c>
      <c r="CC613" s="462">
        <f>IF(AT613&lt;&gt;0,SSHICHG*Y613,0)</f>
        <v>0</v>
      </c>
      <c r="CD613" s="462">
        <f>IF(AND(AT613&lt;&gt;0,AN613&lt;&gt;"NE"),VLOOKUP(AN613,Retirement_Rates,5,FALSE)*Y613,0)</f>
        <v>0</v>
      </c>
      <c r="CE613" s="462">
        <f>IF(AND(AT613&lt;&gt;0,AJ613&lt;&gt;"PF"),LifeCHG*Y613,0)</f>
        <v>0</v>
      </c>
      <c r="CF613" s="462">
        <f>IF(AND(AT613&lt;&gt;0,AM613="Y"),UICHG*Y613,0)</f>
        <v>0</v>
      </c>
      <c r="CG613" s="462">
        <f>IF(AND(AT613&lt;&gt;0,N613&lt;&gt;"NR"),DHRCHG*Y613,0)</f>
        <v>0</v>
      </c>
      <c r="CH613" s="462">
        <f>IF(AT613&lt;&gt;0,WCCHG*Y613,0)</f>
        <v>0</v>
      </c>
      <c r="CI613" s="462">
        <f>IF(OR(AND(AT613&lt;&gt;0,AJ613&lt;&gt;"PF",AN613&lt;&gt;"NE",AG613&lt;&gt;"A"),AND(AL613="E",OR(AT613=1,AT613=3))),SickCHG*Y613,0)</f>
        <v>0</v>
      </c>
      <c r="CJ613" s="462">
        <f t="shared" si="165"/>
        <v>0</v>
      </c>
      <c r="CK613" s="462" t="str">
        <f t="shared" si="166"/>
        <v/>
      </c>
      <c r="CL613" s="462">
        <f t="shared" si="167"/>
        <v>0</v>
      </c>
      <c r="CM613" s="462">
        <f t="shared" si="168"/>
        <v>0</v>
      </c>
      <c r="CN613" s="462" t="str">
        <f t="shared" si="169"/>
        <v>0486-00</v>
      </c>
    </row>
    <row r="614" spans="1:92" ht="15" thickBot="1" x14ac:dyDescent="0.35">
      <c r="A614" s="376" t="s">
        <v>161</v>
      </c>
      <c r="B614" s="376" t="s">
        <v>162</v>
      </c>
      <c r="C614" s="376" t="s">
        <v>1324</v>
      </c>
      <c r="D614" s="376" t="s">
        <v>802</v>
      </c>
      <c r="E614" s="376" t="s">
        <v>1140</v>
      </c>
      <c r="F614" s="377" t="s">
        <v>166</v>
      </c>
      <c r="G614" s="376" t="s">
        <v>1141</v>
      </c>
      <c r="H614" s="378"/>
      <c r="I614" s="378"/>
      <c r="J614" s="376" t="s">
        <v>168</v>
      </c>
      <c r="K614" s="376" t="s">
        <v>803</v>
      </c>
      <c r="L614" s="376" t="s">
        <v>243</v>
      </c>
      <c r="M614" s="376" t="s">
        <v>170</v>
      </c>
      <c r="N614" s="376" t="s">
        <v>202</v>
      </c>
      <c r="O614" s="379">
        <v>1</v>
      </c>
      <c r="P614" s="460">
        <v>1</v>
      </c>
      <c r="Q614" s="460">
        <v>1</v>
      </c>
      <c r="R614" s="380">
        <v>80</v>
      </c>
      <c r="S614" s="460">
        <v>1</v>
      </c>
      <c r="T614" s="380">
        <v>95259.31</v>
      </c>
      <c r="U614" s="380">
        <v>0</v>
      </c>
      <c r="V614" s="380">
        <v>31969.75</v>
      </c>
      <c r="W614" s="380">
        <v>73756.800000000003</v>
      </c>
      <c r="X614" s="380">
        <v>28346.29</v>
      </c>
      <c r="Y614" s="380">
        <v>73756.800000000003</v>
      </c>
      <c r="Z614" s="380">
        <v>28154.53</v>
      </c>
      <c r="AA614" s="376" t="s">
        <v>1325</v>
      </c>
      <c r="AB614" s="376" t="s">
        <v>508</v>
      </c>
      <c r="AC614" s="376" t="s">
        <v>690</v>
      </c>
      <c r="AD614" s="376" t="s">
        <v>1326</v>
      </c>
      <c r="AE614" s="376" t="s">
        <v>803</v>
      </c>
      <c r="AF614" s="376" t="s">
        <v>248</v>
      </c>
      <c r="AG614" s="376" t="s">
        <v>177</v>
      </c>
      <c r="AH614" s="381">
        <v>35.46</v>
      </c>
      <c r="AI614" s="381">
        <v>9380.4</v>
      </c>
      <c r="AJ614" s="376" t="s">
        <v>178</v>
      </c>
      <c r="AK614" s="376" t="s">
        <v>179</v>
      </c>
      <c r="AL614" s="376" t="s">
        <v>180</v>
      </c>
      <c r="AM614" s="376" t="s">
        <v>181</v>
      </c>
      <c r="AN614" s="376" t="s">
        <v>68</v>
      </c>
      <c r="AO614" s="379">
        <v>80</v>
      </c>
      <c r="AP614" s="460">
        <v>1</v>
      </c>
      <c r="AQ614" s="460">
        <v>1</v>
      </c>
      <c r="AR614" s="458" t="s">
        <v>182</v>
      </c>
      <c r="AS614" s="462">
        <f t="shared" si="153"/>
        <v>1</v>
      </c>
      <c r="AT614">
        <f t="shared" si="154"/>
        <v>1</v>
      </c>
      <c r="AU614" s="462">
        <f>IF(AT614=0,"",IF(AND(AT614=1,M614="F",SUMIF(C2:C698,C614,AS2:AS698)&lt;=1),SUMIF(C2:C698,C614,AS2:AS698),IF(AND(AT614=1,M614="F",SUMIF(C2:C698,C614,AS2:AS698)&gt;1),1,"")))</f>
        <v>1</v>
      </c>
      <c r="AV614" s="462" t="str">
        <f>IF(AT614=0,"",IF(AND(AT614=3,M614="F",SUMIF(C2:C698,C614,AS2:AS698)&lt;=1),SUMIF(C2:C698,C614,AS2:AS698),IF(AND(AT614=3,M614="F",SUMIF(C2:C698,C614,AS2:AS698)&gt;1),1,"")))</f>
        <v/>
      </c>
      <c r="AW614" s="462">
        <f>SUMIF(C2:C698,C614,O2:O698)</f>
        <v>1</v>
      </c>
      <c r="AX614" s="462">
        <f>IF(AND(M614="F",AS614&lt;&gt;0),SUMIF(C2:C698,C614,W2:W698),0)</f>
        <v>73756.800000000003</v>
      </c>
      <c r="AY614" s="462">
        <f t="shared" si="155"/>
        <v>73756.800000000003</v>
      </c>
      <c r="AZ614" s="462" t="str">
        <f t="shared" si="156"/>
        <v/>
      </c>
      <c r="BA614" s="462">
        <f t="shared" si="157"/>
        <v>0</v>
      </c>
      <c r="BB614" s="462">
        <f>IF(AND(AT614=1,AK614="E",AU614&gt;=0.75,AW614=1),Health,IF(AND(AT614=1,AK614="E",AU614&gt;=0.75),Health*P614,IF(AND(AT614=1,AK614="E",AU614&gt;=0.5,AW614=1),PTHealth,IF(AND(AT614=1,AK614="E",AU614&gt;=0.5),PTHealth*P614,0))))</f>
        <v>11650</v>
      </c>
      <c r="BC614" s="462">
        <f>IF(AND(AT614=3,AK614="E",AV614&gt;=0.75,AW614=1),Health,IF(AND(AT614=3,AK614="E",AV614&gt;=0.75),Health*P614,IF(AND(AT614=3,AK614="E",AV614&gt;=0.5,AW614=1),PTHealth,IF(AND(AT614=3,AK614="E",AV614&gt;=0.5),PTHealth*P614,0))))</f>
        <v>0</v>
      </c>
      <c r="BD614" s="462">
        <f>IF(AND(AT614&lt;&gt;0,AX614&gt;=MAXSSDI),SSDI*MAXSSDI*P614,IF(AT614&lt;&gt;0,SSDI*W614,0))</f>
        <v>4572.9216000000006</v>
      </c>
      <c r="BE614" s="462">
        <f>IF(AT614&lt;&gt;0,SSHI*W614,0)</f>
        <v>1069.4736</v>
      </c>
      <c r="BF614" s="462">
        <f>IF(AND(AT614&lt;&gt;0,AN614&lt;&gt;"NE"),VLOOKUP(AN614,Retirement_Rates,3,FALSE)*W614,0)</f>
        <v>8806.5619200000001</v>
      </c>
      <c r="BG614" s="462">
        <f>IF(AND(AT614&lt;&gt;0,AJ614&lt;&gt;"PF"),Life*W614,0)</f>
        <v>531.78652800000009</v>
      </c>
      <c r="BH614" s="462">
        <f>IF(AND(AT614&lt;&gt;0,AM614="Y"),UI*W614,0)</f>
        <v>361.40832</v>
      </c>
      <c r="BI614" s="462">
        <f>IF(AND(AT614&lt;&gt;0,N614&lt;&gt;"NR"),DHR*W614,0)</f>
        <v>225.695808</v>
      </c>
      <c r="BJ614" s="462">
        <f>IF(AT614&lt;&gt;0,WC*W614,0)</f>
        <v>1128.4790399999999</v>
      </c>
      <c r="BK614" s="462">
        <f>IF(OR(AND(AT614&lt;&gt;0,AJ614&lt;&gt;"PF",AN614&lt;&gt;"NE",AG614&lt;&gt;"A"),AND(AL614="E",OR(AT614=1,AT614=3))),Sick*W614,0)</f>
        <v>0</v>
      </c>
      <c r="BL614" s="462">
        <f t="shared" si="158"/>
        <v>16696.326816000001</v>
      </c>
      <c r="BM614" s="462">
        <f t="shared" si="159"/>
        <v>0</v>
      </c>
      <c r="BN614" s="462">
        <f>IF(AND(AT614=1,AK614="E",AU614&gt;=0.75,AW614=1),HealthBY,IF(AND(AT614=1,AK614="E",AU614&gt;=0.75),HealthBY*P614,IF(AND(AT614=1,AK614="E",AU614&gt;=0.5,AW614=1),PTHealthBY,IF(AND(AT614=1,AK614="E",AU614&gt;=0.5),PTHealthBY*P614,0))))</f>
        <v>11650</v>
      </c>
      <c r="BO614" s="462">
        <f>IF(AND(AT614=3,AK614="E",AV614&gt;=0.75,AW614=1),HealthBY,IF(AND(AT614=3,AK614="E",AV614&gt;=0.75),HealthBY*P614,IF(AND(AT614=3,AK614="E",AV614&gt;=0.5,AW614=1),PTHealthBY,IF(AND(AT614=3,AK614="E",AV614&gt;=0.5),PTHealthBY*P614,0))))</f>
        <v>0</v>
      </c>
      <c r="BP614" s="462">
        <f>IF(AND(AT614&lt;&gt;0,(AX614+BA614)&gt;=MAXSSDIBY),SSDIBY*MAXSSDIBY*P614,IF(AT614&lt;&gt;0,SSDIBY*W614,0))</f>
        <v>4572.9216000000006</v>
      </c>
      <c r="BQ614" s="462">
        <f>IF(AT614&lt;&gt;0,SSHIBY*W614,0)</f>
        <v>1069.4736</v>
      </c>
      <c r="BR614" s="462">
        <f>IF(AND(AT614&lt;&gt;0,AN614&lt;&gt;"NE"),VLOOKUP(AN614,Retirement_Rates,4,FALSE)*W614,0)</f>
        <v>8806.5619200000001</v>
      </c>
      <c r="BS614" s="462">
        <f>IF(AND(AT614&lt;&gt;0,AJ614&lt;&gt;"PF"),LifeBY*W614,0)</f>
        <v>531.78652800000009</v>
      </c>
      <c r="BT614" s="462">
        <f>IF(AND(AT614&lt;&gt;0,AM614="Y"),UIBY*W614,0)</f>
        <v>0</v>
      </c>
      <c r="BU614" s="462">
        <f>IF(AND(AT614&lt;&gt;0,N614&lt;&gt;"NR"),DHRBY*W614,0)</f>
        <v>225.695808</v>
      </c>
      <c r="BV614" s="462">
        <f>IF(AT614&lt;&gt;0,WCBY*W614,0)</f>
        <v>1298.11968</v>
      </c>
      <c r="BW614" s="462">
        <f>IF(OR(AND(AT614&lt;&gt;0,AJ614&lt;&gt;"PF",AN614&lt;&gt;"NE",AG614&lt;&gt;"A"),AND(AL614="E",OR(AT614=1,AT614=3))),SickBY*W614,0)</f>
        <v>0</v>
      </c>
      <c r="BX614" s="462">
        <f t="shared" si="160"/>
        <v>16504.559136000003</v>
      </c>
      <c r="BY614" s="462">
        <f t="shared" si="161"/>
        <v>0</v>
      </c>
      <c r="BZ614" s="462">
        <f t="shared" si="162"/>
        <v>0</v>
      </c>
      <c r="CA614" s="462">
        <f t="shared" si="163"/>
        <v>0</v>
      </c>
      <c r="CB614" s="462">
        <f t="shared" si="164"/>
        <v>0</v>
      </c>
      <c r="CC614" s="462">
        <f>IF(AT614&lt;&gt;0,SSHICHG*Y614,0)</f>
        <v>0</v>
      </c>
      <c r="CD614" s="462">
        <f>IF(AND(AT614&lt;&gt;0,AN614&lt;&gt;"NE"),VLOOKUP(AN614,Retirement_Rates,5,FALSE)*Y614,0)</f>
        <v>0</v>
      </c>
      <c r="CE614" s="462">
        <f>IF(AND(AT614&lt;&gt;0,AJ614&lt;&gt;"PF"),LifeCHG*Y614,0)</f>
        <v>0</v>
      </c>
      <c r="CF614" s="462">
        <f>IF(AND(AT614&lt;&gt;0,AM614="Y"),UICHG*Y614,0)</f>
        <v>-361.40832</v>
      </c>
      <c r="CG614" s="462">
        <f>IF(AND(AT614&lt;&gt;0,N614&lt;&gt;"NR"),DHRCHG*Y614,0)</f>
        <v>0</v>
      </c>
      <c r="CH614" s="462">
        <f>IF(AT614&lt;&gt;0,WCCHG*Y614,0)</f>
        <v>169.64064000000013</v>
      </c>
      <c r="CI614" s="462">
        <f>IF(OR(AND(AT614&lt;&gt;0,AJ614&lt;&gt;"PF",AN614&lt;&gt;"NE",AG614&lt;&gt;"A"),AND(AL614="E",OR(AT614=1,AT614=3))),SickCHG*Y614,0)</f>
        <v>0</v>
      </c>
      <c r="CJ614" s="462">
        <f t="shared" si="165"/>
        <v>-191.76767999999987</v>
      </c>
      <c r="CK614" s="462" t="str">
        <f t="shared" si="166"/>
        <v/>
      </c>
      <c r="CL614" s="462" t="str">
        <f t="shared" si="167"/>
        <v/>
      </c>
      <c r="CM614" s="462" t="str">
        <f t="shared" si="168"/>
        <v/>
      </c>
      <c r="CN614" s="462" t="str">
        <f t="shared" si="169"/>
        <v>0486-00</v>
      </c>
    </row>
    <row r="615" spans="1:92" ht="15" thickBot="1" x14ac:dyDescent="0.35">
      <c r="A615" s="376" t="s">
        <v>161</v>
      </c>
      <c r="B615" s="376" t="s">
        <v>162</v>
      </c>
      <c r="C615" s="376" t="s">
        <v>1327</v>
      </c>
      <c r="D615" s="376" t="s">
        <v>1147</v>
      </c>
      <c r="E615" s="376" t="s">
        <v>1140</v>
      </c>
      <c r="F615" s="377" t="s">
        <v>166</v>
      </c>
      <c r="G615" s="376" t="s">
        <v>1141</v>
      </c>
      <c r="H615" s="378"/>
      <c r="I615" s="378"/>
      <c r="J615" s="376" t="s">
        <v>168</v>
      </c>
      <c r="K615" s="376" t="s">
        <v>1148</v>
      </c>
      <c r="L615" s="376" t="s">
        <v>166</v>
      </c>
      <c r="M615" s="376" t="s">
        <v>201</v>
      </c>
      <c r="N615" s="376" t="s">
        <v>291</v>
      </c>
      <c r="O615" s="379">
        <v>0</v>
      </c>
      <c r="P615" s="460">
        <v>1</v>
      </c>
      <c r="Q615" s="460">
        <v>0</v>
      </c>
      <c r="R615" s="380">
        <v>0</v>
      </c>
      <c r="S615" s="460">
        <v>0</v>
      </c>
      <c r="T615" s="380">
        <v>0</v>
      </c>
      <c r="U615" s="380">
        <v>0</v>
      </c>
      <c r="V615" s="380">
        <v>0</v>
      </c>
      <c r="W615" s="380">
        <v>0</v>
      </c>
      <c r="X615" s="380">
        <v>0</v>
      </c>
      <c r="Y615" s="380">
        <v>0</v>
      </c>
      <c r="Z615" s="380">
        <v>0</v>
      </c>
      <c r="AA615" s="378"/>
      <c r="AB615" s="376" t="s">
        <v>45</v>
      </c>
      <c r="AC615" s="376" t="s">
        <v>45</v>
      </c>
      <c r="AD615" s="378"/>
      <c r="AE615" s="378"/>
      <c r="AF615" s="378"/>
      <c r="AG615" s="378"/>
      <c r="AH615" s="379">
        <v>0</v>
      </c>
      <c r="AI615" s="379">
        <v>0</v>
      </c>
      <c r="AJ615" s="378"/>
      <c r="AK615" s="378"/>
      <c r="AL615" s="376" t="s">
        <v>180</v>
      </c>
      <c r="AM615" s="378"/>
      <c r="AN615" s="378"/>
      <c r="AO615" s="379">
        <v>0</v>
      </c>
      <c r="AP615" s="460">
        <v>0</v>
      </c>
      <c r="AQ615" s="460">
        <v>0</v>
      </c>
      <c r="AR615" s="459"/>
      <c r="AS615" s="462">
        <f t="shared" si="153"/>
        <v>0</v>
      </c>
      <c r="AT615">
        <f t="shared" si="154"/>
        <v>0</v>
      </c>
      <c r="AU615" s="462" t="str">
        <f>IF(AT615=0,"",IF(AND(AT615=1,M615="F",SUMIF(C2:C698,C615,AS2:AS698)&lt;=1),SUMIF(C2:C698,C615,AS2:AS698),IF(AND(AT615=1,M615="F",SUMIF(C2:C698,C615,AS2:AS698)&gt;1),1,"")))</f>
        <v/>
      </c>
      <c r="AV615" s="462" t="str">
        <f>IF(AT615=0,"",IF(AND(AT615=3,M615="F",SUMIF(C2:C698,C615,AS2:AS698)&lt;=1),SUMIF(C2:C698,C615,AS2:AS698),IF(AND(AT615=3,M615="F",SUMIF(C2:C698,C615,AS2:AS698)&gt;1),1,"")))</f>
        <v/>
      </c>
      <c r="AW615" s="462">
        <f>SUMIF(C2:C698,C615,O2:O698)</f>
        <v>0</v>
      </c>
      <c r="AX615" s="462">
        <f>IF(AND(M615="F",AS615&lt;&gt;0),SUMIF(C2:C698,C615,W2:W698),0)</f>
        <v>0</v>
      </c>
      <c r="AY615" s="462" t="str">
        <f t="shared" si="155"/>
        <v/>
      </c>
      <c r="AZ615" s="462" t="str">
        <f t="shared" si="156"/>
        <v/>
      </c>
      <c r="BA615" s="462">
        <f t="shared" si="157"/>
        <v>0</v>
      </c>
      <c r="BB615" s="462">
        <f>IF(AND(AT615=1,AK615="E",AU615&gt;=0.75,AW615=1),Health,IF(AND(AT615=1,AK615="E",AU615&gt;=0.75),Health*P615,IF(AND(AT615=1,AK615="E",AU615&gt;=0.5,AW615=1),PTHealth,IF(AND(AT615=1,AK615="E",AU615&gt;=0.5),PTHealth*P615,0))))</f>
        <v>0</v>
      </c>
      <c r="BC615" s="462">
        <f>IF(AND(AT615=3,AK615="E",AV615&gt;=0.75,AW615=1),Health,IF(AND(AT615=3,AK615="E",AV615&gt;=0.75),Health*P615,IF(AND(AT615=3,AK615="E",AV615&gt;=0.5,AW615=1),PTHealth,IF(AND(AT615=3,AK615="E",AV615&gt;=0.5),PTHealth*P615,0))))</f>
        <v>0</v>
      </c>
      <c r="BD615" s="462">
        <f>IF(AND(AT615&lt;&gt;0,AX615&gt;=MAXSSDI),SSDI*MAXSSDI*P615,IF(AT615&lt;&gt;0,SSDI*W615,0))</f>
        <v>0</v>
      </c>
      <c r="BE615" s="462">
        <f>IF(AT615&lt;&gt;0,SSHI*W615,0)</f>
        <v>0</v>
      </c>
      <c r="BF615" s="462">
        <f>IF(AND(AT615&lt;&gt;0,AN615&lt;&gt;"NE"),VLOOKUP(AN615,Retirement_Rates,3,FALSE)*W615,0)</f>
        <v>0</v>
      </c>
      <c r="BG615" s="462">
        <f>IF(AND(AT615&lt;&gt;0,AJ615&lt;&gt;"PF"),Life*W615,0)</f>
        <v>0</v>
      </c>
      <c r="BH615" s="462">
        <f>IF(AND(AT615&lt;&gt;0,AM615="Y"),UI*W615,0)</f>
        <v>0</v>
      </c>
      <c r="BI615" s="462">
        <f>IF(AND(AT615&lt;&gt;0,N615&lt;&gt;"NR"),DHR*W615,0)</f>
        <v>0</v>
      </c>
      <c r="BJ615" s="462">
        <f>IF(AT615&lt;&gt;0,WC*W615,0)</f>
        <v>0</v>
      </c>
      <c r="BK615" s="462">
        <f>IF(OR(AND(AT615&lt;&gt;0,AJ615&lt;&gt;"PF",AN615&lt;&gt;"NE",AG615&lt;&gt;"A"),AND(AL615="E",OR(AT615=1,AT615=3))),Sick*W615,0)</f>
        <v>0</v>
      </c>
      <c r="BL615" s="462">
        <f t="shared" si="158"/>
        <v>0</v>
      </c>
      <c r="BM615" s="462">
        <f t="shared" si="159"/>
        <v>0</v>
      </c>
      <c r="BN615" s="462">
        <f>IF(AND(AT615=1,AK615="E",AU615&gt;=0.75,AW615=1),HealthBY,IF(AND(AT615=1,AK615="E",AU615&gt;=0.75),HealthBY*P615,IF(AND(AT615=1,AK615="E",AU615&gt;=0.5,AW615=1),PTHealthBY,IF(AND(AT615=1,AK615="E",AU615&gt;=0.5),PTHealthBY*P615,0))))</f>
        <v>0</v>
      </c>
      <c r="BO615" s="462">
        <f>IF(AND(AT615=3,AK615="E",AV615&gt;=0.75,AW615=1),HealthBY,IF(AND(AT615=3,AK615="E",AV615&gt;=0.75),HealthBY*P615,IF(AND(AT615=3,AK615="E",AV615&gt;=0.5,AW615=1),PTHealthBY,IF(AND(AT615=3,AK615="E",AV615&gt;=0.5),PTHealthBY*P615,0))))</f>
        <v>0</v>
      </c>
      <c r="BP615" s="462">
        <f>IF(AND(AT615&lt;&gt;0,(AX615+BA615)&gt;=MAXSSDIBY),SSDIBY*MAXSSDIBY*P615,IF(AT615&lt;&gt;0,SSDIBY*W615,0))</f>
        <v>0</v>
      </c>
      <c r="BQ615" s="462">
        <f>IF(AT615&lt;&gt;0,SSHIBY*W615,0)</f>
        <v>0</v>
      </c>
      <c r="BR615" s="462">
        <f>IF(AND(AT615&lt;&gt;0,AN615&lt;&gt;"NE"),VLOOKUP(AN615,Retirement_Rates,4,FALSE)*W615,0)</f>
        <v>0</v>
      </c>
      <c r="BS615" s="462">
        <f>IF(AND(AT615&lt;&gt;0,AJ615&lt;&gt;"PF"),LifeBY*W615,0)</f>
        <v>0</v>
      </c>
      <c r="BT615" s="462">
        <f>IF(AND(AT615&lt;&gt;0,AM615="Y"),UIBY*W615,0)</f>
        <v>0</v>
      </c>
      <c r="BU615" s="462">
        <f>IF(AND(AT615&lt;&gt;0,N615&lt;&gt;"NR"),DHRBY*W615,0)</f>
        <v>0</v>
      </c>
      <c r="BV615" s="462">
        <f>IF(AT615&lt;&gt;0,WCBY*W615,0)</f>
        <v>0</v>
      </c>
      <c r="BW615" s="462">
        <f>IF(OR(AND(AT615&lt;&gt;0,AJ615&lt;&gt;"PF",AN615&lt;&gt;"NE",AG615&lt;&gt;"A"),AND(AL615="E",OR(AT615=1,AT615=3))),SickBY*W615,0)</f>
        <v>0</v>
      </c>
      <c r="BX615" s="462">
        <f t="shared" si="160"/>
        <v>0</v>
      </c>
      <c r="BY615" s="462">
        <f t="shared" si="161"/>
        <v>0</v>
      </c>
      <c r="BZ615" s="462">
        <f t="shared" si="162"/>
        <v>0</v>
      </c>
      <c r="CA615" s="462">
        <f t="shared" si="163"/>
        <v>0</v>
      </c>
      <c r="CB615" s="462">
        <f t="shared" si="164"/>
        <v>0</v>
      </c>
      <c r="CC615" s="462">
        <f>IF(AT615&lt;&gt;0,SSHICHG*Y615,0)</f>
        <v>0</v>
      </c>
      <c r="CD615" s="462">
        <f>IF(AND(AT615&lt;&gt;0,AN615&lt;&gt;"NE"),VLOOKUP(AN615,Retirement_Rates,5,FALSE)*Y615,0)</f>
        <v>0</v>
      </c>
      <c r="CE615" s="462">
        <f>IF(AND(AT615&lt;&gt;0,AJ615&lt;&gt;"PF"),LifeCHG*Y615,0)</f>
        <v>0</v>
      </c>
      <c r="CF615" s="462">
        <f>IF(AND(AT615&lt;&gt;0,AM615="Y"),UICHG*Y615,0)</f>
        <v>0</v>
      </c>
      <c r="CG615" s="462">
        <f>IF(AND(AT615&lt;&gt;0,N615&lt;&gt;"NR"),DHRCHG*Y615,0)</f>
        <v>0</v>
      </c>
      <c r="CH615" s="462">
        <f>IF(AT615&lt;&gt;0,WCCHG*Y615,0)</f>
        <v>0</v>
      </c>
      <c r="CI615" s="462">
        <f>IF(OR(AND(AT615&lt;&gt;0,AJ615&lt;&gt;"PF",AN615&lt;&gt;"NE",AG615&lt;&gt;"A"),AND(AL615="E",OR(AT615=1,AT615=3))),SickCHG*Y615,0)</f>
        <v>0</v>
      </c>
      <c r="CJ615" s="462">
        <f t="shared" si="165"/>
        <v>0</v>
      </c>
      <c r="CK615" s="462" t="str">
        <f t="shared" si="166"/>
        <v/>
      </c>
      <c r="CL615" s="462">
        <f t="shared" si="167"/>
        <v>0</v>
      </c>
      <c r="CM615" s="462">
        <f t="shared" si="168"/>
        <v>0</v>
      </c>
      <c r="CN615" s="462" t="str">
        <f t="shared" si="169"/>
        <v>0486-00</v>
      </c>
    </row>
    <row r="616" spans="1:92" ht="15" thickBot="1" x14ac:dyDescent="0.35">
      <c r="A616" s="376" t="s">
        <v>161</v>
      </c>
      <c r="B616" s="376" t="s">
        <v>162</v>
      </c>
      <c r="C616" s="376" t="s">
        <v>1328</v>
      </c>
      <c r="D616" s="376" t="s">
        <v>1196</v>
      </c>
      <c r="E616" s="376" t="s">
        <v>1140</v>
      </c>
      <c r="F616" s="377" t="s">
        <v>166</v>
      </c>
      <c r="G616" s="376" t="s">
        <v>1141</v>
      </c>
      <c r="H616" s="378"/>
      <c r="I616" s="378"/>
      <c r="J616" s="376" t="s">
        <v>168</v>
      </c>
      <c r="K616" s="376" t="s">
        <v>1197</v>
      </c>
      <c r="L616" s="376" t="s">
        <v>166</v>
      </c>
      <c r="M616" s="376" t="s">
        <v>201</v>
      </c>
      <c r="N616" s="376" t="s">
        <v>291</v>
      </c>
      <c r="O616" s="379">
        <v>0</v>
      </c>
      <c r="P616" s="460">
        <v>1</v>
      </c>
      <c r="Q616" s="460">
        <v>0</v>
      </c>
      <c r="R616" s="380">
        <v>0</v>
      </c>
      <c r="S616" s="460">
        <v>0</v>
      </c>
      <c r="T616" s="380">
        <v>0</v>
      </c>
      <c r="U616" s="380">
        <v>0</v>
      </c>
      <c r="V616" s="380">
        <v>0</v>
      </c>
      <c r="W616" s="380">
        <v>0</v>
      </c>
      <c r="X616" s="380">
        <v>0</v>
      </c>
      <c r="Y616" s="380">
        <v>0</v>
      </c>
      <c r="Z616" s="380">
        <v>0</v>
      </c>
      <c r="AA616" s="378"/>
      <c r="AB616" s="376" t="s">
        <v>45</v>
      </c>
      <c r="AC616" s="376" t="s">
        <v>45</v>
      </c>
      <c r="AD616" s="378"/>
      <c r="AE616" s="378"/>
      <c r="AF616" s="378"/>
      <c r="AG616" s="378"/>
      <c r="AH616" s="379">
        <v>0</v>
      </c>
      <c r="AI616" s="379">
        <v>0</v>
      </c>
      <c r="AJ616" s="378"/>
      <c r="AK616" s="378"/>
      <c r="AL616" s="376" t="s">
        <v>180</v>
      </c>
      <c r="AM616" s="378"/>
      <c r="AN616" s="378"/>
      <c r="AO616" s="379">
        <v>0</v>
      </c>
      <c r="AP616" s="460">
        <v>0</v>
      </c>
      <c r="AQ616" s="460">
        <v>0</v>
      </c>
      <c r="AR616" s="459"/>
      <c r="AS616" s="462">
        <f t="shared" si="153"/>
        <v>0</v>
      </c>
      <c r="AT616">
        <f t="shared" si="154"/>
        <v>0</v>
      </c>
      <c r="AU616" s="462" t="str">
        <f>IF(AT616=0,"",IF(AND(AT616=1,M616="F",SUMIF(C2:C698,C616,AS2:AS698)&lt;=1),SUMIF(C2:C698,C616,AS2:AS698),IF(AND(AT616=1,M616="F",SUMIF(C2:C698,C616,AS2:AS698)&gt;1),1,"")))</f>
        <v/>
      </c>
      <c r="AV616" s="462" t="str">
        <f>IF(AT616=0,"",IF(AND(AT616=3,M616="F",SUMIF(C2:C698,C616,AS2:AS698)&lt;=1),SUMIF(C2:C698,C616,AS2:AS698),IF(AND(AT616=3,M616="F",SUMIF(C2:C698,C616,AS2:AS698)&gt;1),1,"")))</f>
        <v/>
      </c>
      <c r="AW616" s="462">
        <f>SUMIF(C2:C698,C616,O2:O698)</f>
        <v>0</v>
      </c>
      <c r="AX616" s="462">
        <f>IF(AND(M616="F",AS616&lt;&gt;0),SUMIF(C2:C698,C616,W2:W698),0)</f>
        <v>0</v>
      </c>
      <c r="AY616" s="462" t="str">
        <f t="shared" si="155"/>
        <v/>
      </c>
      <c r="AZ616" s="462" t="str">
        <f t="shared" si="156"/>
        <v/>
      </c>
      <c r="BA616" s="462">
        <f t="shared" si="157"/>
        <v>0</v>
      </c>
      <c r="BB616" s="462">
        <f>IF(AND(AT616=1,AK616="E",AU616&gt;=0.75,AW616=1),Health,IF(AND(AT616=1,AK616="E",AU616&gt;=0.75),Health*P616,IF(AND(AT616=1,AK616="E",AU616&gt;=0.5,AW616=1),PTHealth,IF(AND(AT616=1,AK616="E",AU616&gt;=0.5),PTHealth*P616,0))))</f>
        <v>0</v>
      </c>
      <c r="BC616" s="462">
        <f>IF(AND(AT616=3,AK616="E",AV616&gt;=0.75,AW616=1),Health,IF(AND(AT616=3,AK616="E",AV616&gt;=0.75),Health*P616,IF(AND(AT616=3,AK616="E",AV616&gt;=0.5,AW616=1),PTHealth,IF(AND(AT616=3,AK616="E",AV616&gt;=0.5),PTHealth*P616,0))))</f>
        <v>0</v>
      </c>
      <c r="BD616" s="462">
        <f>IF(AND(AT616&lt;&gt;0,AX616&gt;=MAXSSDI),SSDI*MAXSSDI*P616,IF(AT616&lt;&gt;0,SSDI*W616,0))</f>
        <v>0</v>
      </c>
      <c r="BE616" s="462">
        <f>IF(AT616&lt;&gt;0,SSHI*W616,0)</f>
        <v>0</v>
      </c>
      <c r="BF616" s="462">
        <f>IF(AND(AT616&lt;&gt;0,AN616&lt;&gt;"NE"),VLOOKUP(AN616,Retirement_Rates,3,FALSE)*W616,0)</f>
        <v>0</v>
      </c>
      <c r="BG616" s="462">
        <f>IF(AND(AT616&lt;&gt;0,AJ616&lt;&gt;"PF"),Life*W616,0)</f>
        <v>0</v>
      </c>
      <c r="BH616" s="462">
        <f>IF(AND(AT616&lt;&gt;0,AM616="Y"),UI*W616,0)</f>
        <v>0</v>
      </c>
      <c r="BI616" s="462">
        <f>IF(AND(AT616&lt;&gt;0,N616&lt;&gt;"NR"),DHR*W616,0)</f>
        <v>0</v>
      </c>
      <c r="BJ616" s="462">
        <f>IF(AT616&lt;&gt;0,WC*W616,0)</f>
        <v>0</v>
      </c>
      <c r="BK616" s="462">
        <f>IF(OR(AND(AT616&lt;&gt;0,AJ616&lt;&gt;"PF",AN616&lt;&gt;"NE",AG616&lt;&gt;"A"),AND(AL616="E",OR(AT616=1,AT616=3))),Sick*W616,0)</f>
        <v>0</v>
      </c>
      <c r="BL616" s="462">
        <f t="shared" si="158"/>
        <v>0</v>
      </c>
      <c r="BM616" s="462">
        <f t="shared" si="159"/>
        <v>0</v>
      </c>
      <c r="BN616" s="462">
        <f>IF(AND(AT616=1,AK616="E",AU616&gt;=0.75,AW616=1),HealthBY,IF(AND(AT616=1,AK616="E",AU616&gt;=0.75),HealthBY*P616,IF(AND(AT616=1,AK616="E",AU616&gt;=0.5,AW616=1),PTHealthBY,IF(AND(AT616=1,AK616="E",AU616&gt;=0.5),PTHealthBY*P616,0))))</f>
        <v>0</v>
      </c>
      <c r="BO616" s="462">
        <f>IF(AND(AT616=3,AK616="E",AV616&gt;=0.75,AW616=1),HealthBY,IF(AND(AT616=3,AK616="E",AV616&gt;=0.75),HealthBY*P616,IF(AND(AT616=3,AK616="E",AV616&gt;=0.5,AW616=1),PTHealthBY,IF(AND(AT616=3,AK616="E",AV616&gt;=0.5),PTHealthBY*P616,0))))</f>
        <v>0</v>
      </c>
      <c r="BP616" s="462">
        <f>IF(AND(AT616&lt;&gt;0,(AX616+BA616)&gt;=MAXSSDIBY),SSDIBY*MAXSSDIBY*P616,IF(AT616&lt;&gt;0,SSDIBY*W616,0))</f>
        <v>0</v>
      </c>
      <c r="BQ616" s="462">
        <f>IF(AT616&lt;&gt;0,SSHIBY*W616,0)</f>
        <v>0</v>
      </c>
      <c r="BR616" s="462">
        <f>IF(AND(AT616&lt;&gt;0,AN616&lt;&gt;"NE"),VLOOKUP(AN616,Retirement_Rates,4,FALSE)*W616,0)</f>
        <v>0</v>
      </c>
      <c r="BS616" s="462">
        <f>IF(AND(AT616&lt;&gt;0,AJ616&lt;&gt;"PF"),LifeBY*W616,0)</f>
        <v>0</v>
      </c>
      <c r="BT616" s="462">
        <f>IF(AND(AT616&lt;&gt;0,AM616="Y"),UIBY*W616,0)</f>
        <v>0</v>
      </c>
      <c r="BU616" s="462">
        <f>IF(AND(AT616&lt;&gt;0,N616&lt;&gt;"NR"),DHRBY*W616,0)</f>
        <v>0</v>
      </c>
      <c r="BV616" s="462">
        <f>IF(AT616&lt;&gt;0,WCBY*W616,0)</f>
        <v>0</v>
      </c>
      <c r="BW616" s="462">
        <f>IF(OR(AND(AT616&lt;&gt;0,AJ616&lt;&gt;"PF",AN616&lt;&gt;"NE",AG616&lt;&gt;"A"),AND(AL616="E",OR(AT616=1,AT616=3))),SickBY*W616,0)</f>
        <v>0</v>
      </c>
      <c r="BX616" s="462">
        <f t="shared" si="160"/>
        <v>0</v>
      </c>
      <c r="BY616" s="462">
        <f t="shared" si="161"/>
        <v>0</v>
      </c>
      <c r="BZ616" s="462">
        <f t="shared" si="162"/>
        <v>0</v>
      </c>
      <c r="CA616" s="462">
        <f t="shared" si="163"/>
        <v>0</v>
      </c>
      <c r="CB616" s="462">
        <f t="shared" si="164"/>
        <v>0</v>
      </c>
      <c r="CC616" s="462">
        <f>IF(AT616&lt;&gt;0,SSHICHG*Y616,0)</f>
        <v>0</v>
      </c>
      <c r="CD616" s="462">
        <f>IF(AND(AT616&lt;&gt;0,AN616&lt;&gt;"NE"),VLOOKUP(AN616,Retirement_Rates,5,FALSE)*Y616,0)</f>
        <v>0</v>
      </c>
      <c r="CE616" s="462">
        <f>IF(AND(AT616&lt;&gt;0,AJ616&lt;&gt;"PF"),LifeCHG*Y616,0)</f>
        <v>0</v>
      </c>
      <c r="CF616" s="462">
        <f>IF(AND(AT616&lt;&gt;0,AM616="Y"),UICHG*Y616,0)</f>
        <v>0</v>
      </c>
      <c r="CG616" s="462">
        <f>IF(AND(AT616&lt;&gt;0,N616&lt;&gt;"NR"),DHRCHG*Y616,0)</f>
        <v>0</v>
      </c>
      <c r="CH616" s="462">
        <f>IF(AT616&lt;&gt;0,WCCHG*Y616,0)</f>
        <v>0</v>
      </c>
      <c r="CI616" s="462">
        <f>IF(OR(AND(AT616&lt;&gt;0,AJ616&lt;&gt;"PF",AN616&lt;&gt;"NE",AG616&lt;&gt;"A"),AND(AL616="E",OR(AT616=1,AT616=3))),SickCHG*Y616,0)</f>
        <v>0</v>
      </c>
      <c r="CJ616" s="462">
        <f t="shared" si="165"/>
        <v>0</v>
      </c>
      <c r="CK616" s="462" t="str">
        <f t="shared" si="166"/>
        <v/>
      </c>
      <c r="CL616" s="462">
        <f t="shared" si="167"/>
        <v>0</v>
      </c>
      <c r="CM616" s="462">
        <f t="shared" si="168"/>
        <v>0</v>
      </c>
      <c r="CN616" s="462" t="str">
        <f t="shared" si="169"/>
        <v>0486-00</v>
      </c>
    </row>
    <row r="617" spans="1:92" ht="15" thickBot="1" x14ac:dyDescent="0.35">
      <c r="A617" s="376" t="s">
        <v>161</v>
      </c>
      <c r="B617" s="376" t="s">
        <v>162</v>
      </c>
      <c r="C617" s="376" t="s">
        <v>1329</v>
      </c>
      <c r="D617" s="376" t="s">
        <v>1330</v>
      </c>
      <c r="E617" s="376" t="s">
        <v>759</v>
      </c>
      <c r="F617" s="377" t="s">
        <v>166</v>
      </c>
      <c r="G617" s="376" t="s">
        <v>1331</v>
      </c>
      <c r="H617" s="378"/>
      <c r="I617" s="378"/>
      <c r="J617" s="376" t="s">
        <v>168</v>
      </c>
      <c r="K617" s="376" t="s">
        <v>1332</v>
      </c>
      <c r="L617" s="376" t="s">
        <v>200</v>
      </c>
      <c r="M617" s="376" t="s">
        <v>201</v>
      </c>
      <c r="N617" s="376" t="s">
        <v>1103</v>
      </c>
      <c r="O617" s="379">
        <v>0</v>
      </c>
      <c r="P617" s="460">
        <v>1</v>
      </c>
      <c r="Q617" s="460">
        <v>1</v>
      </c>
      <c r="R617" s="380">
        <v>80</v>
      </c>
      <c r="S617" s="460">
        <v>1</v>
      </c>
      <c r="T617" s="380">
        <v>36821.4</v>
      </c>
      <c r="U617" s="380">
        <v>0</v>
      </c>
      <c r="V617" s="380">
        <v>16412.64</v>
      </c>
      <c r="W617" s="380">
        <v>47403.199999999997</v>
      </c>
      <c r="X617" s="380">
        <v>20762.599999999999</v>
      </c>
      <c r="Y617" s="380">
        <v>47403.199999999997</v>
      </c>
      <c r="Z617" s="380">
        <v>20525.580000000002</v>
      </c>
      <c r="AA617" s="378"/>
      <c r="AB617" s="376" t="s">
        <v>45</v>
      </c>
      <c r="AC617" s="376" t="s">
        <v>45</v>
      </c>
      <c r="AD617" s="378"/>
      <c r="AE617" s="378"/>
      <c r="AF617" s="378"/>
      <c r="AG617" s="378"/>
      <c r="AH617" s="379">
        <v>0</v>
      </c>
      <c r="AI617" s="379">
        <v>0</v>
      </c>
      <c r="AJ617" s="378"/>
      <c r="AK617" s="378"/>
      <c r="AL617" s="376" t="s">
        <v>180</v>
      </c>
      <c r="AM617" s="378"/>
      <c r="AN617" s="378"/>
      <c r="AO617" s="379">
        <v>0</v>
      </c>
      <c r="AP617" s="460">
        <v>0</v>
      </c>
      <c r="AQ617" s="460">
        <v>0</v>
      </c>
      <c r="AR617" s="459"/>
      <c r="AS617" s="462">
        <f t="shared" si="153"/>
        <v>0</v>
      </c>
      <c r="AT617">
        <f t="shared" si="154"/>
        <v>0</v>
      </c>
      <c r="AU617" s="462" t="str">
        <f>IF(AT617=0,"",IF(AND(AT617=1,M617="F",SUMIF(C2:C698,C617,AS2:AS698)&lt;=1),SUMIF(C2:C698,C617,AS2:AS698),IF(AND(AT617=1,M617="F",SUMIF(C2:C698,C617,AS2:AS698)&gt;1),1,"")))</f>
        <v/>
      </c>
      <c r="AV617" s="462" t="str">
        <f>IF(AT617=0,"",IF(AND(AT617=3,M617="F",SUMIF(C2:C698,C617,AS2:AS698)&lt;=1),SUMIF(C2:C698,C617,AS2:AS698),IF(AND(AT617=3,M617="F",SUMIF(C2:C698,C617,AS2:AS698)&gt;1),1,"")))</f>
        <v/>
      </c>
      <c r="AW617" s="462">
        <f>SUMIF(C2:C698,C617,O2:O698)</f>
        <v>0</v>
      </c>
      <c r="AX617" s="462">
        <f>IF(AND(M617="F",AS617&lt;&gt;0),SUMIF(C2:C698,C617,W2:W698),0)</f>
        <v>0</v>
      </c>
      <c r="AY617" s="462" t="str">
        <f t="shared" si="155"/>
        <v/>
      </c>
      <c r="AZ617" s="462" t="str">
        <f t="shared" si="156"/>
        <v/>
      </c>
      <c r="BA617" s="462">
        <f t="shared" si="157"/>
        <v>0</v>
      </c>
      <c r="BB617" s="462">
        <f>IF(AND(AT617=1,AK617="E",AU617&gt;=0.75,AW617=1),Health,IF(AND(AT617=1,AK617="E",AU617&gt;=0.75),Health*P617,IF(AND(AT617=1,AK617="E",AU617&gt;=0.5,AW617=1),PTHealth,IF(AND(AT617=1,AK617="E",AU617&gt;=0.5),PTHealth*P617,0))))</f>
        <v>0</v>
      </c>
      <c r="BC617" s="462">
        <f>IF(AND(AT617=3,AK617="E",AV617&gt;=0.75,AW617=1),Health,IF(AND(AT617=3,AK617="E",AV617&gt;=0.75),Health*P617,IF(AND(AT617=3,AK617="E",AV617&gt;=0.5,AW617=1),PTHealth,IF(AND(AT617=3,AK617="E",AV617&gt;=0.5),PTHealth*P617,0))))</f>
        <v>0</v>
      </c>
      <c r="BD617" s="462">
        <f>IF(AND(AT617&lt;&gt;0,AX617&gt;=MAXSSDI),SSDI*MAXSSDI*P617,IF(AT617&lt;&gt;0,SSDI*W617,0))</f>
        <v>0</v>
      </c>
      <c r="BE617" s="462">
        <f>IF(AT617&lt;&gt;0,SSHI*W617,0)</f>
        <v>0</v>
      </c>
      <c r="BF617" s="462">
        <f>IF(AND(AT617&lt;&gt;0,AN617&lt;&gt;"NE"),VLOOKUP(AN617,Retirement_Rates,3,FALSE)*W617,0)</f>
        <v>0</v>
      </c>
      <c r="BG617" s="462">
        <f>IF(AND(AT617&lt;&gt;0,AJ617&lt;&gt;"PF"),Life*W617,0)</f>
        <v>0</v>
      </c>
      <c r="BH617" s="462">
        <f>IF(AND(AT617&lt;&gt;0,AM617="Y"),UI*W617,0)</f>
        <v>0</v>
      </c>
      <c r="BI617" s="462">
        <f>IF(AND(AT617&lt;&gt;0,N617&lt;&gt;"NR"),DHR*W617,0)</f>
        <v>0</v>
      </c>
      <c r="BJ617" s="462">
        <f>IF(AT617&lt;&gt;0,WC*W617,0)</f>
        <v>0</v>
      </c>
      <c r="BK617" s="462">
        <f>IF(OR(AND(AT617&lt;&gt;0,AJ617&lt;&gt;"PF",AN617&lt;&gt;"NE",AG617&lt;&gt;"A"),AND(AL617="E",OR(AT617=1,AT617=3))),Sick*W617,0)</f>
        <v>0</v>
      </c>
      <c r="BL617" s="462">
        <f t="shared" si="158"/>
        <v>0</v>
      </c>
      <c r="BM617" s="462">
        <f t="shared" si="159"/>
        <v>0</v>
      </c>
      <c r="BN617" s="462">
        <f>IF(AND(AT617=1,AK617="E",AU617&gt;=0.75,AW617=1),HealthBY,IF(AND(AT617=1,AK617="E",AU617&gt;=0.75),HealthBY*P617,IF(AND(AT617=1,AK617="E",AU617&gt;=0.5,AW617=1),PTHealthBY,IF(AND(AT617=1,AK617="E",AU617&gt;=0.5),PTHealthBY*P617,0))))</f>
        <v>0</v>
      </c>
      <c r="BO617" s="462">
        <f>IF(AND(AT617=3,AK617="E",AV617&gt;=0.75,AW617=1),HealthBY,IF(AND(AT617=3,AK617="E",AV617&gt;=0.75),HealthBY*P617,IF(AND(AT617=3,AK617="E",AV617&gt;=0.5,AW617=1),PTHealthBY,IF(AND(AT617=3,AK617="E",AV617&gt;=0.5),PTHealthBY*P617,0))))</f>
        <v>0</v>
      </c>
      <c r="BP617" s="462">
        <f>IF(AND(AT617&lt;&gt;0,(AX617+BA617)&gt;=MAXSSDIBY),SSDIBY*MAXSSDIBY*P617,IF(AT617&lt;&gt;0,SSDIBY*W617,0))</f>
        <v>0</v>
      </c>
      <c r="BQ617" s="462">
        <f>IF(AT617&lt;&gt;0,SSHIBY*W617,0)</f>
        <v>0</v>
      </c>
      <c r="BR617" s="462">
        <f>IF(AND(AT617&lt;&gt;0,AN617&lt;&gt;"NE"),VLOOKUP(AN617,Retirement_Rates,4,FALSE)*W617,0)</f>
        <v>0</v>
      </c>
      <c r="BS617" s="462">
        <f>IF(AND(AT617&lt;&gt;0,AJ617&lt;&gt;"PF"),LifeBY*W617,0)</f>
        <v>0</v>
      </c>
      <c r="BT617" s="462">
        <f>IF(AND(AT617&lt;&gt;0,AM617="Y"),UIBY*W617,0)</f>
        <v>0</v>
      </c>
      <c r="BU617" s="462">
        <f>IF(AND(AT617&lt;&gt;0,N617&lt;&gt;"NR"),DHRBY*W617,0)</f>
        <v>0</v>
      </c>
      <c r="BV617" s="462">
        <f>IF(AT617&lt;&gt;0,WCBY*W617,0)</f>
        <v>0</v>
      </c>
      <c r="BW617" s="462">
        <f>IF(OR(AND(AT617&lt;&gt;0,AJ617&lt;&gt;"PF",AN617&lt;&gt;"NE",AG617&lt;&gt;"A"),AND(AL617="E",OR(AT617=1,AT617=3))),SickBY*W617,0)</f>
        <v>0</v>
      </c>
      <c r="BX617" s="462">
        <f t="shared" si="160"/>
        <v>0</v>
      </c>
      <c r="BY617" s="462">
        <f t="shared" si="161"/>
        <v>0</v>
      </c>
      <c r="BZ617" s="462">
        <f t="shared" si="162"/>
        <v>0</v>
      </c>
      <c r="CA617" s="462">
        <f t="shared" si="163"/>
        <v>0</v>
      </c>
      <c r="CB617" s="462">
        <f t="shared" si="164"/>
        <v>0</v>
      </c>
      <c r="CC617" s="462">
        <f>IF(AT617&lt;&gt;0,SSHICHG*Y617,0)</f>
        <v>0</v>
      </c>
      <c r="CD617" s="462">
        <f>IF(AND(AT617&lt;&gt;0,AN617&lt;&gt;"NE"),VLOOKUP(AN617,Retirement_Rates,5,FALSE)*Y617,0)</f>
        <v>0</v>
      </c>
      <c r="CE617" s="462">
        <f>IF(AND(AT617&lt;&gt;0,AJ617&lt;&gt;"PF"),LifeCHG*Y617,0)</f>
        <v>0</v>
      </c>
      <c r="CF617" s="462">
        <f>IF(AND(AT617&lt;&gt;0,AM617="Y"),UICHG*Y617,0)</f>
        <v>0</v>
      </c>
      <c r="CG617" s="462">
        <f>IF(AND(AT617&lt;&gt;0,N617&lt;&gt;"NR"),DHRCHG*Y617,0)</f>
        <v>0</v>
      </c>
      <c r="CH617" s="462">
        <f>IF(AT617&lt;&gt;0,WCCHG*Y617,0)</f>
        <v>0</v>
      </c>
      <c r="CI617" s="462">
        <f>IF(OR(AND(AT617&lt;&gt;0,AJ617&lt;&gt;"PF",AN617&lt;&gt;"NE",AG617&lt;&gt;"A"),AND(AL617="E",OR(AT617=1,AT617=3))),SickCHG*Y617,0)</f>
        <v>0</v>
      </c>
      <c r="CJ617" s="462">
        <f t="shared" si="165"/>
        <v>0</v>
      </c>
      <c r="CK617" s="462" t="str">
        <f t="shared" si="166"/>
        <v/>
      </c>
      <c r="CL617" s="462" t="str">
        <f t="shared" si="167"/>
        <v/>
      </c>
      <c r="CM617" s="462" t="str">
        <f t="shared" si="168"/>
        <v/>
      </c>
      <c r="CN617" s="462" t="str">
        <f t="shared" si="169"/>
        <v>0348-00</v>
      </c>
    </row>
    <row r="618" spans="1:92" ht="15" thickBot="1" x14ac:dyDescent="0.35">
      <c r="A618" s="376" t="s">
        <v>161</v>
      </c>
      <c r="B618" s="376" t="s">
        <v>162</v>
      </c>
      <c r="C618" s="376" t="s">
        <v>1099</v>
      </c>
      <c r="D618" s="376" t="s">
        <v>1100</v>
      </c>
      <c r="E618" s="376" t="s">
        <v>759</v>
      </c>
      <c r="F618" s="377" t="s">
        <v>166</v>
      </c>
      <c r="G618" s="376" t="s">
        <v>1331</v>
      </c>
      <c r="H618" s="378"/>
      <c r="I618" s="378"/>
      <c r="J618" s="376" t="s">
        <v>168</v>
      </c>
      <c r="K618" s="376" t="s">
        <v>1102</v>
      </c>
      <c r="L618" s="376" t="s">
        <v>200</v>
      </c>
      <c r="M618" s="376" t="s">
        <v>170</v>
      </c>
      <c r="N618" s="376" t="s">
        <v>1103</v>
      </c>
      <c r="O618" s="379">
        <v>1</v>
      </c>
      <c r="P618" s="460">
        <v>1</v>
      </c>
      <c r="Q618" s="460">
        <v>1</v>
      </c>
      <c r="R618" s="380">
        <v>80</v>
      </c>
      <c r="S618" s="460">
        <v>1</v>
      </c>
      <c r="T618" s="380">
        <v>11454.69</v>
      </c>
      <c r="U618" s="380">
        <v>0</v>
      </c>
      <c r="V618" s="380">
        <v>4400.18</v>
      </c>
      <c r="W618" s="380">
        <v>46800</v>
      </c>
      <c r="X618" s="380">
        <v>22244.1</v>
      </c>
      <c r="Y618" s="380">
        <v>46800</v>
      </c>
      <c r="Z618" s="380">
        <v>22122.42</v>
      </c>
      <c r="AA618" s="376" t="s">
        <v>1104</v>
      </c>
      <c r="AB618" s="376" t="s">
        <v>1105</v>
      </c>
      <c r="AC618" s="376" t="s">
        <v>1106</v>
      </c>
      <c r="AD618" s="376" t="s">
        <v>190</v>
      </c>
      <c r="AE618" s="376" t="s">
        <v>1102</v>
      </c>
      <c r="AF618" s="376" t="s">
        <v>210</v>
      </c>
      <c r="AG618" s="376" t="s">
        <v>177</v>
      </c>
      <c r="AH618" s="381">
        <v>22.5</v>
      </c>
      <c r="AI618" s="379">
        <v>528</v>
      </c>
      <c r="AJ618" s="376" t="s">
        <v>178</v>
      </c>
      <c r="AK618" s="376" t="s">
        <v>179</v>
      </c>
      <c r="AL618" s="376" t="s">
        <v>180</v>
      </c>
      <c r="AM618" s="376" t="s">
        <v>181</v>
      </c>
      <c r="AN618" s="376" t="s">
        <v>68</v>
      </c>
      <c r="AO618" s="379">
        <v>80</v>
      </c>
      <c r="AP618" s="460">
        <v>1</v>
      </c>
      <c r="AQ618" s="460">
        <v>1</v>
      </c>
      <c r="AR618" s="458" t="s">
        <v>182</v>
      </c>
      <c r="AS618" s="462">
        <f t="shared" si="153"/>
        <v>1</v>
      </c>
      <c r="AT618">
        <f t="shared" si="154"/>
        <v>1</v>
      </c>
      <c r="AU618" s="462">
        <f>IF(AT618=0,"",IF(AND(AT618=1,M618="F",SUMIF(C2:C698,C618,AS2:AS698)&lt;=1),SUMIF(C2:C698,C618,AS2:AS698),IF(AND(AT618=1,M618="F",SUMIF(C2:C698,C618,AS2:AS698)&gt;1),1,"")))</f>
        <v>1</v>
      </c>
      <c r="AV618" s="462" t="str">
        <f>IF(AT618=0,"",IF(AND(AT618=3,M618="F",SUMIF(C2:C698,C618,AS2:AS698)&lt;=1),SUMIF(C2:C698,C618,AS2:AS698),IF(AND(AT618=3,M618="F",SUMIF(C2:C698,C618,AS2:AS698)&gt;1),1,"")))</f>
        <v/>
      </c>
      <c r="AW618" s="462">
        <f>SUMIF(C2:C698,C618,O2:O698)</f>
        <v>2</v>
      </c>
      <c r="AX618" s="462">
        <f>IF(AND(M618="F",AS618&lt;&gt;0),SUMIF(C2:C698,C618,W2:W698),0)</f>
        <v>46800</v>
      </c>
      <c r="AY618" s="462">
        <f t="shared" si="155"/>
        <v>46800</v>
      </c>
      <c r="AZ618" s="462" t="str">
        <f t="shared" si="156"/>
        <v/>
      </c>
      <c r="BA618" s="462">
        <f t="shared" si="157"/>
        <v>0</v>
      </c>
      <c r="BB618" s="462">
        <f>IF(AND(AT618=1,AK618="E",AU618&gt;=0.75,AW618=1),Health,IF(AND(AT618=1,AK618="E",AU618&gt;=0.75),Health*P618,IF(AND(AT618=1,AK618="E",AU618&gt;=0.5,AW618=1),PTHealth,IF(AND(AT618=1,AK618="E",AU618&gt;=0.5),PTHealth*P618,0))))</f>
        <v>11650</v>
      </c>
      <c r="BC618" s="462">
        <f>IF(AND(AT618=3,AK618="E",AV618&gt;=0.75,AW618=1),Health,IF(AND(AT618=3,AK618="E",AV618&gt;=0.75),Health*P618,IF(AND(AT618=3,AK618="E",AV618&gt;=0.5,AW618=1),PTHealth,IF(AND(AT618=3,AK618="E",AV618&gt;=0.5),PTHealth*P618,0))))</f>
        <v>0</v>
      </c>
      <c r="BD618" s="462">
        <f>IF(AND(AT618&lt;&gt;0,AX618&gt;=MAXSSDI),SSDI*MAXSSDI*P618,IF(AT618&lt;&gt;0,SSDI*W618,0))</f>
        <v>2901.6</v>
      </c>
      <c r="BE618" s="462">
        <f>IF(AT618&lt;&gt;0,SSHI*W618,0)</f>
        <v>678.6</v>
      </c>
      <c r="BF618" s="462">
        <f>IF(AND(AT618&lt;&gt;0,AN618&lt;&gt;"NE"),VLOOKUP(AN618,Retirement_Rates,3,FALSE)*W618,0)</f>
        <v>5587.92</v>
      </c>
      <c r="BG618" s="462">
        <f>IF(AND(AT618&lt;&gt;0,AJ618&lt;&gt;"PF"),Life*W618,0)</f>
        <v>337.428</v>
      </c>
      <c r="BH618" s="462">
        <f>IF(AND(AT618&lt;&gt;0,AM618="Y"),UI*W618,0)</f>
        <v>229.32</v>
      </c>
      <c r="BI618" s="462">
        <f>IF(AND(AT618&lt;&gt;0,N618&lt;&gt;"NR"),DHR*W618,0)</f>
        <v>143.208</v>
      </c>
      <c r="BJ618" s="462">
        <f>IF(AT618&lt;&gt;0,WC*W618,0)</f>
        <v>716.04</v>
      </c>
      <c r="BK618" s="462">
        <f>IF(OR(AND(AT618&lt;&gt;0,AJ618&lt;&gt;"PF",AN618&lt;&gt;"NE",AG618&lt;&gt;"A"),AND(AL618="E",OR(AT618=1,AT618=3))),Sick*W618,0)</f>
        <v>0</v>
      </c>
      <c r="BL618" s="462">
        <f t="shared" si="158"/>
        <v>10594.115999999998</v>
      </c>
      <c r="BM618" s="462">
        <f t="shared" si="159"/>
        <v>0</v>
      </c>
      <c r="BN618" s="462">
        <f>IF(AND(AT618=1,AK618="E",AU618&gt;=0.75,AW618=1),HealthBY,IF(AND(AT618=1,AK618="E",AU618&gt;=0.75),HealthBY*P618,IF(AND(AT618=1,AK618="E",AU618&gt;=0.5,AW618=1),PTHealthBY,IF(AND(AT618=1,AK618="E",AU618&gt;=0.5),PTHealthBY*P618,0))))</f>
        <v>11650</v>
      </c>
      <c r="BO618" s="462">
        <f>IF(AND(AT618=3,AK618="E",AV618&gt;=0.75,AW618=1),HealthBY,IF(AND(AT618=3,AK618="E",AV618&gt;=0.75),HealthBY*P618,IF(AND(AT618=3,AK618="E",AV618&gt;=0.5,AW618=1),PTHealthBY,IF(AND(AT618=3,AK618="E",AV618&gt;=0.5),PTHealthBY*P618,0))))</f>
        <v>0</v>
      </c>
      <c r="BP618" s="462">
        <f>IF(AND(AT618&lt;&gt;0,(AX618+BA618)&gt;=MAXSSDIBY),SSDIBY*MAXSSDIBY*P618,IF(AT618&lt;&gt;0,SSDIBY*W618,0))</f>
        <v>2901.6</v>
      </c>
      <c r="BQ618" s="462">
        <f>IF(AT618&lt;&gt;0,SSHIBY*W618,0)</f>
        <v>678.6</v>
      </c>
      <c r="BR618" s="462">
        <f>IF(AND(AT618&lt;&gt;0,AN618&lt;&gt;"NE"),VLOOKUP(AN618,Retirement_Rates,4,FALSE)*W618,0)</f>
        <v>5587.92</v>
      </c>
      <c r="BS618" s="462">
        <f>IF(AND(AT618&lt;&gt;0,AJ618&lt;&gt;"PF"),LifeBY*W618,0)</f>
        <v>337.428</v>
      </c>
      <c r="BT618" s="462">
        <f>IF(AND(AT618&lt;&gt;0,AM618="Y"),UIBY*W618,0)</f>
        <v>0</v>
      </c>
      <c r="BU618" s="462">
        <f>IF(AND(AT618&lt;&gt;0,N618&lt;&gt;"NR"),DHRBY*W618,0)</f>
        <v>143.208</v>
      </c>
      <c r="BV618" s="462">
        <f>IF(AT618&lt;&gt;0,WCBY*W618,0)</f>
        <v>823.68000000000006</v>
      </c>
      <c r="BW618" s="462">
        <f>IF(OR(AND(AT618&lt;&gt;0,AJ618&lt;&gt;"PF",AN618&lt;&gt;"NE",AG618&lt;&gt;"A"),AND(AL618="E",OR(AT618=1,AT618=3))),SickBY*W618,0)</f>
        <v>0</v>
      </c>
      <c r="BX618" s="462">
        <f t="shared" si="160"/>
        <v>10472.436</v>
      </c>
      <c r="BY618" s="462">
        <f t="shared" si="161"/>
        <v>0</v>
      </c>
      <c r="BZ618" s="462">
        <f t="shared" si="162"/>
        <v>0</v>
      </c>
      <c r="CA618" s="462">
        <f t="shared" si="163"/>
        <v>0</v>
      </c>
      <c r="CB618" s="462">
        <f t="shared" si="164"/>
        <v>0</v>
      </c>
      <c r="CC618" s="462">
        <f>IF(AT618&lt;&gt;0,SSHICHG*Y618,0)</f>
        <v>0</v>
      </c>
      <c r="CD618" s="462">
        <f>IF(AND(AT618&lt;&gt;0,AN618&lt;&gt;"NE"),VLOOKUP(AN618,Retirement_Rates,5,FALSE)*Y618,0)</f>
        <v>0</v>
      </c>
      <c r="CE618" s="462">
        <f>IF(AND(AT618&lt;&gt;0,AJ618&lt;&gt;"PF"),LifeCHG*Y618,0)</f>
        <v>0</v>
      </c>
      <c r="CF618" s="462">
        <f>IF(AND(AT618&lt;&gt;0,AM618="Y"),UICHG*Y618,0)</f>
        <v>-229.32</v>
      </c>
      <c r="CG618" s="462">
        <f>IF(AND(AT618&lt;&gt;0,N618&lt;&gt;"NR"),DHRCHG*Y618,0)</f>
        <v>0</v>
      </c>
      <c r="CH618" s="462">
        <f>IF(AT618&lt;&gt;0,WCCHG*Y618,0)</f>
        <v>107.64000000000009</v>
      </c>
      <c r="CI618" s="462">
        <f>IF(OR(AND(AT618&lt;&gt;0,AJ618&lt;&gt;"PF",AN618&lt;&gt;"NE",AG618&lt;&gt;"A"),AND(AL618="E",OR(AT618=1,AT618=3))),SickCHG*Y618,0)</f>
        <v>0</v>
      </c>
      <c r="CJ618" s="462">
        <f t="shared" si="165"/>
        <v>-121.67999999999991</v>
      </c>
      <c r="CK618" s="462" t="str">
        <f t="shared" si="166"/>
        <v/>
      </c>
      <c r="CL618" s="462" t="str">
        <f t="shared" si="167"/>
        <v/>
      </c>
      <c r="CM618" s="462" t="str">
        <f t="shared" si="168"/>
        <v/>
      </c>
      <c r="CN618" s="462" t="str">
        <f t="shared" si="169"/>
        <v>0348-00</v>
      </c>
    </row>
    <row r="619" spans="1:92" ht="15" thickBot="1" x14ac:dyDescent="0.35">
      <c r="A619" s="376" t="s">
        <v>161</v>
      </c>
      <c r="B619" s="376" t="s">
        <v>162</v>
      </c>
      <c r="C619" s="376" t="s">
        <v>1333</v>
      </c>
      <c r="D619" s="376" t="s">
        <v>287</v>
      </c>
      <c r="E619" s="376" t="s">
        <v>1334</v>
      </c>
      <c r="F619" s="382" t="s">
        <v>289</v>
      </c>
      <c r="G619" s="376" t="s">
        <v>1335</v>
      </c>
      <c r="H619" s="378"/>
      <c r="I619" s="378"/>
      <c r="J619" s="376" t="s">
        <v>168</v>
      </c>
      <c r="K619" s="376" t="s">
        <v>290</v>
      </c>
      <c r="L619" s="376" t="s">
        <v>166</v>
      </c>
      <c r="M619" s="376" t="s">
        <v>170</v>
      </c>
      <c r="N619" s="376" t="s">
        <v>291</v>
      </c>
      <c r="O619" s="379">
        <v>0</v>
      </c>
      <c r="P619" s="460">
        <v>1</v>
      </c>
      <c r="Q619" s="460">
        <v>0</v>
      </c>
      <c r="R619" s="380">
        <v>0</v>
      </c>
      <c r="S619" s="460">
        <v>0</v>
      </c>
      <c r="T619" s="380">
        <v>0</v>
      </c>
      <c r="U619" s="380">
        <v>0</v>
      </c>
      <c r="V619" s="380">
        <v>0</v>
      </c>
      <c r="W619" s="380">
        <v>0</v>
      </c>
      <c r="X619" s="380">
        <v>0</v>
      </c>
      <c r="Y619" s="380">
        <v>0</v>
      </c>
      <c r="Z619" s="380">
        <v>0</v>
      </c>
      <c r="AA619" s="378"/>
      <c r="AB619" s="376" t="s">
        <v>45</v>
      </c>
      <c r="AC619" s="376" t="s">
        <v>45</v>
      </c>
      <c r="AD619" s="378"/>
      <c r="AE619" s="378"/>
      <c r="AF619" s="378"/>
      <c r="AG619" s="378"/>
      <c r="AH619" s="379">
        <v>0</v>
      </c>
      <c r="AI619" s="379">
        <v>0</v>
      </c>
      <c r="AJ619" s="378"/>
      <c r="AK619" s="378"/>
      <c r="AL619" s="376" t="s">
        <v>180</v>
      </c>
      <c r="AM619" s="378"/>
      <c r="AN619" s="378"/>
      <c r="AO619" s="379">
        <v>0</v>
      </c>
      <c r="AP619" s="460">
        <v>0</v>
      </c>
      <c r="AQ619" s="460">
        <v>0</v>
      </c>
      <c r="AR619" s="459"/>
      <c r="AS619" s="462">
        <f t="shared" si="153"/>
        <v>0</v>
      </c>
      <c r="AT619">
        <f t="shared" si="154"/>
        <v>0</v>
      </c>
      <c r="AU619" s="462" t="str">
        <f>IF(AT619=0,"",IF(AND(AT619=1,M619="F",SUMIF(C2:C698,C619,AS2:AS698)&lt;=1),SUMIF(C2:C698,C619,AS2:AS698),IF(AND(AT619=1,M619="F",SUMIF(C2:C698,C619,AS2:AS698)&gt;1),1,"")))</f>
        <v/>
      </c>
      <c r="AV619" s="462" t="str">
        <f>IF(AT619=0,"",IF(AND(AT619=3,M619="F",SUMIF(C2:C698,C619,AS2:AS698)&lt;=1),SUMIF(C2:C698,C619,AS2:AS698),IF(AND(AT619=3,M619="F",SUMIF(C2:C698,C619,AS2:AS698)&gt;1),1,"")))</f>
        <v/>
      </c>
      <c r="AW619" s="462">
        <f>SUMIF(C2:C698,C619,O2:O698)</f>
        <v>0</v>
      </c>
      <c r="AX619" s="462">
        <f>IF(AND(M619="F",AS619&lt;&gt;0),SUMIF(C2:C698,C619,W2:W698),0)</f>
        <v>0</v>
      </c>
      <c r="AY619" s="462" t="str">
        <f t="shared" si="155"/>
        <v/>
      </c>
      <c r="AZ619" s="462" t="str">
        <f t="shared" si="156"/>
        <v/>
      </c>
      <c r="BA619" s="462">
        <f t="shared" si="157"/>
        <v>0</v>
      </c>
      <c r="BB619" s="462">
        <f>IF(AND(AT619=1,AK619="E",AU619&gt;=0.75,AW619=1),Health,IF(AND(AT619=1,AK619="E",AU619&gt;=0.75),Health*P619,IF(AND(AT619=1,AK619="E",AU619&gt;=0.5,AW619=1),PTHealth,IF(AND(AT619=1,AK619="E",AU619&gt;=0.5),PTHealth*P619,0))))</f>
        <v>0</v>
      </c>
      <c r="BC619" s="462">
        <f>IF(AND(AT619=3,AK619="E",AV619&gt;=0.75,AW619=1),Health,IF(AND(AT619=3,AK619="E",AV619&gt;=0.75),Health*P619,IF(AND(AT619=3,AK619="E",AV619&gt;=0.5,AW619=1),PTHealth,IF(AND(AT619=3,AK619="E",AV619&gt;=0.5),PTHealth*P619,0))))</f>
        <v>0</v>
      </c>
      <c r="BD619" s="462">
        <f>IF(AND(AT619&lt;&gt;0,AX619&gt;=MAXSSDI),SSDI*MAXSSDI*P619,IF(AT619&lt;&gt;0,SSDI*W619,0))</f>
        <v>0</v>
      </c>
      <c r="BE619" s="462">
        <f>IF(AT619&lt;&gt;0,SSHI*W619,0)</f>
        <v>0</v>
      </c>
      <c r="BF619" s="462">
        <f>IF(AND(AT619&lt;&gt;0,AN619&lt;&gt;"NE"),VLOOKUP(AN619,Retirement_Rates,3,FALSE)*W619,0)</f>
        <v>0</v>
      </c>
      <c r="BG619" s="462">
        <f>IF(AND(AT619&lt;&gt;0,AJ619&lt;&gt;"PF"),Life*W619,0)</f>
        <v>0</v>
      </c>
      <c r="BH619" s="462">
        <f>IF(AND(AT619&lt;&gt;0,AM619="Y"),UI*W619,0)</f>
        <v>0</v>
      </c>
      <c r="BI619" s="462">
        <f>IF(AND(AT619&lt;&gt;0,N619&lt;&gt;"NR"),DHR*W619,0)</f>
        <v>0</v>
      </c>
      <c r="BJ619" s="462">
        <f>IF(AT619&lt;&gt;0,WC*W619,0)</f>
        <v>0</v>
      </c>
      <c r="BK619" s="462">
        <f>IF(OR(AND(AT619&lt;&gt;0,AJ619&lt;&gt;"PF",AN619&lt;&gt;"NE",AG619&lt;&gt;"A"),AND(AL619="E",OR(AT619=1,AT619=3))),Sick*W619,0)</f>
        <v>0</v>
      </c>
      <c r="BL619" s="462">
        <f t="shared" si="158"/>
        <v>0</v>
      </c>
      <c r="BM619" s="462">
        <f t="shared" si="159"/>
        <v>0</v>
      </c>
      <c r="BN619" s="462">
        <f>IF(AND(AT619=1,AK619="E",AU619&gt;=0.75,AW619=1),HealthBY,IF(AND(AT619=1,AK619="E",AU619&gt;=0.75),HealthBY*P619,IF(AND(AT619=1,AK619="E",AU619&gt;=0.5,AW619=1),PTHealthBY,IF(AND(AT619=1,AK619="E",AU619&gt;=0.5),PTHealthBY*P619,0))))</f>
        <v>0</v>
      </c>
      <c r="BO619" s="462">
        <f>IF(AND(AT619=3,AK619="E",AV619&gt;=0.75,AW619=1),HealthBY,IF(AND(AT619=3,AK619="E",AV619&gt;=0.75),HealthBY*P619,IF(AND(AT619=3,AK619="E",AV619&gt;=0.5,AW619=1),PTHealthBY,IF(AND(AT619=3,AK619="E",AV619&gt;=0.5),PTHealthBY*P619,0))))</f>
        <v>0</v>
      </c>
      <c r="BP619" s="462">
        <f>IF(AND(AT619&lt;&gt;0,(AX619+BA619)&gt;=MAXSSDIBY),SSDIBY*MAXSSDIBY*P619,IF(AT619&lt;&gt;0,SSDIBY*W619,0))</f>
        <v>0</v>
      </c>
      <c r="BQ619" s="462">
        <f>IF(AT619&lt;&gt;0,SSHIBY*W619,0)</f>
        <v>0</v>
      </c>
      <c r="BR619" s="462">
        <f>IF(AND(AT619&lt;&gt;0,AN619&lt;&gt;"NE"),VLOOKUP(AN619,Retirement_Rates,4,FALSE)*W619,0)</f>
        <v>0</v>
      </c>
      <c r="BS619" s="462">
        <f>IF(AND(AT619&lt;&gt;0,AJ619&lt;&gt;"PF"),LifeBY*W619,0)</f>
        <v>0</v>
      </c>
      <c r="BT619" s="462">
        <f>IF(AND(AT619&lt;&gt;0,AM619="Y"),UIBY*W619,0)</f>
        <v>0</v>
      </c>
      <c r="BU619" s="462">
        <f>IF(AND(AT619&lt;&gt;0,N619&lt;&gt;"NR"),DHRBY*W619,0)</f>
        <v>0</v>
      </c>
      <c r="BV619" s="462">
        <f>IF(AT619&lt;&gt;0,WCBY*W619,0)</f>
        <v>0</v>
      </c>
      <c r="BW619" s="462">
        <f>IF(OR(AND(AT619&lt;&gt;0,AJ619&lt;&gt;"PF",AN619&lt;&gt;"NE",AG619&lt;&gt;"A"),AND(AL619="E",OR(AT619=1,AT619=3))),SickBY*W619,0)</f>
        <v>0</v>
      </c>
      <c r="BX619" s="462">
        <f t="shared" si="160"/>
        <v>0</v>
      </c>
      <c r="BY619" s="462">
        <f t="shared" si="161"/>
        <v>0</v>
      </c>
      <c r="BZ619" s="462">
        <f t="shared" si="162"/>
        <v>0</v>
      </c>
      <c r="CA619" s="462">
        <f t="shared" si="163"/>
        <v>0</v>
      </c>
      <c r="CB619" s="462">
        <f t="shared" si="164"/>
        <v>0</v>
      </c>
      <c r="CC619" s="462">
        <f>IF(AT619&lt;&gt;0,SSHICHG*Y619,0)</f>
        <v>0</v>
      </c>
      <c r="CD619" s="462">
        <f>IF(AND(AT619&lt;&gt;0,AN619&lt;&gt;"NE"),VLOOKUP(AN619,Retirement_Rates,5,FALSE)*Y619,0)</f>
        <v>0</v>
      </c>
      <c r="CE619" s="462">
        <f>IF(AND(AT619&lt;&gt;0,AJ619&lt;&gt;"PF"),LifeCHG*Y619,0)</f>
        <v>0</v>
      </c>
      <c r="CF619" s="462">
        <f>IF(AND(AT619&lt;&gt;0,AM619="Y"),UICHG*Y619,0)</f>
        <v>0</v>
      </c>
      <c r="CG619" s="462">
        <f>IF(AND(AT619&lt;&gt;0,N619&lt;&gt;"NR"),DHRCHG*Y619,0)</f>
        <v>0</v>
      </c>
      <c r="CH619" s="462">
        <f>IF(AT619&lt;&gt;0,WCCHG*Y619,0)</f>
        <v>0</v>
      </c>
      <c r="CI619" s="462">
        <f>IF(OR(AND(AT619&lt;&gt;0,AJ619&lt;&gt;"PF",AN619&lt;&gt;"NE",AG619&lt;&gt;"A"),AND(AL619="E",OR(AT619=1,AT619=3))),SickCHG*Y619,0)</f>
        <v>0</v>
      </c>
      <c r="CJ619" s="462">
        <f t="shared" si="165"/>
        <v>0</v>
      </c>
      <c r="CK619" s="462" t="str">
        <f t="shared" si="166"/>
        <v/>
      </c>
      <c r="CL619" s="462">
        <f t="shared" si="167"/>
        <v>0</v>
      </c>
      <c r="CM619" s="462">
        <f t="shared" si="168"/>
        <v>0</v>
      </c>
      <c r="CN619" s="462" t="str">
        <f t="shared" si="169"/>
        <v>0491-01</v>
      </c>
    </row>
    <row r="620" spans="1:92" ht="15" thickBot="1" x14ac:dyDescent="0.35">
      <c r="A620" s="376" t="s">
        <v>161</v>
      </c>
      <c r="B620" s="376" t="s">
        <v>162</v>
      </c>
      <c r="C620" s="376" t="s">
        <v>454</v>
      </c>
      <c r="D620" s="376" t="s">
        <v>287</v>
      </c>
      <c r="E620" s="376" t="s">
        <v>1334</v>
      </c>
      <c r="F620" s="382" t="s">
        <v>289</v>
      </c>
      <c r="G620" s="376" t="s">
        <v>1335</v>
      </c>
      <c r="H620" s="378"/>
      <c r="I620" s="378"/>
      <c r="J620" s="376" t="s">
        <v>455</v>
      </c>
      <c r="K620" s="376" t="s">
        <v>290</v>
      </c>
      <c r="L620" s="376" t="s">
        <v>166</v>
      </c>
      <c r="M620" s="376" t="s">
        <v>201</v>
      </c>
      <c r="N620" s="376" t="s">
        <v>291</v>
      </c>
      <c r="O620" s="379">
        <v>0</v>
      </c>
      <c r="P620" s="460">
        <v>0.02</v>
      </c>
      <c r="Q620" s="460">
        <v>0</v>
      </c>
      <c r="R620" s="380">
        <v>0</v>
      </c>
      <c r="S620" s="460">
        <v>0</v>
      </c>
      <c r="T620" s="380">
        <v>0</v>
      </c>
      <c r="U620" s="380">
        <v>0</v>
      </c>
      <c r="V620" s="380">
        <v>0</v>
      </c>
      <c r="W620" s="380">
        <v>0</v>
      </c>
      <c r="X620" s="380">
        <v>0</v>
      </c>
      <c r="Y620" s="380">
        <v>0</v>
      </c>
      <c r="Z620" s="380">
        <v>0</v>
      </c>
      <c r="AA620" s="378"/>
      <c r="AB620" s="376" t="s">
        <v>45</v>
      </c>
      <c r="AC620" s="376" t="s">
        <v>45</v>
      </c>
      <c r="AD620" s="378"/>
      <c r="AE620" s="378"/>
      <c r="AF620" s="378"/>
      <c r="AG620" s="378"/>
      <c r="AH620" s="379">
        <v>0</v>
      </c>
      <c r="AI620" s="379">
        <v>0</v>
      </c>
      <c r="AJ620" s="378"/>
      <c r="AK620" s="378"/>
      <c r="AL620" s="376" t="s">
        <v>180</v>
      </c>
      <c r="AM620" s="378"/>
      <c r="AN620" s="378"/>
      <c r="AO620" s="379">
        <v>0</v>
      </c>
      <c r="AP620" s="460">
        <v>0</v>
      </c>
      <c r="AQ620" s="460">
        <v>0</v>
      </c>
      <c r="AR620" s="459"/>
      <c r="AS620" s="462">
        <f t="shared" si="153"/>
        <v>0</v>
      </c>
      <c r="AT620">
        <f t="shared" si="154"/>
        <v>0</v>
      </c>
      <c r="AU620" s="462" t="str">
        <f>IF(AT620=0,"",IF(AND(AT620=1,M620="F",SUMIF(C2:C698,C620,AS2:AS698)&lt;=1),SUMIF(C2:C698,C620,AS2:AS698),IF(AND(AT620=1,M620="F",SUMIF(C2:C698,C620,AS2:AS698)&gt;1),1,"")))</f>
        <v/>
      </c>
      <c r="AV620" s="462" t="str">
        <f>IF(AT620=0,"",IF(AND(AT620=3,M620="F",SUMIF(C2:C698,C620,AS2:AS698)&lt;=1),SUMIF(C2:C698,C620,AS2:AS698),IF(AND(AT620=3,M620="F",SUMIF(C2:C698,C620,AS2:AS698)&gt;1),1,"")))</f>
        <v/>
      </c>
      <c r="AW620" s="462">
        <f>SUMIF(C2:C698,C620,O2:O698)</f>
        <v>0</v>
      </c>
      <c r="AX620" s="462">
        <f>IF(AND(M620="F",AS620&lt;&gt;0),SUMIF(C2:C698,C620,W2:W698),0)</f>
        <v>0</v>
      </c>
      <c r="AY620" s="462" t="str">
        <f t="shared" si="155"/>
        <v/>
      </c>
      <c r="AZ620" s="462" t="str">
        <f t="shared" si="156"/>
        <v/>
      </c>
      <c r="BA620" s="462">
        <f t="shared" si="157"/>
        <v>0</v>
      </c>
      <c r="BB620" s="462">
        <f>IF(AND(AT620=1,AK620="E",AU620&gt;=0.75,AW620=1),Health,IF(AND(AT620=1,AK620="E",AU620&gt;=0.75),Health*P620,IF(AND(AT620=1,AK620="E",AU620&gt;=0.5,AW620=1),PTHealth,IF(AND(AT620=1,AK620="E",AU620&gt;=0.5),PTHealth*P620,0))))</f>
        <v>0</v>
      </c>
      <c r="BC620" s="462">
        <f>IF(AND(AT620=3,AK620="E",AV620&gt;=0.75,AW620=1),Health,IF(AND(AT620=3,AK620="E",AV620&gt;=0.75),Health*P620,IF(AND(AT620=3,AK620="E",AV620&gt;=0.5,AW620=1),PTHealth,IF(AND(AT620=3,AK620="E",AV620&gt;=0.5),PTHealth*P620,0))))</f>
        <v>0</v>
      </c>
      <c r="BD620" s="462">
        <f>IF(AND(AT620&lt;&gt;0,AX620&gt;=MAXSSDI),SSDI*MAXSSDI*P620,IF(AT620&lt;&gt;0,SSDI*W620,0))</f>
        <v>0</v>
      </c>
      <c r="BE620" s="462">
        <f>IF(AT620&lt;&gt;0,SSHI*W620,0)</f>
        <v>0</v>
      </c>
      <c r="BF620" s="462">
        <f>IF(AND(AT620&lt;&gt;0,AN620&lt;&gt;"NE"),VLOOKUP(AN620,Retirement_Rates,3,FALSE)*W620,0)</f>
        <v>0</v>
      </c>
      <c r="BG620" s="462">
        <f>IF(AND(AT620&lt;&gt;0,AJ620&lt;&gt;"PF"),Life*W620,0)</f>
        <v>0</v>
      </c>
      <c r="BH620" s="462">
        <f>IF(AND(AT620&lt;&gt;0,AM620="Y"),UI*W620,0)</f>
        <v>0</v>
      </c>
      <c r="BI620" s="462">
        <f>IF(AND(AT620&lt;&gt;0,N620&lt;&gt;"NR"),DHR*W620,0)</f>
        <v>0</v>
      </c>
      <c r="BJ620" s="462">
        <f>IF(AT620&lt;&gt;0,WC*W620,0)</f>
        <v>0</v>
      </c>
      <c r="BK620" s="462">
        <f>IF(OR(AND(AT620&lt;&gt;0,AJ620&lt;&gt;"PF",AN620&lt;&gt;"NE",AG620&lt;&gt;"A"),AND(AL620="E",OR(AT620=1,AT620=3))),Sick*W620,0)</f>
        <v>0</v>
      </c>
      <c r="BL620" s="462">
        <f t="shared" si="158"/>
        <v>0</v>
      </c>
      <c r="BM620" s="462">
        <f t="shared" si="159"/>
        <v>0</v>
      </c>
      <c r="BN620" s="462">
        <f>IF(AND(AT620=1,AK620="E",AU620&gt;=0.75,AW620=1),HealthBY,IF(AND(AT620=1,AK620="E",AU620&gt;=0.75),HealthBY*P620,IF(AND(AT620=1,AK620="E",AU620&gt;=0.5,AW620=1),PTHealthBY,IF(AND(AT620=1,AK620="E",AU620&gt;=0.5),PTHealthBY*P620,0))))</f>
        <v>0</v>
      </c>
      <c r="BO620" s="462">
        <f>IF(AND(AT620=3,AK620="E",AV620&gt;=0.75,AW620=1),HealthBY,IF(AND(AT620=3,AK620="E",AV620&gt;=0.75),HealthBY*P620,IF(AND(AT620=3,AK620="E",AV620&gt;=0.5,AW620=1),PTHealthBY,IF(AND(AT620=3,AK620="E",AV620&gt;=0.5),PTHealthBY*P620,0))))</f>
        <v>0</v>
      </c>
      <c r="BP620" s="462">
        <f>IF(AND(AT620&lt;&gt;0,(AX620+BA620)&gt;=MAXSSDIBY),SSDIBY*MAXSSDIBY*P620,IF(AT620&lt;&gt;0,SSDIBY*W620,0))</f>
        <v>0</v>
      </c>
      <c r="BQ620" s="462">
        <f>IF(AT620&lt;&gt;0,SSHIBY*W620,0)</f>
        <v>0</v>
      </c>
      <c r="BR620" s="462">
        <f>IF(AND(AT620&lt;&gt;0,AN620&lt;&gt;"NE"),VLOOKUP(AN620,Retirement_Rates,4,FALSE)*W620,0)</f>
        <v>0</v>
      </c>
      <c r="BS620" s="462">
        <f>IF(AND(AT620&lt;&gt;0,AJ620&lt;&gt;"PF"),LifeBY*W620,0)</f>
        <v>0</v>
      </c>
      <c r="BT620" s="462">
        <f>IF(AND(AT620&lt;&gt;0,AM620="Y"),UIBY*W620,0)</f>
        <v>0</v>
      </c>
      <c r="BU620" s="462">
        <f>IF(AND(AT620&lt;&gt;0,N620&lt;&gt;"NR"),DHRBY*W620,0)</f>
        <v>0</v>
      </c>
      <c r="BV620" s="462">
        <f>IF(AT620&lt;&gt;0,WCBY*W620,0)</f>
        <v>0</v>
      </c>
      <c r="BW620" s="462">
        <f>IF(OR(AND(AT620&lt;&gt;0,AJ620&lt;&gt;"PF",AN620&lt;&gt;"NE",AG620&lt;&gt;"A"),AND(AL620="E",OR(AT620=1,AT620=3))),SickBY*W620,0)</f>
        <v>0</v>
      </c>
      <c r="BX620" s="462">
        <f t="shared" si="160"/>
        <v>0</v>
      </c>
      <c r="BY620" s="462">
        <f t="shared" si="161"/>
        <v>0</v>
      </c>
      <c r="BZ620" s="462">
        <f t="shared" si="162"/>
        <v>0</v>
      </c>
      <c r="CA620" s="462">
        <f t="shared" si="163"/>
        <v>0</v>
      </c>
      <c r="CB620" s="462">
        <f t="shared" si="164"/>
        <v>0</v>
      </c>
      <c r="CC620" s="462">
        <f>IF(AT620&lt;&gt;0,SSHICHG*Y620,0)</f>
        <v>0</v>
      </c>
      <c r="CD620" s="462">
        <f>IF(AND(AT620&lt;&gt;0,AN620&lt;&gt;"NE"),VLOOKUP(AN620,Retirement_Rates,5,FALSE)*Y620,0)</f>
        <v>0</v>
      </c>
      <c r="CE620" s="462">
        <f>IF(AND(AT620&lt;&gt;0,AJ620&lt;&gt;"PF"),LifeCHG*Y620,0)</f>
        <v>0</v>
      </c>
      <c r="CF620" s="462">
        <f>IF(AND(AT620&lt;&gt;0,AM620="Y"),UICHG*Y620,0)</f>
        <v>0</v>
      </c>
      <c r="CG620" s="462">
        <f>IF(AND(AT620&lt;&gt;0,N620&lt;&gt;"NR"),DHRCHG*Y620,0)</f>
        <v>0</v>
      </c>
      <c r="CH620" s="462">
        <f>IF(AT620&lt;&gt;0,WCCHG*Y620,0)</f>
        <v>0</v>
      </c>
      <c r="CI620" s="462">
        <f>IF(OR(AND(AT620&lt;&gt;0,AJ620&lt;&gt;"PF",AN620&lt;&gt;"NE",AG620&lt;&gt;"A"),AND(AL620="E",OR(AT620=1,AT620=3))),SickCHG*Y620,0)</f>
        <v>0</v>
      </c>
      <c r="CJ620" s="462">
        <f t="shared" si="165"/>
        <v>0</v>
      </c>
      <c r="CK620" s="462" t="str">
        <f t="shared" si="166"/>
        <v/>
      </c>
      <c r="CL620" s="462">
        <f t="shared" si="167"/>
        <v>0</v>
      </c>
      <c r="CM620" s="462">
        <f t="shared" si="168"/>
        <v>0</v>
      </c>
      <c r="CN620" s="462" t="str">
        <f t="shared" si="169"/>
        <v>0491-01</v>
      </c>
    </row>
    <row r="621" spans="1:92" ht="15" thickBot="1" x14ac:dyDescent="0.35">
      <c r="A621" s="376" t="s">
        <v>161</v>
      </c>
      <c r="B621" s="376" t="s">
        <v>162</v>
      </c>
      <c r="C621" s="376" t="s">
        <v>1336</v>
      </c>
      <c r="D621" s="376" t="s">
        <v>362</v>
      </c>
      <c r="E621" s="376" t="s">
        <v>1334</v>
      </c>
      <c r="F621" s="382" t="s">
        <v>289</v>
      </c>
      <c r="G621" s="376" t="s">
        <v>1335</v>
      </c>
      <c r="H621" s="378"/>
      <c r="I621" s="378"/>
      <c r="J621" s="376" t="s">
        <v>185</v>
      </c>
      <c r="K621" s="376" t="s">
        <v>363</v>
      </c>
      <c r="L621" s="376" t="s">
        <v>200</v>
      </c>
      <c r="M621" s="376" t="s">
        <v>170</v>
      </c>
      <c r="N621" s="376" t="s">
        <v>202</v>
      </c>
      <c r="O621" s="379">
        <v>1</v>
      </c>
      <c r="P621" s="460">
        <v>0.8</v>
      </c>
      <c r="Q621" s="460">
        <v>0.8</v>
      </c>
      <c r="R621" s="380">
        <v>80</v>
      </c>
      <c r="S621" s="460">
        <v>0.8</v>
      </c>
      <c r="T621" s="380">
        <v>35673.599999999999</v>
      </c>
      <c r="U621" s="380">
        <v>0</v>
      </c>
      <c r="V621" s="380">
        <v>16969.02</v>
      </c>
      <c r="W621" s="380">
        <v>37440</v>
      </c>
      <c r="X621" s="380">
        <v>17795.28</v>
      </c>
      <c r="Y621" s="380">
        <v>37440</v>
      </c>
      <c r="Z621" s="380">
        <v>17697.93</v>
      </c>
      <c r="AA621" s="376" t="s">
        <v>1337</v>
      </c>
      <c r="AB621" s="376" t="s">
        <v>671</v>
      </c>
      <c r="AC621" s="376" t="s">
        <v>1338</v>
      </c>
      <c r="AD621" s="376" t="s">
        <v>1339</v>
      </c>
      <c r="AE621" s="376" t="s">
        <v>363</v>
      </c>
      <c r="AF621" s="376" t="s">
        <v>210</v>
      </c>
      <c r="AG621" s="376" t="s">
        <v>177</v>
      </c>
      <c r="AH621" s="381">
        <v>22.5</v>
      </c>
      <c r="AI621" s="381">
        <v>9306.6</v>
      </c>
      <c r="AJ621" s="376" t="s">
        <v>178</v>
      </c>
      <c r="AK621" s="376" t="s">
        <v>179</v>
      </c>
      <c r="AL621" s="376" t="s">
        <v>180</v>
      </c>
      <c r="AM621" s="376" t="s">
        <v>181</v>
      </c>
      <c r="AN621" s="376" t="s">
        <v>68</v>
      </c>
      <c r="AO621" s="379">
        <v>80</v>
      </c>
      <c r="AP621" s="460">
        <v>1</v>
      </c>
      <c r="AQ621" s="460">
        <v>0.8</v>
      </c>
      <c r="AR621" s="458" t="s">
        <v>182</v>
      </c>
      <c r="AS621" s="462">
        <f t="shared" si="153"/>
        <v>0.8</v>
      </c>
      <c r="AT621">
        <f t="shared" si="154"/>
        <v>1</v>
      </c>
      <c r="AU621" s="462">
        <f>IF(AT621=0,"",IF(AND(AT621=1,M621="F",SUMIF(C2:C698,C621,AS2:AS698)&lt;=1),SUMIF(C2:C698,C621,AS2:AS698),IF(AND(AT621=1,M621="F",SUMIF(C2:C698,C621,AS2:AS698)&gt;1),1,"")))</f>
        <v>1</v>
      </c>
      <c r="AV621" s="462" t="str">
        <f>IF(AT621=0,"",IF(AND(AT621=3,M621="F",SUMIF(C2:C698,C621,AS2:AS698)&lt;=1),SUMIF(C2:C698,C621,AS2:AS698),IF(AND(AT621=3,M621="F",SUMIF(C2:C698,C621,AS2:AS698)&gt;1),1,"")))</f>
        <v/>
      </c>
      <c r="AW621" s="462">
        <f>SUMIF(C2:C698,C621,O2:O698)</f>
        <v>2</v>
      </c>
      <c r="AX621" s="462">
        <f>IF(AND(M621="F",AS621&lt;&gt;0),SUMIF(C2:C698,C621,W2:W698),0)</f>
        <v>46800</v>
      </c>
      <c r="AY621" s="462">
        <f t="shared" si="155"/>
        <v>37440</v>
      </c>
      <c r="AZ621" s="462" t="str">
        <f t="shared" si="156"/>
        <v/>
      </c>
      <c r="BA621" s="462">
        <f t="shared" si="157"/>
        <v>0</v>
      </c>
      <c r="BB621" s="462">
        <f>IF(AND(AT621=1,AK621="E",AU621&gt;=0.75,AW621=1),Health,IF(AND(AT621=1,AK621="E",AU621&gt;=0.75),Health*P621,IF(AND(AT621=1,AK621="E",AU621&gt;=0.5,AW621=1),PTHealth,IF(AND(AT621=1,AK621="E",AU621&gt;=0.5),PTHealth*P621,0))))</f>
        <v>9320</v>
      </c>
      <c r="BC621" s="462">
        <f>IF(AND(AT621=3,AK621="E",AV621&gt;=0.75,AW621=1),Health,IF(AND(AT621=3,AK621="E",AV621&gt;=0.75),Health*P621,IF(AND(AT621=3,AK621="E",AV621&gt;=0.5,AW621=1),PTHealth,IF(AND(AT621=3,AK621="E",AV621&gt;=0.5),PTHealth*P621,0))))</f>
        <v>0</v>
      </c>
      <c r="BD621" s="462">
        <f>IF(AND(AT621&lt;&gt;0,AX621&gt;=MAXSSDI),SSDI*MAXSSDI*P621,IF(AT621&lt;&gt;0,SSDI*W621,0))</f>
        <v>2321.2800000000002</v>
      </c>
      <c r="BE621" s="462">
        <f>IF(AT621&lt;&gt;0,SSHI*W621,0)</f>
        <v>542.88</v>
      </c>
      <c r="BF621" s="462">
        <f>IF(AND(AT621&lt;&gt;0,AN621&lt;&gt;"NE"),VLOOKUP(AN621,Retirement_Rates,3,FALSE)*W621,0)</f>
        <v>4470.3360000000002</v>
      </c>
      <c r="BG621" s="462">
        <f>IF(AND(AT621&lt;&gt;0,AJ621&lt;&gt;"PF"),Life*W621,0)</f>
        <v>269.94240000000002</v>
      </c>
      <c r="BH621" s="462">
        <f>IF(AND(AT621&lt;&gt;0,AM621="Y"),UI*W621,0)</f>
        <v>183.45599999999999</v>
      </c>
      <c r="BI621" s="462">
        <f>IF(AND(AT621&lt;&gt;0,N621&lt;&gt;"NR"),DHR*W621,0)</f>
        <v>114.56639999999999</v>
      </c>
      <c r="BJ621" s="462">
        <f>IF(AT621&lt;&gt;0,WC*W621,0)</f>
        <v>572.83199999999999</v>
      </c>
      <c r="BK621" s="462">
        <f>IF(OR(AND(AT621&lt;&gt;0,AJ621&lt;&gt;"PF",AN621&lt;&gt;"NE",AG621&lt;&gt;"A"),AND(AL621="E",OR(AT621=1,AT621=3))),Sick*W621,0)</f>
        <v>0</v>
      </c>
      <c r="BL621" s="462">
        <f t="shared" si="158"/>
        <v>8475.2928000000011</v>
      </c>
      <c r="BM621" s="462">
        <f t="shared" si="159"/>
        <v>0</v>
      </c>
      <c r="BN621" s="462">
        <f>IF(AND(AT621=1,AK621="E",AU621&gt;=0.75,AW621=1),HealthBY,IF(AND(AT621=1,AK621="E",AU621&gt;=0.75),HealthBY*P621,IF(AND(AT621=1,AK621="E",AU621&gt;=0.5,AW621=1),PTHealthBY,IF(AND(AT621=1,AK621="E",AU621&gt;=0.5),PTHealthBY*P621,0))))</f>
        <v>9320</v>
      </c>
      <c r="BO621" s="462">
        <f>IF(AND(AT621=3,AK621="E",AV621&gt;=0.75,AW621=1),HealthBY,IF(AND(AT621=3,AK621="E",AV621&gt;=0.75),HealthBY*P621,IF(AND(AT621=3,AK621="E",AV621&gt;=0.5,AW621=1),PTHealthBY,IF(AND(AT621=3,AK621="E",AV621&gt;=0.5),PTHealthBY*P621,0))))</f>
        <v>0</v>
      </c>
      <c r="BP621" s="462">
        <f>IF(AND(AT621&lt;&gt;0,(AX621+BA621)&gt;=MAXSSDIBY),SSDIBY*MAXSSDIBY*P621,IF(AT621&lt;&gt;0,SSDIBY*W621,0))</f>
        <v>2321.2800000000002</v>
      </c>
      <c r="BQ621" s="462">
        <f>IF(AT621&lt;&gt;0,SSHIBY*W621,0)</f>
        <v>542.88</v>
      </c>
      <c r="BR621" s="462">
        <f>IF(AND(AT621&lt;&gt;0,AN621&lt;&gt;"NE"),VLOOKUP(AN621,Retirement_Rates,4,FALSE)*W621,0)</f>
        <v>4470.3360000000002</v>
      </c>
      <c r="BS621" s="462">
        <f>IF(AND(AT621&lt;&gt;0,AJ621&lt;&gt;"PF"),LifeBY*W621,0)</f>
        <v>269.94240000000002</v>
      </c>
      <c r="BT621" s="462">
        <f>IF(AND(AT621&lt;&gt;0,AM621="Y"),UIBY*W621,0)</f>
        <v>0</v>
      </c>
      <c r="BU621" s="462">
        <f>IF(AND(AT621&lt;&gt;0,N621&lt;&gt;"NR"),DHRBY*W621,0)</f>
        <v>114.56639999999999</v>
      </c>
      <c r="BV621" s="462">
        <f>IF(AT621&lt;&gt;0,WCBY*W621,0)</f>
        <v>658.94400000000007</v>
      </c>
      <c r="BW621" s="462">
        <f>IF(OR(AND(AT621&lt;&gt;0,AJ621&lt;&gt;"PF",AN621&lt;&gt;"NE",AG621&lt;&gt;"A"),AND(AL621="E",OR(AT621=1,AT621=3))),SickBY*W621,0)</f>
        <v>0</v>
      </c>
      <c r="BX621" s="462">
        <f t="shared" si="160"/>
        <v>8377.9488000000001</v>
      </c>
      <c r="BY621" s="462">
        <f t="shared" si="161"/>
        <v>0</v>
      </c>
      <c r="BZ621" s="462">
        <f t="shared" si="162"/>
        <v>0</v>
      </c>
      <c r="CA621" s="462">
        <f t="shared" si="163"/>
        <v>0</v>
      </c>
      <c r="CB621" s="462">
        <f t="shared" si="164"/>
        <v>0</v>
      </c>
      <c r="CC621" s="462">
        <f>IF(AT621&lt;&gt;0,SSHICHG*Y621,0)</f>
        <v>0</v>
      </c>
      <c r="CD621" s="462">
        <f>IF(AND(AT621&lt;&gt;0,AN621&lt;&gt;"NE"),VLOOKUP(AN621,Retirement_Rates,5,FALSE)*Y621,0)</f>
        <v>0</v>
      </c>
      <c r="CE621" s="462">
        <f>IF(AND(AT621&lt;&gt;0,AJ621&lt;&gt;"PF"),LifeCHG*Y621,0)</f>
        <v>0</v>
      </c>
      <c r="CF621" s="462">
        <f>IF(AND(AT621&lt;&gt;0,AM621="Y"),UICHG*Y621,0)</f>
        <v>-183.45599999999999</v>
      </c>
      <c r="CG621" s="462">
        <f>IF(AND(AT621&lt;&gt;0,N621&lt;&gt;"NR"),DHRCHG*Y621,0)</f>
        <v>0</v>
      </c>
      <c r="CH621" s="462">
        <f>IF(AT621&lt;&gt;0,WCCHG*Y621,0)</f>
        <v>86.112000000000066</v>
      </c>
      <c r="CI621" s="462">
        <f>IF(OR(AND(AT621&lt;&gt;0,AJ621&lt;&gt;"PF",AN621&lt;&gt;"NE",AG621&lt;&gt;"A"),AND(AL621="E",OR(AT621=1,AT621=3))),SickCHG*Y621,0)</f>
        <v>0</v>
      </c>
      <c r="CJ621" s="462">
        <f t="shared" si="165"/>
        <v>-97.343999999999923</v>
      </c>
      <c r="CK621" s="462" t="str">
        <f t="shared" si="166"/>
        <v/>
      </c>
      <c r="CL621" s="462" t="str">
        <f t="shared" si="167"/>
        <v/>
      </c>
      <c r="CM621" s="462" t="str">
        <f t="shared" si="168"/>
        <v/>
      </c>
      <c r="CN621" s="462" t="str">
        <f t="shared" si="169"/>
        <v>0491-01</v>
      </c>
    </row>
    <row r="622" spans="1:92" ht="15" thickBot="1" x14ac:dyDescent="0.35">
      <c r="A622" s="376" t="s">
        <v>161</v>
      </c>
      <c r="B622" s="376" t="s">
        <v>162</v>
      </c>
      <c r="C622" s="376" t="s">
        <v>1340</v>
      </c>
      <c r="D622" s="376" t="s">
        <v>362</v>
      </c>
      <c r="E622" s="376" t="s">
        <v>1334</v>
      </c>
      <c r="F622" s="382" t="s">
        <v>289</v>
      </c>
      <c r="G622" s="376" t="s">
        <v>1335</v>
      </c>
      <c r="H622" s="378"/>
      <c r="I622" s="378"/>
      <c r="J622" s="376" t="s">
        <v>185</v>
      </c>
      <c r="K622" s="376" t="s">
        <v>363</v>
      </c>
      <c r="L622" s="376" t="s">
        <v>200</v>
      </c>
      <c r="M622" s="376" t="s">
        <v>170</v>
      </c>
      <c r="N622" s="376" t="s">
        <v>202</v>
      </c>
      <c r="O622" s="379">
        <v>1</v>
      </c>
      <c r="P622" s="460">
        <v>0.75</v>
      </c>
      <c r="Q622" s="460">
        <v>0.75</v>
      </c>
      <c r="R622" s="380">
        <v>80</v>
      </c>
      <c r="S622" s="460">
        <v>0.75</v>
      </c>
      <c r="T622" s="380">
        <v>42637.2</v>
      </c>
      <c r="U622" s="380">
        <v>0</v>
      </c>
      <c r="V622" s="380">
        <v>17882.72</v>
      </c>
      <c r="W622" s="380">
        <v>44210.400000000001</v>
      </c>
      <c r="X622" s="380">
        <v>18745.38</v>
      </c>
      <c r="Y622" s="380">
        <v>44210.400000000001</v>
      </c>
      <c r="Z622" s="380">
        <v>18630.43</v>
      </c>
      <c r="AA622" s="376" t="s">
        <v>1341</v>
      </c>
      <c r="AB622" s="376" t="s">
        <v>1342</v>
      </c>
      <c r="AC622" s="376" t="s">
        <v>1343</v>
      </c>
      <c r="AD622" s="376" t="s">
        <v>325</v>
      </c>
      <c r="AE622" s="376" t="s">
        <v>363</v>
      </c>
      <c r="AF622" s="376" t="s">
        <v>210</v>
      </c>
      <c r="AG622" s="376" t="s">
        <v>177</v>
      </c>
      <c r="AH622" s="381">
        <v>28.34</v>
      </c>
      <c r="AI622" s="379">
        <v>62194</v>
      </c>
      <c r="AJ622" s="376" t="s">
        <v>178</v>
      </c>
      <c r="AK622" s="376" t="s">
        <v>179</v>
      </c>
      <c r="AL622" s="376" t="s">
        <v>180</v>
      </c>
      <c r="AM622" s="376" t="s">
        <v>181</v>
      </c>
      <c r="AN622" s="376" t="s">
        <v>68</v>
      </c>
      <c r="AO622" s="379">
        <v>80</v>
      </c>
      <c r="AP622" s="460">
        <v>1</v>
      </c>
      <c r="AQ622" s="460">
        <v>0.75</v>
      </c>
      <c r="AR622" s="458" t="s">
        <v>182</v>
      </c>
      <c r="AS622" s="462">
        <f t="shared" si="153"/>
        <v>0.75</v>
      </c>
      <c r="AT622">
        <f t="shared" si="154"/>
        <v>1</v>
      </c>
      <c r="AU622" s="462">
        <f>IF(AT622=0,"",IF(AND(AT622=1,M622="F",SUMIF(C2:C698,C622,AS2:AS698)&lt;=1),SUMIF(C2:C698,C622,AS2:AS698),IF(AND(AT622=1,M622="F",SUMIF(C2:C698,C622,AS2:AS698)&gt;1),1,"")))</f>
        <v>1</v>
      </c>
      <c r="AV622" s="462" t="str">
        <f>IF(AT622=0,"",IF(AND(AT622=3,M622="F",SUMIF(C2:C698,C622,AS2:AS698)&lt;=1),SUMIF(C2:C698,C622,AS2:AS698),IF(AND(AT622=3,M622="F",SUMIF(C2:C698,C622,AS2:AS698)&gt;1),1,"")))</f>
        <v/>
      </c>
      <c r="AW622" s="462">
        <f>SUMIF(C2:C698,C622,O2:O698)</f>
        <v>2</v>
      </c>
      <c r="AX622" s="462">
        <f>IF(AND(M622="F",AS622&lt;&gt;0),SUMIF(C2:C698,C622,W2:W698),0)</f>
        <v>58947.199999999997</v>
      </c>
      <c r="AY622" s="462">
        <f t="shared" si="155"/>
        <v>44210.400000000001</v>
      </c>
      <c r="AZ622" s="462" t="str">
        <f t="shared" si="156"/>
        <v/>
      </c>
      <c r="BA622" s="462">
        <f t="shared" si="157"/>
        <v>0</v>
      </c>
      <c r="BB622" s="462">
        <f>IF(AND(AT622=1,AK622="E",AU622&gt;=0.75,AW622=1),Health,IF(AND(AT622=1,AK622="E",AU622&gt;=0.75),Health*P622,IF(AND(AT622=1,AK622="E",AU622&gt;=0.5,AW622=1),PTHealth,IF(AND(AT622=1,AK622="E",AU622&gt;=0.5),PTHealth*P622,0))))</f>
        <v>8737.5</v>
      </c>
      <c r="BC622" s="462">
        <f>IF(AND(AT622=3,AK622="E",AV622&gt;=0.75,AW622=1),Health,IF(AND(AT622=3,AK622="E",AV622&gt;=0.75),Health*P622,IF(AND(AT622=3,AK622="E",AV622&gt;=0.5,AW622=1),PTHealth,IF(AND(AT622=3,AK622="E",AV622&gt;=0.5),PTHealth*P622,0))))</f>
        <v>0</v>
      </c>
      <c r="BD622" s="462">
        <f>IF(AND(AT622&lt;&gt;0,AX622&gt;=MAXSSDI),SSDI*MAXSSDI*P622,IF(AT622&lt;&gt;0,SSDI*W622,0))</f>
        <v>2741.0448000000001</v>
      </c>
      <c r="BE622" s="462">
        <f>IF(AT622&lt;&gt;0,SSHI*W622,0)</f>
        <v>641.05080000000009</v>
      </c>
      <c r="BF622" s="462">
        <f>IF(AND(AT622&lt;&gt;0,AN622&lt;&gt;"NE"),VLOOKUP(AN622,Retirement_Rates,3,FALSE)*W622,0)</f>
        <v>5278.7217600000004</v>
      </c>
      <c r="BG622" s="462">
        <f>IF(AND(AT622&lt;&gt;0,AJ622&lt;&gt;"PF"),Life*W622,0)</f>
        <v>318.75698400000005</v>
      </c>
      <c r="BH622" s="462">
        <f>IF(AND(AT622&lt;&gt;0,AM622="Y"),UI*W622,0)</f>
        <v>216.63095999999999</v>
      </c>
      <c r="BI622" s="462">
        <f>IF(AND(AT622&lt;&gt;0,N622&lt;&gt;"NR"),DHR*W622,0)</f>
        <v>135.28382399999998</v>
      </c>
      <c r="BJ622" s="462">
        <f>IF(AT622&lt;&gt;0,WC*W622,0)</f>
        <v>676.41912000000002</v>
      </c>
      <c r="BK622" s="462">
        <f>IF(OR(AND(AT622&lt;&gt;0,AJ622&lt;&gt;"PF",AN622&lt;&gt;"NE",AG622&lt;&gt;"A"),AND(AL622="E",OR(AT622=1,AT622=3))),Sick*W622,0)</f>
        <v>0</v>
      </c>
      <c r="BL622" s="462">
        <f t="shared" si="158"/>
        <v>10007.908248000002</v>
      </c>
      <c r="BM622" s="462">
        <f t="shared" si="159"/>
        <v>0</v>
      </c>
      <c r="BN622" s="462">
        <f>IF(AND(AT622=1,AK622="E",AU622&gt;=0.75,AW622=1),HealthBY,IF(AND(AT622=1,AK622="E",AU622&gt;=0.75),HealthBY*P622,IF(AND(AT622=1,AK622="E",AU622&gt;=0.5,AW622=1),PTHealthBY,IF(AND(AT622=1,AK622="E",AU622&gt;=0.5),PTHealthBY*P622,0))))</f>
        <v>8737.5</v>
      </c>
      <c r="BO622" s="462">
        <f>IF(AND(AT622=3,AK622="E",AV622&gt;=0.75,AW622=1),HealthBY,IF(AND(AT622=3,AK622="E",AV622&gt;=0.75),HealthBY*P622,IF(AND(AT622=3,AK622="E",AV622&gt;=0.5,AW622=1),PTHealthBY,IF(AND(AT622=3,AK622="E",AV622&gt;=0.5),PTHealthBY*P622,0))))</f>
        <v>0</v>
      </c>
      <c r="BP622" s="462">
        <f>IF(AND(AT622&lt;&gt;0,(AX622+BA622)&gt;=MAXSSDIBY),SSDIBY*MAXSSDIBY*P622,IF(AT622&lt;&gt;0,SSDIBY*W622,0))</f>
        <v>2741.0448000000001</v>
      </c>
      <c r="BQ622" s="462">
        <f>IF(AT622&lt;&gt;0,SSHIBY*W622,0)</f>
        <v>641.05080000000009</v>
      </c>
      <c r="BR622" s="462">
        <f>IF(AND(AT622&lt;&gt;0,AN622&lt;&gt;"NE"),VLOOKUP(AN622,Retirement_Rates,4,FALSE)*W622,0)</f>
        <v>5278.7217600000004</v>
      </c>
      <c r="BS622" s="462">
        <f>IF(AND(AT622&lt;&gt;0,AJ622&lt;&gt;"PF"),LifeBY*W622,0)</f>
        <v>318.75698400000005</v>
      </c>
      <c r="BT622" s="462">
        <f>IF(AND(AT622&lt;&gt;0,AM622="Y"),UIBY*W622,0)</f>
        <v>0</v>
      </c>
      <c r="BU622" s="462">
        <f>IF(AND(AT622&lt;&gt;0,N622&lt;&gt;"NR"),DHRBY*W622,0)</f>
        <v>135.28382399999998</v>
      </c>
      <c r="BV622" s="462">
        <f>IF(AT622&lt;&gt;0,WCBY*W622,0)</f>
        <v>778.10304000000008</v>
      </c>
      <c r="BW622" s="462">
        <f>IF(OR(AND(AT622&lt;&gt;0,AJ622&lt;&gt;"PF",AN622&lt;&gt;"NE",AG622&lt;&gt;"A"),AND(AL622="E",OR(AT622=1,AT622=3))),SickBY*W622,0)</f>
        <v>0</v>
      </c>
      <c r="BX622" s="462">
        <f t="shared" si="160"/>
        <v>9892.9612080000006</v>
      </c>
      <c r="BY622" s="462">
        <f t="shared" si="161"/>
        <v>0</v>
      </c>
      <c r="BZ622" s="462">
        <f t="shared" si="162"/>
        <v>0</v>
      </c>
      <c r="CA622" s="462">
        <f t="shared" si="163"/>
        <v>0</v>
      </c>
      <c r="CB622" s="462">
        <f t="shared" si="164"/>
        <v>0</v>
      </c>
      <c r="CC622" s="462">
        <f>IF(AT622&lt;&gt;0,SSHICHG*Y622,0)</f>
        <v>0</v>
      </c>
      <c r="CD622" s="462">
        <f>IF(AND(AT622&lt;&gt;0,AN622&lt;&gt;"NE"),VLOOKUP(AN622,Retirement_Rates,5,FALSE)*Y622,0)</f>
        <v>0</v>
      </c>
      <c r="CE622" s="462">
        <f>IF(AND(AT622&lt;&gt;0,AJ622&lt;&gt;"PF"),LifeCHG*Y622,0)</f>
        <v>0</v>
      </c>
      <c r="CF622" s="462">
        <f>IF(AND(AT622&lt;&gt;0,AM622="Y"),UICHG*Y622,0)</f>
        <v>-216.63095999999999</v>
      </c>
      <c r="CG622" s="462">
        <f>IF(AND(AT622&lt;&gt;0,N622&lt;&gt;"NR"),DHRCHG*Y622,0)</f>
        <v>0</v>
      </c>
      <c r="CH622" s="462">
        <f>IF(AT622&lt;&gt;0,WCCHG*Y622,0)</f>
        <v>101.68392000000007</v>
      </c>
      <c r="CI622" s="462">
        <f>IF(OR(AND(AT622&lt;&gt;0,AJ622&lt;&gt;"PF",AN622&lt;&gt;"NE",AG622&lt;&gt;"A"),AND(AL622="E",OR(AT622=1,AT622=3))),SickCHG*Y622,0)</f>
        <v>0</v>
      </c>
      <c r="CJ622" s="462">
        <f t="shared" si="165"/>
        <v>-114.94703999999992</v>
      </c>
      <c r="CK622" s="462" t="str">
        <f t="shared" si="166"/>
        <v/>
      </c>
      <c r="CL622" s="462" t="str">
        <f t="shared" si="167"/>
        <v/>
      </c>
      <c r="CM622" s="462" t="str">
        <f t="shared" si="168"/>
        <v/>
      </c>
      <c r="CN622" s="462" t="str">
        <f t="shared" si="169"/>
        <v>0491-01</v>
      </c>
    </row>
    <row r="623" spans="1:92" ht="15" thickBot="1" x14ac:dyDescent="0.35">
      <c r="A623" s="376" t="s">
        <v>161</v>
      </c>
      <c r="B623" s="376" t="s">
        <v>162</v>
      </c>
      <c r="C623" s="376" t="s">
        <v>1344</v>
      </c>
      <c r="D623" s="376" t="s">
        <v>362</v>
      </c>
      <c r="E623" s="376" t="s">
        <v>1334</v>
      </c>
      <c r="F623" s="382" t="s">
        <v>289</v>
      </c>
      <c r="G623" s="376" t="s">
        <v>1335</v>
      </c>
      <c r="H623" s="378"/>
      <c r="I623" s="378"/>
      <c r="J623" s="376" t="s">
        <v>185</v>
      </c>
      <c r="K623" s="376" t="s">
        <v>363</v>
      </c>
      <c r="L623" s="376" t="s">
        <v>200</v>
      </c>
      <c r="M623" s="376" t="s">
        <v>170</v>
      </c>
      <c r="N623" s="376" t="s">
        <v>202</v>
      </c>
      <c r="O623" s="379">
        <v>1</v>
      </c>
      <c r="P623" s="460">
        <v>0.8</v>
      </c>
      <c r="Q623" s="460">
        <v>0.8</v>
      </c>
      <c r="R623" s="380">
        <v>80</v>
      </c>
      <c r="S623" s="460">
        <v>0.8</v>
      </c>
      <c r="T623" s="380">
        <v>35835.53</v>
      </c>
      <c r="U623" s="380">
        <v>0</v>
      </c>
      <c r="V623" s="380">
        <v>17078.080000000002</v>
      </c>
      <c r="W623" s="380">
        <v>37440</v>
      </c>
      <c r="X623" s="380">
        <v>17795.28</v>
      </c>
      <c r="Y623" s="380">
        <v>37440</v>
      </c>
      <c r="Z623" s="380">
        <v>17697.93</v>
      </c>
      <c r="AA623" s="376" t="s">
        <v>1345</v>
      </c>
      <c r="AB623" s="376" t="s">
        <v>805</v>
      </c>
      <c r="AC623" s="376" t="s">
        <v>1301</v>
      </c>
      <c r="AD623" s="376" t="s">
        <v>349</v>
      </c>
      <c r="AE623" s="376" t="s">
        <v>363</v>
      </c>
      <c r="AF623" s="376" t="s">
        <v>210</v>
      </c>
      <c r="AG623" s="376" t="s">
        <v>177</v>
      </c>
      <c r="AH623" s="381">
        <v>22.5</v>
      </c>
      <c r="AI623" s="381">
        <v>8143.4</v>
      </c>
      <c r="AJ623" s="376" t="s">
        <v>178</v>
      </c>
      <c r="AK623" s="376" t="s">
        <v>179</v>
      </c>
      <c r="AL623" s="376" t="s">
        <v>180</v>
      </c>
      <c r="AM623" s="376" t="s">
        <v>181</v>
      </c>
      <c r="AN623" s="376" t="s">
        <v>68</v>
      </c>
      <c r="AO623" s="379">
        <v>80</v>
      </c>
      <c r="AP623" s="460">
        <v>1</v>
      </c>
      <c r="AQ623" s="460">
        <v>0.8</v>
      </c>
      <c r="AR623" s="458" t="s">
        <v>182</v>
      </c>
      <c r="AS623" s="462">
        <f t="shared" si="153"/>
        <v>0.8</v>
      </c>
      <c r="AT623">
        <f t="shared" si="154"/>
        <v>1</v>
      </c>
      <c r="AU623" s="462">
        <f>IF(AT623=0,"",IF(AND(AT623=1,M623="F",SUMIF(C2:C698,C623,AS2:AS698)&lt;=1),SUMIF(C2:C698,C623,AS2:AS698),IF(AND(AT623=1,M623="F",SUMIF(C2:C698,C623,AS2:AS698)&gt;1),1,"")))</f>
        <v>1</v>
      </c>
      <c r="AV623" s="462" t="str">
        <f>IF(AT623=0,"",IF(AND(AT623=3,M623="F",SUMIF(C2:C698,C623,AS2:AS698)&lt;=1),SUMIF(C2:C698,C623,AS2:AS698),IF(AND(AT623=3,M623="F",SUMIF(C2:C698,C623,AS2:AS698)&gt;1),1,"")))</f>
        <v/>
      </c>
      <c r="AW623" s="462">
        <f>SUMIF(C2:C698,C623,O2:O698)</f>
        <v>2</v>
      </c>
      <c r="AX623" s="462">
        <f>IF(AND(M623="F",AS623&lt;&gt;0),SUMIF(C2:C698,C623,W2:W698),0)</f>
        <v>46800</v>
      </c>
      <c r="AY623" s="462">
        <f t="shared" si="155"/>
        <v>37440</v>
      </c>
      <c r="AZ623" s="462" t="str">
        <f t="shared" si="156"/>
        <v/>
      </c>
      <c r="BA623" s="462">
        <f t="shared" si="157"/>
        <v>0</v>
      </c>
      <c r="BB623" s="462">
        <f>IF(AND(AT623=1,AK623="E",AU623&gt;=0.75,AW623=1),Health,IF(AND(AT623=1,AK623="E",AU623&gt;=0.75),Health*P623,IF(AND(AT623=1,AK623="E",AU623&gt;=0.5,AW623=1),PTHealth,IF(AND(AT623=1,AK623="E",AU623&gt;=0.5),PTHealth*P623,0))))</f>
        <v>9320</v>
      </c>
      <c r="BC623" s="462">
        <f>IF(AND(AT623=3,AK623="E",AV623&gt;=0.75,AW623=1),Health,IF(AND(AT623=3,AK623="E",AV623&gt;=0.75),Health*P623,IF(AND(AT623=3,AK623="E",AV623&gt;=0.5,AW623=1),PTHealth,IF(AND(AT623=3,AK623="E",AV623&gt;=0.5),PTHealth*P623,0))))</f>
        <v>0</v>
      </c>
      <c r="BD623" s="462">
        <f>IF(AND(AT623&lt;&gt;0,AX623&gt;=MAXSSDI),SSDI*MAXSSDI*P623,IF(AT623&lt;&gt;0,SSDI*W623,0))</f>
        <v>2321.2800000000002</v>
      </c>
      <c r="BE623" s="462">
        <f>IF(AT623&lt;&gt;0,SSHI*W623,0)</f>
        <v>542.88</v>
      </c>
      <c r="BF623" s="462">
        <f>IF(AND(AT623&lt;&gt;0,AN623&lt;&gt;"NE"),VLOOKUP(AN623,Retirement_Rates,3,FALSE)*W623,0)</f>
        <v>4470.3360000000002</v>
      </c>
      <c r="BG623" s="462">
        <f>IF(AND(AT623&lt;&gt;0,AJ623&lt;&gt;"PF"),Life*W623,0)</f>
        <v>269.94240000000002</v>
      </c>
      <c r="BH623" s="462">
        <f>IF(AND(AT623&lt;&gt;0,AM623="Y"),UI*W623,0)</f>
        <v>183.45599999999999</v>
      </c>
      <c r="BI623" s="462">
        <f>IF(AND(AT623&lt;&gt;0,N623&lt;&gt;"NR"),DHR*W623,0)</f>
        <v>114.56639999999999</v>
      </c>
      <c r="BJ623" s="462">
        <f>IF(AT623&lt;&gt;0,WC*W623,0)</f>
        <v>572.83199999999999</v>
      </c>
      <c r="BK623" s="462">
        <f>IF(OR(AND(AT623&lt;&gt;0,AJ623&lt;&gt;"PF",AN623&lt;&gt;"NE",AG623&lt;&gt;"A"),AND(AL623="E",OR(AT623=1,AT623=3))),Sick*W623,0)</f>
        <v>0</v>
      </c>
      <c r="BL623" s="462">
        <f t="shared" si="158"/>
        <v>8475.2928000000011</v>
      </c>
      <c r="BM623" s="462">
        <f t="shared" si="159"/>
        <v>0</v>
      </c>
      <c r="BN623" s="462">
        <f>IF(AND(AT623=1,AK623="E",AU623&gt;=0.75,AW623=1),HealthBY,IF(AND(AT623=1,AK623="E",AU623&gt;=0.75),HealthBY*P623,IF(AND(AT623=1,AK623="E",AU623&gt;=0.5,AW623=1),PTHealthBY,IF(AND(AT623=1,AK623="E",AU623&gt;=0.5),PTHealthBY*P623,0))))</f>
        <v>9320</v>
      </c>
      <c r="BO623" s="462">
        <f>IF(AND(AT623=3,AK623="E",AV623&gt;=0.75,AW623=1),HealthBY,IF(AND(AT623=3,AK623="E",AV623&gt;=0.75),HealthBY*P623,IF(AND(AT623=3,AK623="E",AV623&gt;=0.5,AW623=1),PTHealthBY,IF(AND(AT623=3,AK623="E",AV623&gt;=0.5),PTHealthBY*P623,0))))</f>
        <v>0</v>
      </c>
      <c r="BP623" s="462">
        <f>IF(AND(AT623&lt;&gt;0,(AX623+BA623)&gt;=MAXSSDIBY),SSDIBY*MAXSSDIBY*P623,IF(AT623&lt;&gt;0,SSDIBY*W623,0))</f>
        <v>2321.2800000000002</v>
      </c>
      <c r="BQ623" s="462">
        <f>IF(AT623&lt;&gt;0,SSHIBY*W623,0)</f>
        <v>542.88</v>
      </c>
      <c r="BR623" s="462">
        <f>IF(AND(AT623&lt;&gt;0,AN623&lt;&gt;"NE"),VLOOKUP(AN623,Retirement_Rates,4,FALSE)*W623,0)</f>
        <v>4470.3360000000002</v>
      </c>
      <c r="BS623" s="462">
        <f>IF(AND(AT623&lt;&gt;0,AJ623&lt;&gt;"PF"),LifeBY*W623,0)</f>
        <v>269.94240000000002</v>
      </c>
      <c r="BT623" s="462">
        <f>IF(AND(AT623&lt;&gt;0,AM623="Y"),UIBY*W623,0)</f>
        <v>0</v>
      </c>
      <c r="BU623" s="462">
        <f>IF(AND(AT623&lt;&gt;0,N623&lt;&gt;"NR"),DHRBY*W623,0)</f>
        <v>114.56639999999999</v>
      </c>
      <c r="BV623" s="462">
        <f>IF(AT623&lt;&gt;0,WCBY*W623,0)</f>
        <v>658.94400000000007</v>
      </c>
      <c r="BW623" s="462">
        <f>IF(OR(AND(AT623&lt;&gt;0,AJ623&lt;&gt;"PF",AN623&lt;&gt;"NE",AG623&lt;&gt;"A"),AND(AL623="E",OR(AT623=1,AT623=3))),SickBY*W623,0)</f>
        <v>0</v>
      </c>
      <c r="BX623" s="462">
        <f t="shared" si="160"/>
        <v>8377.9488000000001</v>
      </c>
      <c r="BY623" s="462">
        <f t="shared" si="161"/>
        <v>0</v>
      </c>
      <c r="BZ623" s="462">
        <f t="shared" si="162"/>
        <v>0</v>
      </c>
      <c r="CA623" s="462">
        <f t="shared" si="163"/>
        <v>0</v>
      </c>
      <c r="CB623" s="462">
        <f t="shared" si="164"/>
        <v>0</v>
      </c>
      <c r="CC623" s="462">
        <f>IF(AT623&lt;&gt;0,SSHICHG*Y623,0)</f>
        <v>0</v>
      </c>
      <c r="CD623" s="462">
        <f>IF(AND(AT623&lt;&gt;0,AN623&lt;&gt;"NE"),VLOOKUP(AN623,Retirement_Rates,5,FALSE)*Y623,0)</f>
        <v>0</v>
      </c>
      <c r="CE623" s="462">
        <f>IF(AND(AT623&lt;&gt;0,AJ623&lt;&gt;"PF"),LifeCHG*Y623,0)</f>
        <v>0</v>
      </c>
      <c r="CF623" s="462">
        <f>IF(AND(AT623&lt;&gt;0,AM623="Y"),UICHG*Y623,0)</f>
        <v>-183.45599999999999</v>
      </c>
      <c r="CG623" s="462">
        <f>IF(AND(AT623&lt;&gt;0,N623&lt;&gt;"NR"),DHRCHG*Y623,0)</f>
        <v>0</v>
      </c>
      <c r="CH623" s="462">
        <f>IF(AT623&lt;&gt;0,WCCHG*Y623,0)</f>
        <v>86.112000000000066</v>
      </c>
      <c r="CI623" s="462">
        <f>IF(OR(AND(AT623&lt;&gt;0,AJ623&lt;&gt;"PF",AN623&lt;&gt;"NE",AG623&lt;&gt;"A"),AND(AL623="E",OR(AT623=1,AT623=3))),SickCHG*Y623,0)</f>
        <v>0</v>
      </c>
      <c r="CJ623" s="462">
        <f t="shared" si="165"/>
        <v>-97.343999999999923</v>
      </c>
      <c r="CK623" s="462" t="str">
        <f t="shared" si="166"/>
        <v/>
      </c>
      <c r="CL623" s="462" t="str">
        <f t="shared" si="167"/>
        <v/>
      </c>
      <c r="CM623" s="462" t="str">
        <f t="shared" si="168"/>
        <v/>
      </c>
      <c r="CN623" s="462" t="str">
        <f t="shared" si="169"/>
        <v>0491-01</v>
      </c>
    </row>
    <row r="624" spans="1:92" ht="15" thickBot="1" x14ac:dyDescent="0.35">
      <c r="A624" s="376" t="s">
        <v>161</v>
      </c>
      <c r="B624" s="376" t="s">
        <v>162</v>
      </c>
      <c r="C624" s="376" t="s">
        <v>522</v>
      </c>
      <c r="D624" s="376" t="s">
        <v>457</v>
      </c>
      <c r="E624" s="376" t="s">
        <v>1334</v>
      </c>
      <c r="F624" s="382" t="s">
        <v>289</v>
      </c>
      <c r="G624" s="376" t="s">
        <v>1335</v>
      </c>
      <c r="H624" s="378"/>
      <c r="I624" s="378"/>
      <c r="J624" s="376" t="s">
        <v>455</v>
      </c>
      <c r="K624" s="376" t="s">
        <v>458</v>
      </c>
      <c r="L624" s="376" t="s">
        <v>177</v>
      </c>
      <c r="M624" s="376" t="s">
        <v>170</v>
      </c>
      <c r="N624" s="376" t="s">
        <v>202</v>
      </c>
      <c r="O624" s="379">
        <v>1</v>
      </c>
      <c r="P624" s="460">
        <v>0.04</v>
      </c>
      <c r="Q624" s="460">
        <v>0.04</v>
      </c>
      <c r="R624" s="380">
        <v>80</v>
      </c>
      <c r="S624" s="460">
        <v>0.04</v>
      </c>
      <c r="T624" s="380">
        <v>1040.4000000000001</v>
      </c>
      <c r="U624" s="380">
        <v>0</v>
      </c>
      <c r="V624" s="380">
        <v>640.78</v>
      </c>
      <c r="W624" s="380">
        <v>1289.5999999999999</v>
      </c>
      <c r="X624" s="380">
        <v>757.92</v>
      </c>
      <c r="Y624" s="380">
        <v>1289.5999999999999</v>
      </c>
      <c r="Z624" s="380">
        <v>754.57</v>
      </c>
      <c r="AA624" s="376" t="s">
        <v>523</v>
      </c>
      <c r="AB624" s="376" t="s">
        <v>524</v>
      </c>
      <c r="AC624" s="376" t="s">
        <v>525</v>
      </c>
      <c r="AD624" s="376" t="s">
        <v>247</v>
      </c>
      <c r="AE624" s="376" t="s">
        <v>458</v>
      </c>
      <c r="AF624" s="376" t="s">
        <v>436</v>
      </c>
      <c r="AG624" s="376" t="s">
        <v>177</v>
      </c>
      <c r="AH624" s="381">
        <v>15.5</v>
      </c>
      <c r="AI624" s="381">
        <v>600.29999999999995</v>
      </c>
      <c r="AJ624" s="376" t="s">
        <v>178</v>
      </c>
      <c r="AK624" s="376" t="s">
        <v>179</v>
      </c>
      <c r="AL624" s="376" t="s">
        <v>180</v>
      </c>
      <c r="AM624" s="376" t="s">
        <v>181</v>
      </c>
      <c r="AN624" s="376" t="s">
        <v>68</v>
      </c>
      <c r="AO624" s="379">
        <v>80</v>
      </c>
      <c r="AP624" s="460">
        <v>1</v>
      </c>
      <c r="AQ624" s="460">
        <v>0.04</v>
      </c>
      <c r="AR624" s="458" t="s">
        <v>182</v>
      </c>
      <c r="AS624" s="462">
        <f t="shared" si="153"/>
        <v>0.04</v>
      </c>
      <c r="AT624">
        <f t="shared" si="154"/>
        <v>1</v>
      </c>
      <c r="AU624" s="462">
        <f>IF(AT624=0,"",IF(AND(AT624=1,M624="F",SUMIF(C2:C698,C624,AS2:AS698)&lt;=1),SUMIF(C2:C698,C624,AS2:AS698),IF(AND(AT624=1,M624="F",SUMIF(C2:C698,C624,AS2:AS698)&gt;1),1,"")))</f>
        <v>1</v>
      </c>
      <c r="AV624" s="462" t="str">
        <f>IF(AT624=0,"",IF(AND(AT624=3,M624="F",SUMIF(C2:C698,C624,AS2:AS698)&lt;=1),SUMIF(C2:C698,C624,AS2:AS698),IF(AND(AT624=3,M624="F",SUMIF(C2:C698,C624,AS2:AS698)&gt;1),1,"")))</f>
        <v/>
      </c>
      <c r="AW624" s="462">
        <f>SUMIF(C2:C698,C624,O2:O698)</f>
        <v>7</v>
      </c>
      <c r="AX624" s="462">
        <f>IF(AND(M624="F",AS624&lt;&gt;0),SUMIF(C2:C698,C624,W2:W698),0)</f>
        <v>32240</v>
      </c>
      <c r="AY624" s="462">
        <f t="shared" si="155"/>
        <v>1289.5999999999999</v>
      </c>
      <c r="AZ624" s="462" t="str">
        <f t="shared" si="156"/>
        <v/>
      </c>
      <c r="BA624" s="462">
        <f t="shared" si="157"/>
        <v>0</v>
      </c>
      <c r="BB624" s="462">
        <f>IF(AND(AT624=1,AK624="E",AU624&gt;=0.75,AW624=1),Health,IF(AND(AT624=1,AK624="E",AU624&gt;=0.75),Health*P624,IF(AND(AT624=1,AK624="E",AU624&gt;=0.5,AW624=1),PTHealth,IF(AND(AT624=1,AK624="E",AU624&gt;=0.5),PTHealth*P624,0))))</f>
        <v>466</v>
      </c>
      <c r="BC624" s="462">
        <f>IF(AND(AT624=3,AK624="E",AV624&gt;=0.75,AW624=1),Health,IF(AND(AT624=3,AK624="E",AV624&gt;=0.75),Health*P624,IF(AND(AT624=3,AK624="E",AV624&gt;=0.5,AW624=1),PTHealth,IF(AND(AT624=3,AK624="E",AV624&gt;=0.5),PTHealth*P624,0))))</f>
        <v>0</v>
      </c>
      <c r="BD624" s="462">
        <f>IF(AND(AT624&lt;&gt;0,AX624&gt;=MAXSSDI),SSDI*MAXSSDI*P624,IF(AT624&lt;&gt;0,SSDI*W624,0))</f>
        <v>79.955199999999991</v>
      </c>
      <c r="BE624" s="462">
        <f>IF(AT624&lt;&gt;0,SSHI*W624,0)</f>
        <v>18.699200000000001</v>
      </c>
      <c r="BF624" s="462">
        <f>IF(AND(AT624&lt;&gt;0,AN624&lt;&gt;"NE"),VLOOKUP(AN624,Retirement_Rates,3,FALSE)*W624,0)</f>
        <v>153.97824</v>
      </c>
      <c r="BG624" s="462">
        <f>IF(AND(AT624&lt;&gt;0,AJ624&lt;&gt;"PF"),Life*W624,0)</f>
        <v>9.2980160000000005</v>
      </c>
      <c r="BH624" s="462">
        <f>IF(AND(AT624&lt;&gt;0,AM624="Y"),UI*W624,0)</f>
        <v>6.3190399999999993</v>
      </c>
      <c r="BI624" s="462">
        <f>IF(AND(AT624&lt;&gt;0,N624&lt;&gt;"NR"),DHR*W624,0)</f>
        <v>3.9461759999999995</v>
      </c>
      <c r="BJ624" s="462">
        <f>IF(AT624&lt;&gt;0,WC*W624,0)</f>
        <v>19.730879999999999</v>
      </c>
      <c r="BK624" s="462">
        <f>IF(OR(AND(AT624&lt;&gt;0,AJ624&lt;&gt;"PF",AN624&lt;&gt;"NE",AG624&lt;&gt;"A"),AND(AL624="E",OR(AT624=1,AT624=3))),Sick*W624,0)</f>
        <v>0</v>
      </c>
      <c r="BL624" s="462">
        <f t="shared" si="158"/>
        <v>291.92675199999996</v>
      </c>
      <c r="BM624" s="462">
        <f t="shared" si="159"/>
        <v>0</v>
      </c>
      <c r="BN624" s="462">
        <f>IF(AND(AT624=1,AK624="E",AU624&gt;=0.75,AW624=1),HealthBY,IF(AND(AT624=1,AK624="E",AU624&gt;=0.75),HealthBY*P624,IF(AND(AT624=1,AK624="E",AU624&gt;=0.5,AW624=1),PTHealthBY,IF(AND(AT624=1,AK624="E",AU624&gt;=0.5),PTHealthBY*P624,0))))</f>
        <v>466</v>
      </c>
      <c r="BO624" s="462">
        <f>IF(AND(AT624=3,AK624="E",AV624&gt;=0.75,AW624=1),HealthBY,IF(AND(AT624=3,AK624="E",AV624&gt;=0.75),HealthBY*P624,IF(AND(AT624=3,AK624="E",AV624&gt;=0.5,AW624=1),PTHealthBY,IF(AND(AT624=3,AK624="E",AV624&gt;=0.5),PTHealthBY*P624,0))))</f>
        <v>0</v>
      </c>
      <c r="BP624" s="462">
        <f>IF(AND(AT624&lt;&gt;0,(AX624+BA624)&gt;=MAXSSDIBY),SSDIBY*MAXSSDIBY*P624,IF(AT624&lt;&gt;0,SSDIBY*W624,0))</f>
        <v>79.955199999999991</v>
      </c>
      <c r="BQ624" s="462">
        <f>IF(AT624&lt;&gt;0,SSHIBY*W624,0)</f>
        <v>18.699200000000001</v>
      </c>
      <c r="BR624" s="462">
        <f>IF(AND(AT624&lt;&gt;0,AN624&lt;&gt;"NE"),VLOOKUP(AN624,Retirement_Rates,4,FALSE)*W624,0)</f>
        <v>153.97824</v>
      </c>
      <c r="BS624" s="462">
        <f>IF(AND(AT624&lt;&gt;0,AJ624&lt;&gt;"PF"),LifeBY*W624,0)</f>
        <v>9.2980160000000005</v>
      </c>
      <c r="BT624" s="462">
        <f>IF(AND(AT624&lt;&gt;0,AM624="Y"),UIBY*W624,0)</f>
        <v>0</v>
      </c>
      <c r="BU624" s="462">
        <f>IF(AND(AT624&lt;&gt;0,N624&lt;&gt;"NR"),DHRBY*W624,0)</f>
        <v>3.9461759999999995</v>
      </c>
      <c r="BV624" s="462">
        <f>IF(AT624&lt;&gt;0,WCBY*W624,0)</f>
        <v>22.696960000000001</v>
      </c>
      <c r="BW624" s="462">
        <f>IF(OR(AND(AT624&lt;&gt;0,AJ624&lt;&gt;"PF",AN624&lt;&gt;"NE",AG624&lt;&gt;"A"),AND(AL624="E",OR(AT624=1,AT624=3))),SickBY*W624,0)</f>
        <v>0</v>
      </c>
      <c r="BX624" s="462">
        <f t="shared" si="160"/>
        <v>288.57379199999997</v>
      </c>
      <c r="BY624" s="462">
        <f t="shared" si="161"/>
        <v>0</v>
      </c>
      <c r="BZ624" s="462">
        <f t="shared" si="162"/>
        <v>0</v>
      </c>
      <c r="CA624" s="462">
        <f t="shared" si="163"/>
        <v>0</v>
      </c>
      <c r="CB624" s="462">
        <f t="shared" si="164"/>
        <v>0</v>
      </c>
      <c r="CC624" s="462">
        <f>IF(AT624&lt;&gt;0,SSHICHG*Y624,0)</f>
        <v>0</v>
      </c>
      <c r="CD624" s="462">
        <f>IF(AND(AT624&lt;&gt;0,AN624&lt;&gt;"NE"),VLOOKUP(AN624,Retirement_Rates,5,FALSE)*Y624,0)</f>
        <v>0</v>
      </c>
      <c r="CE624" s="462">
        <f>IF(AND(AT624&lt;&gt;0,AJ624&lt;&gt;"PF"),LifeCHG*Y624,0)</f>
        <v>0</v>
      </c>
      <c r="CF624" s="462">
        <f>IF(AND(AT624&lt;&gt;0,AM624="Y"),UICHG*Y624,0)</f>
        <v>-6.3190399999999993</v>
      </c>
      <c r="CG624" s="462">
        <f>IF(AND(AT624&lt;&gt;0,N624&lt;&gt;"NR"),DHRCHG*Y624,0)</f>
        <v>0</v>
      </c>
      <c r="CH624" s="462">
        <f>IF(AT624&lt;&gt;0,WCCHG*Y624,0)</f>
        <v>2.966080000000002</v>
      </c>
      <c r="CI624" s="462">
        <f>IF(OR(AND(AT624&lt;&gt;0,AJ624&lt;&gt;"PF",AN624&lt;&gt;"NE",AG624&lt;&gt;"A"),AND(AL624="E",OR(AT624=1,AT624=3))),SickCHG*Y624,0)</f>
        <v>0</v>
      </c>
      <c r="CJ624" s="462">
        <f t="shared" si="165"/>
        <v>-3.3529599999999973</v>
      </c>
      <c r="CK624" s="462" t="str">
        <f t="shared" si="166"/>
        <v/>
      </c>
      <c r="CL624" s="462" t="str">
        <f t="shared" si="167"/>
        <v/>
      </c>
      <c r="CM624" s="462" t="str">
        <f t="shared" si="168"/>
        <v/>
      </c>
      <c r="CN624" s="462" t="str">
        <f t="shared" si="169"/>
        <v>0491-01</v>
      </c>
    </row>
    <row r="625" spans="1:92" ht="15" thickBot="1" x14ac:dyDescent="0.35">
      <c r="A625" s="376" t="s">
        <v>161</v>
      </c>
      <c r="B625" s="376" t="s">
        <v>162</v>
      </c>
      <c r="C625" s="376" t="s">
        <v>1346</v>
      </c>
      <c r="D625" s="376" t="s">
        <v>372</v>
      </c>
      <c r="E625" s="376" t="s">
        <v>1334</v>
      </c>
      <c r="F625" s="382" t="s">
        <v>289</v>
      </c>
      <c r="G625" s="376" t="s">
        <v>1335</v>
      </c>
      <c r="H625" s="378"/>
      <c r="I625" s="378"/>
      <c r="J625" s="376" t="s">
        <v>185</v>
      </c>
      <c r="K625" s="376" t="s">
        <v>373</v>
      </c>
      <c r="L625" s="376" t="s">
        <v>374</v>
      </c>
      <c r="M625" s="376" t="s">
        <v>170</v>
      </c>
      <c r="N625" s="376" t="s">
        <v>202</v>
      </c>
      <c r="O625" s="379">
        <v>1</v>
      </c>
      <c r="P625" s="460">
        <v>0.5</v>
      </c>
      <c r="Q625" s="460">
        <v>0.5</v>
      </c>
      <c r="R625" s="380">
        <v>80</v>
      </c>
      <c r="S625" s="460">
        <v>0.5</v>
      </c>
      <c r="T625" s="380">
        <v>41618.03</v>
      </c>
      <c r="U625" s="380">
        <v>0</v>
      </c>
      <c r="V625" s="380">
        <v>14359.1</v>
      </c>
      <c r="W625" s="380">
        <v>43191.199999999997</v>
      </c>
      <c r="X625" s="380">
        <v>15602.17</v>
      </c>
      <c r="Y625" s="380">
        <v>43191.199999999997</v>
      </c>
      <c r="Z625" s="380">
        <v>15489.88</v>
      </c>
      <c r="AA625" s="376" t="s">
        <v>1347</v>
      </c>
      <c r="AB625" s="376" t="s">
        <v>1348</v>
      </c>
      <c r="AC625" s="376" t="s">
        <v>1349</v>
      </c>
      <c r="AD625" s="376" t="s">
        <v>179</v>
      </c>
      <c r="AE625" s="376" t="s">
        <v>373</v>
      </c>
      <c r="AF625" s="376" t="s">
        <v>378</v>
      </c>
      <c r="AG625" s="376" t="s">
        <v>177</v>
      </c>
      <c r="AH625" s="381">
        <v>41.53</v>
      </c>
      <c r="AI625" s="381">
        <v>28227.5</v>
      </c>
      <c r="AJ625" s="376" t="s">
        <v>178</v>
      </c>
      <c r="AK625" s="376" t="s">
        <v>179</v>
      </c>
      <c r="AL625" s="376" t="s">
        <v>180</v>
      </c>
      <c r="AM625" s="376" t="s">
        <v>181</v>
      </c>
      <c r="AN625" s="376" t="s">
        <v>68</v>
      </c>
      <c r="AO625" s="379">
        <v>80</v>
      </c>
      <c r="AP625" s="460">
        <v>1</v>
      </c>
      <c r="AQ625" s="460">
        <v>0.5</v>
      </c>
      <c r="AR625" s="458" t="s">
        <v>182</v>
      </c>
      <c r="AS625" s="462">
        <f t="shared" si="153"/>
        <v>0.5</v>
      </c>
      <c r="AT625">
        <f t="shared" si="154"/>
        <v>1</v>
      </c>
      <c r="AU625" s="462">
        <f>IF(AT625=0,"",IF(AND(AT625=1,M625="F",SUMIF(C2:C698,C625,AS2:AS698)&lt;=1),SUMIF(C2:C698,C625,AS2:AS698),IF(AND(AT625=1,M625="F",SUMIF(C2:C698,C625,AS2:AS698)&gt;1),1,"")))</f>
        <v>1</v>
      </c>
      <c r="AV625" s="462" t="str">
        <f>IF(AT625=0,"",IF(AND(AT625=3,M625="F",SUMIF(C2:C698,C625,AS2:AS698)&lt;=1),SUMIF(C2:C698,C625,AS2:AS698),IF(AND(AT625=3,M625="F",SUMIF(C2:C698,C625,AS2:AS698)&gt;1),1,"")))</f>
        <v/>
      </c>
      <c r="AW625" s="462">
        <f>SUMIF(C2:C698,C625,O2:O698)</f>
        <v>2</v>
      </c>
      <c r="AX625" s="462">
        <f>IF(AND(M625="F",AS625&lt;&gt;0),SUMIF(C2:C698,C625,W2:W698),0)</f>
        <v>86382.399999999994</v>
      </c>
      <c r="AY625" s="462">
        <f t="shared" si="155"/>
        <v>43191.199999999997</v>
      </c>
      <c r="AZ625" s="462" t="str">
        <f t="shared" si="156"/>
        <v/>
      </c>
      <c r="BA625" s="462">
        <f t="shared" si="157"/>
        <v>0</v>
      </c>
      <c r="BB625" s="462">
        <f>IF(AND(AT625=1,AK625="E",AU625&gt;=0.75,AW625=1),Health,IF(AND(AT625=1,AK625="E",AU625&gt;=0.75),Health*P625,IF(AND(AT625=1,AK625="E",AU625&gt;=0.5,AW625=1),PTHealth,IF(AND(AT625=1,AK625="E",AU625&gt;=0.5),PTHealth*P625,0))))</f>
        <v>5825</v>
      </c>
      <c r="BC625" s="462">
        <f>IF(AND(AT625=3,AK625="E",AV625&gt;=0.75,AW625=1),Health,IF(AND(AT625=3,AK625="E",AV625&gt;=0.75),Health*P625,IF(AND(AT625=3,AK625="E",AV625&gt;=0.5,AW625=1),PTHealth,IF(AND(AT625=3,AK625="E",AV625&gt;=0.5),PTHealth*P625,0))))</f>
        <v>0</v>
      </c>
      <c r="BD625" s="462">
        <f>IF(AND(AT625&lt;&gt;0,AX625&gt;=MAXSSDI),SSDI*MAXSSDI*P625,IF(AT625&lt;&gt;0,SSDI*W625,0))</f>
        <v>2677.8543999999997</v>
      </c>
      <c r="BE625" s="462">
        <f>IF(AT625&lt;&gt;0,SSHI*W625,0)</f>
        <v>626.27239999999995</v>
      </c>
      <c r="BF625" s="462">
        <f>IF(AND(AT625&lt;&gt;0,AN625&lt;&gt;"NE"),VLOOKUP(AN625,Retirement_Rates,3,FALSE)*W625,0)</f>
        <v>5157.0292799999997</v>
      </c>
      <c r="BG625" s="462">
        <f>IF(AND(AT625&lt;&gt;0,AJ625&lt;&gt;"PF"),Life*W625,0)</f>
        <v>311.40855199999999</v>
      </c>
      <c r="BH625" s="462">
        <f>IF(AND(AT625&lt;&gt;0,AM625="Y"),UI*W625,0)</f>
        <v>211.63687999999999</v>
      </c>
      <c r="BI625" s="462">
        <f>IF(AND(AT625&lt;&gt;0,N625&lt;&gt;"NR"),DHR*W625,0)</f>
        <v>132.16507199999998</v>
      </c>
      <c r="BJ625" s="462">
        <f>IF(AT625&lt;&gt;0,WC*W625,0)</f>
        <v>660.82535999999993</v>
      </c>
      <c r="BK625" s="462">
        <f>IF(OR(AND(AT625&lt;&gt;0,AJ625&lt;&gt;"PF",AN625&lt;&gt;"NE",AG625&lt;&gt;"A"),AND(AL625="E",OR(AT625=1,AT625=3))),Sick*W625,0)</f>
        <v>0</v>
      </c>
      <c r="BL625" s="462">
        <f t="shared" si="158"/>
        <v>9777.1919440000001</v>
      </c>
      <c r="BM625" s="462">
        <f t="shared" si="159"/>
        <v>0</v>
      </c>
      <c r="BN625" s="462">
        <f>IF(AND(AT625=1,AK625="E",AU625&gt;=0.75,AW625=1),HealthBY,IF(AND(AT625=1,AK625="E",AU625&gt;=0.75),HealthBY*P625,IF(AND(AT625=1,AK625="E",AU625&gt;=0.5,AW625=1),PTHealthBY,IF(AND(AT625=1,AK625="E",AU625&gt;=0.5),PTHealthBY*P625,0))))</f>
        <v>5825</v>
      </c>
      <c r="BO625" s="462">
        <f>IF(AND(AT625=3,AK625="E",AV625&gt;=0.75,AW625=1),HealthBY,IF(AND(AT625=3,AK625="E",AV625&gt;=0.75),HealthBY*P625,IF(AND(AT625=3,AK625="E",AV625&gt;=0.5,AW625=1),PTHealthBY,IF(AND(AT625=3,AK625="E",AV625&gt;=0.5),PTHealthBY*P625,0))))</f>
        <v>0</v>
      </c>
      <c r="BP625" s="462">
        <f>IF(AND(AT625&lt;&gt;0,(AX625+BA625)&gt;=MAXSSDIBY),SSDIBY*MAXSSDIBY*P625,IF(AT625&lt;&gt;0,SSDIBY*W625,0))</f>
        <v>2677.8543999999997</v>
      </c>
      <c r="BQ625" s="462">
        <f>IF(AT625&lt;&gt;0,SSHIBY*W625,0)</f>
        <v>626.27239999999995</v>
      </c>
      <c r="BR625" s="462">
        <f>IF(AND(AT625&lt;&gt;0,AN625&lt;&gt;"NE"),VLOOKUP(AN625,Retirement_Rates,4,FALSE)*W625,0)</f>
        <v>5157.0292799999997</v>
      </c>
      <c r="BS625" s="462">
        <f>IF(AND(AT625&lt;&gt;0,AJ625&lt;&gt;"PF"),LifeBY*W625,0)</f>
        <v>311.40855199999999</v>
      </c>
      <c r="BT625" s="462">
        <f>IF(AND(AT625&lt;&gt;0,AM625="Y"),UIBY*W625,0)</f>
        <v>0</v>
      </c>
      <c r="BU625" s="462">
        <f>IF(AND(AT625&lt;&gt;0,N625&lt;&gt;"NR"),DHRBY*W625,0)</f>
        <v>132.16507199999998</v>
      </c>
      <c r="BV625" s="462">
        <f>IF(AT625&lt;&gt;0,WCBY*W625,0)</f>
        <v>760.16512</v>
      </c>
      <c r="BW625" s="462">
        <f>IF(OR(AND(AT625&lt;&gt;0,AJ625&lt;&gt;"PF",AN625&lt;&gt;"NE",AG625&lt;&gt;"A"),AND(AL625="E",OR(AT625=1,AT625=3))),SickBY*W625,0)</f>
        <v>0</v>
      </c>
      <c r="BX625" s="462">
        <f t="shared" si="160"/>
        <v>9664.8948239999991</v>
      </c>
      <c r="BY625" s="462">
        <f t="shared" si="161"/>
        <v>0</v>
      </c>
      <c r="BZ625" s="462">
        <f t="shared" si="162"/>
        <v>0</v>
      </c>
      <c r="CA625" s="462">
        <f t="shared" si="163"/>
        <v>0</v>
      </c>
      <c r="CB625" s="462">
        <f t="shared" si="164"/>
        <v>0</v>
      </c>
      <c r="CC625" s="462">
        <f>IF(AT625&lt;&gt;0,SSHICHG*Y625,0)</f>
        <v>0</v>
      </c>
      <c r="CD625" s="462">
        <f>IF(AND(AT625&lt;&gt;0,AN625&lt;&gt;"NE"),VLOOKUP(AN625,Retirement_Rates,5,FALSE)*Y625,0)</f>
        <v>0</v>
      </c>
      <c r="CE625" s="462">
        <f>IF(AND(AT625&lt;&gt;0,AJ625&lt;&gt;"PF"),LifeCHG*Y625,0)</f>
        <v>0</v>
      </c>
      <c r="CF625" s="462">
        <f>IF(AND(AT625&lt;&gt;0,AM625="Y"),UICHG*Y625,0)</f>
        <v>-211.63687999999999</v>
      </c>
      <c r="CG625" s="462">
        <f>IF(AND(AT625&lt;&gt;0,N625&lt;&gt;"NR"),DHRCHG*Y625,0)</f>
        <v>0</v>
      </c>
      <c r="CH625" s="462">
        <f>IF(AT625&lt;&gt;0,WCCHG*Y625,0)</f>
        <v>99.339760000000069</v>
      </c>
      <c r="CI625" s="462">
        <f>IF(OR(AND(AT625&lt;&gt;0,AJ625&lt;&gt;"PF",AN625&lt;&gt;"NE",AG625&lt;&gt;"A"),AND(AL625="E",OR(AT625=1,AT625=3))),SickCHG*Y625,0)</f>
        <v>0</v>
      </c>
      <c r="CJ625" s="462">
        <f t="shared" si="165"/>
        <v>-112.29711999999992</v>
      </c>
      <c r="CK625" s="462" t="str">
        <f t="shared" si="166"/>
        <v/>
      </c>
      <c r="CL625" s="462" t="str">
        <f t="shared" si="167"/>
        <v/>
      </c>
      <c r="CM625" s="462" t="str">
        <f t="shared" si="168"/>
        <v/>
      </c>
      <c r="CN625" s="462" t="str">
        <f t="shared" si="169"/>
        <v>0491-01</v>
      </c>
    </row>
    <row r="626" spans="1:92" ht="15" thickBot="1" x14ac:dyDescent="0.35">
      <c r="A626" s="376" t="s">
        <v>161</v>
      </c>
      <c r="B626" s="376" t="s">
        <v>162</v>
      </c>
      <c r="C626" s="376" t="s">
        <v>1245</v>
      </c>
      <c r="D626" s="376" t="s">
        <v>365</v>
      </c>
      <c r="E626" s="376" t="s">
        <v>1334</v>
      </c>
      <c r="F626" s="382" t="s">
        <v>289</v>
      </c>
      <c r="G626" s="376" t="s">
        <v>1335</v>
      </c>
      <c r="H626" s="378"/>
      <c r="I626" s="378"/>
      <c r="J626" s="376" t="s">
        <v>185</v>
      </c>
      <c r="K626" s="376" t="s">
        <v>366</v>
      </c>
      <c r="L626" s="376" t="s">
        <v>274</v>
      </c>
      <c r="M626" s="376" t="s">
        <v>201</v>
      </c>
      <c r="N626" s="376" t="s">
        <v>202</v>
      </c>
      <c r="O626" s="379">
        <v>0</v>
      </c>
      <c r="P626" s="460">
        <v>0.15</v>
      </c>
      <c r="Q626" s="460">
        <v>0.15</v>
      </c>
      <c r="R626" s="380">
        <v>80</v>
      </c>
      <c r="S626" s="460">
        <v>0.15</v>
      </c>
      <c r="T626" s="380">
        <v>4697.5</v>
      </c>
      <c r="U626" s="380">
        <v>0</v>
      </c>
      <c r="V626" s="380">
        <v>2468.65</v>
      </c>
      <c r="W626" s="380">
        <v>5625.36</v>
      </c>
      <c r="X626" s="380">
        <v>2463.9</v>
      </c>
      <c r="Y626" s="380">
        <v>5625.36</v>
      </c>
      <c r="Z626" s="380">
        <v>2435.77</v>
      </c>
      <c r="AA626" s="378"/>
      <c r="AB626" s="376" t="s">
        <v>45</v>
      </c>
      <c r="AC626" s="376" t="s">
        <v>45</v>
      </c>
      <c r="AD626" s="378"/>
      <c r="AE626" s="378"/>
      <c r="AF626" s="378"/>
      <c r="AG626" s="378"/>
      <c r="AH626" s="379">
        <v>0</v>
      </c>
      <c r="AI626" s="379">
        <v>0</v>
      </c>
      <c r="AJ626" s="378"/>
      <c r="AK626" s="378"/>
      <c r="AL626" s="376" t="s">
        <v>180</v>
      </c>
      <c r="AM626" s="378"/>
      <c r="AN626" s="378"/>
      <c r="AO626" s="379">
        <v>0</v>
      </c>
      <c r="AP626" s="460">
        <v>0</v>
      </c>
      <c r="AQ626" s="460">
        <v>0</v>
      </c>
      <c r="AR626" s="459"/>
      <c r="AS626" s="462">
        <f t="shared" si="153"/>
        <v>0</v>
      </c>
      <c r="AT626">
        <f t="shared" si="154"/>
        <v>0</v>
      </c>
      <c r="AU626" s="462" t="str">
        <f>IF(AT626=0,"",IF(AND(AT626=1,M626="F",SUMIF(C2:C698,C626,AS2:AS698)&lt;=1),SUMIF(C2:C698,C626,AS2:AS698),IF(AND(AT626=1,M626="F",SUMIF(C2:C698,C626,AS2:AS698)&gt;1),1,"")))</f>
        <v/>
      </c>
      <c r="AV626" s="462" t="str">
        <f>IF(AT626=0,"",IF(AND(AT626=3,M626="F",SUMIF(C2:C698,C626,AS2:AS698)&lt;=1),SUMIF(C2:C698,C626,AS2:AS698),IF(AND(AT626=3,M626="F",SUMIF(C2:C698,C626,AS2:AS698)&gt;1),1,"")))</f>
        <v/>
      </c>
      <c r="AW626" s="462">
        <f>SUMIF(C2:C698,C626,O2:O698)</f>
        <v>0</v>
      </c>
      <c r="AX626" s="462">
        <f>IF(AND(M626="F",AS626&lt;&gt;0),SUMIF(C2:C698,C626,W2:W698),0)</f>
        <v>0</v>
      </c>
      <c r="AY626" s="462" t="str">
        <f t="shared" si="155"/>
        <v/>
      </c>
      <c r="AZ626" s="462" t="str">
        <f t="shared" si="156"/>
        <v/>
      </c>
      <c r="BA626" s="462">
        <f t="shared" si="157"/>
        <v>0</v>
      </c>
      <c r="BB626" s="462">
        <f>IF(AND(AT626=1,AK626="E",AU626&gt;=0.75,AW626=1),Health,IF(AND(AT626=1,AK626="E",AU626&gt;=0.75),Health*P626,IF(AND(AT626=1,AK626="E",AU626&gt;=0.5,AW626=1),PTHealth,IF(AND(AT626=1,AK626="E",AU626&gt;=0.5),PTHealth*P626,0))))</f>
        <v>0</v>
      </c>
      <c r="BC626" s="462">
        <f>IF(AND(AT626=3,AK626="E",AV626&gt;=0.75,AW626=1),Health,IF(AND(AT626=3,AK626="E",AV626&gt;=0.75),Health*P626,IF(AND(AT626=3,AK626="E",AV626&gt;=0.5,AW626=1),PTHealth,IF(AND(AT626=3,AK626="E",AV626&gt;=0.5),PTHealth*P626,0))))</f>
        <v>0</v>
      </c>
      <c r="BD626" s="462">
        <f>IF(AND(AT626&lt;&gt;0,AX626&gt;=MAXSSDI),SSDI*MAXSSDI*P626,IF(AT626&lt;&gt;0,SSDI*W626,0))</f>
        <v>0</v>
      </c>
      <c r="BE626" s="462">
        <f>IF(AT626&lt;&gt;0,SSHI*W626,0)</f>
        <v>0</v>
      </c>
      <c r="BF626" s="462">
        <f>IF(AND(AT626&lt;&gt;0,AN626&lt;&gt;"NE"),VLOOKUP(AN626,Retirement_Rates,3,FALSE)*W626,0)</f>
        <v>0</v>
      </c>
      <c r="BG626" s="462">
        <f>IF(AND(AT626&lt;&gt;0,AJ626&lt;&gt;"PF"),Life*W626,0)</f>
        <v>0</v>
      </c>
      <c r="BH626" s="462">
        <f>IF(AND(AT626&lt;&gt;0,AM626="Y"),UI*W626,0)</f>
        <v>0</v>
      </c>
      <c r="BI626" s="462">
        <f>IF(AND(AT626&lt;&gt;0,N626&lt;&gt;"NR"),DHR*W626,0)</f>
        <v>0</v>
      </c>
      <c r="BJ626" s="462">
        <f>IF(AT626&lt;&gt;0,WC*W626,0)</f>
        <v>0</v>
      </c>
      <c r="BK626" s="462">
        <f>IF(OR(AND(AT626&lt;&gt;0,AJ626&lt;&gt;"PF",AN626&lt;&gt;"NE",AG626&lt;&gt;"A"),AND(AL626="E",OR(AT626=1,AT626=3))),Sick*W626,0)</f>
        <v>0</v>
      </c>
      <c r="BL626" s="462">
        <f t="shared" si="158"/>
        <v>0</v>
      </c>
      <c r="BM626" s="462">
        <f t="shared" si="159"/>
        <v>0</v>
      </c>
      <c r="BN626" s="462">
        <f>IF(AND(AT626=1,AK626="E",AU626&gt;=0.75,AW626=1),HealthBY,IF(AND(AT626=1,AK626="E",AU626&gt;=0.75),HealthBY*P626,IF(AND(AT626=1,AK626="E",AU626&gt;=0.5,AW626=1),PTHealthBY,IF(AND(AT626=1,AK626="E",AU626&gt;=0.5),PTHealthBY*P626,0))))</f>
        <v>0</v>
      </c>
      <c r="BO626" s="462">
        <f>IF(AND(AT626=3,AK626="E",AV626&gt;=0.75,AW626=1),HealthBY,IF(AND(AT626=3,AK626="E",AV626&gt;=0.75),HealthBY*P626,IF(AND(AT626=3,AK626="E",AV626&gt;=0.5,AW626=1),PTHealthBY,IF(AND(AT626=3,AK626="E",AV626&gt;=0.5),PTHealthBY*P626,0))))</f>
        <v>0</v>
      </c>
      <c r="BP626" s="462">
        <f>IF(AND(AT626&lt;&gt;0,(AX626+BA626)&gt;=MAXSSDIBY),SSDIBY*MAXSSDIBY*P626,IF(AT626&lt;&gt;0,SSDIBY*W626,0))</f>
        <v>0</v>
      </c>
      <c r="BQ626" s="462">
        <f>IF(AT626&lt;&gt;0,SSHIBY*W626,0)</f>
        <v>0</v>
      </c>
      <c r="BR626" s="462">
        <f>IF(AND(AT626&lt;&gt;0,AN626&lt;&gt;"NE"),VLOOKUP(AN626,Retirement_Rates,4,FALSE)*W626,0)</f>
        <v>0</v>
      </c>
      <c r="BS626" s="462">
        <f>IF(AND(AT626&lt;&gt;0,AJ626&lt;&gt;"PF"),LifeBY*W626,0)</f>
        <v>0</v>
      </c>
      <c r="BT626" s="462">
        <f>IF(AND(AT626&lt;&gt;0,AM626="Y"),UIBY*W626,0)</f>
        <v>0</v>
      </c>
      <c r="BU626" s="462">
        <f>IF(AND(AT626&lt;&gt;0,N626&lt;&gt;"NR"),DHRBY*W626,0)</f>
        <v>0</v>
      </c>
      <c r="BV626" s="462">
        <f>IF(AT626&lt;&gt;0,WCBY*W626,0)</f>
        <v>0</v>
      </c>
      <c r="BW626" s="462">
        <f>IF(OR(AND(AT626&lt;&gt;0,AJ626&lt;&gt;"PF",AN626&lt;&gt;"NE",AG626&lt;&gt;"A"),AND(AL626="E",OR(AT626=1,AT626=3))),SickBY*W626,0)</f>
        <v>0</v>
      </c>
      <c r="BX626" s="462">
        <f t="shared" si="160"/>
        <v>0</v>
      </c>
      <c r="BY626" s="462">
        <f t="shared" si="161"/>
        <v>0</v>
      </c>
      <c r="BZ626" s="462">
        <f t="shared" si="162"/>
        <v>0</v>
      </c>
      <c r="CA626" s="462">
        <f t="shared" si="163"/>
        <v>0</v>
      </c>
      <c r="CB626" s="462">
        <f t="shared" si="164"/>
        <v>0</v>
      </c>
      <c r="CC626" s="462">
        <f>IF(AT626&lt;&gt;0,SSHICHG*Y626,0)</f>
        <v>0</v>
      </c>
      <c r="CD626" s="462">
        <f>IF(AND(AT626&lt;&gt;0,AN626&lt;&gt;"NE"),VLOOKUP(AN626,Retirement_Rates,5,FALSE)*Y626,0)</f>
        <v>0</v>
      </c>
      <c r="CE626" s="462">
        <f>IF(AND(AT626&lt;&gt;0,AJ626&lt;&gt;"PF"),LifeCHG*Y626,0)</f>
        <v>0</v>
      </c>
      <c r="CF626" s="462">
        <f>IF(AND(AT626&lt;&gt;0,AM626="Y"),UICHG*Y626,0)</f>
        <v>0</v>
      </c>
      <c r="CG626" s="462">
        <f>IF(AND(AT626&lt;&gt;0,N626&lt;&gt;"NR"),DHRCHG*Y626,0)</f>
        <v>0</v>
      </c>
      <c r="CH626" s="462">
        <f>IF(AT626&lt;&gt;0,WCCHG*Y626,0)</f>
        <v>0</v>
      </c>
      <c r="CI626" s="462">
        <f>IF(OR(AND(AT626&lt;&gt;0,AJ626&lt;&gt;"PF",AN626&lt;&gt;"NE",AG626&lt;&gt;"A"),AND(AL626="E",OR(AT626=1,AT626=3))),SickCHG*Y626,0)</f>
        <v>0</v>
      </c>
      <c r="CJ626" s="462">
        <f t="shared" si="165"/>
        <v>0</v>
      </c>
      <c r="CK626" s="462" t="str">
        <f t="shared" si="166"/>
        <v/>
      </c>
      <c r="CL626" s="462" t="str">
        <f t="shared" si="167"/>
        <v/>
      </c>
      <c r="CM626" s="462" t="str">
        <f t="shared" si="168"/>
        <v/>
      </c>
      <c r="CN626" s="462" t="str">
        <f t="shared" si="169"/>
        <v>0491-01</v>
      </c>
    </row>
    <row r="627" spans="1:92" ht="15" thickBot="1" x14ac:dyDescent="0.35">
      <c r="A627" s="376" t="s">
        <v>161</v>
      </c>
      <c r="B627" s="376" t="s">
        <v>162</v>
      </c>
      <c r="C627" s="376" t="s">
        <v>1336</v>
      </c>
      <c r="D627" s="376" t="s">
        <v>362</v>
      </c>
      <c r="E627" s="376" t="s">
        <v>1334</v>
      </c>
      <c r="F627" s="382" t="s">
        <v>344</v>
      </c>
      <c r="G627" s="376" t="s">
        <v>1335</v>
      </c>
      <c r="H627" s="378"/>
      <c r="I627" s="378"/>
      <c r="J627" s="376" t="s">
        <v>185</v>
      </c>
      <c r="K627" s="376" t="s">
        <v>363</v>
      </c>
      <c r="L627" s="376" t="s">
        <v>200</v>
      </c>
      <c r="M627" s="376" t="s">
        <v>170</v>
      </c>
      <c r="N627" s="376" t="s">
        <v>202</v>
      </c>
      <c r="O627" s="379">
        <v>1</v>
      </c>
      <c r="P627" s="460">
        <v>0.2</v>
      </c>
      <c r="Q627" s="460">
        <v>0.2</v>
      </c>
      <c r="R627" s="380">
        <v>80</v>
      </c>
      <c r="S627" s="460">
        <v>0.2</v>
      </c>
      <c r="T627" s="380">
        <v>8918.4</v>
      </c>
      <c r="U627" s="380">
        <v>0</v>
      </c>
      <c r="V627" s="380">
        <v>4241.9799999999996</v>
      </c>
      <c r="W627" s="380">
        <v>9360</v>
      </c>
      <c r="X627" s="380">
        <v>4448.82</v>
      </c>
      <c r="Y627" s="380">
        <v>9360</v>
      </c>
      <c r="Z627" s="380">
        <v>4424.4799999999996</v>
      </c>
      <c r="AA627" s="376" t="s">
        <v>1337</v>
      </c>
      <c r="AB627" s="376" t="s">
        <v>671</v>
      </c>
      <c r="AC627" s="376" t="s">
        <v>1338</v>
      </c>
      <c r="AD627" s="376" t="s">
        <v>1339</v>
      </c>
      <c r="AE627" s="376" t="s">
        <v>363</v>
      </c>
      <c r="AF627" s="376" t="s">
        <v>210</v>
      </c>
      <c r="AG627" s="376" t="s">
        <v>177</v>
      </c>
      <c r="AH627" s="381">
        <v>22.5</v>
      </c>
      <c r="AI627" s="381">
        <v>9306.6</v>
      </c>
      <c r="AJ627" s="376" t="s">
        <v>178</v>
      </c>
      <c r="AK627" s="376" t="s">
        <v>179</v>
      </c>
      <c r="AL627" s="376" t="s">
        <v>180</v>
      </c>
      <c r="AM627" s="376" t="s">
        <v>181</v>
      </c>
      <c r="AN627" s="376" t="s">
        <v>68</v>
      </c>
      <c r="AO627" s="379">
        <v>80</v>
      </c>
      <c r="AP627" s="460">
        <v>1</v>
      </c>
      <c r="AQ627" s="460">
        <v>0.2</v>
      </c>
      <c r="AR627" s="458" t="s">
        <v>182</v>
      </c>
      <c r="AS627" s="462">
        <f t="shared" si="153"/>
        <v>0.2</v>
      </c>
      <c r="AT627">
        <f t="shared" si="154"/>
        <v>1</v>
      </c>
      <c r="AU627" s="462">
        <f>IF(AT627=0,"",IF(AND(AT627=1,M627="F",SUMIF(C2:C698,C627,AS2:AS698)&lt;=1),SUMIF(C2:C698,C627,AS2:AS698),IF(AND(AT627=1,M627="F",SUMIF(C2:C698,C627,AS2:AS698)&gt;1),1,"")))</f>
        <v>1</v>
      </c>
      <c r="AV627" s="462" t="str">
        <f>IF(AT627=0,"",IF(AND(AT627=3,M627="F",SUMIF(C2:C698,C627,AS2:AS698)&lt;=1),SUMIF(C2:C698,C627,AS2:AS698),IF(AND(AT627=3,M627="F",SUMIF(C2:C698,C627,AS2:AS698)&gt;1),1,"")))</f>
        <v/>
      </c>
      <c r="AW627" s="462">
        <f>SUMIF(C2:C698,C627,O2:O698)</f>
        <v>2</v>
      </c>
      <c r="AX627" s="462">
        <f>IF(AND(M627="F",AS627&lt;&gt;0),SUMIF(C2:C698,C627,W2:W698),0)</f>
        <v>46800</v>
      </c>
      <c r="AY627" s="462">
        <f t="shared" si="155"/>
        <v>9360</v>
      </c>
      <c r="AZ627" s="462" t="str">
        <f t="shared" si="156"/>
        <v/>
      </c>
      <c r="BA627" s="462">
        <f t="shared" si="157"/>
        <v>0</v>
      </c>
      <c r="BB627" s="462">
        <f>IF(AND(AT627=1,AK627="E",AU627&gt;=0.75,AW627=1),Health,IF(AND(AT627=1,AK627="E",AU627&gt;=0.75),Health*P627,IF(AND(AT627=1,AK627="E",AU627&gt;=0.5,AW627=1),PTHealth,IF(AND(AT627=1,AK627="E",AU627&gt;=0.5),PTHealth*P627,0))))</f>
        <v>2330</v>
      </c>
      <c r="BC627" s="462">
        <f>IF(AND(AT627=3,AK627="E",AV627&gt;=0.75,AW627=1),Health,IF(AND(AT627=3,AK627="E",AV627&gt;=0.75),Health*P627,IF(AND(AT627=3,AK627="E",AV627&gt;=0.5,AW627=1),PTHealth,IF(AND(AT627=3,AK627="E",AV627&gt;=0.5),PTHealth*P627,0))))</f>
        <v>0</v>
      </c>
      <c r="BD627" s="462">
        <f>IF(AND(AT627&lt;&gt;0,AX627&gt;=MAXSSDI),SSDI*MAXSSDI*P627,IF(AT627&lt;&gt;0,SSDI*W627,0))</f>
        <v>580.32000000000005</v>
      </c>
      <c r="BE627" s="462">
        <f>IF(AT627&lt;&gt;0,SSHI*W627,0)</f>
        <v>135.72</v>
      </c>
      <c r="BF627" s="462">
        <f>IF(AND(AT627&lt;&gt;0,AN627&lt;&gt;"NE"),VLOOKUP(AN627,Retirement_Rates,3,FALSE)*W627,0)</f>
        <v>1117.5840000000001</v>
      </c>
      <c r="BG627" s="462">
        <f>IF(AND(AT627&lt;&gt;0,AJ627&lt;&gt;"PF"),Life*W627,0)</f>
        <v>67.485600000000005</v>
      </c>
      <c r="BH627" s="462">
        <f>IF(AND(AT627&lt;&gt;0,AM627="Y"),UI*W627,0)</f>
        <v>45.863999999999997</v>
      </c>
      <c r="BI627" s="462">
        <f>IF(AND(AT627&lt;&gt;0,N627&lt;&gt;"NR"),DHR*W627,0)</f>
        <v>28.641599999999997</v>
      </c>
      <c r="BJ627" s="462">
        <f>IF(AT627&lt;&gt;0,WC*W627,0)</f>
        <v>143.208</v>
      </c>
      <c r="BK627" s="462">
        <f>IF(OR(AND(AT627&lt;&gt;0,AJ627&lt;&gt;"PF",AN627&lt;&gt;"NE",AG627&lt;&gt;"A"),AND(AL627="E",OR(AT627=1,AT627=3))),Sick*W627,0)</f>
        <v>0</v>
      </c>
      <c r="BL627" s="462">
        <f t="shared" si="158"/>
        <v>2118.8232000000003</v>
      </c>
      <c r="BM627" s="462">
        <f t="shared" si="159"/>
        <v>0</v>
      </c>
      <c r="BN627" s="462">
        <f>IF(AND(AT627=1,AK627="E",AU627&gt;=0.75,AW627=1),HealthBY,IF(AND(AT627=1,AK627="E",AU627&gt;=0.75),HealthBY*P627,IF(AND(AT627=1,AK627="E",AU627&gt;=0.5,AW627=1),PTHealthBY,IF(AND(AT627=1,AK627="E",AU627&gt;=0.5),PTHealthBY*P627,0))))</f>
        <v>2330</v>
      </c>
      <c r="BO627" s="462">
        <f>IF(AND(AT627=3,AK627="E",AV627&gt;=0.75,AW627=1),HealthBY,IF(AND(AT627=3,AK627="E",AV627&gt;=0.75),HealthBY*P627,IF(AND(AT627=3,AK627="E",AV627&gt;=0.5,AW627=1),PTHealthBY,IF(AND(AT627=3,AK627="E",AV627&gt;=0.5),PTHealthBY*P627,0))))</f>
        <v>0</v>
      </c>
      <c r="BP627" s="462">
        <f>IF(AND(AT627&lt;&gt;0,(AX627+BA627)&gt;=MAXSSDIBY),SSDIBY*MAXSSDIBY*P627,IF(AT627&lt;&gt;0,SSDIBY*W627,0))</f>
        <v>580.32000000000005</v>
      </c>
      <c r="BQ627" s="462">
        <f>IF(AT627&lt;&gt;0,SSHIBY*W627,0)</f>
        <v>135.72</v>
      </c>
      <c r="BR627" s="462">
        <f>IF(AND(AT627&lt;&gt;0,AN627&lt;&gt;"NE"),VLOOKUP(AN627,Retirement_Rates,4,FALSE)*W627,0)</f>
        <v>1117.5840000000001</v>
      </c>
      <c r="BS627" s="462">
        <f>IF(AND(AT627&lt;&gt;0,AJ627&lt;&gt;"PF"),LifeBY*W627,0)</f>
        <v>67.485600000000005</v>
      </c>
      <c r="BT627" s="462">
        <f>IF(AND(AT627&lt;&gt;0,AM627="Y"),UIBY*W627,0)</f>
        <v>0</v>
      </c>
      <c r="BU627" s="462">
        <f>IF(AND(AT627&lt;&gt;0,N627&lt;&gt;"NR"),DHRBY*W627,0)</f>
        <v>28.641599999999997</v>
      </c>
      <c r="BV627" s="462">
        <f>IF(AT627&lt;&gt;0,WCBY*W627,0)</f>
        <v>164.73600000000002</v>
      </c>
      <c r="BW627" s="462">
        <f>IF(OR(AND(AT627&lt;&gt;0,AJ627&lt;&gt;"PF",AN627&lt;&gt;"NE",AG627&lt;&gt;"A"),AND(AL627="E",OR(AT627=1,AT627=3))),SickBY*W627,0)</f>
        <v>0</v>
      </c>
      <c r="BX627" s="462">
        <f t="shared" si="160"/>
        <v>2094.4872</v>
      </c>
      <c r="BY627" s="462">
        <f t="shared" si="161"/>
        <v>0</v>
      </c>
      <c r="BZ627" s="462">
        <f t="shared" si="162"/>
        <v>0</v>
      </c>
      <c r="CA627" s="462">
        <f t="shared" si="163"/>
        <v>0</v>
      </c>
      <c r="CB627" s="462">
        <f t="shared" si="164"/>
        <v>0</v>
      </c>
      <c r="CC627" s="462">
        <f>IF(AT627&lt;&gt;0,SSHICHG*Y627,0)</f>
        <v>0</v>
      </c>
      <c r="CD627" s="462">
        <f>IF(AND(AT627&lt;&gt;0,AN627&lt;&gt;"NE"),VLOOKUP(AN627,Retirement_Rates,5,FALSE)*Y627,0)</f>
        <v>0</v>
      </c>
      <c r="CE627" s="462">
        <f>IF(AND(AT627&lt;&gt;0,AJ627&lt;&gt;"PF"),LifeCHG*Y627,0)</f>
        <v>0</v>
      </c>
      <c r="CF627" s="462">
        <f>IF(AND(AT627&lt;&gt;0,AM627="Y"),UICHG*Y627,0)</f>
        <v>-45.863999999999997</v>
      </c>
      <c r="CG627" s="462">
        <f>IF(AND(AT627&lt;&gt;0,N627&lt;&gt;"NR"),DHRCHG*Y627,0)</f>
        <v>0</v>
      </c>
      <c r="CH627" s="462">
        <f>IF(AT627&lt;&gt;0,WCCHG*Y627,0)</f>
        <v>21.528000000000016</v>
      </c>
      <c r="CI627" s="462">
        <f>IF(OR(AND(AT627&lt;&gt;0,AJ627&lt;&gt;"PF",AN627&lt;&gt;"NE",AG627&lt;&gt;"A"),AND(AL627="E",OR(AT627=1,AT627=3))),SickCHG*Y627,0)</f>
        <v>0</v>
      </c>
      <c r="CJ627" s="462">
        <f t="shared" si="165"/>
        <v>-24.335999999999981</v>
      </c>
      <c r="CK627" s="462" t="str">
        <f t="shared" si="166"/>
        <v/>
      </c>
      <c r="CL627" s="462" t="str">
        <f t="shared" si="167"/>
        <v/>
      </c>
      <c r="CM627" s="462" t="str">
        <f t="shared" si="168"/>
        <v/>
      </c>
      <c r="CN627" s="462" t="str">
        <f t="shared" si="169"/>
        <v>0491-02</v>
      </c>
    </row>
    <row r="628" spans="1:92" ht="15" thickBot="1" x14ac:dyDescent="0.35">
      <c r="A628" s="376" t="s">
        <v>161</v>
      </c>
      <c r="B628" s="376" t="s">
        <v>162</v>
      </c>
      <c r="C628" s="376" t="s">
        <v>1350</v>
      </c>
      <c r="D628" s="376" t="s">
        <v>287</v>
      </c>
      <c r="E628" s="376" t="s">
        <v>1334</v>
      </c>
      <c r="F628" s="382" t="s">
        <v>344</v>
      </c>
      <c r="G628" s="376" t="s">
        <v>1335</v>
      </c>
      <c r="H628" s="378"/>
      <c r="I628" s="378"/>
      <c r="J628" s="376" t="s">
        <v>168</v>
      </c>
      <c r="K628" s="376" t="s">
        <v>290</v>
      </c>
      <c r="L628" s="376" t="s">
        <v>166</v>
      </c>
      <c r="M628" s="376" t="s">
        <v>170</v>
      </c>
      <c r="N628" s="376" t="s">
        <v>291</v>
      </c>
      <c r="O628" s="379">
        <v>0</v>
      </c>
      <c r="P628" s="460">
        <v>1</v>
      </c>
      <c r="Q628" s="460">
        <v>0</v>
      </c>
      <c r="R628" s="380">
        <v>0</v>
      </c>
      <c r="S628" s="460">
        <v>0</v>
      </c>
      <c r="T628" s="380">
        <v>0</v>
      </c>
      <c r="U628" s="380">
        <v>0</v>
      </c>
      <c r="V628" s="380">
        <v>0</v>
      </c>
      <c r="W628" s="380">
        <v>0</v>
      </c>
      <c r="X628" s="380">
        <v>0</v>
      </c>
      <c r="Y628" s="380">
        <v>0</v>
      </c>
      <c r="Z628" s="380">
        <v>0</v>
      </c>
      <c r="AA628" s="378"/>
      <c r="AB628" s="376" t="s">
        <v>45</v>
      </c>
      <c r="AC628" s="376" t="s">
        <v>45</v>
      </c>
      <c r="AD628" s="378"/>
      <c r="AE628" s="378"/>
      <c r="AF628" s="378"/>
      <c r="AG628" s="378"/>
      <c r="AH628" s="379">
        <v>0</v>
      </c>
      <c r="AI628" s="379">
        <v>0</v>
      </c>
      <c r="AJ628" s="378"/>
      <c r="AK628" s="378"/>
      <c r="AL628" s="376" t="s">
        <v>180</v>
      </c>
      <c r="AM628" s="378"/>
      <c r="AN628" s="378"/>
      <c r="AO628" s="379">
        <v>0</v>
      </c>
      <c r="AP628" s="460">
        <v>0</v>
      </c>
      <c r="AQ628" s="460">
        <v>0</v>
      </c>
      <c r="AR628" s="459"/>
      <c r="AS628" s="462">
        <f t="shared" si="153"/>
        <v>0</v>
      </c>
      <c r="AT628">
        <f t="shared" si="154"/>
        <v>0</v>
      </c>
      <c r="AU628" s="462" t="str">
        <f>IF(AT628=0,"",IF(AND(AT628=1,M628="F",SUMIF(C2:C698,C628,AS2:AS698)&lt;=1),SUMIF(C2:C698,C628,AS2:AS698),IF(AND(AT628=1,M628="F",SUMIF(C2:C698,C628,AS2:AS698)&gt;1),1,"")))</f>
        <v/>
      </c>
      <c r="AV628" s="462" t="str">
        <f>IF(AT628=0,"",IF(AND(AT628=3,M628="F",SUMIF(C2:C698,C628,AS2:AS698)&lt;=1),SUMIF(C2:C698,C628,AS2:AS698),IF(AND(AT628=3,M628="F",SUMIF(C2:C698,C628,AS2:AS698)&gt;1),1,"")))</f>
        <v/>
      </c>
      <c r="AW628" s="462">
        <f>SUMIF(C2:C698,C628,O2:O698)</f>
        <v>0</v>
      </c>
      <c r="AX628" s="462">
        <f>IF(AND(M628="F",AS628&lt;&gt;0),SUMIF(C2:C698,C628,W2:W698),0)</f>
        <v>0</v>
      </c>
      <c r="AY628" s="462" t="str">
        <f t="shared" si="155"/>
        <v/>
      </c>
      <c r="AZ628" s="462" t="str">
        <f t="shared" si="156"/>
        <v/>
      </c>
      <c r="BA628" s="462">
        <f t="shared" si="157"/>
        <v>0</v>
      </c>
      <c r="BB628" s="462">
        <f>IF(AND(AT628=1,AK628="E",AU628&gt;=0.75,AW628=1),Health,IF(AND(AT628=1,AK628="E",AU628&gt;=0.75),Health*P628,IF(AND(AT628=1,AK628="E",AU628&gt;=0.5,AW628=1),PTHealth,IF(AND(AT628=1,AK628="E",AU628&gt;=0.5),PTHealth*P628,0))))</f>
        <v>0</v>
      </c>
      <c r="BC628" s="462">
        <f>IF(AND(AT628=3,AK628="E",AV628&gt;=0.75,AW628=1),Health,IF(AND(AT628=3,AK628="E",AV628&gt;=0.75),Health*P628,IF(AND(AT628=3,AK628="E",AV628&gt;=0.5,AW628=1),PTHealth,IF(AND(AT628=3,AK628="E",AV628&gt;=0.5),PTHealth*P628,0))))</f>
        <v>0</v>
      </c>
      <c r="BD628" s="462">
        <f>IF(AND(AT628&lt;&gt;0,AX628&gt;=MAXSSDI),SSDI*MAXSSDI*P628,IF(AT628&lt;&gt;0,SSDI*W628,0))</f>
        <v>0</v>
      </c>
      <c r="BE628" s="462">
        <f>IF(AT628&lt;&gt;0,SSHI*W628,0)</f>
        <v>0</v>
      </c>
      <c r="BF628" s="462">
        <f>IF(AND(AT628&lt;&gt;0,AN628&lt;&gt;"NE"),VLOOKUP(AN628,Retirement_Rates,3,FALSE)*W628,0)</f>
        <v>0</v>
      </c>
      <c r="BG628" s="462">
        <f>IF(AND(AT628&lt;&gt;0,AJ628&lt;&gt;"PF"),Life*W628,0)</f>
        <v>0</v>
      </c>
      <c r="BH628" s="462">
        <f>IF(AND(AT628&lt;&gt;0,AM628="Y"),UI*W628,0)</f>
        <v>0</v>
      </c>
      <c r="BI628" s="462">
        <f>IF(AND(AT628&lt;&gt;0,N628&lt;&gt;"NR"),DHR*W628,0)</f>
        <v>0</v>
      </c>
      <c r="BJ628" s="462">
        <f>IF(AT628&lt;&gt;0,WC*W628,0)</f>
        <v>0</v>
      </c>
      <c r="BK628" s="462">
        <f>IF(OR(AND(AT628&lt;&gt;0,AJ628&lt;&gt;"PF",AN628&lt;&gt;"NE",AG628&lt;&gt;"A"),AND(AL628="E",OR(AT628=1,AT628=3))),Sick*W628,0)</f>
        <v>0</v>
      </c>
      <c r="BL628" s="462">
        <f t="shared" si="158"/>
        <v>0</v>
      </c>
      <c r="BM628" s="462">
        <f t="shared" si="159"/>
        <v>0</v>
      </c>
      <c r="BN628" s="462">
        <f>IF(AND(AT628=1,AK628="E",AU628&gt;=0.75,AW628=1),HealthBY,IF(AND(AT628=1,AK628="E",AU628&gt;=0.75),HealthBY*P628,IF(AND(AT628=1,AK628="E",AU628&gt;=0.5,AW628=1),PTHealthBY,IF(AND(AT628=1,AK628="E",AU628&gt;=0.5),PTHealthBY*P628,0))))</f>
        <v>0</v>
      </c>
      <c r="BO628" s="462">
        <f>IF(AND(AT628=3,AK628="E",AV628&gt;=0.75,AW628=1),HealthBY,IF(AND(AT628=3,AK628="E",AV628&gt;=0.75),HealthBY*P628,IF(AND(AT628=3,AK628="E",AV628&gt;=0.5,AW628=1),PTHealthBY,IF(AND(AT628=3,AK628="E",AV628&gt;=0.5),PTHealthBY*P628,0))))</f>
        <v>0</v>
      </c>
      <c r="BP628" s="462">
        <f>IF(AND(AT628&lt;&gt;0,(AX628+BA628)&gt;=MAXSSDIBY),SSDIBY*MAXSSDIBY*P628,IF(AT628&lt;&gt;0,SSDIBY*W628,0))</f>
        <v>0</v>
      </c>
      <c r="BQ628" s="462">
        <f>IF(AT628&lt;&gt;0,SSHIBY*W628,0)</f>
        <v>0</v>
      </c>
      <c r="BR628" s="462">
        <f>IF(AND(AT628&lt;&gt;0,AN628&lt;&gt;"NE"),VLOOKUP(AN628,Retirement_Rates,4,FALSE)*W628,0)</f>
        <v>0</v>
      </c>
      <c r="BS628" s="462">
        <f>IF(AND(AT628&lt;&gt;0,AJ628&lt;&gt;"PF"),LifeBY*W628,0)</f>
        <v>0</v>
      </c>
      <c r="BT628" s="462">
        <f>IF(AND(AT628&lt;&gt;0,AM628="Y"),UIBY*W628,0)</f>
        <v>0</v>
      </c>
      <c r="BU628" s="462">
        <f>IF(AND(AT628&lt;&gt;0,N628&lt;&gt;"NR"),DHRBY*W628,0)</f>
        <v>0</v>
      </c>
      <c r="BV628" s="462">
        <f>IF(AT628&lt;&gt;0,WCBY*W628,0)</f>
        <v>0</v>
      </c>
      <c r="BW628" s="462">
        <f>IF(OR(AND(AT628&lt;&gt;0,AJ628&lt;&gt;"PF",AN628&lt;&gt;"NE",AG628&lt;&gt;"A"),AND(AL628="E",OR(AT628=1,AT628=3))),SickBY*W628,0)</f>
        <v>0</v>
      </c>
      <c r="BX628" s="462">
        <f t="shared" si="160"/>
        <v>0</v>
      </c>
      <c r="BY628" s="462">
        <f t="shared" si="161"/>
        <v>0</v>
      </c>
      <c r="BZ628" s="462">
        <f t="shared" si="162"/>
        <v>0</v>
      </c>
      <c r="CA628" s="462">
        <f t="shared" si="163"/>
        <v>0</v>
      </c>
      <c r="CB628" s="462">
        <f t="shared" si="164"/>
        <v>0</v>
      </c>
      <c r="CC628" s="462">
        <f>IF(AT628&lt;&gt;0,SSHICHG*Y628,0)</f>
        <v>0</v>
      </c>
      <c r="CD628" s="462">
        <f>IF(AND(AT628&lt;&gt;0,AN628&lt;&gt;"NE"),VLOOKUP(AN628,Retirement_Rates,5,FALSE)*Y628,0)</f>
        <v>0</v>
      </c>
      <c r="CE628" s="462">
        <f>IF(AND(AT628&lt;&gt;0,AJ628&lt;&gt;"PF"),LifeCHG*Y628,0)</f>
        <v>0</v>
      </c>
      <c r="CF628" s="462">
        <f>IF(AND(AT628&lt;&gt;0,AM628="Y"),UICHG*Y628,0)</f>
        <v>0</v>
      </c>
      <c r="CG628" s="462">
        <f>IF(AND(AT628&lt;&gt;0,N628&lt;&gt;"NR"),DHRCHG*Y628,0)</f>
        <v>0</v>
      </c>
      <c r="CH628" s="462">
        <f>IF(AT628&lt;&gt;0,WCCHG*Y628,0)</f>
        <v>0</v>
      </c>
      <c r="CI628" s="462">
        <f>IF(OR(AND(AT628&lt;&gt;0,AJ628&lt;&gt;"PF",AN628&lt;&gt;"NE",AG628&lt;&gt;"A"),AND(AL628="E",OR(AT628=1,AT628=3))),SickCHG*Y628,0)</f>
        <v>0</v>
      </c>
      <c r="CJ628" s="462">
        <f t="shared" si="165"/>
        <v>0</v>
      </c>
      <c r="CK628" s="462" t="str">
        <f t="shared" si="166"/>
        <v/>
      </c>
      <c r="CL628" s="462">
        <f t="shared" si="167"/>
        <v>0</v>
      </c>
      <c r="CM628" s="462">
        <f t="shared" si="168"/>
        <v>0</v>
      </c>
      <c r="CN628" s="462" t="str">
        <f t="shared" si="169"/>
        <v>0491-02</v>
      </c>
    </row>
    <row r="629" spans="1:92" ht="15" thickBot="1" x14ac:dyDescent="0.35">
      <c r="A629" s="376" t="s">
        <v>161</v>
      </c>
      <c r="B629" s="376" t="s">
        <v>162</v>
      </c>
      <c r="C629" s="376" t="s">
        <v>1340</v>
      </c>
      <c r="D629" s="376" t="s">
        <v>362</v>
      </c>
      <c r="E629" s="376" t="s">
        <v>1334</v>
      </c>
      <c r="F629" s="382" t="s">
        <v>344</v>
      </c>
      <c r="G629" s="376" t="s">
        <v>1335</v>
      </c>
      <c r="H629" s="378"/>
      <c r="I629" s="378"/>
      <c r="J629" s="376" t="s">
        <v>185</v>
      </c>
      <c r="K629" s="376" t="s">
        <v>363</v>
      </c>
      <c r="L629" s="376" t="s">
        <v>200</v>
      </c>
      <c r="M629" s="376" t="s">
        <v>170</v>
      </c>
      <c r="N629" s="376" t="s">
        <v>202</v>
      </c>
      <c r="O629" s="379">
        <v>1</v>
      </c>
      <c r="P629" s="460">
        <v>0.25</v>
      </c>
      <c r="Q629" s="460">
        <v>0.25</v>
      </c>
      <c r="R629" s="380">
        <v>80</v>
      </c>
      <c r="S629" s="460">
        <v>0.25</v>
      </c>
      <c r="T629" s="380">
        <v>14212.4</v>
      </c>
      <c r="U629" s="380">
        <v>0</v>
      </c>
      <c r="V629" s="380">
        <v>5960.36</v>
      </c>
      <c r="W629" s="380">
        <v>14736.8</v>
      </c>
      <c r="X629" s="380">
        <v>6248.46</v>
      </c>
      <c r="Y629" s="380">
        <v>14736.8</v>
      </c>
      <c r="Z629" s="380">
        <v>6210.14</v>
      </c>
      <c r="AA629" s="376" t="s">
        <v>1341</v>
      </c>
      <c r="AB629" s="376" t="s">
        <v>1342</v>
      </c>
      <c r="AC629" s="376" t="s">
        <v>1343</v>
      </c>
      <c r="AD629" s="376" t="s">
        <v>325</v>
      </c>
      <c r="AE629" s="376" t="s">
        <v>363</v>
      </c>
      <c r="AF629" s="376" t="s">
        <v>210</v>
      </c>
      <c r="AG629" s="376" t="s">
        <v>177</v>
      </c>
      <c r="AH629" s="381">
        <v>28.34</v>
      </c>
      <c r="AI629" s="379">
        <v>62194</v>
      </c>
      <c r="AJ629" s="376" t="s">
        <v>178</v>
      </c>
      <c r="AK629" s="376" t="s">
        <v>179</v>
      </c>
      <c r="AL629" s="376" t="s">
        <v>180</v>
      </c>
      <c r="AM629" s="376" t="s">
        <v>181</v>
      </c>
      <c r="AN629" s="376" t="s">
        <v>68</v>
      </c>
      <c r="AO629" s="379">
        <v>80</v>
      </c>
      <c r="AP629" s="460">
        <v>1</v>
      </c>
      <c r="AQ629" s="460">
        <v>0.25</v>
      </c>
      <c r="AR629" s="458" t="s">
        <v>182</v>
      </c>
      <c r="AS629" s="462">
        <f t="shared" si="153"/>
        <v>0.25</v>
      </c>
      <c r="AT629">
        <f t="shared" si="154"/>
        <v>1</v>
      </c>
      <c r="AU629" s="462">
        <f>IF(AT629=0,"",IF(AND(AT629=1,M629="F",SUMIF(C2:C698,C629,AS2:AS698)&lt;=1),SUMIF(C2:C698,C629,AS2:AS698),IF(AND(AT629=1,M629="F",SUMIF(C2:C698,C629,AS2:AS698)&gt;1),1,"")))</f>
        <v>1</v>
      </c>
      <c r="AV629" s="462" t="str">
        <f>IF(AT629=0,"",IF(AND(AT629=3,M629="F",SUMIF(C2:C698,C629,AS2:AS698)&lt;=1),SUMIF(C2:C698,C629,AS2:AS698),IF(AND(AT629=3,M629="F",SUMIF(C2:C698,C629,AS2:AS698)&gt;1),1,"")))</f>
        <v/>
      </c>
      <c r="AW629" s="462">
        <f>SUMIF(C2:C698,C629,O2:O698)</f>
        <v>2</v>
      </c>
      <c r="AX629" s="462">
        <f>IF(AND(M629="F",AS629&lt;&gt;0),SUMIF(C2:C698,C629,W2:W698),0)</f>
        <v>58947.199999999997</v>
      </c>
      <c r="AY629" s="462">
        <f t="shared" si="155"/>
        <v>14736.8</v>
      </c>
      <c r="AZ629" s="462" t="str">
        <f t="shared" si="156"/>
        <v/>
      </c>
      <c r="BA629" s="462">
        <f t="shared" si="157"/>
        <v>0</v>
      </c>
      <c r="BB629" s="462">
        <f>IF(AND(AT629=1,AK629="E",AU629&gt;=0.75,AW629=1),Health,IF(AND(AT629=1,AK629="E",AU629&gt;=0.75),Health*P629,IF(AND(AT629=1,AK629="E",AU629&gt;=0.5,AW629=1),PTHealth,IF(AND(AT629=1,AK629="E",AU629&gt;=0.5),PTHealth*P629,0))))</f>
        <v>2912.5</v>
      </c>
      <c r="BC629" s="462">
        <f>IF(AND(AT629=3,AK629="E",AV629&gt;=0.75,AW629=1),Health,IF(AND(AT629=3,AK629="E",AV629&gt;=0.75),Health*P629,IF(AND(AT629=3,AK629="E",AV629&gt;=0.5,AW629=1),PTHealth,IF(AND(AT629=3,AK629="E",AV629&gt;=0.5),PTHealth*P629,0))))</f>
        <v>0</v>
      </c>
      <c r="BD629" s="462">
        <f>IF(AND(AT629&lt;&gt;0,AX629&gt;=MAXSSDI),SSDI*MAXSSDI*P629,IF(AT629&lt;&gt;0,SSDI*W629,0))</f>
        <v>913.6816</v>
      </c>
      <c r="BE629" s="462">
        <f>IF(AT629&lt;&gt;0,SSHI*W629,0)</f>
        <v>213.68360000000001</v>
      </c>
      <c r="BF629" s="462">
        <f>IF(AND(AT629&lt;&gt;0,AN629&lt;&gt;"NE"),VLOOKUP(AN629,Retirement_Rates,3,FALSE)*W629,0)</f>
        <v>1759.57392</v>
      </c>
      <c r="BG629" s="462">
        <f>IF(AND(AT629&lt;&gt;0,AJ629&lt;&gt;"PF"),Life*W629,0)</f>
        <v>106.25232800000001</v>
      </c>
      <c r="BH629" s="462">
        <f>IF(AND(AT629&lt;&gt;0,AM629="Y"),UI*W629,0)</f>
        <v>72.210319999999996</v>
      </c>
      <c r="BI629" s="462">
        <f>IF(AND(AT629&lt;&gt;0,N629&lt;&gt;"NR"),DHR*W629,0)</f>
        <v>45.094607999999994</v>
      </c>
      <c r="BJ629" s="462">
        <f>IF(AT629&lt;&gt;0,WC*W629,0)</f>
        <v>225.47303999999997</v>
      </c>
      <c r="BK629" s="462">
        <f>IF(OR(AND(AT629&lt;&gt;0,AJ629&lt;&gt;"PF",AN629&lt;&gt;"NE",AG629&lt;&gt;"A"),AND(AL629="E",OR(AT629=1,AT629=3))),Sick*W629,0)</f>
        <v>0</v>
      </c>
      <c r="BL629" s="462">
        <f t="shared" si="158"/>
        <v>3335.9694159999999</v>
      </c>
      <c r="BM629" s="462">
        <f t="shared" si="159"/>
        <v>0</v>
      </c>
      <c r="BN629" s="462">
        <f>IF(AND(AT629=1,AK629="E",AU629&gt;=0.75,AW629=1),HealthBY,IF(AND(AT629=1,AK629="E",AU629&gt;=0.75),HealthBY*P629,IF(AND(AT629=1,AK629="E",AU629&gt;=0.5,AW629=1),PTHealthBY,IF(AND(AT629=1,AK629="E",AU629&gt;=0.5),PTHealthBY*P629,0))))</f>
        <v>2912.5</v>
      </c>
      <c r="BO629" s="462">
        <f>IF(AND(AT629=3,AK629="E",AV629&gt;=0.75,AW629=1),HealthBY,IF(AND(AT629=3,AK629="E",AV629&gt;=0.75),HealthBY*P629,IF(AND(AT629=3,AK629="E",AV629&gt;=0.5,AW629=1),PTHealthBY,IF(AND(AT629=3,AK629="E",AV629&gt;=0.5),PTHealthBY*P629,0))))</f>
        <v>0</v>
      </c>
      <c r="BP629" s="462">
        <f>IF(AND(AT629&lt;&gt;0,(AX629+BA629)&gt;=MAXSSDIBY),SSDIBY*MAXSSDIBY*P629,IF(AT629&lt;&gt;0,SSDIBY*W629,0))</f>
        <v>913.6816</v>
      </c>
      <c r="BQ629" s="462">
        <f>IF(AT629&lt;&gt;0,SSHIBY*W629,0)</f>
        <v>213.68360000000001</v>
      </c>
      <c r="BR629" s="462">
        <f>IF(AND(AT629&lt;&gt;0,AN629&lt;&gt;"NE"),VLOOKUP(AN629,Retirement_Rates,4,FALSE)*W629,0)</f>
        <v>1759.57392</v>
      </c>
      <c r="BS629" s="462">
        <f>IF(AND(AT629&lt;&gt;0,AJ629&lt;&gt;"PF"),LifeBY*W629,0)</f>
        <v>106.25232800000001</v>
      </c>
      <c r="BT629" s="462">
        <f>IF(AND(AT629&lt;&gt;0,AM629="Y"),UIBY*W629,0)</f>
        <v>0</v>
      </c>
      <c r="BU629" s="462">
        <f>IF(AND(AT629&lt;&gt;0,N629&lt;&gt;"NR"),DHRBY*W629,0)</f>
        <v>45.094607999999994</v>
      </c>
      <c r="BV629" s="462">
        <f>IF(AT629&lt;&gt;0,WCBY*W629,0)</f>
        <v>259.36768000000001</v>
      </c>
      <c r="BW629" s="462">
        <f>IF(OR(AND(AT629&lt;&gt;0,AJ629&lt;&gt;"PF",AN629&lt;&gt;"NE",AG629&lt;&gt;"A"),AND(AL629="E",OR(AT629=1,AT629=3))),SickBY*W629,0)</f>
        <v>0</v>
      </c>
      <c r="BX629" s="462">
        <f t="shared" si="160"/>
        <v>3297.6537359999998</v>
      </c>
      <c r="BY629" s="462">
        <f t="shared" si="161"/>
        <v>0</v>
      </c>
      <c r="BZ629" s="462">
        <f t="shared" si="162"/>
        <v>0</v>
      </c>
      <c r="CA629" s="462">
        <f t="shared" si="163"/>
        <v>0</v>
      </c>
      <c r="CB629" s="462">
        <f t="shared" si="164"/>
        <v>0</v>
      </c>
      <c r="CC629" s="462">
        <f>IF(AT629&lt;&gt;0,SSHICHG*Y629,0)</f>
        <v>0</v>
      </c>
      <c r="CD629" s="462">
        <f>IF(AND(AT629&lt;&gt;0,AN629&lt;&gt;"NE"),VLOOKUP(AN629,Retirement_Rates,5,FALSE)*Y629,0)</f>
        <v>0</v>
      </c>
      <c r="CE629" s="462">
        <f>IF(AND(AT629&lt;&gt;0,AJ629&lt;&gt;"PF"),LifeCHG*Y629,0)</f>
        <v>0</v>
      </c>
      <c r="CF629" s="462">
        <f>IF(AND(AT629&lt;&gt;0,AM629="Y"),UICHG*Y629,0)</f>
        <v>-72.210319999999996</v>
      </c>
      <c r="CG629" s="462">
        <f>IF(AND(AT629&lt;&gt;0,N629&lt;&gt;"NR"),DHRCHG*Y629,0)</f>
        <v>0</v>
      </c>
      <c r="CH629" s="462">
        <f>IF(AT629&lt;&gt;0,WCCHG*Y629,0)</f>
        <v>33.894640000000024</v>
      </c>
      <c r="CI629" s="462">
        <f>IF(OR(AND(AT629&lt;&gt;0,AJ629&lt;&gt;"PF",AN629&lt;&gt;"NE",AG629&lt;&gt;"A"),AND(AL629="E",OR(AT629=1,AT629=3))),SickCHG*Y629,0)</f>
        <v>0</v>
      </c>
      <c r="CJ629" s="462">
        <f t="shared" si="165"/>
        <v>-38.315679999999972</v>
      </c>
      <c r="CK629" s="462" t="str">
        <f t="shared" si="166"/>
        <v/>
      </c>
      <c r="CL629" s="462" t="str">
        <f t="shared" si="167"/>
        <v/>
      </c>
      <c r="CM629" s="462" t="str">
        <f t="shared" si="168"/>
        <v/>
      </c>
      <c r="CN629" s="462" t="str">
        <f t="shared" si="169"/>
        <v>0491-02</v>
      </c>
    </row>
    <row r="630" spans="1:92" ht="15" thickBot="1" x14ac:dyDescent="0.35">
      <c r="A630" s="376" t="s">
        <v>161</v>
      </c>
      <c r="B630" s="376" t="s">
        <v>162</v>
      </c>
      <c r="C630" s="376" t="s">
        <v>1344</v>
      </c>
      <c r="D630" s="376" t="s">
        <v>362</v>
      </c>
      <c r="E630" s="376" t="s">
        <v>1334</v>
      </c>
      <c r="F630" s="382" t="s">
        <v>344</v>
      </c>
      <c r="G630" s="376" t="s">
        <v>1335</v>
      </c>
      <c r="H630" s="378"/>
      <c r="I630" s="378"/>
      <c r="J630" s="376" t="s">
        <v>185</v>
      </c>
      <c r="K630" s="376" t="s">
        <v>363</v>
      </c>
      <c r="L630" s="376" t="s">
        <v>200</v>
      </c>
      <c r="M630" s="376" t="s">
        <v>170</v>
      </c>
      <c r="N630" s="376" t="s">
        <v>202</v>
      </c>
      <c r="O630" s="379">
        <v>1</v>
      </c>
      <c r="P630" s="460">
        <v>0.2</v>
      </c>
      <c r="Q630" s="460">
        <v>0.2</v>
      </c>
      <c r="R630" s="380">
        <v>80</v>
      </c>
      <c r="S630" s="460">
        <v>0.2</v>
      </c>
      <c r="T630" s="380">
        <v>8958.9599999999991</v>
      </c>
      <c r="U630" s="380">
        <v>0</v>
      </c>
      <c r="V630" s="380">
        <v>4269.4399999999996</v>
      </c>
      <c r="W630" s="380">
        <v>9360</v>
      </c>
      <c r="X630" s="380">
        <v>4448.82</v>
      </c>
      <c r="Y630" s="380">
        <v>9360</v>
      </c>
      <c r="Z630" s="380">
        <v>4424.4799999999996</v>
      </c>
      <c r="AA630" s="376" t="s">
        <v>1345</v>
      </c>
      <c r="AB630" s="376" t="s">
        <v>805</v>
      </c>
      <c r="AC630" s="376" t="s">
        <v>1301</v>
      </c>
      <c r="AD630" s="376" t="s">
        <v>349</v>
      </c>
      <c r="AE630" s="376" t="s">
        <v>363</v>
      </c>
      <c r="AF630" s="376" t="s">
        <v>210</v>
      </c>
      <c r="AG630" s="376" t="s">
        <v>177</v>
      </c>
      <c r="AH630" s="381">
        <v>22.5</v>
      </c>
      <c r="AI630" s="381">
        <v>8143.4</v>
      </c>
      <c r="AJ630" s="376" t="s">
        <v>178</v>
      </c>
      <c r="AK630" s="376" t="s">
        <v>179</v>
      </c>
      <c r="AL630" s="376" t="s">
        <v>180</v>
      </c>
      <c r="AM630" s="376" t="s">
        <v>181</v>
      </c>
      <c r="AN630" s="376" t="s">
        <v>68</v>
      </c>
      <c r="AO630" s="379">
        <v>80</v>
      </c>
      <c r="AP630" s="460">
        <v>1</v>
      </c>
      <c r="AQ630" s="460">
        <v>0.2</v>
      </c>
      <c r="AR630" s="458" t="s">
        <v>182</v>
      </c>
      <c r="AS630" s="462">
        <f t="shared" si="153"/>
        <v>0.2</v>
      </c>
      <c r="AT630">
        <f t="shared" si="154"/>
        <v>1</v>
      </c>
      <c r="AU630" s="462">
        <f>IF(AT630=0,"",IF(AND(AT630=1,M630="F",SUMIF(C2:C698,C630,AS2:AS698)&lt;=1),SUMIF(C2:C698,C630,AS2:AS698),IF(AND(AT630=1,M630="F",SUMIF(C2:C698,C630,AS2:AS698)&gt;1),1,"")))</f>
        <v>1</v>
      </c>
      <c r="AV630" s="462" t="str">
        <f>IF(AT630=0,"",IF(AND(AT630=3,M630="F",SUMIF(C2:C698,C630,AS2:AS698)&lt;=1),SUMIF(C2:C698,C630,AS2:AS698),IF(AND(AT630=3,M630="F",SUMIF(C2:C698,C630,AS2:AS698)&gt;1),1,"")))</f>
        <v/>
      </c>
      <c r="AW630" s="462">
        <f>SUMIF(C2:C698,C630,O2:O698)</f>
        <v>2</v>
      </c>
      <c r="AX630" s="462">
        <f>IF(AND(M630="F",AS630&lt;&gt;0),SUMIF(C2:C698,C630,W2:W698),0)</f>
        <v>46800</v>
      </c>
      <c r="AY630" s="462">
        <f t="shared" si="155"/>
        <v>9360</v>
      </c>
      <c r="AZ630" s="462" t="str">
        <f t="shared" si="156"/>
        <v/>
      </c>
      <c r="BA630" s="462">
        <f t="shared" si="157"/>
        <v>0</v>
      </c>
      <c r="BB630" s="462">
        <f>IF(AND(AT630=1,AK630="E",AU630&gt;=0.75,AW630=1),Health,IF(AND(AT630=1,AK630="E",AU630&gt;=0.75),Health*P630,IF(AND(AT630=1,AK630="E",AU630&gt;=0.5,AW630=1),PTHealth,IF(AND(AT630=1,AK630="E",AU630&gt;=0.5),PTHealth*P630,0))))</f>
        <v>2330</v>
      </c>
      <c r="BC630" s="462">
        <f>IF(AND(AT630=3,AK630="E",AV630&gt;=0.75,AW630=1),Health,IF(AND(AT630=3,AK630="E",AV630&gt;=0.75),Health*P630,IF(AND(AT630=3,AK630="E",AV630&gt;=0.5,AW630=1),PTHealth,IF(AND(AT630=3,AK630="E",AV630&gt;=0.5),PTHealth*P630,0))))</f>
        <v>0</v>
      </c>
      <c r="BD630" s="462">
        <f>IF(AND(AT630&lt;&gt;0,AX630&gt;=MAXSSDI),SSDI*MAXSSDI*P630,IF(AT630&lt;&gt;0,SSDI*W630,0))</f>
        <v>580.32000000000005</v>
      </c>
      <c r="BE630" s="462">
        <f>IF(AT630&lt;&gt;0,SSHI*W630,0)</f>
        <v>135.72</v>
      </c>
      <c r="BF630" s="462">
        <f>IF(AND(AT630&lt;&gt;0,AN630&lt;&gt;"NE"),VLOOKUP(AN630,Retirement_Rates,3,FALSE)*W630,0)</f>
        <v>1117.5840000000001</v>
      </c>
      <c r="BG630" s="462">
        <f>IF(AND(AT630&lt;&gt;0,AJ630&lt;&gt;"PF"),Life*W630,0)</f>
        <v>67.485600000000005</v>
      </c>
      <c r="BH630" s="462">
        <f>IF(AND(AT630&lt;&gt;0,AM630="Y"),UI*W630,0)</f>
        <v>45.863999999999997</v>
      </c>
      <c r="BI630" s="462">
        <f>IF(AND(AT630&lt;&gt;0,N630&lt;&gt;"NR"),DHR*W630,0)</f>
        <v>28.641599999999997</v>
      </c>
      <c r="BJ630" s="462">
        <f>IF(AT630&lt;&gt;0,WC*W630,0)</f>
        <v>143.208</v>
      </c>
      <c r="BK630" s="462">
        <f>IF(OR(AND(AT630&lt;&gt;0,AJ630&lt;&gt;"PF",AN630&lt;&gt;"NE",AG630&lt;&gt;"A"),AND(AL630="E",OR(AT630=1,AT630=3))),Sick*W630,0)</f>
        <v>0</v>
      </c>
      <c r="BL630" s="462">
        <f t="shared" si="158"/>
        <v>2118.8232000000003</v>
      </c>
      <c r="BM630" s="462">
        <f t="shared" si="159"/>
        <v>0</v>
      </c>
      <c r="BN630" s="462">
        <f>IF(AND(AT630=1,AK630="E",AU630&gt;=0.75,AW630=1),HealthBY,IF(AND(AT630=1,AK630="E",AU630&gt;=0.75),HealthBY*P630,IF(AND(AT630=1,AK630="E",AU630&gt;=0.5,AW630=1),PTHealthBY,IF(AND(AT630=1,AK630="E",AU630&gt;=0.5),PTHealthBY*P630,0))))</f>
        <v>2330</v>
      </c>
      <c r="BO630" s="462">
        <f>IF(AND(AT630=3,AK630="E",AV630&gt;=0.75,AW630=1),HealthBY,IF(AND(AT630=3,AK630="E",AV630&gt;=0.75),HealthBY*P630,IF(AND(AT630=3,AK630="E",AV630&gt;=0.5,AW630=1),PTHealthBY,IF(AND(AT630=3,AK630="E",AV630&gt;=0.5),PTHealthBY*P630,0))))</f>
        <v>0</v>
      </c>
      <c r="BP630" s="462">
        <f>IF(AND(AT630&lt;&gt;0,(AX630+BA630)&gt;=MAXSSDIBY),SSDIBY*MAXSSDIBY*P630,IF(AT630&lt;&gt;0,SSDIBY*W630,0))</f>
        <v>580.32000000000005</v>
      </c>
      <c r="BQ630" s="462">
        <f>IF(AT630&lt;&gt;0,SSHIBY*W630,0)</f>
        <v>135.72</v>
      </c>
      <c r="BR630" s="462">
        <f>IF(AND(AT630&lt;&gt;0,AN630&lt;&gt;"NE"),VLOOKUP(AN630,Retirement_Rates,4,FALSE)*W630,0)</f>
        <v>1117.5840000000001</v>
      </c>
      <c r="BS630" s="462">
        <f>IF(AND(AT630&lt;&gt;0,AJ630&lt;&gt;"PF"),LifeBY*W630,0)</f>
        <v>67.485600000000005</v>
      </c>
      <c r="BT630" s="462">
        <f>IF(AND(AT630&lt;&gt;0,AM630="Y"),UIBY*W630,0)</f>
        <v>0</v>
      </c>
      <c r="BU630" s="462">
        <f>IF(AND(AT630&lt;&gt;0,N630&lt;&gt;"NR"),DHRBY*W630,0)</f>
        <v>28.641599999999997</v>
      </c>
      <c r="BV630" s="462">
        <f>IF(AT630&lt;&gt;0,WCBY*W630,0)</f>
        <v>164.73600000000002</v>
      </c>
      <c r="BW630" s="462">
        <f>IF(OR(AND(AT630&lt;&gt;0,AJ630&lt;&gt;"PF",AN630&lt;&gt;"NE",AG630&lt;&gt;"A"),AND(AL630="E",OR(AT630=1,AT630=3))),SickBY*W630,0)</f>
        <v>0</v>
      </c>
      <c r="BX630" s="462">
        <f t="shared" si="160"/>
        <v>2094.4872</v>
      </c>
      <c r="BY630" s="462">
        <f t="shared" si="161"/>
        <v>0</v>
      </c>
      <c r="BZ630" s="462">
        <f t="shared" si="162"/>
        <v>0</v>
      </c>
      <c r="CA630" s="462">
        <f t="shared" si="163"/>
        <v>0</v>
      </c>
      <c r="CB630" s="462">
        <f t="shared" si="164"/>
        <v>0</v>
      </c>
      <c r="CC630" s="462">
        <f>IF(AT630&lt;&gt;0,SSHICHG*Y630,0)</f>
        <v>0</v>
      </c>
      <c r="CD630" s="462">
        <f>IF(AND(AT630&lt;&gt;0,AN630&lt;&gt;"NE"),VLOOKUP(AN630,Retirement_Rates,5,FALSE)*Y630,0)</f>
        <v>0</v>
      </c>
      <c r="CE630" s="462">
        <f>IF(AND(AT630&lt;&gt;0,AJ630&lt;&gt;"PF"),LifeCHG*Y630,0)</f>
        <v>0</v>
      </c>
      <c r="CF630" s="462">
        <f>IF(AND(AT630&lt;&gt;0,AM630="Y"),UICHG*Y630,0)</f>
        <v>-45.863999999999997</v>
      </c>
      <c r="CG630" s="462">
        <f>IF(AND(AT630&lt;&gt;0,N630&lt;&gt;"NR"),DHRCHG*Y630,0)</f>
        <v>0</v>
      </c>
      <c r="CH630" s="462">
        <f>IF(AT630&lt;&gt;0,WCCHG*Y630,0)</f>
        <v>21.528000000000016</v>
      </c>
      <c r="CI630" s="462">
        <f>IF(OR(AND(AT630&lt;&gt;0,AJ630&lt;&gt;"PF",AN630&lt;&gt;"NE",AG630&lt;&gt;"A"),AND(AL630="E",OR(AT630=1,AT630=3))),SickCHG*Y630,0)</f>
        <v>0</v>
      </c>
      <c r="CJ630" s="462">
        <f t="shared" si="165"/>
        <v>-24.335999999999981</v>
      </c>
      <c r="CK630" s="462" t="str">
        <f t="shared" si="166"/>
        <v/>
      </c>
      <c r="CL630" s="462" t="str">
        <f t="shared" si="167"/>
        <v/>
      </c>
      <c r="CM630" s="462" t="str">
        <f t="shared" si="168"/>
        <v/>
      </c>
      <c r="CN630" s="462" t="str">
        <f t="shared" si="169"/>
        <v>0491-02</v>
      </c>
    </row>
    <row r="631" spans="1:92" ht="15" thickBot="1" x14ac:dyDescent="0.35">
      <c r="A631" s="376" t="s">
        <v>161</v>
      </c>
      <c r="B631" s="376" t="s">
        <v>162</v>
      </c>
      <c r="C631" s="376" t="s">
        <v>522</v>
      </c>
      <c r="D631" s="376" t="s">
        <v>457</v>
      </c>
      <c r="E631" s="376" t="s">
        <v>1334</v>
      </c>
      <c r="F631" s="382" t="s">
        <v>344</v>
      </c>
      <c r="G631" s="376" t="s">
        <v>1335</v>
      </c>
      <c r="H631" s="378"/>
      <c r="I631" s="378"/>
      <c r="J631" s="376" t="s">
        <v>455</v>
      </c>
      <c r="K631" s="376" t="s">
        <v>458</v>
      </c>
      <c r="L631" s="376" t="s">
        <v>177</v>
      </c>
      <c r="M631" s="376" t="s">
        <v>170</v>
      </c>
      <c r="N631" s="376" t="s">
        <v>202</v>
      </c>
      <c r="O631" s="379">
        <v>1</v>
      </c>
      <c r="P631" s="460">
        <v>0.01</v>
      </c>
      <c r="Q631" s="460">
        <v>0.01</v>
      </c>
      <c r="R631" s="380">
        <v>80</v>
      </c>
      <c r="S631" s="460">
        <v>0.01</v>
      </c>
      <c r="T631" s="380">
        <v>260.10000000000002</v>
      </c>
      <c r="U631" s="380">
        <v>0</v>
      </c>
      <c r="V631" s="380">
        <v>160.32</v>
      </c>
      <c r="W631" s="380">
        <v>322.39999999999998</v>
      </c>
      <c r="X631" s="380">
        <v>189.48</v>
      </c>
      <c r="Y631" s="380">
        <v>322.39999999999998</v>
      </c>
      <c r="Z631" s="380">
        <v>188.64</v>
      </c>
      <c r="AA631" s="376" t="s">
        <v>523</v>
      </c>
      <c r="AB631" s="376" t="s">
        <v>524</v>
      </c>
      <c r="AC631" s="376" t="s">
        <v>525</v>
      </c>
      <c r="AD631" s="376" t="s">
        <v>247</v>
      </c>
      <c r="AE631" s="376" t="s">
        <v>458</v>
      </c>
      <c r="AF631" s="376" t="s">
        <v>436</v>
      </c>
      <c r="AG631" s="376" t="s">
        <v>177</v>
      </c>
      <c r="AH631" s="381">
        <v>15.5</v>
      </c>
      <c r="AI631" s="381">
        <v>600.29999999999995</v>
      </c>
      <c r="AJ631" s="376" t="s">
        <v>178</v>
      </c>
      <c r="AK631" s="376" t="s">
        <v>179</v>
      </c>
      <c r="AL631" s="376" t="s">
        <v>180</v>
      </c>
      <c r="AM631" s="376" t="s">
        <v>181</v>
      </c>
      <c r="AN631" s="376" t="s">
        <v>68</v>
      </c>
      <c r="AO631" s="379">
        <v>80</v>
      </c>
      <c r="AP631" s="460">
        <v>1</v>
      </c>
      <c r="AQ631" s="460">
        <v>0.01</v>
      </c>
      <c r="AR631" s="458" t="s">
        <v>182</v>
      </c>
      <c r="AS631" s="462">
        <f t="shared" si="153"/>
        <v>0.01</v>
      </c>
      <c r="AT631">
        <f t="shared" si="154"/>
        <v>1</v>
      </c>
      <c r="AU631" s="462">
        <f>IF(AT631=0,"",IF(AND(AT631=1,M631="F",SUMIF(C2:C698,C631,AS2:AS698)&lt;=1),SUMIF(C2:C698,C631,AS2:AS698),IF(AND(AT631=1,M631="F",SUMIF(C2:C698,C631,AS2:AS698)&gt;1),1,"")))</f>
        <v>1</v>
      </c>
      <c r="AV631" s="462" t="str">
        <f>IF(AT631=0,"",IF(AND(AT631=3,M631="F",SUMIF(C2:C698,C631,AS2:AS698)&lt;=1),SUMIF(C2:C698,C631,AS2:AS698),IF(AND(AT631=3,M631="F",SUMIF(C2:C698,C631,AS2:AS698)&gt;1),1,"")))</f>
        <v/>
      </c>
      <c r="AW631" s="462">
        <f>SUMIF(C2:C698,C631,O2:O698)</f>
        <v>7</v>
      </c>
      <c r="AX631" s="462">
        <f>IF(AND(M631="F",AS631&lt;&gt;0),SUMIF(C2:C698,C631,W2:W698),0)</f>
        <v>32240</v>
      </c>
      <c r="AY631" s="462">
        <f t="shared" si="155"/>
        <v>322.39999999999998</v>
      </c>
      <c r="AZ631" s="462" t="str">
        <f t="shared" si="156"/>
        <v/>
      </c>
      <c r="BA631" s="462">
        <f t="shared" si="157"/>
        <v>0</v>
      </c>
      <c r="BB631" s="462">
        <f>IF(AND(AT631=1,AK631="E",AU631&gt;=0.75,AW631=1),Health,IF(AND(AT631=1,AK631="E",AU631&gt;=0.75),Health*P631,IF(AND(AT631=1,AK631="E",AU631&gt;=0.5,AW631=1),PTHealth,IF(AND(AT631=1,AK631="E",AU631&gt;=0.5),PTHealth*P631,0))))</f>
        <v>116.5</v>
      </c>
      <c r="BC631" s="462">
        <f>IF(AND(AT631=3,AK631="E",AV631&gt;=0.75,AW631=1),Health,IF(AND(AT631=3,AK631="E",AV631&gt;=0.75),Health*P631,IF(AND(AT631=3,AK631="E",AV631&gt;=0.5,AW631=1),PTHealth,IF(AND(AT631=3,AK631="E",AV631&gt;=0.5),PTHealth*P631,0))))</f>
        <v>0</v>
      </c>
      <c r="BD631" s="462">
        <f>IF(AND(AT631&lt;&gt;0,AX631&gt;=MAXSSDI),SSDI*MAXSSDI*P631,IF(AT631&lt;&gt;0,SSDI*W631,0))</f>
        <v>19.988799999999998</v>
      </c>
      <c r="BE631" s="462">
        <f>IF(AT631&lt;&gt;0,SSHI*W631,0)</f>
        <v>4.6748000000000003</v>
      </c>
      <c r="BF631" s="462">
        <f>IF(AND(AT631&lt;&gt;0,AN631&lt;&gt;"NE"),VLOOKUP(AN631,Retirement_Rates,3,FALSE)*W631,0)</f>
        <v>38.49456</v>
      </c>
      <c r="BG631" s="462">
        <f>IF(AND(AT631&lt;&gt;0,AJ631&lt;&gt;"PF"),Life*W631,0)</f>
        <v>2.3245040000000001</v>
      </c>
      <c r="BH631" s="462">
        <f>IF(AND(AT631&lt;&gt;0,AM631="Y"),UI*W631,0)</f>
        <v>1.5797599999999998</v>
      </c>
      <c r="BI631" s="462">
        <f>IF(AND(AT631&lt;&gt;0,N631&lt;&gt;"NR"),DHR*W631,0)</f>
        <v>0.98654399999999987</v>
      </c>
      <c r="BJ631" s="462">
        <f>IF(AT631&lt;&gt;0,WC*W631,0)</f>
        <v>4.9327199999999998</v>
      </c>
      <c r="BK631" s="462">
        <f>IF(OR(AND(AT631&lt;&gt;0,AJ631&lt;&gt;"PF",AN631&lt;&gt;"NE",AG631&lt;&gt;"A"),AND(AL631="E",OR(AT631=1,AT631=3))),Sick*W631,0)</f>
        <v>0</v>
      </c>
      <c r="BL631" s="462">
        <f t="shared" si="158"/>
        <v>72.981687999999991</v>
      </c>
      <c r="BM631" s="462">
        <f t="shared" si="159"/>
        <v>0</v>
      </c>
      <c r="BN631" s="462">
        <f>IF(AND(AT631=1,AK631="E",AU631&gt;=0.75,AW631=1),HealthBY,IF(AND(AT631=1,AK631="E",AU631&gt;=0.75),HealthBY*P631,IF(AND(AT631=1,AK631="E",AU631&gt;=0.5,AW631=1),PTHealthBY,IF(AND(AT631=1,AK631="E",AU631&gt;=0.5),PTHealthBY*P631,0))))</f>
        <v>116.5</v>
      </c>
      <c r="BO631" s="462">
        <f>IF(AND(AT631=3,AK631="E",AV631&gt;=0.75,AW631=1),HealthBY,IF(AND(AT631=3,AK631="E",AV631&gt;=0.75),HealthBY*P631,IF(AND(AT631=3,AK631="E",AV631&gt;=0.5,AW631=1),PTHealthBY,IF(AND(AT631=3,AK631="E",AV631&gt;=0.5),PTHealthBY*P631,0))))</f>
        <v>0</v>
      </c>
      <c r="BP631" s="462">
        <f>IF(AND(AT631&lt;&gt;0,(AX631+BA631)&gt;=MAXSSDIBY),SSDIBY*MAXSSDIBY*P631,IF(AT631&lt;&gt;0,SSDIBY*W631,0))</f>
        <v>19.988799999999998</v>
      </c>
      <c r="BQ631" s="462">
        <f>IF(AT631&lt;&gt;0,SSHIBY*W631,0)</f>
        <v>4.6748000000000003</v>
      </c>
      <c r="BR631" s="462">
        <f>IF(AND(AT631&lt;&gt;0,AN631&lt;&gt;"NE"),VLOOKUP(AN631,Retirement_Rates,4,FALSE)*W631,0)</f>
        <v>38.49456</v>
      </c>
      <c r="BS631" s="462">
        <f>IF(AND(AT631&lt;&gt;0,AJ631&lt;&gt;"PF"),LifeBY*W631,0)</f>
        <v>2.3245040000000001</v>
      </c>
      <c r="BT631" s="462">
        <f>IF(AND(AT631&lt;&gt;0,AM631="Y"),UIBY*W631,0)</f>
        <v>0</v>
      </c>
      <c r="BU631" s="462">
        <f>IF(AND(AT631&lt;&gt;0,N631&lt;&gt;"NR"),DHRBY*W631,0)</f>
        <v>0.98654399999999987</v>
      </c>
      <c r="BV631" s="462">
        <f>IF(AT631&lt;&gt;0,WCBY*W631,0)</f>
        <v>5.6742400000000002</v>
      </c>
      <c r="BW631" s="462">
        <f>IF(OR(AND(AT631&lt;&gt;0,AJ631&lt;&gt;"PF",AN631&lt;&gt;"NE",AG631&lt;&gt;"A"),AND(AL631="E",OR(AT631=1,AT631=3))),SickBY*W631,0)</f>
        <v>0</v>
      </c>
      <c r="BX631" s="462">
        <f t="shared" si="160"/>
        <v>72.143447999999992</v>
      </c>
      <c r="BY631" s="462">
        <f t="shared" si="161"/>
        <v>0</v>
      </c>
      <c r="BZ631" s="462">
        <f t="shared" si="162"/>
        <v>0</v>
      </c>
      <c r="CA631" s="462">
        <f t="shared" si="163"/>
        <v>0</v>
      </c>
      <c r="CB631" s="462">
        <f t="shared" si="164"/>
        <v>0</v>
      </c>
      <c r="CC631" s="462">
        <f>IF(AT631&lt;&gt;0,SSHICHG*Y631,0)</f>
        <v>0</v>
      </c>
      <c r="CD631" s="462">
        <f>IF(AND(AT631&lt;&gt;0,AN631&lt;&gt;"NE"),VLOOKUP(AN631,Retirement_Rates,5,FALSE)*Y631,0)</f>
        <v>0</v>
      </c>
      <c r="CE631" s="462">
        <f>IF(AND(AT631&lt;&gt;0,AJ631&lt;&gt;"PF"),LifeCHG*Y631,0)</f>
        <v>0</v>
      </c>
      <c r="CF631" s="462">
        <f>IF(AND(AT631&lt;&gt;0,AM631="Y"),UICHG*Y631,0)</f>
        <v>-1.5797599999999998</v>
      </c>
      <c r="CG631" s="462">
        <f>IF(AND(AT631&lt;&gt;0,N631&lt;&gt;"NR"),DHRCHG*Y631,0)</f>
        <v>0</v>
      </c>
      <c r="CH631" s="462">
        <f>IF(AT631&lt;&gt;0,WCCHG*Y631,0)</f>
        <v>0.74152000000000051</v>
      </c>
      <c r="CI631" s="462">
        <f>IF(OR(AND(AT631&lt;&gt;0,AJ631&lt;&gt;"PF",AN631&lt;&gt;"NE",AG631&lt;&gt;"A"),AND(AL631="E",OR(AT631=1,AT631=3))),SickCHG*Y631,0)</f>
        <v>0</v>
      </c>
      <c r="CJ631" s="462">
        <f t="shared" si="165"/>
        <v>-0.83823999999999932</v>
      </c>
      <c r="CK631" s="462" t="str">
        <f t="shared" si="166"/>
        <v/>
      </c>
      <c r="CL631" s="462" t="str">
        <f t="shared" si="167"/>
        <v/>
      </c>
      <c r="CM631" s="462" t="str">
        <f t="shared" si="168"/>
        <v/>
      </c>
      <c r="CN631" s="462" t="str">
        <f t="shared" si="169"/>
        <v>0491-02</v>
      </c>
    </row>
    <row r="632" spans="1:92" ht="15" thickBot="1" x14ac:dyDescent="0.35">
      <c r="A632" s="376" t="s">
        <v>161</v>
      </c>
      <c r="B632" s="376" t="s">
        <v>162</v>
      </c>
      <c r="C632" s="376" t="s">
        <v>1346</v>
      </c>
      <c r="D632" s="376" t="s">
        <v>372</v>
      </c>
      <c r="E632" s="376" t="s">
        <v>1334</v>
      </c>
      <c r="F632" s="382" t="s">
        <v>344</v>
      </c>
      <c r="G632" s="376" t="s">
        <v>1335</v>
      </c>
      <c r="H632" s="378"/>
      <c r="I632" s="378"/>
      <c r="J632" s="376" t="s">
        <v>185</v>
      </c>
      <c r="K632" s="376" t="s">
        <v>373</v>
      </c>
      <c r="L632" s="376" t="s">
        <v>374</v>
      </c>
      <c r="M632" s="376" t="s">
        <v>170</v>
      </c>
      <c r="N632" s="376" t="s">
        <v>202</v>
      </c>
      <c r="O632" s="379">
        <v>1</v>
      </c>
      <c r="P632" s="460">
        <v>0.5</v>
      </c>
      <c r="Q632" s="460">
        <v>0.5</v>
      </c>
      <c r="R632" s="380">
        <v>80</v>
      </c>
      <c r="S632" s="460">
        <v>0.5</v>
      </c>
      <c r="T632" s="380">
        <v>41617.97</v>
      </c>
      <c r="U632" s="380">
        <v>0</v>
      </c>
      <c r="V632" s="380">
        <v>14357.78</v>
      </c>
      <c r="W632" s="380">
        <v>43191.199999999997</v>
      </c>
      <c r="X632" s="380">
        <v>15602.17</v>
      </c>
      <c r="Y632" s="380">
        <v>43191.199999999997</v>
      </c>
      <c r="Z632" s="380">
        <v>15489.88</v>
      </c>
      <c r="AA632" s="376" t="s">
        <v>1347</v>
      </c>
      <c r="AB632" s="376" t="s">
        <v>1348</v>
      </c>
      <c r="AC632" s="376" t="s">
        <v>1349</v>
      </c>
      <c r="AD632" s="376" t="s">
        <v>179</v>
      </c>
      <c r="AE632" s="376" t="s">
        <v>373</v>
      </c>
      <c r="AF632" s="376" t="s">
        <v>378</v>
      </c>
      <c r="AG632" s="376" t="s">
        <v>177</v>
      </c>
      <c r="AH632" s="381">
        <v>41.53</v>
      </c>
      <c r="AI632" s="381">
        <v>28227.5</v>
      </c>
      <c r="AJ632" s="376" t="s">
        <v>178</v>
      </c>
      <c r="AK632" s="376" t="s">
        <v>179</v>
      </c>
      <c r="AL632" s="376" t="s">
        <v>180</v>
      </c>
      <c r="AM632" s="376" t="s">
        <v>181</v>
      </c>
      <c r="AN632" s="376" t="s">
        <v>68</v>
      </c>
      <c r="AO632" s="379">
        <v>80</v>
      </c>
      <c r="AP632" s="460">
        <v>1</v>
      </c>
      <c r="AQ632" s="460">
        <v>0.5</v>
      </c>
      <c r="AR632" s="458" t="s">
        <v>182</v>
      </c>
      <c r="AS632" s="462">
        <f t="shared" si="153"/>
        <v>0.5</v>
      </c>
      <c r="AT632">
        <f t="shared" si="154"/>
        <v>1</v>
      </c>
      <c r="AU632" s="462">
        <f>IF(AT632=0,"",IF(AND(AT632=1,M632="F",SUMIF(C2:C698,C632,AS2:AS698)&lt;=1),SUMIF(C2:C698,C632,AS2:AS698),IF(AND(AT632=1,M632="F",SUMIF(C2:C698,C632,AS2:AS698)&gt;1),1,"")))</f>
        <v>1</v>
      </c>
      <c r="AV632" s="462" t="str">
        <f>IF(AT632=0,"",IF(AND(AT632=3,M632="F",SUMIF(C2:C698,C632,AS2:AS698)&lt;=1),SUMIF(C2:C698,C632,AS2:AS698),IF(AND(AT632=3,M632="F",SUMIF(C2:C698,C632,AS2:AS698)&gt;1),1,"")))</f>
        <v/>
      </c>
      <c r="AW632" s="462">
        <f>SUMIF(C2:C698,C632,O2:O698)</f>
        <v>2</v>
      </c>
      <c r="AX632" s="462">
        <f>IF(AND(M632="F",AS632&lt;&gt;0),SUMIF(C2:C698,C632,W2:W698),0)</f>
        <v>86382.399999999994</v>
      </c>
      <c r="AY632" s="462">
        <f t="shared" si="155"/>
        <v>43191.199999999997</v>
      </c>
      <c r="AZ632" s="462" t="str">
        <f t="shared" si="156"/>
        <v/>
      </c>
      <c r="BA632" s="462">
        <f t="shared" si="157"/>
        <v>0</v>
      </c>
      <c r="BB632" s="462">
        <f>IF(AND(AT632=1,AK632="E",AU632&gt;=0.75,AW632=1),Health,IF(AND(AT632=1,AK632="E",AU632&gt;=0.75),Health*P632,IF(AND(AT632=1,AK632="E",AU632&gt;=0.5,AW632=1),PTHealth,IF(AND(AT632=1,AK632="E",AU632&gt;=0.5),PTHealth*P632,0))))</f>
        <v>5825</v>
      </c>
      <c r="BC632" s="462">
        <f>IF(AND(AT632=3,AK632="E",AV632&gt;=0.75,AW632=1),Health,IF(AND(AT632=3,AK632="E",AV632&gt;=0.75),Health*P632,IF(AND(AT632=3,AK632="E",AV632&gt;=0.5,AW632=1),PTHealth,IF(AND(AT632=3,AK632="E",AV632&gt;=0.5),PTHealth*P632,0))))</f>
        <v>0</v>
      </c>
      <c r="BD632" s="462">
        <f>IF(AND(AT632&lt;&gt;0,AX632&gt;=MAXSSDI),SSDI*MAXSSDI*P632,IF(AT632&lt;&gt;0,SSDI*W632,0))</f>
        <v>2677.8543999999997</v>
      </c>
      <c r="BE632" s="462">
        <f>IF(AT632&lt;&gt;0,SSHI*W632,0)</f>
        <v>626.27239999999995</v>
      </c>
      <c r="BF632" s="462">
        <f>IF(AND(AT632&lt;&gt;0,AN632&lt;&gt;"NE"),VLOOKUP(AN632,Retirement_Rates,3,FALSE)*W632,0)</f>
        <v>5157.0292799999997</v>
      </c>
      <c r="BG632" s="462">
        <f>IF(AND(AT632&lt;&gt;0,AJ632&lt;&gt;"PF"),Life*W632,0)</f>
        <v>311.40855199999999</v>
      </c>
      <c r="BH632" s="462">
        <f>IF(AND(AT632&lt;&gt;0,AM632="Y"),UI*W632,0)</f>
        <v>211.63687999999999</v>
      </c>
      <c r="BI632" s="462">
        <f>IF(AND(AT632&lt;&gt;0,N632&lt;&gt;"NR"),DHR*W632,0)</f>
        <v>132.16507199999998</v>
      </c>
      <c r="BJ632" s="462">
        <f>IF(AT632&lt;&gt;0,WC*W632,0)</f>
        <v>660.82535999999993</v>
      </c>
      <c r="BK632" s="462">
        <f>IF(OR(AND(AT632&lt;&gt;0,AJ632&lt;&gt;"PF",AN632&lt;&gt;"NE",AG632&lt;&gt;"A"),AND(AL632="E",OR(AT632=1,AT632=3))),Sick*W632,0)</f>
        <v>0</v>
      </c>
      <c r="BL632" s="462">
        <f t="shared" si="158"/>
        <v>9777.1919440000001</v>
      </c>
      <c r="BM632" s="462">
        <f t="shared" si="159"/>
        <v>0</v>
      </c>
      <c r="BN632" s="462">
        <f>IF(AND(AT632=1,AK632="E",AU632&gt;=0.75,AW632=1),HealthBY,IF(AND(AT632=1,AK632="E",AU632&gt;=0.75),HealthBY*P632,IF(AND(AT632=1,AK632="E",AU632&gt;=0.5,AW632=1),PTHealthBY,IF(AND(AT632=1,AK632="E",AU632&gt;=0.5),PTHealthBY*P632,0))))</f>
        <v>5825</v>
      </c>
      <c r="BO632" s="462">
        <f>IF(AND(AT632=3,AK632="E",AV632&gt;=0.75,AW632=1),HealthBY,IF(AND(AT632=3,AK632="E",AV632&gt;=0.75),HealthBY*P632,IF(AND(AT632=3,AK632="E",AV632&gt;=0.5,AW632=1),PTHealthBY,IF(AND(AT632=3,AK632="E",AV632&gt;=0.5),PTHealthBY*P632,0))))</f>
        <v>0</v>
      </c>
      <c r="BP632" s="462">
        <f>IF(AND(AT632&lt;&gt;0,(AX632+BA632)&gt;=MAXSSDIBY),SSDIBY*MAXSSDIBY*P632,IF(AT632&lt;&gt;0,SSDIBY*W632,0))</f>
        <v>2677.8543999999997</v>
      </c>
      <c r="BQ632" s="462">
        <f>IF(AT632&lt;&gt;0,SSHIBY*W632,0)</f>
        <v>626.27239999999995</v>
      </c>
      <c r="BR632" s="462">
        <f>IF(AND(AT632&lt;&gt;0,AN632&lt;&gt;"NE"),VLOOKUP(AN632,Retirement_Rates,4,FALSE)*W632,0)</f>
        <v>5157.0292799999997</v>
      </c>
      <c r="BS632" s="462">
        <f>IF(AND(AT632&lt;&gt;0,AJ632&lt;&gt;"PF"),LifeBY*W632,0)</f>
        <v>311.40855199999999</v>
      </c>
      <c r="BT632" s="462">
        <f>IF(AND(AT632&lt;&gt;0,AM632="Y"),UIBY*W632,0)</f>
        <v>0</v>
      </c>
      <c r="BU632" s="462">
        <f>IF(AND(AT632&lt;&gt;0,N632&lt;&gt;"NR"),DHRBY*W632,0)</f>
        <v>132.16507199999998</v>
      </c>
      <c r="BV632" s="462">
        <f>IF(AT632&lt;&gt;0,WCBY*W632,0)</f>
        <v>760.16512</v>
      </c>
      <c r="BW632" s="462">
        <f>IF(OR(AND(AT632&lt;&gt;0,AJ632&lt;&gt;"PF",AN632&lt;&gt;"NE",AG632&lt;&gt;"A"),AND(AL632="E",OR(AT632=1,AT632=3))),SickBY*W632,0)</f>
        <v>0</v>
      </c>
      <c r="BX632" s="462">
        <f t="shared" si="160"/>
        <v>9664.8948239999991</v>
      </c>
      <c r="BY632" s="462">
        <f t="shared" si="161"/>
        <v>0</v>
      </c>
      <c r="BZ632" s="462">
        <f t="shared" si="162"/>
        <v>0</v>
      </c>
      <c r="CA632" s="462">
        <f t="shared" si="163"/>
        <v>0</v>
      </c>
      <c r="CB632" s="462">
        <f t="shared" si="164"/>
        <v>0</v>
      </c>
      <c r="CC632" s="462">
        <f>IF(AT632&lt;&gt;0,SSHICHG*Y632,0)</f>
        <v>0</v>
      </c>
      <c r="CD632" s="462">
        <f>IF(AND(AT632&lt;&gt;0,AN632&lt;&gt;"NE"),VLOOKUP(AN632,Retirement_Rates,5,FALSE)*Y632,0)</f>
        <v>0</v>
      </c>
      <c r="CE632" s="462">
        <f>IF(AND(AT632&lt;&gt;0,AJ632&lt;&gt;"PF"),LifeCHG*Y632,0)</f>
        <v>0</v>
      </c>
      <c r="CF632" s="462">
        <f>IF(AND(AT632&lt;&gt;0,AM632="Y"),UICHG*Y632,0)</f>
        <v>-211.63687999999999</v>
      </c>
      <c r="CG632" s="462">
        <f>IF(AND(AT632&lt;&gt;0,N632&lt;&gt;"NR"),DHRCHG*Y632,0)</f>
        <v>0</v>
      </c>
      <c r="CH632" s="462">
        <f>IF(AT632&lt;&gt;0,WCCHG*Y632,0)</f>
        <v>99.339760000000069</v>
      </c>
      <c r="CI632" s="462">
        <f>IF(OR(AND(AT632&lt;&gt;0,AJ632&lt;&gt;"PF",AN632&lt;&gt;"NE",AG632&lt;&gt;"A"),AND(AL632="E",OR(AT632=1,AT632=3))),SickCHG*Y632,0)</f>
        <v>0</v>
      </c>
      <c r="CJ632" s="462">
        <f t="shared" si="165"/>
        <v>-112.29711999999992</v>
      </c>
      <c r="CK632" s="462" t="str">
        <f t="shared" si="166"/>
        <v/>
      </c>
      <c r="CL632" s="462" t="str">
        <f t="shared" si="167"/>
        <v/>
      </c>
      <c r="CM632" s="462" t="str">
        <f t="shared" si="168"/>
        <v/>
      </c>
      <c r="CN632" s="462" t="str">
        <f t="shared" si="169"/>
        <v>0491-02</v>
      </c>
    </row>
    <row r="633" spans="1:92" ht="15" thickBot="1" x14ac:dyDescent="0.35">
      <c r="A633" s="376" t="s">
        <v>161</v>
      </c>
      <c r="B633" s="376" t="s">
        <v>162</v>
      </c>
      <c r="C633" s="376" t="s">
        <v>450</v>
      </c>
      <c r="D633" s="376" t="s">
        <v>272</v>
      </c>
      <c r="E633" s="376" t="s">
        <v>931</v>
      </c>
      <c r="F633" s="382" t="s">
        <v>645</v>
      </c>
      <c r="G633" s="376" t="s">
        <v>1351</v>
      </c>
      <c r="H633" s="378"/>
      <c r="I633" s="378"/>
      <c r="J633" s="376" t="s">
        <v>185</v>
      </c>
      <c r="K633" s="376" t="s">
        <v>273</v>
      </c>
      <c r="L633" s="376" t="s">
        <v>274</v>
      </c>
      <c r="M633" s="376" t="s">
        <v>170</v>
      </c>
      <c r="N633" s="376" t="s">
        <v>202</v>
      </c>
      <c r="O633" s="379">
        <v>1</v>
      </c>
      <c r="P633" s="460">
        <v>0</v>
      </c>
      <c r="Q633" s="460">
        <v>0</v>
      </c>
      <c r="R633" s="380">
        <v>80</v>
      </c>
      <c r="S633" s="460">
        <v>0</v>
      </c>
      <c r="T633" s="380">
        <v>47.3</v>
      </c>
      <c r="U633" s="380">
        <v>0</v>
      </c>
      <c r="V633" s="380">
        <v>11.88</v>
      </c>
      <c r="W633" s="380">
        <v>0</v>
      </c>
      <c r="X633" s="380">
        <v>0</v>
      </c>
      <c r="Y633" s="380">
        <v>0</v>
      </c>
      <c r="Z633" s="380">
        <v>0</v>
      </c>
      <c r="AA633" s="376" t="s">
        <v>451</v>
      </c>
      <c r="AB633" s="376" t="s">
        <v>452</v>
      </c>
      <c r="AC633" s="376" t="s">
        <v>453</v>
      </c>
      <c r="AD633" s="376" t="s">
        <v>370</v>
      </c>
      <c r="AE633" s="376" t="s">
        <v>273</v>
      </c>
      <c r="AF633" s="376" t="s">
        <v>279</v>
      </c>
      <c r="AG633" s="376" t="s">
        <v>177</v>
      </c>
      <c r="AH633" s="381">
        <v>27.38</v>
      </c>
      <c r="AI633" s="381">
        <v>100037.7</v>
      </c>
      <c r="AJ633" s="376" t="s">
        <v>178</v>
      </c>
      <c r="AK633" s="376" t="s">
        <v>179</v>
      </c>
      <c r="AL633" s="376" t="s">
        <v>180</v>
      </c>
      <c r="AM633" s="376" t="s">
        <v>181</v>
      </c>
      <c r="AN633" s="376" t="s">
        <v>68</v>
      </c>
      <c r="AO633" s="379">
        <v>80</v>
      </c>
      <c r="AP633" s="460">
        <v>1</v>
      </c>
      <c r="AQ633" s="460">
        <v>0</v>
      </c>
      <c r="AR633" s="458" t="s">
        <v>182</v>
      </c>
      <c r="AS633" s="462">
        <f t="shared" si="153"/>
        <v>0</v>
      </c>
      <c r="AT633">
        <f t="shared" si="154"/>
        <v>0</v>
      </c>
      <c r="AU633" s="462" t="str">
        <f>IF(AT633=0,"",IF(AND(AT633=1,M633="F",SUMIF(C2:C698,C633,AS2:AS698)&lt;=1),SUMIF(C2:C698,C633,AS2:AS698),IF(AND(AT633=1,M633="F",SUMIF(C2:C698,C633,AS2:AS698)&gt;1),1,"")))</f>
        <v/>
      </c>
      <c r="AV633" s="462" t="str">
        <f>IF(AT633=0,"",IF(AND(AT633=3,M633="F",SUMIF(C2:C698,C633,AS2:AS698)&lt;=1),SUMIF(C2:C698,C633,AS2:AS698),IF(AND(AT633=3,M633="F",SUMIF(C2:C698,C633,AS2:AS698)&gt;1),1,"")))</f>
        <v/>
      </c>
      <c r="AW633" s="462">
        <f>SUMIF(C2:C698,C633,O2:O698)</f>
        <v>6</v>
      </c>
      <c r="AX633" s="462">
        <f>IF(AND(M633="F",AS633&lt;&gt;0),SUMIF(C2:C698,C633,W2:W698),0)</f>
        <v>0</v>
      </c>
      <c r="AY633" s="462" t="str">
        <f t="shared" si="155"/>
        <v/>
      </c>
      <c r="AZ633" s="462" t="str">
        <f t="shared" si="156"/>
        <v/>
      </c>
      <c r="BA633" s="462">
        <f t="shared" si="157"/>
        <v>0</v>
      </c>
      <c r="BB633" s="462">
        <f>IF(AND(AT633=1,AK633="E",AU633&gt;=0.75,AW633=1),Health,IF(AND(AT633=1,AK633="E",AU633&gt;=0.75),Health*P633,IF(AND(AT633=1,AK633="E",AU633&gt;=0.5,AW633=1),PTHealth,IF(AND(AT633=1,AK633="E",AU633&gt;=0.5),PTHealth*P633,0))))</f>
        <v>0</v>
      </c>
      <c r="BC633" s="462">
        <f>IF(AND(AT633=3,AK633="E",AV633&gt;=0.75,AW633=1),Health,IF(AND(AT633=3,AK633="E",AV633&gt;=0.75),Health*P633,IF(AND(AT633=3,AK633="E",AV633&gt;=0.5,AW633=1),PTHealth,IF(AND(AT633=3,AK633="E",AV633&gt;=0.5),PTHealth*P633,0))))</f>
        <v>0</v>
      </c>
      <c r="BD633" s="462">
        <f>IF(AND(AT633&lt;&gt;0,AX633&gt;=MAXSSDI),SSDI*MAXSSDI*P633,IF(AT633&lt;&gt;0,SSDI*W633,0))</f>
        <v>0</v>
      </c>
      <c r="BE633" s="462">
        <f>IF(AT633&lt;&gt;0,SSHI*W633,0)</f>
        <v>0</v>
      </c>
      <c r="BF633" s="462">
        <f>IF(AND(AT633&lt;&gt;0,AN633&lt;&gt;"NE"),VLOOKUP(AN633,Retirement_Rates,3,FALSE)*W633,0)</f>
        <v>0</v>
      </c>
      <c r="BG633" s="462">
        <f>IF(AND(AT633&lt;&gt;0,AJ633&lt;&gt;"PF"),Life*W633,0)</f>
        <v>0</v>
      </c>
      <c r="BH633" s="462">
        <f>IF(AND(AT633&lt;&gt;0,AM633="Y"),UI*W633,0)</f>
        <v>0</v>
      </c>
      <c r="BI633" s="462">
        <f>IF(AND(AT633&lt;&gt;0,N633&lt;&gt;"NR"),DHR*W633,0)</f>
        <v>0</v>
      </c>
      <c r="BJ633" s="462">
        <f>IF(AT633&lt;&gt;0,WC*W633,0)</f>
        <v>0</v>
      </c>
      <c r="BK633" s="462">
        <f>IF(OR(AND(AT633&lt;&gt;0,AJ633&lt;&gt;"PF",AN633&lt;&gt;"NE",AG633&lt;&gt;"A"),AND(AL633="E",OR(AT633=1,AT633=3))),Sick*W633,0)</f>
        <v>0</v>
      </c>
      <c r="BL633" s="462">
        <f t="shared" si="158"/>
        <v>0</v>
      </c>
      <c r="BM633" s="462">
        <f t="shared" si="159"/>
        <v>0</v>
      </c>
      <c r="BN633" s="462">
        <f>IF(AND(AT633=1,AK633="E",AU633&gt;=0.75,AW633=1),HealthBY,IF(AND(AT633=1,AK633="E",AU633&gt;=0.75),HealthBY*P633,IF(AND(AT633=1,AK633="E",AU633&gt;=0.5,AW633=1),PTHealthBY,IF(AND(AT633=1,AK633="E",AU633&gt;=0.5),PTHealthBY*P633,0))))</f>
        <v>0</v>
      </c>
      <c r="BO633" s="462">
        <f>IF(AND(AT633=3,AK633="E",AV633&gt;=0.75,AW633=1),HealthBY,IF(AND(AT633=3,AK633="E",AV633&gt;=0.75),HealthBY*P633,IF(AND(AT633=3,AK633="E",AV633&gt;=0.5,AW633=1),PTHealthBY,IF(AND(AT633=3,AK633="E",AV633&gt;=0.5),PTHealthBY*P633,0))))</f>
        <v>0</v>
      </c>
      <c r="BP633" s="462">
        <f>IF(AND(AT633&lt;&gt;0,(AX633+BA633)&gt;=MAXSSDIBY),SSDIBY*MAXSSDIBY*P633,IF(AT633&lt;&gt;0,SSDIBY*W633,0))</f>
        <v>0</v>
      </c>
      <c r="BQ633" s="462">
        <f>IF(AT633&lt;&gt;0,SSHIBY*W633,0)</f>
        <v>0</v>
      </c>
      <c r="BR633" s="462">
        <f>IF(AND(AT633&lt;&gt;0,AN633&lt;&gt;"NE"),VLOOKUP(AN633,Retirement_Rates,4,FALSE)*W633,0)</f>
        <v>0</v>
      </c>
      <c r="BS633" s="462">
        <f>IF(AND(AT633&lt;&gt;0,AJ633&lt;&gt;"PF"),LifeBY*W633,0)</f>
        <v>0</v>
      </c>
      <c r="BT633" s="462">
        <f>IF(AND(AT633&lt;&gt;0,AM633="Y"),UIBY*W633,0)</f>
        <v>0</v>
      </c>
      <c r="BU633" s="462">
        <f>IF(AND(AT633&lt;&gt;0,N633&lt;&gt;"NR"),DHRBY*W633,0)</f>
        <v>0</v>
      </c>
      <c r="BV633" s="462">
        <f>IF(AT633&lt;&gt;0,WCBY*W633,0)</f>
        <v>0</v>
      </c>
      <c r="BW633" s="462">
        <f>IF(OR(AND(AT633&lt;&gt;0,AJ633&lt;&gt;"PF",AN633&lt;&gt;"NE",AG633&lt;&gt;"A"),AND(AL633="E",OR(AT633=1,AT633=3))),SickBY*W633,0)</f>
        <v>0</v>
      </c>
      <c r="BX633" s="462">
        <f t="shared" si="160"/>
        <v>0</v>
      </c>
      <c r="BY633" s="462">
        <f t="shared" si="161"/>
        <v>0</v>
      </c>
      <c r="BZ633" s="462">
        <f t="shared" si="162"/>
        <v>0</v>
      </c>
      <c r="CA633" s="462">
        <f t="shared" si="163"/>
        <v>0</v>
      </c>
      <c r="CB633" s="462">
        <f t="shared" si="164"/>
        <v>0</v>
      </c>
      <c r="CC633" s="462">
        <f>IF(AT633&lt;&gt;0,SSHICHG*Y633,0)</f>
        <v>0</v>
      </c>
      <c r="CD633" s="462">
        <f>IF(AND(AT633&lt;&gt;0,AN633&lt;&gt;"NE"),VLOOKUP(AN633,Retirement_Rates,5,FALSE)*Y633,0)</f>
        <v>0</v>
      </c>
      <c r="CE633" s="462">
        <f>IF(AND(AT633&lt;&gt;0,AJ633&lt;&gt;"PF"),LifeCHG*Y633,0)</f>
        <v>0</v>
      </c>
      <c r="CF633" s="462">
        <f>IF(AND(AT633&lt;&gt;0,AM633="Y"),UICHG*Y633,0)</f>
        <v>0</v>
      </c>
      <c r="CG633" s="462">
        <f>IF(AND(AT633&lt;&gt;0,N633&lt;&gt;"NR"),DHRCHG*Y633,0)</f>
        <v>0</v>
      </c>
      <c r="CH633" s="462">
        <f>IF(AT633&lt;&gt;0,WCCHG*Y633,0)</f>
        <v>0</v>
      </c>
      <c r="CI633" s="462">
        <f>IF(OR(AND(AT633&lt;&gt;0,AJ633&lt;&gt;"PF",AN633&lt;&gt;"NE",AG633&lt;&gt;"A"),AND(AL633="E",OR(AT633=1,AT633=3))),SickCHG*Y633,0)</f>
        <v>0</v>
      </c>
      <c r="CJ633" s="462">
        <f t="shared" si="165"/>
        <v>0</v>
      </c>
      <c r="CK633" s="462" t="str">
        <f t="shared" si="166"/>
        <v/>
      </c>
      <c r="CL633" s="462" t="str">
        <f t="shared" si="167"/>
        <v/>
      </c>
      <c r="CM633" s="462" t="str">
        <f t="shared" si="168"/>
        <v/>
      </c>
      <c r="CN633" s="462" t="str">
        <f t="shared" si="169"/>
        <v>0330-09</v>
      </c>
    </row>
    <row r="634" spans="1:92" ht="15" thickBot="1" x14ac:dyDescent="0.35">
      <c r="A634" s="376" t="s">
        <v>161</v>
      </c>
      <c r="B634" s="376" t="s">
        <v>162</v>
      </c>
      <c r="C634" s="376" t="s">
        <v>632</v>
      </c>
      <c r="D634" s="376" t="s">
        <v>250</v>
      </c>
      <c r="E634" s="376" t="s">
        <v>535</v>
      </c>
      <c r="F634" s="382" t="s">
        <v>1057</v>
      </c>
      <c r="G634" s="376" t="s">
        <v>1351</v>
      </c>
      <c r="H634" s="378"/>
      <c r="I634" s="378"/>
      <c r="J634" s="376" t="s">
        <v>168</v>
      </c>
      <c r="K634" s="376" t="s">
        <v>251</v>
      </c>
      <c r="L634" s="376" t="s">
        <v>180</v>
      </c>
      <c r="M634" s="376" t="s">
        <v>170</v>
      </c>
      <c r="N634" s="376" t="s">
        <v>202</v>
      </c>
      <c r="O634" s="379">
        <v>1</v>
      </c>
      <c r="P634" s="460">
        <v>0</v>
      </c>
      <c r="Q634" s="460">
        <v>0</v>
      </c>
      <c r="R634" s="380">
        <v>80</v>
      </c>
      <c r="S634" s="460">
        <v>0</v>
      </c>
      <c r="T634" s="380">
        <v>3500</v>
      </c>
      <c r="U634" s="380">
        <v>0</v>
      </c>
      <c r="V634" s="380">
        <v>500</v>
      </c>
      <c r="W634" s="380">
        <v>0</v>
      </c>
      <c r="X634" s="380">
        <v>0</v>
      </c>
      <c r="Y634" s="380">
        <v>0</v>
      </c>
      <c r="Z634" s="380">
        <v>0</v>
      </c>
      <c r="AA634" s="376" t="s">
        <v>633</v>
      </c>
      <c r="AB634" s="376" t="s">
        <v>634</v>
      </c>
      <c r="AC634" s="376" t="s">
        <v>635</v>
      </c>
      <c r="AD634" s="376" t="s">
        <v>278</v>
      </c>
      <c r="AE634" s="376" t="s">
        <v>251</v>
      </c>
      <c r="AF634" s="376" t="s">
        <v>256</v>
      </c>
      <c r="AG634" s="376" t="s">
        <v>177</v>
      </c>
      <c r="AH634" s="381">
        <v>35.32</v>
      </c>
      <c r="AI634" s="381">
        <v>31308.7</v>
      </c>
      <c r="AJ634" s="376" t="s">
        <v>178</v>
      </c>
      <c r="AK634" s="376" t="s">
        <v>179</v>
      </c>
      <c r="AL634" s="376" t="s">
        <v>180</v>
      </c>
      <c r="AM634" s="376" t="s">
        <v>181</v>
      </c>
      <c r="AN634" s="376" t="s">
        <v>68</v>
      </c>
      <c r="AO634" s="379">
        <v>80</v>
      </c>
      <c r="AP634" s="460">
        <v>1</v>
      </c>
      <c r="AQ634" s="460">
        <v>0</v>
      </c>
      <c r="AR634" s="458" t="s">
        <v>182</v>
      </c>
      <c r="AS634" s="462">
        <f t="shared" si="153"/>
        <v>0</v>
      </c>
      <c r="AT634">
        <f t="shared" si="154"/>
        <v>0</v>
      </c>
      <c r="AU634" s="462" t="str">
        <f>IF(AT634=0,"",IF(AND(AT634=1,M634="F",SUMIF(C2:C698,C634,AS2:AS698)&lt;=1),SUMIF(C2:C698,C634,AS2:AS698),IF(AND(AT634=1,M634="F",SUMIF(C2:C698,C634,AS2:AS698)&gt;1),1,"")))</f>
        <v/>
      </c>
      <c r="AV634" s="462" t="str">
        <f>IF(AT634=0,"",IF(AND(AT634=3,M634="F",SUMIF(C2:C698,C634,AS2:AS698)&lt;=1),SUMIF(C2:C698,C634,AS2:AS698),IF(AND(AT634=3,M634="F",SUMIF(C2:C698,C634,AS2:AS698)&gt;1),1,"")))</f>
        <v/>
      </c>
      <c r="AW634" s="462">
        <f>SUMIF(C2:C698,C634,O2:O698)</f>
        <v>2</v>
      </c>
      <c r="AX634" s="462">
        <f>IF(AND(M634="F",AS634&lt;&gt;0),SUMIF(C2:C698,C634,W2:W698),0)</f>
        <v>0</v>
      </c>
      <c r="AY634" s="462" t="str">
        <f t="shared" si="155"/>
        <v/>
      </c>
      <c r="AZ634" s="462" t="str">
        <f t="shared" si="156"/>
        <v/>
      </c>
      <c r="BA634" s="462">
        <f t="shared" si="157"/>
        <v>0</v>
      </c>
      <c r="BB634" s="462">
        <f>IF(AND(AT634=1,AK634="E",AU634&gt;=0.75,AW634=1),Health,IF(AND(AT634=1,AK634="E",AU634&gt;=0.75),Health*P634,IF(AND(AT634=1,AK634="E",AU634&gt;=0.5,AW634=1),PTHealth,IF(AND(AT634=1,AK634="E",AU634&gt;=0.5),PTHealth*P634,0))))</f>
        <v>0</v>
      </c>
      <c r="BC634" s="462">
        <f>IF(AND(AT634=3,AK634="E",AV634&gt;=0.75,AW634=1),Health,IF(AND(AT634=3,AK634="E",AV634&gt;=0.75),Health*P634,IF(AND(AT634=3,AK634="E",AV634&gt;=0.5,AW634=1),PTHealth,IF(AND(AT634=3,AK634="E",AV634&gt;=0.5),PTHealth*P634,0))))</f>
        <v>0</v>
      </c>
      <c r="BD634" s="462">
        <f>IF(AND(AT634&lt;&gt;0,AX634&gt;=MAXSSDI),SSDI*MAXSSDI*P634,IF(AT634&lt;&gt;0,SSDI*W634,0))</f>
        <v>0</v>
      </c>
      <c r="BE634" s="462">
        <f>IF(AT634&lt;&gt;0,SSHI*W634,0)</f>
        <v>0</v>
      </c>
      <c r="BF634" s="462">
        <f>IF(AND(AT634&lt;&gt;0,AN634&lt;&gt;"NE"),VLOOKUP(AN634,Retirement_Rates,3,FALSE)*W634,0)</f>
        <v>0</v>
      </c>
      <c r="BG634" s="462">
        <f>IF(AND(AT634&lt;&gt;0,AJ634&lt;&gt;"PF"),Life*W634,0)</f>
        <v>0</v>
      </c>
      <c r="BH634" s="462">
        <f>IF(AND(AT634&lt;&gt;0,AM634="Y"),UI*W634,0)</f>
        <v>0</v>
      </c>
      <c r="BI634" s="462">
        <f>IF(AND(AT634&lt;&gt;0,N634&lt;&gt;"NR"),DHR*W634,0)</f>
        <v>0</v>
      </c>
      <c r="BJ634" s="462">
        <f>IF(AT634&lt;&gt;0,WC*W634,0)</f>
        <v>0</v>
      </c>
      <c r="BK634" s="462">
        <f>IF(OR(AND(AT634&lt;&gt;0,AJ634&lt;&gt;"PF",AN634&lt;&gt;"NE",AG634&lt;&gt;"A"),AND(AL634="E",OR(AT634=1,AT634=3))),Sick*W634,0)</f>
        <v>0</v>
      </c>
      <c r="BL634" s="462">
        <f t="shared" si="158"/>
        <v>0</v>
      </c>
      <c r="BM634" s="462">
        <f t="shared" si="159"/>
        <v>0</v>
      </c>
      <c r="BN634" s="462">
        <f>IF(AND(AT634=1,AK634="E",AU634&gt;=0.75,AW634=1),HealthBY,IF(AND(AT634=1,AK634="E",AU634&gt;=0.75),HealthBY*P634,IF(AND(AT634=1,AK634="E",AU634&gt;=0.5,AW634=1),PTHealthBY,IF(AND(AT634=1,AK634="E",AU634&gt;=0.5),PTHealthBY*P634,0))))</f>
        <v>0</v>
      </c>
      <c r="BO634" s="462">
        <f>IF(AND(AT634=3,AK634="E",AV634&gt;=0.75,AW634=1),HealthBY,IF(AND(AT634=3,AK634="E",AV634&gt;=0.75),HealthBY*P634,IF(AND(AT634=3,AK634="E",AV634&gt;=0.5,AW634=1),PTHealthBY,IF(AND(AT634=3,AK634="E",AV634&gt;=0.5),PTHealthBY*P634,0))))</f>
        <v>0</v>
      </c>
      <c r="BP634" s="462">
        <f>IF(AND(AT634&lt;&gt;0,(AX634+BA634)&gt;=MAXSSDIBY),SSDIBY*MAXSSDIBY*P634,IF(AT634&lt;&gt;0,SSDIBY*W634,0))</f>
        <v>0</v>
      </c>
      <c r="BQ634" s="462">
        <f>IF(AT634&lt;&gt;0,SSHIBY*W634,0)</f>
        <v>0</v>
      </c>
      <c r="BR634" s="462">
        <f>IF(AND(AT634&lt;&gt;0,AN634&lt;&gt;"NE"),VLOOKUP(AN634,Retirement_Rates,4,FALSE)*W634,0)</f>
        <v>0</v>
      </c>
      <c r="BS634" s="462">
        <f>IF(AND(AT634&lt;&gt;0,AJ634&lt;&gt;"PF"),LifeBY*W634,0)</f>
        <v>0</v>
      </c>
      <c r="BT634" s="462">
        <f>IF(AND(AT634&lt;&gt;0,AM634="Y"),UIBY*W634,0)</f>
        <v>0</v>
      </c>
      <c r="BU634" s="462">
        <f>IF(AND(AT634&lt;&gt;0,N634&lt;&gt;"NR"),DHRBY*W634,0)</f>
        <v>0</v>
      </c>
      <c r="BV634" s="462">
        <f>IF(AT634&lt;&gt;0,WCBY*W634,0)</f>
        <v>0</v>
      </c>
      <c r="BW634" s="462">
        <f>IF(OR(AND(AT634&lt;&gt;0,AJ634&lt;&gt;"PF",AN634&lt;&gt;"NE",AG634&lt;&gt;"A"),AND(AL634="E",OR(AT634=1,AT634=3))),SickBY*W634,0)</f>
        <v>0</v>
      </c>
      <c r="BX634" s="462">
        <f t="shared" si="160"/>
        <v>0</v>
      </c>
      <c r="BY634" s="462">
        <f t="shared" si="161"/>
        <v>0</v>
      </c>
      <c r="BZ634" s="462">
        <f t="shared" si="162"/>
        <v>0</v>
      </c>
      <c r="CA634" s="462">
        <f t="shared" si="163"/>
        <v>0</v>
      </c>
      <c r="CB634" s="462">
        <f t="shared" si="164"/>
        <v>0</v>
      </c>
      <c r="CC634" s="462">
        <f>IF(AT634&lt;&gt;0,SSHICHG*Y634,0)</f>
        <v>0</v>
      </c>
      <c r="CD634" s="462">
        <f>IF(AND(AT634&lt;&gt;0,AN634&lt;&gt;"NE"),VLOOKUP(AN634,Retirement_Rates,5,FALSE)*Y634,0)</f>
        <v>0</v>
      </c>
      <c r="CE634" s="462">
        <f>IF(AND(AT634&lt;&gt;0,AJ634&lt;&gt;"PF"),LifeCHG*Y634,0)</f>
        <v>0</v>
      </c>
      <c r="CF634" s="462">
        <f>IF(AND(AT634&lt;&gt;0,AM634="Y"),UICHG*Y634,0)</f>
        <v>0</v>
      </c>
      <c r="CG634" s="462">
        <f>IF(AND(AT634&lt;&gt;0,N634&lt;&gt;"NR"),DHRCHG*Y634,0)</f>
        <v>0</v>
      </c>
      <c r="CH634" s="462">
        <f>IF(AT634&lt;&gt;0,WCCHG*Y634,0)</f>
        <v>0</v>
      </c>
      <c r="CI634" s="462">
        <f>IF(OR(AND(AT634&lt;&gt;0,AJ634&lt;&gt;"PF",AN634&lt;&gt;"NE",AG634&lt;&gt;"A"),AND(AL634="E",OR(AT634=1,AT634=3))),SickCHG*Y634,0)</f>
        <v>0</v>
      </c>
      <c r="CJ634" s="462">
        <f t="shared" si="165"/>
        <v>0</v>
      </c>
      <c r="CK634" s="462" t="str">
        <f t="shared" si="166"/>
        <v/>
      </c>
      <c r="CL634" s="462" t="str">
        <f t="shared" si="167"/>
        <v/>
      </c>
      <c r="CM634" s="462" t="str">
        <f t="shared" si="168"/>
        <v/>
      </c>
      <c r="CN634" s="462" t="str">
        <f t="shared" si="169"/>
        <v>0332-12</v>
      </c>
    </row>
    <row r="635" spans="1:92" ht="15" thickBot="1" x14ac:dyDescent="0.35">
      <c r="A635" s="376" t="s">
        <v>161</v>
      </c>
      <c r="B635" s="376" t="s">
        <v>162</v>
      </c>
      <c r="C635" s="376" t="s">
        <v>515</v>
      </c>
      <c r="D635" s="376" t="s">
        <v>516</v>
      </c>
      <c r="E635" s="376" t="s">
        <v>759</v>
      </c>
      <c r="F635" s="377" t="s">
        <v>166</v>
      </c>
      <c r="G635" s="376" t="s">
        <v>1351</v>
      </c>
      <c r="H635" s="378"/>
      <c r="I635" s="378"/>
      <c r="J635" s="376" t="s">
        <v>185</v>
      </c>
      <c r="K635" s="376" t="s">
        <v>517</v>
      </c>
      <c r="L635" s="376" t="s">
        <v>247</v>
      </c>
      <c r="M635" s="376" t="s">
        <v>170</v>
      </c>
      <c r="N635" s="376" t="s">
        <v>202</v>
      </c>
      <c r="O635" s="379">
        <v>1</v>
      </c>
      <c r="P635" s="460">
        <v>0</v>
      </c>
      <c r="Q635" s="460">
        <v>0</v>
      </c>
      <c r="R635" s="380">
        <v>80</v>
      </c>
      <c r="S635" s="460">
        <v>0</v>
      </c>
      <c r="T635" s="380">
        <v>2113.56</v>
      </c>
      <c r="U635" s="380">
        <v>0</v>
      </c>
      <c r="V635" s="380">
        <v>919.34</v>
      </c>
      <c r="W635" s="380">
        <v>0</v>
      </c>
      <c r="X635" s="380">
        <v>0</v>
      </c>
      <c r="Y635" s="380">
        <v>0</v>
      </c>
      <c r="Z635" s="380">
        <v>0</v>
      </c>
      <c r="AA635" s="376" t="s">
        <v>518</v>
      </c>
      <c r="AB635" s="376" t="s">
        <v>519</v>
      </c>
      <c r="AC635" s="376" t="s">
        <v>520</v>
      </c>
      <c r="AD635" s="376" t="s">
        <v>224</v>
      </c>
      <c r="AE635" s="376" t="s">
        <v>517</v>
      </c>
      <c r="AF635" s="376" t="s">
        <v>299</v>
      </c>
      <c r="AG635" s="376" t="s">
        <v>177</v>
      </c>
      <c r="AH635" s="381">
        <v>29.14</v>
      </c>
      <c r="AI635" s="379">
        <v>9969</v>
      </c>
      <c r="AJ635" s="376" t="s">
        <v>178</v>
      </c>
      <c r="AK635" s="376" t="s">
        <v>179</v>
      </c>
      <c r="AL635" s="376" t="s">
        <v>180</v>
      </c>
      <c r="AM635" s="376" t="s">
        <v>181</v>
      </c>
      <c r="AN635" s="376" t="s">
        <v>68</v>
      </c>
      <c r="AO635" s="379">
        <v>80</v>
      </c>
      <c r="AP635" s="460">
        <v>1</v>
      </c>
      <c r="AQ635" s="460">
        <v>0</v>
      </c>
      <c r="AR635" s="458" t="s">
        <v>182</v>
      </c>
      <c r="AS635" s="462">
        <f t="shared" si="153"/>
        <v>0</v>
      </c>
      <c r="AT635">
        <f t="shared" si="154"/>
        <v>0</v>
      </c>
      <c r="AU635" s="462" t="str">
        <f>IF(AT635=0,"",IF(AND(AT635=1,M635="F",SUMIF(C2:C698,C635,AS2:AS698)&lt;=1),SUMIF(C2:C698,C635,AS2:AS698),IF(AND(AT635=1,M635="F",SUMIF(C2:C698,C635,AS2:AS698)&gt;1),1,"")))</f>
        <v/>
      </c>
      <c r="AV635" s="462" t="str">
        <f>IF(AT635=0,"",IF(AND(AT635=3,M635="F",SUMIF(C2:C698,C635,AS2:AS698)&lt;=1),SUMIF(C2:C698,C635,AS2:AS698),IF(AND(AT635=3,M635="F",SUMIF(C2:C698,C635,AS2:AS698)&gt;1),1,"")))</f>
        <v/>
      </c>
      <c r="AW635" s="462">
        <f>SUMIF(C2:C698,C635,O2:O698)</f>
        <v>3</v>
      </c>
      <c r="AX635" s="462">
        <f>IF(AND(M635="F",AS635&lt;&gt;0),SUMIF(C2:C698,C635,W2:W698),0)</f>
        <v>0</v>
      </c>
      <c r="AY635" s="462" t="str">
        <f t="shared" si="155"/>
        <v/>
      </c>
      <c r="AZ635" s="462" t="str">
        <f t="shared" si="156"/>
        <v/>
      </c>
      <c r="BA635" s="462">
        <f t="shared" si="157"/>
        <v>0</v>
      </c>
      <c r="BB635" s="462">
        <f>IF(AND(AT635=1,AK635="E",AU635&gt;=0.75,AW635=1),Health,IF(AND(AT635=1,AK635="E",AU635&gt;=0.75),Health*P635,IF(AND(AT635=1,AK635="E",AU635&gt;=0.5,AW635=1),PTHealth,IF(AND(AT635=1,AK635="E",AU635&gt;=0.5),PTHealth*P635,0))))</f>
        <v>0</v>
      </c>
      <c r="BC635" s="462">
        <f>IF(AND(AT635=3,AK635="E",AV635&gt;=0.75,AW635=1),Health,IF(AND(AT635=3,AK635="E",AV635&gt;=0.75),Health*P635,IF(AND(AT635=3,AK635="E",AV635&gt;=0.5,AW635=1),PTHealth,IF(AND(AT635=3,AK635="E",AV635&gt;=0.5),PTHealth*P635,0))))</f>
        <v>0</v>
      </c>
      <c r="BD635" s="462">
        <f>IF(AND(AT635&lt;&gt;0,AX635&gt;=MAXSSDI),SSDI*MAXSSDI*P635,IF(AT635&lt;&gt;0,SSDI*W635,0))</f>
        <v>0</v>
      </c>
      <c r="BE635" s="462">
        <f>IF(AT635&lt;&gt;0,SSHI*W635,0)</f>
        <v>0</v>
      </c>
      <c r="BF635" s="462">
        <f>IF(AND(AT635&lt;&gt;0,AN635&lt;&gt;"NE"),VLOOKUP(AN635,Retirement_Rates,3,FALSE)*W635,0)</f>
        <v>0</v>
      </c>
      <c r="BG635" s="462">
        <f>IF(AND(AT635&lt;&gt;0,AJ635&lt;&gt;"PF"),Life*W635,0)</f>
        <v>0</v>
      </c>
      <c r="BH635" s="462">
        <f>IF(AND(AT635&lt;&gt;0,AM635="Y"),UI*W635,0)</f>
        <v>0</v>
      </c>
      <c r="BI635" s="462">
        <f>IF(AND(AT635&lt;&gt;0,N635&lt;&gt;"NR"),DHR*W635,0)</f>
        <v>0</v>
      </c>
      <c r="BJ635" s="462">
        <f>IF(AT635&lt;&gt;0,WC*W635,0)</f>
        <v>0</v>
      </c>
      <c r="BK635" s="462">
        <f>IF(OR(AND(AT635&lt;&gt;0,AJ635&lt;&gt;"PF",AN635&lt;&gt;"NE",AG635&lt;&gt;"A"),AND(AL635="E",OR(AT635=1,AT635=3))),Sick*W635,0)</f>
        <v>0</v>
      </c>
      <c r="BL635" s="462">
        <f t="shared" si="158"/>
        <v>0</v>
      </c>
      <c r="BM635" s="462">
        <f t="shared" si="159"/>
        <v>0</v>
      </c>
      <c r="BN635" s="462">
        <f>IF(AND(AT635=1,AK635="E",AU635&gt;=0.75,AW635=1),HealthBY,IF(AND(AT635=1,AK635="E",AU635&gt;=0.75),HealthBY*P635,IF(AND(AT635=1,AK635="E",AU635&gt;=0.5,AW635=1),PTHealthBY,IF(AND(AT635=1,AK635="E",AU635&gt;=0.5),PTHealthBY*P635,0))))</f>
        <v>0</v>
      </c>
      <c r="BO635" s="462">
        <f>IF(AND(AT635=3,AK635="E",AV635&gt;=0.75,AW635=1),HealthBY,IF(AND(AT635=3,AK635="E",AV635&gt;=0.75),HealthBY*P635,IF(AND(AT635=3,AK635="E",AV635&gt;=0.5,AW635=1),PTHealthBY,IF(AND(AT635=3,AK635="E",AV635&gt;=0.5),PTHealthBY*P635,0))))</f>
        <v>0</v>
      </c>
      <c r="BP635" s="462">
        <f>IF(AND(AT635&lt;&gt;0,(AX635+BA635)&gt;=MAXSSDIBY),SSDIBY*MAXSSDIBY*P635,IF(AT635&lt;&gt;0,SSDIBY*W635,0))</f>
        <v>0</v>
      </c>
      <c r="BQ635" s="462">
        <f>IF(AT635&lt;&gt;0,SSHIBY*W635,0)</f>
        <v>0</v>
      </c>
      <c r="BR635" s="462">
        <f>IF(AND(AT635&lt;&gt;0,AN635&lt;&gt;"NE"),VLOOKUP(AN635,Retirement_Rates,4,FALSE)*W635,0)</f>
        <v>0</v>
      </c>
      <c r="BS635" s="462">
        <f>IF(AND(AT635&lt;&gt;0,AJ635&lt;&gt;"PF"),LifeBY*W635,0)</f>
        <v>0</v>
      </c>
      <c r="BT635" s="462">
        <f>IF(AND(AT635&lt;&gt;0,AM635="Y"),UIBY*W635,0)</f>
        <v>0</v>
      </c>
      <c r="BU635" s="462">
        <f>IF(AND(AT635&lt;&gt;0,N635&lt;&gt;"NR"),DHRBY*W635,0)</f>
        <v>0</v>
      </c>
      <c r="BV635" s="462">
        <f>IF(AT635&lt;&gt;0,WCBY*W635,0)</f>
        <v>0</v>
      </c>
      <c r="BW635" s="462">
        <f>IF(OR(AND(AT635&lt;&gt;0,AJ635&lt;&gt;"PF",AN635&lt;&gt;"NE",AG635&lt;&gt;"A"),AND(AL635="E",OR(AT635=1,AT635=3))),SickBY*W635,0)</f>
        <v>0</v>
      </c>
      <c r="BX635" s="462">
        <f t="shared" si="160"/>
        <v>0</v>
      </c>
      <c r="BY635" s="462">
        <f t="shared" si="161"/>
        <v>0</v>
      </c>
      <c r="BZ635" s="462">
        <f t="shared" si="162"/>
        <v>0</v>
      </c>
      <c r="CA635" s="462">
        <f t="shared" si="163"/>
        <v>0</v>
      </c>
      <c r="CB635" s="462">
        <f t="shared" si="164"/>
        <v>0</v>
      </c>
      <c r="CC635" s="462">
        <f>IF(AT635&lt;&gt;0,SSHICHG*Y635,0)</f>
        <v>0</v>
      </c>
      <c r="CD635" s="462">
        <f>IF(AND(AT635&lt;&gt;0,AN635&lt;&gt;"NE"),VLOOKUP(AN635,Retirement_Rates,5,FALSE)*Y635,0)</f>
        <v>0</v>
      </c>
      <c r="CE635" s="462">
        <f>IF(AND(AT635&lt;&gt;0,AJ635&lt;&gt;"PF"),LifeCHG*Y635,0)</f>
        <v>0</v>
      </c>
      <c r="CF635" s="462">
        <f>IF(AND(AT635&lt;&gt;0,AM635="Y"),UICHG*Y635,0)</f>
        <v>0</v>
      </c>
      <c r="CG635" s="462">
        <f>IF(AND(AT635&lt;&gt;0,N635&lt;&gt;"NR"),DHRCHG*Y635,0)</f>
        <v>0</v>
      </c>
      <c r="CH635" s="462">
        <f>IF(AT635&lt;&gt;0,WCCHG*Y635,0)</f>
        <v>0</v>
      </c>
      <c r="CI635" s="462">
        <f>IF(OR(AND(AT635&lt;&gt;0,AJ635&lt;&gt;"PF",AN635&lt;&gt;"NE",AG635&lt;&gt;"A"),AND(AL635="E",OR(AT635=1,AT635=3))),SickCHG*Y635,0)</f>
        <v>0</v>
      </c>
      <c r="CJ635" s="462">
        <f t="shared" si="165"/>
        <v>0</v>
      </c>
      <c r="CK635" s="462" t="str">
        <f t="shared" si="166"/>
        <v/>
      </c>
      <c r="CL635" s="462" t="str">
        <f t="shared" si="167"/>
        <v/>
      </c>
      <c r="CM635" s="462" t="str">
        <f t="shared" si="168"/>
        <v/>
      </c>
      <c r="CN635" s="462" t="str">
        <f t="shared" si="169"/>
        <v>0348-00</v>
      </c>
    </row>
    <row r="636" spans="1:92" ht="15" thickBot="1" x14ac:dyDescent="0.35">
      <c r="A636" s="376" t="s">
        <v>161</v>
      </c>
      <c r="B636" s="376" t="s">
        <v>162</v>
      </c>
      <c r="C636" s="376" t="s">
        <v>530</v>
      </c>
      <c r="D636" s="376" t="s">
        <v>365</v>
      </c>
      <c r="E636" s="376" t="s">
        <v>759</v>
      </c>
      <c r="F636" s="377" t="s">
        <v>166</v>
      </c>
      <c r="G636" s="376" t="s">
        <v>1351</v>
      </c>
      <c r="H636" s="378"/>
      <c r="I636" s="378"/>
      <c r="J636" s="376" t="s">
        <v>168</v>
      </c>
      <c r="K636" s="376" t="s">
        <v>366</v>
      </c>
      <c r="L636" s="376" t="s">
        <v>274</v>
      </c>
      <c r="M636" s="376" t="s">
        <v>170</v>
      </c>
      <c r="N636" s="376" t="s">
        <v>202</v>
      </c>
      <c r="O636" s="379">
        <v>1</v>
      </c>
      <c r="P636" s="460">
        <v>0</v>
      </c>
      <c r="Q636" s="460">
        <v>0</v>
      </c>
      <c r="R636" s="380">
        <v>80</v>
      </c>
      <c r="S636" s="460">
        <v>0</v>
      </c>
      <c r="T636" s="380">
        <v>301.5</v>
      </c>
      <c r="U636" s="380">
        <v>0</v>
      </c>
      <c r="V636" s="380">
        <v>171.7</v>
      </c>
      <c r="W636" s="380">
        <v>0</v>
      </c>
      <c r="X636" s="380">
        <v>0</v>
      </c>
      <c r="Y636" s="380">
        <v>0</v>
      </c>
      <c r="Z636" s="380">
        <v>0</v>
      </c>
      <c r="AA636" s="376" t="s">
        <v>531</v>
      </c>
      <c r="AB636" s="376" t="s">
        <v>532</v>
      </c>
      <c r="AC636" s="376" t="s">
        <v>533</v>
      </c>
      <c r="AD636" s="376" t="s">
        <v>534</v>
      </c>
      <c r="AE636" s="376" t="s">
        <v>366</v>
      </c>
      <c r="AF636" s="376" t="s">
        <v>279</v>
      </c>
      <c r="AG636" s="376" t="s">
        <v>177</v>
      </c>
      <c r="AH636" s="381">
        <v>17.5</v>
      </c>
      <c r="AI636" s="381">
        <v>9108.5</v>
      </c>
      <c r="AJ636" s="376" t="s">
        <v>178</v>
      </c>
      <c r="AK636" s="376" t="s">
        <v>179</v>
      </c>
      <c r="AL636" s="376" t="s">
        <v>180</v>
      </c>
      <c r="AM636" s="376" t="s">
        <v>181</v>
      </c>
      <c r="AN636" s="376" t="s">
        <v>68</v>
      </c>
      <c r="AO636" s="379">
        <v>80</v>
      </c>
      <c r="AP636" s="460">
        <v>1</v>
      </c>
      <c r="AQ636" s="460">
        <v>0</v>
      </c>
      <c r="AR636" s="458" t="s">
        <v>182</v>
      </c>
      <c r="AS636" s="462">
        <f t="shared" si="153"/>
        <v>0</v>
      </c>
      <c r="AT636">
        <f t="shared" si="154"/>
        <v>0</v>
      </c>
      <c r="AU636" s="462" t="str">
        <f>IF(AT636=0,"",IF(AND(AT636=1,M636="F",SUMIF(C2:C698,C636,AS2:AS698)&lt;=1),SUMIF(C2:C698,C636,AS2:AS698),IF(AND(AT636=1,M636="F",SUMIF(C2:C698,C636,AS2:AS698)&gt;1),1,"")))</f>
        <v/>
      </c>
      <c r="AV636" s="462" t="str">
        <f>IF(AT636=0,"",IF(AND(AT636=3,M636="F",SUMIF(C2:C698,C636,AS2:AS698)&lt;=1),SUMIF(C2:C698,C636,AS2:AS698),IF(AND(AT636=3,M636="F",SUMIF(C2:C698,C636,AS2:AS698)&gt;1),1,"")))</f>
        <v/>
      </c>
      <c r="AW636" s="462">
        <f>SUMIF(C2:C698,C636,O2:O698)</f>
        <v>3</v>
      </c>
      <c r="AX636" s="462">
        <f>IF(AND(M636="F",AS636&lt;&gt;0),SUMIF(C2:C698,C636,W2:W698),0)</f>
        <v>0</v>
      </c>
      <c r="AY636" s="462" t="str">
        <f t="shared" si="155"/>
        <v/>
      </c>
      <c r="AZ636" s="462" t="str">
        <f t="shared" si="156"/>
        <v/>
      </c>
      <c r="BA636" s="462">
        <f t="shared" si="157"/>
        <v>0</v>
      </c>
      <c r="BB636" s="462">
        <f>IF(AND(AT636=1,AK636="E",AU636&gt;=0.75,AW636=1),Health,IF(AND(AT636=1,AK636="E",AU636&gt;=0.75),Health*P636,IF(AND(AT636=1,AK636="E",AU636&gt;=0.5,AW636=1),PTHealth,IF(AND(AT636=1,AK636="E",AU636&gt;=0.5),PTHealth*P636,0))))</f>
        <v>0</v>
      </c>
      <c r="BC636" s="462">
        <f>IF(AND(AT636=3,AK636="E",AV636&gt;=0.75,AW636=1),Health,IF(AND(AT636=3,AK636="E",AV636&gt;=0.75),Health*P636,IF(AND(AT636=3,AK636="E",AV636&gt;=0.5,AW636=1),PTHealth,IF(AND(AT636=3,AK636="E",AV636&gt;=0.5),PTHealth*P636,0))))</f>
        <v>0</v>
      </c>
      <c r="BD636" s="462">
        <f>IF(AND(AT636&lt;&gt;0,AX636&gt;=MAXSSDI),SSDI*MAXSSDI*P636,IF(AT636&lt;&gt;0,SSDI*W636,0))</f>
        <v>0</v>
      </c>
      <c r="BE636" s="462">
        <f>IF(AT636&lt;&gt;0,SSHI*W636,0)</f>
        <v>0</v>
      </c>
      <c r="BF636" s="462">
        <f>IF(AND(AT636&lt;&gt;0,AN636&lt;&gt;"NE"),VLOOKUP(AN636,Retirement_Rates,3,FALSE)*W636,0)</f>
        <v>0</v>
      </c>
      <c r="BG636" s="462">
        <f>IF(AND(AT636&lt;&gt;0,AJ636&lt;&gt;"PF"),Life*W636,0)</f>
        <v>0</v>
      </c>
      <c r="BH636" s="462">
        <f>IF(AND(AT636&lt;&gt;0,AM636="Y"),UI*W636,0)</f>
        <v>0</v>
      </c>
      <c r="BI636" s="462">
        <f>IF(AND(AT636&lt;&gt;0,N636&lt;&gt;"NR"),DHR*W636,0)</f>
        <v>0</v>
      </c>
      <c r="BJ636" s="462">
        <f>IF(AT636&lt;&gt;0,WC*W636,0)</f>
        <v>0</v>
      </c>
      <c r="BK636" s="462">
        <f>IF(OR(AND(AT636&lt;&gt;0,AJ636&lt;&gt;"PF",AN636&lt;&gt;"NE",AG636&lt;&gt;"A"),AND(AL636="E",OR(AT636=1,AT636=3))),Sick*W636,0)</f>
        <v>0</v>
      </c>
      <c r="BL636" s="462">
        <f t="shared" si="158"/>
        <v>0</v>
      </c>
      <c r="BM636" s="462">
        <f t="shared" si="159"/>
        <v>0</v>
      </c>
      <c r="BN636" s="462">
        <f>IF(AND(AT636=1,AK636="E",AU636&gt;=0.75,AW636=1),HealthBY,IF(AND(AT636=1,AK636="E",AU636&gt;=0.75),HealthBY*P636,IF(AND(AT636=1,AK636="E",AU636&gt;=0.5,AW636=1),PTHealthBY,IF(AND(AT636=1,AK636="E",AU636&gt;=0.5),PTHealthBY*P636,0))))</f>
        <v>0</v>
      </c>
      <c r="BO636" s="462">
        <f>IF(AND(AT636=3,AK636="E",AV636&gt;=0.75,AW636=1),HealthBY,IF(AND(AT636=3,AK636="E",AV636&gt;=0.75),HealthBY*P636,IF(AND(AT636=3,AK636="E",AV636&gt;=0.5,AW636=1),PTHealthBY,IF(AND(AT636=3,AK636="E",AV636&gt;=0.5),PTHealthBY*P636,0))))</f>
        <v>0</v>
      </c>
      <c r="BP636" s="462">
        <f>IF(AND(AT636&lt;&gt;0,(AX636+BA636)&gt;=MAXSSDIBY),SSDIBY*MAXSSDIBY*P636,IF(AT636&lt;&gt;0,SSDIBY*W636,0))</f>
        <v>0</v>
      </c>
      <c r="BQ636" s="462">
        <f>IF(AT636&lt;&gt;0,SSHIBY*W636,0)</f>
        <v>0</v>
      </c>
      <c r="BR636" s="462">
        <f>IF(AND(AT636&lt;&gt;0,AN636&lt;&gt;"NE"),VLOOKUP(AN636,Retirement_Rates,4,FALSE)*W636,0)</f>
        <v>0</v>
      </c>
      <c r="BS636" s="462">
        <f>IF(AND(AT636&lt;&gt;0,AJ636&lt;&gt;"PF"),LifeBY*W636,0)</f>
        <v>0</v>
      </c>
      <c r="BT636" s="462">
        <f>IF(AND(AT636&lt;&gt;0,AM636="Y"),UIBY*W636,0)</f>
        <v>0</v>
      </c>
      <c r="BU636" s="462">
        <f>IF(AND(AT636&lt;&gt;0,N636&lt;&gt;"NR"),DHRBY*W636,0)</f>
        <v>0</v>
      </c>
      <c r="BV636" s="462">
        <f>IF(AT636&lt;&gt;0,WCBY*W636,0)</f>
        <v>0</v>
      </c>
      <c r="BW636" s="462">
        <f>IF(OR(AND(AT636&lt;&gt;0,AJ636&lt;&gt;"PF",AN636&lt;&gt;"NE",AG636&lt;&gt;"A"),AND(AL636="E",OR(AT636=1,AT636=3))),SickBY*W636,0)</f>
        <v>0</v>
      </c>
      <c r="BX636" s="462">
        <f t="shared" si="160"/>
        <v>0</v>
      </c>
      <c r="BY636" s="462">
        <f t="shared" si="161"/>
        <v>0</v>
      </c>
      <c r="BZ636" s="462">
        <f t="shared" si="162"/>
        <v>0</v>
      </c>
      <c r="CA636" s="462">
        <f t="shared" si="163"/>
        <v>0</v>
      </c>
      <c r="CB636" s="462">
        <f t="shared" si="164"/>
        <v>0</v>
      </c>
      <c r="CC636" s="462">
        <f>IF(AT636&lt;&gt;0,SSHICHG*Y636,0)</f>
        <v>0</v>
      </c>
      <c r="CD636" s="462">
        <f>IF(AND(AT636&lt;&gt;0,AN636&lt;&gt;"NE"),VLOOKUP(AN636,Retirement_Rates,5,FALSE)*Y636,0)</f>
        <v>0</v>
      </c>
      <c r="CE636" s="462">
        <f>IF(AND(AT636&lt;&gt;0,AJ636&lt;&gt;"PF"),LifeCHG*Y636,0)</f>
        <v>0</v>
      </c>
      <c r="CF636" s="462">
        <f>IF(AND(AT636&lt;&gt;0,AM636="Y"),UICHG*Y636,0)</f>
        <v>0</v>
      </c>
      <c r="CG636" s="462">
        <f>IF(AND(AT636&lt;&gt;0,N636&lt;&gt;"NR"),DHRCHG*Y636,0)</f>
        <v>0</v>
      </c>
      <c r="CH636" s="462">
        <f>IF(AT636&lt;&gt;0,WCCHG*Y636,0)</f>
        <v>0</v>
      </c>
      <c r="CI636" s="462">
        <f>IF(OR(AND(AT636&lt;&gt;0,AJ636&lt;&gt;"PF",AN636&lt;&gt;"NE",AG636&lt;&gt;"A"),AND(AL636="E",OR(AT636=1,AT636=3))),SickCHG*Y636,0)</f>
        <v>0</v>
      </c>
      <c r="CJ636" s="462">
        <f t="shared" si="165"/>
        <v>0</v>
      </c>
      <c r="CK636" s="462" t="str">
        <f t="shared" si="166"/>
        <v/>
      </c>
      <c r="CL636" s="462" t="str">
        <f t="shared" si="167"/>
        <v/>
      </c>
      <c r="CM636" s="462" t="str">
        <f t="shared" si="168"/>
        <v/>
      </c>
      <c r="CN636" s="462" t="str">
        <f t="shared" si="169"/>
        <v>0348-00</v>
      </c>
    </row>
    <row r="637" spans="1:92" ht="15" thickBot="1" x14ac:dyDescent="0.35">
      <c r="A637" s="376" t="s">
        <v>161</v>
      </c>
      <c r="B637" s="376" t="s">
        <v>162</v>
      </c>
      <c r="C637" s="376" t="s">
        <v>354</v>
      </c>
      <c r="D637" s="376" t="s">
        <v>355</v>
      </c>
      <c r="E637" s="376" t="s">
        <v>759</v>
      </c>
      <c r="F637" s="377" t="s">
        <v>166</v>
      </c>
      <c r="G637" s="376" t="s">
        <v>1351</v>
      </c>
      <c r="H637" s="378"/>
      <c r="I637" s="378"/>
      <c r="J637" s="376" t="s">
        <v>168</v>
      </c>
      <c r="K637" s="376" t="s">
        <v>357</v>
      </c>
      <c r="L637" s="376" t="s">
        <v>220</v>
      </c>
      <c r="M637" s="376" t="s">
        <v>170</v>
      </c>
      <c r="N637" s="376" t="s">
        <v>202</v>
      </c>
      <c r="O637" s="379">
        <v>1</v>
      </c>
      <c r="P637" s="460">
        <v>0</v>
      </c>
      <c r="Q637" s="460">
        <v>0</v>
      </c>
      <c r="R637" s="380">
        <v>80</v>
      </c>
      <c r="S637" s="460">
        <v>0</v>
      </c>
      <c r="T637" s="380">
        <v>382.8</v>
      </c>
      <c r="U637" s="380">
        <v>0</v>
      </c>
      <c r="V637" s="380">
        <v>211.47</v>
      </c>
      <c r="W637" s="380">
        <v>0</v>
      </c>
      <c r="X637" s="380">
        <v>0</v>
      </c>
      <c r="Y637" s="380">
        <v>0</v>
      </c>
      <c r="Z637" s="380">
        <v>0</v>
      </c>
      <c r="AA637" s="376" t="s">
        <v>358</v>
      </c>
      <c r="AB637" s="376" t="s">
        <v>359</v>
      </c>
      <c r="AC637" s="376" t="s">
        <v>360</v>
      </c>
      <c r="AD637" s="376" t="s">
        <v>220</v>
      </c>
      <c r="AE637" s="376" t="s">
        <v>357</v>
      </c>
      <c r="AF637" s="376" t="s">
        <v>264</v>
      </c>
      <c r="AG637" s="376" t="s">
        <v>177</v>
      </c>
      <c r="AH637" s="379">
        <v>20</v>
      </c>
      <c r="AI637" s="381">
        <v>7395.3</v>
      </c>
      <c r="AJ637" s="376" t="s">
        <v>313</v>
      </c>
      <c r="AK637" s="376" t="s">
        <v>179</v>
      </c>
      <c r="AL637" s="376" t="s">
        <v>180</v>
      </c>
      <c r="AM637" s="376" t="s">
        <v>181</v>
      </c>
      <c r="AN637" s="376" t="s">
        <v>68</v>
      </c>
      <c r="AO637" s="379">
        <v>65</v>
      </c>
      <c r="AP637" s="460">
        <v>1</v>
      </c>
      <c r="AQ637" s="460">
        <v>0</v>
      </c>
      <c r="AR637" s="458" t="s">
        <v>182</v>
      </c>
      <c r="AS637" s="462">
        <f t="shared" si="153"/>
        <v>0</v>
      </c>
      <c r="AT637">
        <f t="shared" si="154"/>
        <v>0</v>
      </c>
      <c r="AU637" s="462" t="str">
        <f>IF(AT637=0,"",IF(AND(AT637=1,M637="F",SUMIF(C2:C698,C637,AS2:AS698)&lt;=1),SUMIF(C2:C698,C637,AS2:AS698),IF(AND(AT637=1,M637="F",SUMIF(C2:C698,C637,AS2:AS698)&gt;1),1,"")))</f>
        <v/>
      </c>
      <c r="AV637" s="462" t="str">
        <f>IF(AT637=0,"",IF(AND(AT637=3,M637="F",SUMIF(C2:C698,C637,AS2:AS698)&lt;=1),SUMIF(C2:C698,C637,AS2:AS698),IF(AND(AT637=3,M637="F",SUMIF(C2:C698,C637,AS2:AS698)&gt;1),1,"")))</f>
        <v/>
      </c>
      <c r="AW637" s="462">
        <f>SUMIF(C2:C698,C637,O2:O698)</f>
        <v>3</v>
      </c>
      <c r="AX637" s="462">
        <f>IF(AND(M637="F",AS637&lt;&gt;0),SUMIF(C2:C698,C637,W2:W698),0)</f>
        <v>0</v>
      </c>
      <c r="AY637" s="462" t="str">
        <f t="shared" si="155"/>
        <v/>
      </c>
      <c r="AZ637" s="462" t="str">
        <f t="shared" si="156"/>
        <v/>
      </c>
      <c r="BA637" s="462">
        <f t="shared" si="157"/>
        <v>0</v>
      </c>
      <c r="BB637" s="462">
        <f>IF(AND(AT637=1,AK637="E",AU637&gt;=0.75,AW637=1),Health,IF(AND(AT637=1,AK637="E",AU637&gt;=0.75),Health*P637,IF(AND(AT637=1,AK637="E",AU637&gt;=0.5,AW637=1),PTHealth,IF(AND(AT637=1,AK637="E",AU637&gt;=0.5),PTHealth*P637,0))))</f>
        <v>0</v>
      </c>
      <c r="BC637" s="462">
        <f>IF(AND(AT637=3,AK637="E",AV637&gt;=0.75,AW637=1),Health,IF(AND(AT637=3,AK637="E",AV637&gt;=0.75),Health*P637,IF(AND(AT637=3,AK637="E",AV637&gt;=0.5,AW637=1),PTHealth,IF(AND(AT637=3,AK637="E",AV637&gt;=0.5),PTHealth*P637,0))))</f>
        <v>0</v>
      </c>
      <c r="BD637" s="462">
        <f>IF(AND(AT637&lt;&gt;0,AX637&gt;=MAXSSDI),SSDI*MAXSSDI*P637,IF(AT637&lt;&gt;0,SSDI*W637,0))</f>
        <v>0</v>
      </c>
      <c r="BE637" s="462">
        <f>IF(AT637&lt;&gt;0,SSHI*W637,0)</f>
        <v>0</v>
      </c>
      <c r="BF637" s="462">
        <f>IF(AND(AT637&lt;&gt;0,AN637&lt;&gt;"NE"),VLOOKUP(AN637,Retirement_Rates,3,FALSE)*W637,0)</f>
        <v>0</v>
      </c>
      <c r="BG637" s="462">
        <f>IF(AND(AT637&lt;&gt;0,AJ637&lt;&gt;"PF"),Life*W637,0)</f>
        <v>0</v>
      </c>
      <c r="BH637" s="462">
        <f>IF(AND(AT637&lt;&gt;0,AM637="Y"),UI*W637,0)</f>
        <v>0</v>
      </c>
      <c r="BI637" s="462">
        <f>IF(AND(AT637&lt;&gt;0,N637&lt;&gt;"NR"),DHR*W637,0)</f>
        <v>0</v>
      </c>
      <c r="BJ637" s="462">
        <f>IF(AT637&lt;&gt;0,WC*W637,0)</f>
        <v>0</v>
      </c>
      <c r="BK637" s="462">
        <f>IF(OR(AND(AT637&lt;&gt;0,AJ637&lt;&gt;"PF",AN637&lt;&gt;"NE",AG637&lt;&gt;"A"),AND(AL637="E",OR(AT637=1,AT637=3))),Sick*W637,0)</f>
        <v>0</v>
      </c>
      <c r="BL637" s="462">
        <f t="shared" si="158"/>
        <v>0</v>
      </c>
      <c r="BM637" s="462">
        <f t="shared" si="159"/>
        <v>0</v>
      </c>
      <c r="BN637" s="462">
        <f>IF(AND(AT637=1,AK637="E",AU637&gt;=0.75,AW637=1),HealthBY,IF(AND(AT637=1,AK637="E",AU637&gt;=0.75),HealthBY*P637,IF(AND(AT637=1,AK637="E",AU637&gt;=0.5,AW637=1),PTHealthBY,IF(AND(AT637=1,AK637="E",AU637&gt;=0.5),PTHealthBY*P637,0))))</f>
        <v>0</v>
      </c>
      <c r="BO637" s="462">
        <f>IF(AND(AT637=3,AK637="E",AV637&gt;=0.75,AW637=1),HealthBY,IF(AND(AT637=3,AK637="E",AV637&gt;=0.75),HealthBY*P637,IF(AND(AT637=3,AK637="E",AV637&gt;=0.5,AW637=1),PTHealthBY,IF(AND(AT637=3,AK637="E",AV637&gt;=0.5),PTHealthBY*P637,0))))</f>
        <v>0</v>
      </c>
      <c r="BP637" s="462">
        <f>IF(AND(AT637&lt;&gt;0,(AX637+BA637)&gt;=MAXSSDIBY),SSDIBY*MAXSSDIBY*P637,IF(AT637&lt;&gt;0,SSDIBY*W637,0))</f>
        <v>0</v>
      </c>
      <c r="BQ637" s="462">
        <f>IF(AT637&lt;&gt;0,SSHIBY*W637,0)</f>
        <v>0</v>
      </c>
      <c r="BR637" s="462">
        <f>IF(AND(AT637&lt;&gt;0,AN637&lt;&gt;"NE"),VLOOKUP(AN637,Retirement_Rates,4,FALSE)*W637,0)</f>
        <v>0</v>
      </c>
      <c r="BS637" s="462">
        <f>IF(AND(AT637&lt;&gt;0,AJ637&lt;&gt;"PF"),LifeBY*W637,0)</f>
        <v>0</v>
      </c>
      <c r="BT637" s="462">
        <f>IF(AND(AT637&lt;&gt;0,AM637="Y"),UIBY*W637,0)</f>
        <v>0</v>
      </c>
      <c r="BU637" s="462">
        <f>IF(AND(AT637&lt;&gt;0,N637&lt;&gt;"NR"),DHRBY*W637,0)</f>
        <v>0</v>
      </c>
      <c r="BV637" s="462">
        <f>IF(AT637&lt;&gt;0,WCBY*W637,0)</f>
        <v>0</v>
      </c>
      <c r="BW637" s="462">
        <f>IF(OR(AND(AT637&lt;&gt;0,AJ637&lt;&gt;"PF",AN637&lt;&gt;"NE",AG637&lt;&gt;"A"),AND(AL637="E",OR(AT637=1,AT637=3))),SickBY*W637,0)</f>
        <v>0</v>
      </c>
      <c r="BX637" s="462">
        <f t="shared" si="160"/>
        <v>0</v>
      </c>
      <c r="BY637" s="462">
        <f t="shared" si="161"/>
        <v>0</v>
      </c>
      <c r="BZ637" s="462">
        <f t="shared" si="162"/>
        <v>0</v>
      </c>
      <c r="CA637" s="462">
        <f t="shared" si="163"/>
        <v>0</v>
      </c>
      <c r="CB637" s="462">
        <f t="shared" si="164"/>
        <v>0</v>
      </c>
      <c r="CC637" s="462">
        <f>IF(AT637&lt;&gt;0,SSHICHG*Y637,0)</f>
        <v>0</v>
      </c>
      <c r="CD637" s="462">
        <f>IF(AND(AT637&lt;&gt;0,AN637&lt;&gt;"NE"),VLOOKUP(AN637,Retirement_Rates,5,FALSE)*Y637,0)</f>
        <v>0</v>
      </c>
      <c r="CE637" s="462">
        <f>IF(AND(AT637&lt;&gt;0,AJ637&lt;&gt;"PF"),LifeCHG*Y637,0)</f>
        <v>0</v>
      </c>
      <c r="CF637" s="462">
        <f>IF(AND(AT637&lt;&gt;0,AM637="Y"),UICHG*Y637,0)</f>
        <v>0</v>
      </c>
      <c r="CG637" s="462">
        <f>IF(AND(AT637&lt;&gt;0,N637&lt;&gt;"NR"),DHRCHG*Y637,0)</f>
        <v>0</v>
      </c>
      <c r="CH637" s="462">
        <f>IF(AT637&lt;&gt;0,WCCHG*Y637,0)</f>
        <v>0</v>
      </c>
      <c r="CI637" s="462">
        <f>IF(OR(AND(AT637&lt;&gt;0,AJ637&lt;&gt;"PF",AN637&lt;&gt;"NE",AG637&lt;&gt;"A"),AND(AL637="E",OR(AT637=1,AT637=3))),SickCHG*Y637,0)</f>
        <v>0</v>
      </c>
      <c r="CJ637" s="462">
        <f t="shared" si="165"/>
        <v>0</v>
      </c>
      <c r="CK637" s="462" t="str">
        <f t="shared" si="166"/>
        <v/>
      </c>
      <c r="CL637" s="462" t="str">
        <f t="shared" si="167"/>
        <v/>
      </c>
      <c r="CM637" s="462" t="str">
        <f t="shared" si="168"/>
        <v/>
      </c>
      <c r="CN637" s="462" t="str">
        <f t="shared" si="169"/>
        <v>0348-00</v>
      </c>
    </row>
    <row r="638" spans="1:92" ht="15" thickBot="1" x14ac:dyDescent="0.35">
      <c r="A638" s="376" t="s">
        <v>161</v>
      </c>
      <c r="B638" s="376" t="s">
        <v>162</v>
      </c>
      <c r="C638" s="376" t="s">
        <v>364</v>
      </c>
      <c r="D638" s="376" t="s">
        <v>365</v>
      </c>
      <c r="E638" s="376" t="s">
        <v>759</v>
      </c>
      <c r="F638" s="377" t="s">
        <v>166</v>
      </c>
      <c r="G638" s="376" t="s">
        <v>1351</v>
      </c>
      <c r="H638" s="378"/>
      <c r="I638" s="378"/>
      <c r="J638" s="376" t="s">
        <v>168</v>
      </c>
      <c r="K638" s="376" t="s">
        <v>366</v>
      </c>
      <c r="L638" s="376" t="s">
        <v>274</v>
      </c>
      <c r="M638" s="376" t="s">
        <v>170</v>
      </c>
      <c r="N638" s="376" t="s">
        <v>202</v>
      </c>
      <c r="O638" s="379">
        <v>1</v>
      </c>
      <c r="P638" s="460">
        <v>0</v>
      </c>
      <c r="Q638" s="460">
        <v>0</v>
      </c>
      <c r="R638" s="380">
        <v>80</v>
      </c>
      <c r="S638" s="460">
        <v>0</v>
      </c>
      <c r="T638" s="380">
        <v>362.85</v>
      </c>
      <c r="U638" s="380">
        <v>0</v>
      </c>
      <c r="V638" s="380">
        <v>199.14</v>
      </c>
      <c r="W638" s="380">
        <v>0</v>
      </c>
      <c r="X638" s="380">
        <v>0</v>
      </c>
      <c r="Y638" s="380">
        <v>0</v>
      </c>
      <c r="Z638" s="380">
        <v>0</v>
      </c>
      <c r="AA638" s="376" t="s">
        <v>367</v>
      </c>
      <c r="AB638" s="376" t="s">
        <v>368</v>
      </c>
      <c r="AC638" s="376" t="s">
        <v>369</v>
      </c>
      <c r="AD638" s="376" t="s">
        <v>370</v>
      </c>
      <c r="AE638" s="376" t="s">
        <v>366</v>
      </c>
      <c r="AF638" s="376" t="s">
        <v>279</v>
      </c>
      <c r="AG638" s="376" t="s">
        <v>177</v>
      </c>
      <c r="AH638" s="381">
        <v>18.46</v>
      </c>
      <c r="AI638" s="379">
        <v>16594</v>
      </c>
      <c r="AJ638" s="376" t="s">
        <v>178</v>
      </c>
      <c r="AK638" s="376" t="s">
        <v>179</v>
      </c>
      <c r="AL638" s="376" t="s">
        <v>180</v>
      </c>
      <c r="AM638" s="376" t="s">
        <v>181</v>
      </c>
      <c r="AN638" s="376" t="s">
        <v>68</v>
      </c>
      <c r="AO638" s="379">
        <v>80</v>
      </c>
      <c r="AP638" s="460">
        <v>1</v>
      </c>
      <c r="AQ638" s="460">
        <v>0</v>
      </c>
      <c r="AR638" s="458" t="s">
        <v>182</v>
      </c>
      <c r="AS638" s="462">
        <f t="shared" si="153"/>
        <v>0</v>
      </c>
      <c r="AT638">
        <f t="shared" si="154"/>
        <v>0</v>
      </c>
      <c r="AU638" s="462" t="str">
        <f>IF(AT638=0,"",IF(AND(AT638=1,M638="F",SUMIF(C2:C698,C638,AS2:AS698)&lt;=1),SUMIF(C2:C698,C638,AS2:AS698),IF(AND(AT638=1,M638="F",SUMIF(C2:C698,C638,AS2:AS698)&gt;1),1,"")))</f>
        <v/>
      </c>
      <c r="AV638" s="462" t="str">
        <f>IF(AT638=0,"",IF(AND(AT638=3,M638="F",SUMIF(C2:C698,C638,AS2:AS698)&lt;=1),SUMIF(C2:C698,C638,AS2:AS698),IF(AND(AT638=3,M638="F",SUMIF(C2:C698,C638,AS2:AS698)&gt;1),1,"")))</f>
        <v/>
      </c>
      <c r="AW638" s="462">
        <f>SUMIF(C2:C698,C638,O2:O698)</f>
        <v>7</v>
      </c>
      <c r="AX638" s="462">
        <f>IF(AND(M638="F",AS638&lt;&gt;0),SUMIF(C2:C698,C638,W2:W698),0)</f>
        <v>0</v>
      </c>
      <c r="AY638" s="462" t="str">
        <f t="shared" si="155"/>
        <v/>
      </c>
      <c r="AZ638" s="462" t="str">
        <f t="shared" si="156"/>
        <v/>
      </c>
      <c r="BA638" s="462">
        <f t="shared" si="157"/>
        <v>0</v>
      </c>
      <c r="BB638" s="462">
        <f>IF(AND(AT638=1,AK638="E",AU638&gt;=0.75,AW638=1),Health,IF(AND(AT638=1,AK638="E",AU638&gt;=0.75),Health*P638,IF(AND(AT638=1,AK638="E",AU638&gt;=0.5,AW638=1),PTHealth,IF(AND(AT638=1,AK638="E",AU638&gt;=0.5),PTHealth*P638,0))))</f>
        <v>0</v>
      </c>
      <c r="BC638" s="462">
        <f>IF(AND(AT638=3,AK638="E",AV638&gt;=0.75,AW638=1),Health,IF(AND(AT638=3,AK638="E",AV638&gt;=0.75),Health*P638,IF(AND(AT638=3,AK638="E",AV638&gt;=0.5,AW638=1),PTHealth,IF(AND(AT638=3,AK638="E",AV638&gt;=0.5),PTHealth*P638,0))))</f>
        <v>0</v>
      </c>
      <c r="BD638" s="462">
        <f>IF(AND(AT638&lt;&gt;0,AX638&gt;=MAXSSDI),SSDI*MAXSSDI*P638,IF(AT638&lt;&gt;0,SSDI*W638,0))</f>
        <v>0</v>
      </c>
      <c r="BE638" s="462">
        <f>IF(AT638&lt;&gt;0,SSHI*W638,0)</f>
        <v>0</v>
      </c>
      <c r="BF638" s="462">
        <f>IF(AND(AT638&lt;&gt;0,AN638&lt;&gt;"NE"),VLOOKUP(AN638,Retirement_Rates,3,FALSE)*W638,0)</f>
        <v>0</v>
      </c>
      <c r="BG638" s="462">
        <f>IF(AND(AT638&lt;&gt;0,AJ638&lt;&gt;"PF"),Life*W638,0)</f>
        <v>0</v>
      </c>
      <c r="BH638" s="462">
        <f>IF(AND(AT638&lt;&gt;0,AM638="Y"),UI*W638,0)</f>
        <v>0</v>
      </c>
      <c r="BI638" s="462">
        <f>IF(AND(AT638&lt;&gt;0,N638&lt;&gt;"NR"),DHR*W638,0)</f>
        <v>0</v>
      </c>
      <c r="BJ638" s="462">
        <f>IF(AT638&lt;&gt;0,WC*W638,0)</f>
        <v>0</v>
      </c>
      <c r="BK638" s="462">
        <f>IF(OR(AND(AT638&lt;&gt;0,AJ638&lt;&gt;"PF",AN638&lt;&gt;"NE",AG638&lt;&gt;"A"),AND(AL638="E",OR(AT638=1,AT638=3))),Sick*W638,0)</f>
        <v>0</v>
      </c>
      <c r="BL638" s="462">
        <f t="shared" si="158"/>
        <v>0</v>
      </c>
      <c r="BM638" s="462">
        <f t="shared" si="159"/>
        <v>0</v>
      </c>
      <c r="BN638" s="462">
        <f>IF(AND(AT638=1,AK638="E",AU638&gt;=0.75,AW638=1),HealthBY,IF(AND(AT638=1,AK638="E",AU638&gt;=0.75),HealthBY*P638,IF(AND(AT638=1,AK638="E",AU638&gt;=0.5,AW638=1),PTHealthBY,IF(AND(AT638=1,AK638="E",AU638&gt;=0.5),PTHealthBY*P638,0))))</f>
        <v>0</v>
      </c>
      <c r="BO638" s="462">
        <f>IF(AND(AT638=3,AK638="E",AV638&gt;=0.75,AW638=1),HealthBY,IF(AND(AT638=3,AK638="E",AV638&gt;=0.75),HealthBY*P638,IF(AND(AT638=3,AK638="E",AV638&gt;=0.5,AW638=1),PTHealthBY,IF(AND(AT638=3,AK638="E",AV638&gt;=0.5),PTHealthBY*P638,0))))</f>
        <v>0</v>
      </c>
      <c r="BP638" s="462">
        <f>IF(AND(AT638&lt;&gt;0,(AX638+BA638)&gt;=MAXSSDIBY),SSDIBY*MAXSSDIBY*P638,IF(AT638&lt;&gt;0,SSDIBY*W638,0))</f>
        <v>0</v>
      </c>
      <c r="BQ638" s="462">
        <f>IF(AT638&lt;&gt;0,SSHIBY*W638,0)</f>
        <v>0</v>
      </c>
      <c r="BR638" s="462">
        <f>IF(AND(AT638&lt;&gt;0,AN638&lt;&gt;"NE"),VLOOKUP(AN638,Retirement_Rates,4,FALSE)*W638,0)</f>
        <v>0</v>
      </c>
      <c r="BS638" s="462">
        <f>IF(AND(AT638&lt;&gt;0,AJ638&lt;&gt;"PF"),LifeBY*W638,0)</f>
        <v>0</v>
      </c>
      <c r="BT638" s="462">
        <f>IF(AND(AT638&lt;&gt;0,AM638="Y"),UIBY*W638,0)</f>
        <v>0</v>
      </c>
      <c r="BU638" s="462">
        <f>IF(AND(AT638&lt;&gt;0,N638&lt;&gt;"NR"),DHRBY*W638,0)</f>
        <v>0</v>
      </c>
      <c r="BV638" s="462">
        <f>IF(AT638&lt;&gt;0,WCBY*W638,0)</f>
        <v>0</v>
      </c>
      <c r="BW638" s="462">
        <f>IF(OR(AND(AT638&lt;&gt;0,AJ638&lt;&gt;"PF",AN638&lt;&gt;"NE",AG638&lt;&gt;"A"),AND(AL638="E",OR(AT638=1,AT638=3))),SickBY*W638,0)</f>
        <v>0</v>
      </c>
      <c r="BX638" s="462">
        <f t="shared" si="160"/>
        <v>0</v>
      </c>
      <c r="BY638" s="462">
        <f t="shared" si="161"/>
        <v>0</v>
      </c>
      <c r="BZ638" s="462">
        <f t="shared" si="162"/>
        <v>0</v>
      </c>
      <c r="CA638" s="462">
        <f t="shared" si="163"/>
        <v>0</v>
      </c>
      <c r="CB638" s="462">
        <f t="shared" si="164"/>
        <v>0</v>
      </c>
      <c r="CC638" s="462">
        <f>IF(AT638&lt;&gt;0,SSHICHG*Y638,0)</f>
        <v>0</v>
      </c>
      <c r="CD638" s="462">
        <f>IF(AND(AT638&lt;&gt;0,AN638&lt;&gt;"NE"),VLOOKUP(AN638,Retirement_Rates,5,FALSE)*Y638,0)</f>
        <v>0</v>
      </c>
      <c r="CE638" s="462">
        <f>IF(AND(AT638&lt;&gt;0,AJ638&lt;&gt;"PF"),LifeCHG*Y638,0)</f>
        <v>0</v>
      </c>
      <c r="CF638" s="462">
        <f>IF(AND(AT638&lt;&gt;0,AM638="Y"),UICHG*Y638,0)</f>
        <v>0</v>
      </c>
      <c r="CG638" s="462">
        <f>IF(AND(AT638&lt;&gt;0,N638&lt;&gt;"NR"),DHRCHG*Y638,0)</f>
        <v>0</v>
      </c>
      <c r="CH638" s="462">
        <f>IF(AT638&lt;&gt;0,WCCHG*Y638,0)</f>
        <v>0</v>
      </c>
      <c r="CI638" s="462">
        <f>IF(OR(AND(AT638&lt;&gt;0,AJ638&lt;&gt;"PF",AN638&lt;&gt;"NE",AG638&lt;&gt;"A"),AND(AL638="E",OR(AT638=1,AT638=3))),SickCHG*Y638,0)</f>
        <v>0</v>
      </c>
      <c r="CJ638" s="462">
        <f t="shared" si="165"/>
        <v>0</v>
      </c>
      <c r="CK638" s="462" t="str">
        <f t="shared" si="166"/>
        <v/>
      </c>
      <c r="CL638" s="462" t="str">
        <f t="shared" si="167"/>
        <v/>
      </c>
      <c r="CM638" s="462" t="str">
        <f t="shared" si="168"/>
        <v/>
      </c>
      <c r="CN638" s="462" t="str">
        <f t="shared" si="169"/>
        <v>0348-00</v>
      </c>
    </row>
    <row r="639" spans="1:92" ht="15" thickBot="1" x14ac:dyDescent="0.35">
      <c r="A639" s="376" t="s">
        <v>161</v>
      </c>
      <c r="B639" s="376" t="s">
        <v>162</v>
      </c>
      <c r="C639" s="376" t="s">
        <v>412</v>
      </c>
      <c r="D639" s="376" t="s">
        <v>287</v>
      </c>
      <c r="E639" s="376" t="s">
        <v>759</v>
      </c>
      <c r="F639" s="377" t="s">
        <v>166</v>
      </c>
      <c r="G639" s="376" t="s">
        <v>1351</v>
      </c>
      <c r="H639" s="378"/>
      <c r="I639" s="378"/>
      <c r="J639" s="376" t="s">
        <v>168</v>
      </c>
      <c r="K639" s="376" t="s">
        <v>290</v>
      </c>
      <c r="L639" s="376" t="s">
        <v>166</v>
      </c>
      <c r="M639" s="376" t="s">
        <v>201</v>
      </c>
      <c r="N639" s="376" t="s">
        <v>291</v>
      </c>
      <c r="O639" s="379">
        <v>0</v>
      </c>
      <c r="P639" s="460">
        <v>0</v>
      </c>
      <c r="Q639" s="460">
        <v>0</v>
      </c>
      <c r="R639" s="380">
        <v>0</v>
      </c>
      <c r="S639" s="460">
        <v>0</v>
      </c>
      <c r="T639" s="380">
        <v>277.5</v>
      </c>
      <c r="U639" s="380">
        <v>0</v>
      </c>
      <c r="V639" s="380">
        <v>27.54</v>
      </c>
      <c r="W639" s="380">
        <v>0</v>
      </c>
      <c r="X639" s="380">
        <v>0</v>
      </c>
      <c r="Y639" s="380">
        <v>0</v>
      </c>
      <c r="Z639" s="380">
        <v>0</v>
      </c>
      <c r="AA639" s="378"/>
      <c r="AB639" s="376" t="s">
        <v>45</v>
      </c>
      <c r="AC639" s="376" t="s">
        <v>45</v>
      </c>
      <c r="AD639" s="378"/>
      <c r="AE639" s="378"/>
      <c r="AF639" s="378"/>
      <c r="AG639" s="378"/>
      <c r="AH639" s="379">
        <v>0</v>
      </c>
      <c r="AI639" s="379">
        <v>0</v>
      </c>
      <c r="AJ639" s="378"/>
      <c r="AK639" s="378"/>
      <c r="AL639" s="376" t="s">
        <v>180</v>
      </c>
      <c r="AM639" s="378"/>
      <c r="AN639" s="378"/>
      <c r="AO639" s="379">
        <v>0</v>
      </c>
      <c r="AP639" s="460">
        <v>0</v>
      </c>
      <c r="AQ639" s="460">
        <v>0</v>
      </c>
      <c r="AR639" s="459"/>
      <c r="AS639" s="462">
        <f t="shared" si="153"/>
        <v>0</v>
      </c>
      <c r="AT639">
        <f t="shared" si="154"/>
        <v>0</v>
      </c>
      <c r="AU639" s="462" t="str">
        <f>IF(AT639=0,"",IF(AND(AT639=1,M639="F",SUMIF(C2:C698,C639,AS2:AS698)&lt;=1),SUMIF(C2:C698,C639,AS2:AS698),IF(AND(AT639=1,M639="F",SUMIF(C2:C698,C639,AS2:AS698)&gt;1),1,"")))</f>
        <v/>
      </c>
      <c r="AV639" s="462" t="str">
        <f>IF(AT639=0,"",IF(AND(AT639=3,M639="F",SUMIF(C2:C698,C639,AS2:AS698)&lt;=1),SUMIF(C2:C698,C639,AS2:AS698),IF(AND(AT639=3,M639="F",SUMIF(C2:C698,C639,AS2:AS698)&gt;1),1,"")))</f>
        <v/>
      </c>
      <c r="AW639" s="462">
        <f>SUMIF(C2:C698,C639,O2:O698)</f>
        <v>0</v>
      </c>
      <c r="AX639" s="462">
        <f>IF(AND(M639="F",AS639&lt;&gt;0),SUMIF(C2:C698,C639,W2:W698),0)</f>
        <v>0</v>
      </c>
      <c r="AY639" s="462" t="str">
        <f t="shared" si="155"/>
        <v/>
      </c>
      <c r="AZ639" s="462" t="str">
        <f t="shared" si="156"/>
        <v/>
      </c>
      <c r="BA639" s="462">
        <f t="shared" si="157"/>
        <v>0</v>
      </c>
      <c r="BB639" s="462">
        <f>IF(AND(AT639=1,AK639="E",AU639&gt;=0.75,AW639=1),Health,IF(AND(AT639=1,AK639="E",AU639&gt;=0.75),Health*P639,IF(AND(AT639=1,AK639="E",AU639&gt;=0.5,AW639=1),PTHealth,IF(AND(AT639=1,AK639="E",AU639&gt;=0.5),PTHealth*P639,0))))</f>
        <v>0</v>
      </c>
      <c r="BC639" s="462">
        <f>IF(AND(AT639=3,AK639="E",AV639&gt;=0.75,AW639=1),Health,IF(AND(AT639=3,AK639="E",AV639&gt;=0.75),Health*P639,IF(AND(AT639=3,AK639="E",AV639&gt;=0.5,AW639=1),PTHealth,IF(AND(AT639=3,AK639="E",AV639&gt;=0.5),PTHealth*P639,0))))</f>
        <v>0</v>
      </c>
      <c r="BD639" s="462">
        <f>IF(AND(AT639&lt;&gt;0,AX639&gt;=MAXSSDI),SSDI*MAXSSDI*P639,IF(AT639&lt;&gt;0,SSDI*W639,0))</f>
        <v>0</v>
      </c>
      <c r="BE639" s="462">
        <f>IF(AT639&lt;&gt;0,SSHI*W639,0)</f>
        <v>0</v>
      </c>
      <c r="BF639" s="462">
        <f>IF(AND(AT639&lt;&gt;0,AN639&lt;&gt;"NE"),VLOOKUP(AN639,Retirement_Rates,3,FALSE)*W639,0)</f>
        <v>0</v>
      </c>
      <c r="BG639" s="462">
        <f>IF(AND(AT639&lt;&gt;0,AJ639&lt;&gt;"PF"),Life*W639,0)</f>
        <v>0</v>
      </c>
      <c r="BH639" s="462">
        <f>IF(AND(AT639&lt;&gt;0,AM639="Y"),UI*W639,0)</f>
        <v>0</v>
      </c>
      <c r="BI639" s="462">
        <f>IF(AND(AT639&lt;&gt;0,N639&lt;&gt;"NR"),DHR*W639,0)</f>
        <v>0</v>
      </c>
      <c r="BJ639" s="462">
        <f>IF(AT639&lt;&gt;0,WC*W639,0)</f>
        <v>0</v>
      </c>
      <c r="BK639" s="462">
        <f>IF(OR(AND(AT639&lt;&gt;0,AJ639&lt;&gt;"PF",AN639&lt;&gt;"NE",AG639&lt;&gt;"A"),AND(AL639="E",OR(AT639=1,AT639=3))),Sick*W639,0)</f>
        <v>0</v>
      </c>
      <c r="BL639" s="462">
        <f t="shared" si="158"/>
        <v>0</v>
      </c>
      <c r="BM639" s="462">
        <f t="shared" si="159"/>
        <v>0</v>
      </c>
      <c r="BN639" s="462">
        <f>IF(AND(AT639=1,AK639="E",AU639&gt;=0.75,AW639=1),HealthBY,IF(AND(AT639=1,AK639="E",AU639&gt;=0.75),HealthBY*P639,IF(AND(AT639=1,AK639="E",AU639&gt;=0.5,AW639=1),PTHealthBY,IF(AND(AT639=1,AK639="E",AU639&gt;=0.5),PTHealthBY*P639,0))))</f>
        <v>0</v>
      </c>
      <c r="BO639" s="462">
        <f>IF(AND(AT639=3,AK639="E",AV639&gt;=0.75,AW639=1),HealthBY,IF(AND(AT639=3,AK639="E",AV639&gt;=0.75),HealthBY*P639,IF(AND(AT639=3,AK639="E",AV639&gt;=0.5,AW639=1),PTHealthBY,IF(AND(AT639=3,AK639="E",AV639&gt;=0.5),PTHealthBY*P639,0))))</f>
        <v>0</v>
      </c>
      <c r="BP639" s="462">
        <f>IF(AND(AT639&lt;&gt;0,(AX639+BA639)&gt;=MAXSSDIBY),SSDIBY*MAXSSDIBY*P639,IF(AT639&lt;&gt;0,SSDIBY*W639,0))</f>
        <v>0</v>
      </c>
      <c r="BQ639" s="462">
        <f>IF(AT639&lt;&gt;0,SSHIBY*W639,0)</f>
        <v>0</v>
      </c>
      <c r="BR639" s="462">
        <f>IF(AND(AT639&lt;&gt;0,AN639&lt;&gt;"NE"),VLOOKUP(AN639,Retirement_Rates,4,FALSE)*W639,0)</f>
        <v>0</v>
      </c>
      <c r="BS639" s="462">
        <f>IF(AND(AT639&lt;&gt;0,AJ639&lt;&gt;"PF"),LifeBY*W639,0)</f>
        <v>0</v>
      </c>
      <c r="BT639" s="462">
        <f>IF(AND(AT639&lt;&gt;0,AM639="Y"),UIBY*W639,0)</f>
        <v>0</v>
      </c>
      <c r="BU639" s="462">
        <f>IF(AND(AT639&lt;&gt;0,N639&lt;&gt;"NR"),DHRBY*W639,0)</f>
        <v>0</v>
      </c>
      <c r="BV639" s="462">
        <f>IF(AT639&lt;&gt;0,WCBY*W639,0)</f>
        <v>0</v>
      </c>
      <c r="BW639" s="462">
        <f>IF(OR(AND(AT639&lt;&gt;0,AJ639&lt;&gt;"PF",AN639&lt;&gt;"NE",AG639&lt;&gt;"A"),AND(AL639="E",OR(AT639=1,AT639=3))),SickBY*W639,0)</f>
        <v>0</v>
      </c>
      <c r="BX639" s="462">
        <f t="shared" si="160"/>
        <v>0</v>
      </c>
      <c r="BY639" s="462">
        <f t="shared" si="161"/>
        <v>0</v>
      </c>
      <c r="BZ639" s="462">
        <f t="shared" si="162"/>
        <v>0</v>
      </c>
      <c r="CA639" s="462">
        <f t="shared" si="163"/>
        <v>0</v>
      </c>
      <c r="CB639" s="462">
        <f t="shared" si="164"/>
        <v>0</v>
      </c>
      <c r="CC639" s="462">
        <f>IF(AT639&lt;&gt;0,SSHICHG*Y639,0)</f>
        <v>0</v>
      </c>
      <c r="CD639" s="462">
        <f>IF(AND(AT639&lt;&gt;0,AN639&lt;&gt;"NE"),VLOOKUP(AN639,Retirement_Rates,5,FALSE)*Y639,0)</f>
        <v>0</v>
      </c>
      <c r="CE639" s="462">
        <f>IF(AND(AT639&lt;&gt;0,AJ639&lt;&gt;"PF"),LifeCHG*Y639,0)</f>
        <v>0</v>
      </c>
      <c r="CF639" s="462">
        <f>IF(AND(AT639&lt;&gt;0,AM639="Y"),UICHG*Y639,0)</f>
        <v>0</v>
      </c>
      <c r="CG639" s="462">
        <f>IF(AND(AT639&lt;&gt;0,N639&lt;&gt;"NR"),DHRCHG*Y639,0)</f>
        <v>0</v>
      </c>
      <c r="CH639" s="462">
        <f>IF(AT639&lt;&gt;0,WCCHG*Y639,0)</f>
        <v>0</v>
      </c>
      <c r="CI639" s="462">
        <f>IF(OR(AND(AT639&lt;&gt;0,AJ639&lt;&gt;"PF",AN639&lt;&gt;"NE",AG639&lt;&gt;"A"),AND(AL639="E",OR(AT639=1,AT639=3))),SickCHG*Y639,0)</f>
        <v>0</v>
      </c>
      <c r="CJ639" s="462">
        <f t="shared" si="165"/>
        <v>0</v>
      </c>
      <c r="CK639" s="462" t="str">
        <f t="shared" si="166"/>
        <v/>
      </c>
      <c r="CL639" s="462">
        <f t="shared" si="167"/>
        <v>277.5</v>
      </c>
      <c r="CM639" s="462">
        <f t="shared" si="168"/>
        <v>27.54</v>
      </c>
      <c r="CN639" s="462" t="str">
        <f t="shared" si="169"/>
        <v>0348-00</v>
      </c>
    </row>
    <row r="640" spans="1:92" ht="15" thickBot="1" x14ac:dyDescent="0.35">
      <c r="A640" s="376" t="s">
        <v>161</v>
      </c>
      <c r="B640" s="376" t="s">
        <v>162</v>
      </c>
      <c r="C640" s="376" t="s">
        <v>417</v>
      </c>
      <c r="D640" s="376" t="s">
        <v>418</v>
      </c>
      <c r="E640" s="376" t="s">
        <v>759</v>
      </c>
      <c r="F640" s="377" t="s">
        <v>166</v>
      </c>
      <c r="G640" s="376" t="s">
        <v>1351</v>
      </c>
      <c r="H640" s="378"/>
      <c r="I640" s="378"/>
      <c r="J640" s="376" t="s">
        <v>168</v>
      </c>
      <c r="K640" s="376" t="s">
        <v>419</v>
      </c>
      <c r="L640" s="376" t="s">
        <v>177</v>
      </c>
      <c r="M640" s="376" t="s">
        <v>170</v>
      </c>
      <c r="N640" s="376" t="s">
        <v>291</v>
      </c>
      <c r="O640" s="379">
        <v>0</v>
      </c>
      <c r="P640" s="460">
        <v>0</v>
      </c>
      <c r="Q640" s="460">
        <v>0</v>
      </c>
      <c r="R640" s="380">
        <v>0</v>
      </c>
      <c r="S640" s="460">
        <v>0</v>
      </c>
      <c r="T640" s="380">
        <v>26362.9</v>
      </c>
      <c r="U640" s="380">
        <v>0</v>
      </c>
      <c r="V640" s="380">
        <v>2783.28</v>
      </c>
      <c r="W640" s="380">
        <v>0</v>
      </c>
      <c r="X640" s="380">
        <v>0</v>
      </c>
      <c r="Y640" s="380">
        <v>0</v>
      </c>
      <c r="Z640" s="380">
        <v>0</v>
      </c>
      <c r="AA640" s="378"/>
      <c r="AB640" s="376" t="s">
        <v>45</v>
      </c>
      <c r="AC640" s="376" t="s">
        <v>45</v>
      </c>
      <c r="AD640" s="378"/>
      <c r="AE640" s="378"/>
      <c r="AF640" s="378"/>
      <c r="AG640" s="378"/>
      <c r="AH640" s="379">
        <v>0</v>
      </c>
      <c r="AI640" s="379">
        <v>0</v>
      </c>
      <c r="AJ640" s="378"/>
      <c r="AK640" s="378"/>
      <c r="AL640" s="376" t="s">
        <v>180</v>
      </c>
      <c r="AM640" s="378"/>
      <c r="AN640" s="378"/>
      <c r="AO640" s="379">
        <v>0</v>
      </c>
      <c r="AP640" s="460">
        <v>0</v>
      </c>
      <c r="AQ640" s="460">
        <v>0</v>
      </c>
      <c r="AR640" s="459"/>
      <c r="AS640" s="462">
        <f t="shared" si="153"/>
        <v>0</v>
      </c>
      <c r="AT640">
        <f t="shared" si="154"/>
        <v>0</v>
      </c>
      <c r="AU640" s="462" t="str">
        <f>IF(AT640=0,"",IF(AND(AT640=1,M640="F",SUMIF(C2:C698,C640,AS2:AS698)&lt;=1),SUMIF(C2:C698,C640,AS2:AS698),IF(AND(AT640=1,M640="F",SUMIF(C2:C698,C640,AS2:AS698)&gt;1),1,"")))</f>
        <v/>
      </c>
      <c r="AV640" s="462" t="str">
        <f>IF(AT640=0,"",IF(AND(AT640=3,M640="F",SUMIF(C2:C698,C640,AS2:AS698)&lt;=1),SUMIF(C2:C698,C640,AS2:AS698),IF(AND(AT640=3,M640="F",SUMIF(C2:C698,C640,AS2:AS698)&gt;1),1,"")))</f>
        <v/>
      </c>
      <c r="AW640" s="462">
        <f>SUMIF(C2:C698,C640,O2:O698)</f>
        <v>0</v>
      </c>
      <c r="AX640" s="462">
        <f>IF(AND(M640="F",AS640&lt;&gt;0),SUMIF(C2:C698,C640,W2:W698),0)</f>
        <v>0</v>
      </c>
      <c r="AY640" s="462" t="str">
        <f t="shared" si="155"/>
        <v/>
      </c>
      <c r="AZ640" s="462" t="str">
        <f t="shared" si="156"/>
        <v/>
      </c>
      <c r="BA640" s="462">
        <f t="shared" si="157"/>
        <v>0</v>
      </c>
      <c r="BB640" s="462">
        <f>IF(AND(AT640=1,AK640="E",AU640&gt;=0.75,AW640=1),Health,IF(AND(AT640=1,AK640="E",AU640&gt;=0.75),Health*P640,IF(AND(AT640=1,AK640="E",AU640&gt;=0.5,AW640=1),PTHealth,IF(AND(AT640=1,AK640="E",AU640&gt;=0.5),PTHealth*P640,0))))</f>
        <v>0</v>
      </c>
      <c r="BC640" s="462">
        <f>IF(AND(AT640=3,AK640="E",AV640&gt;=0.75,AW640=1),Health,IF(AND(AT640=3,AK640="E",AV640&gt;=0.75),Health*P640,IF(AND(AT640=3,AK640="E",AV640&gt;=0.5,AW640=1),PTHealth,IF(AND(AT640=3,AK640="E",AV640&gt;=0.5),PTHealth*P640,0))))</f>
        <v>0</v>
      </c>
      <c r="BD640" s="462">
        <f>IF(AND(AT640&lt;&gt;0,AX640&gt;=MAXSSDI),SSDI*MAXSSDI*P640,IF(AT640&lt;&gt;0,SSDI*W640,0))</f>
        <v>0</v>
      </c>
      <c r="BE640" s="462">
        <f>IF(AT640&lt;&gt;0,SSHI*W640,0)</f>
        <v>0</v>
      </c>
      <c r="BF640" s="462">
        <f>IF(AND(AT640&lt;&gt;0,AN640&lt;&gt;"NE"),VLOOKUP(AN640,Retirement_Rates,3,FALSE)*W640,0)</f>
        <v>0</v>
      </c>
      <c r="BG640" s="462">
        <f>IF(AND(AT640&lt;&gt;0,AJ640&lt;&gt;"PF"),Life*W640,0)</f>
        <v>0</v>
      </c>
      <c r="BH640" s="462">
        <f>IF(AND(AT640&lt;&gt;0,AM640="Y"),UI*W640,0)</f>
        <v>0</v>
      </c>
      <c r="BI640" s="462">
        <f>IF(AND(AT640&lt;&gt;0,N640&lt;&gt;"NR"),DHR*W640,0)</f>
        <v>0</v>
      </c>
      <c r="BJ640" s="462">
        <f>IF(AT640&lt;&gt;0,WC*W640,0)</f>
        <v>0</v>
      </c>
      <c r="BK640" s="462">
        <f>IF(OR(AND(AT640&lt;&gt;0,AJ640&lt;&gt;"PF",AN640&lt;&gt;"NE",AG640&lt;&gt;"A"),AND(AL640="E",OR(AT640=1,AT640=3))),Sick*W640,0)</f>
        <v>0</v>
      </c>
      <c r="BL640" s="462">
        <f t="shared" si="158"/>
        <v>0</v>
      </c>
      <c r="BM640" s="462">
        <f t="shared" si="159"/>
        <v>0</v>
      </c>
      <c r="BN640" s="462">
        <f>IF(AND(AT640=1,AK640="E",AU640&gt;=0.75,AW640=1),HealthBY,IF(AND(AT640=1,AK640="E",AU640&gt;=0.75),HealthBY*P640,IF(AND(AT640=1,AK640="E",AU640&gt;=0.5,AW640=1),PTHealthBY,IF(AND(AT640=1,AK640="E",AU640&gt;=0.5),PTHealthBY*P640,0))))</f>
        <v>0</v>
      </c>
      <c r="BO640" s="462">
        <f>IF(AND(AT640=3,AK640="E",AV640&gt;=0.75,AW640=1),HealthBY,IF(AND(AT640=3,AK640="E",AV640&gt;=0.75),HealthBY*P640,IF(AND(AT640=3,AK640="E",AV640&gt;=0.5,AW640=1),PTHealthBY,IF(AND(AT640=3,AK640="E",AV640&gt;=0.5),PTHealthBY*P640,0))))</f>
        <v>0</v>
      </c>
      <c r="BP640" s="462">
        <f>IF(AND(AT640&lt;&gt;0,(AX640+BA640)&gt;=MAXSSDIBY),SSDIBY*MAXSSDIBY*P640,IF(AT640&lt;&gt;0,SSDIBY*W640,0))</f>
        <v>0</v>
      </c>
      <c r="BQ640" s="462">
        <f>IF(AT640&lt;&gt;0,SSHIBY*W640,0)</f>
        <v>0</v>
      </c>
      <c r="BR640" s="462">
        <f>IF(AND(AT640&lt;&gt;0,AN640&lt;&gt;"NE"),VLOOKUP(AN640,Retirement_Rates,4,FALSE)*W640,0)</f>
        <v>0</v>
      </c>
      <c r="BS640" s="462">
        <f>IF(AND(AT640&lt;&gt;0,AJ640&lt;&gt;"PF"),LifeBY*W640,0)</f>
        <v>0</v>
      </c>
      <c r="BT640" s="462">
        <f>IF(AND(AT640&lt;&gt;0,AM640="Y"),UIBY*W640,0)</f>
        <v>0</v>
      </c>
      <c r="BU640" s="462">
        <f>IF(AND(AT640&lt;&gt;0,N640&lt;&gt;"NR"),DHRBY*W640,0)</f>
        <v>0</v>
      </c>
      <c r="BV640" s="462">
        <f>IF(AT640&lt;&gt;0,WCBY*W640,0)</f>
        <v>0</v>
      </c>
      <c r="BW640" s="462">
        <f>IF(OR(AND(AT640&lt;&gt;0,AJ640&lt;&gt;"PF",AN640&lt;&gt;"NE",AG640&lt;&gt;"A"),AND(AL640="E",OR(AT640=1,AT640=3))),SickBY*W640,0)</f>
        <v>0</v>
      </c>
      <c r="BX640" s="462">
        <f t="shared" si="160"/>
        <v>0</v>
      </c>
      <c r="BY640" s="462">
        <f t="shared" si="161"/>
        <v>0</v>
      </c>
      <c r="BZ640" s="462">
        <f t="shared" si="162"/>
        <v>0</v>
      </c>
      <c r="CA640" s="462">
        <f t="shared" si="163"/>
        <v>0</v>
      </c>
      <c r="CB640" s="462">
        <f t="shared" si="164"/>
        <v>0</v>
      </c>
      <c r="CC640" s="462">
        <f>IF(AT640&lt;&gt;0,SSHICHG*Y640,0)</f>
        <v>0</v>
      </c>
      <c r="CD640" s="462">
        <f>IF(AND(AT640&lt;&gt;0,AN640&lt;&gt;"NE"),VLOOKUP(AN640,Retirement_Rates,5,FALSE)*Y640,0)</f>
        <v>0</v>
      </c>
      <c r="CE640" s="462">
        <f>IF(AND(AT640&lt;&gt;0,AJ640&lt;&gt;"PF"),LifeCHG*Y640,0)</f>
        <v>0</v>
      </c>
      <c r="CF640" s="462">
        <f>IF(AND(AT640&lt;&gt;0,AM640="Y"),UICHG*Y640,0)</f>
        <v>0</v>
      </c>
      <c r="CG640" s="462">
        <f>IF(AND(AT640&lt;&gt;0,N640&lt;&gt;"NR"),DHRCHG*Y640,0)</f>
        <v>0</v>
      </c>
      <c r="CH640" s="462">
        <f>IF(AT640&lt;&gt;0,WCCHG*Y640,0)</f>
        <v>0</v>
      </c>
      <c r="CI640" s="462">
        <f>IF(OR(AND(AT640&lt;&gt;0,AJ640&lt;&gt;"PF",AN640&lt;&gt;"NE",AG640&lt;&gt;"A"),AND(AL640="E",OR(AT640=1,AT640=3))),SickCHG*Y640,0)</f>
        <v>0</v>
      </c>
      <c r="CJ640" s="462">
        <f t="shared" si="165"/>
        <v>0</v>
      </c>
      <c r="CK640" s="462" t="str">
        <f t="shared" si="166"/>
        <v/>
      </c>
      <c r="CL640" s="462">
        <f t="shared" si="167"/>
        <v>26362.9</v>
      </c>
      <c r="CM640" s="462">
        <f t="shared" si="168"/>
        <v>2783.28</v>
      </c>
      <c r="CN640" s="462" t="str">
        <f t="shared" si="169"/>
        <v>0348-00</v>
      </c>
    </row>
    <row r="641" spans="1:92" ht="15" thickBot="1" x14ac:dyDescent="0.35">
      <c r="A641" s="376" t="s">
        <v>161</v>
      </c>
      <c r="B641" s="376" t="s">
        <v>162</v>
      </c>
      <c r="C641" s="376" t="s">
        <v>386</v>
      </c>
      <c r="D641" s="376" t="s">
        <v>355</v>
      </c>
      <c r="E641" s="376" t="s">
        <v>759</v>
      </c>
      <c r="F641" s="377" t="s">
        <v>166</v>
      </c>
      <c r="G641" s="376" t="s">
        <v>1351</v>
      </c>
      <c r="H641" s="378"/>
      <c r="I641" s="378"/>
      <c r="J641" s="376" t="s">
        <v>168</v>
      </c>
      <c r="K641" s="376" t="s">
        <v>357</v>
      </c>
      <c r="L641" s="376" t="s">
        <v>220</v>
      </c>
      <c r="M641" s="376" t="s">
        <v>170</v>
      </c>
      <c r="N641" s="376" t="s">
        <v>202</v>
      </c>
      <c r="O641" s="379">
        <v>1</v>
      </c>
      <c r="P641" s="460">
        <v>0</v>
      </c>
      <c r="Q641" s="460">
        <v>0</v>
      </c>
      <c r="R641" s="380">
        <v>80</v>
      </c>
      <c r="S641" s="460">
        <v>0</v>
      </c>
      <c r="T641" s="380">
        <v>15369</v>
      </c>
      <c r="U641" s="380">
        <v>0</v>
      </c>
      <c r="V641" s="380">
        <v>7781.07</v>
      </c>
      <c r="W641" s="380">
        <v>0</v>
      </c>
      <c r="X641" s="380">
        <v>0</v>
      </c>
      <c r="Y641" s="380">
        <v>0</v>
      </c>
      <c r="Z641" s="380">
        <v>0</v>
      </c>
      <c r="AA641" s="376" t="s">
        <v>387</v>
      </c>
      <c r="AB641" s="376" t="s">
        <v>388</v>
      </c>
      <c r="AC641" s="376" t="s">
        <v>389</v>
      </c>
      <c r="AD641" s="376" t="s">
        <v>225</v>
      </c>
      <c r="AE641" s="376" t="s">
        <v>357</v>
      </c>
      <c r="AF641" s="376" t="s">
        <v>264</v>
      </c>
      <c r="AG641" s="376" t="s">
        <v>177</v>
      </c>
      <c r="AH641" s="379">
        <v>20</v>
      </c>
      <c r="AI641" s="381">
        <v>3759.3</v>
      </c>
      <c r="AJ641" s="376" t="s">
        <v>178</v>
      </c>
      <c r="AK641" s="376" t="s">
        <v>179</v>
      </c>
      <c r="AL641" s="376" t="s">
        <v>180</v>
      </c>
      <c r="AM641" s="376" t="s">
        <v>181</v>
      </c>
      <c r="AN641" s="376" t="s">
        <v>68</v>
      </c>
      <c r="AO641" s="379">
        <v>80</v>
      </c>
      <c r="AP641" s="460">
        <v>1</v>
      </c>
      <c r="AQ641" s="460">
        <v>0</v>
      </c>
      <c r="AR641" s="458" t="s">
        <v>182</v>
      </c>
      <c r="AS641" s="462">
        <f t="shared" si="153"/>
        <v>0</v>
      </c>
      <c r="AT641">
        <f t="shared" si="154"/>
        <v>0</v>
      </c>
      <c r="AU641" s="462" t="str">
        <f>IF(AT641=0,"",IF(AND(AT641=1,M641="F",SUMIF(C2:C698,C641,AS2:AS698)&lt;=1),SUMIF(C2:C698,C641,AS2:AS698),IF(AND(AT641=1,M641="F",SUMIF(C2:C698,C641,AS2:AS698)&gt;1),1,"")))</f>
        <v/>
      </c>
      <c r="AV641" s="462" t="str">
        <f>IF(AT641=0,"",IF(AND(AT641=3,M641="F",SUMIF(C2:C698,C641,AS2:AS698)&lt;=1),SUMIF(C2:C698,C641,AS2:AS698),IF(AND(AT641=3,M641="F",SUMIF(C2:C698,C641,AS2:AS698)&gt;1),1,"")))</f>
        <v/>
      </c>
      <c r="AW641" s="462">
        <f>SUMIF(C2:C698,C641,O2:O698)</f>
        <v>3</v>
      </c>
      <c r="AX641" s="462">
        <f>IF(AND(M641="F",AS641&lt;&gt;0),SUMIF(C2:C698,C641,W2:W698),0)</f>
        <v>0</v>
      </c>
      <c r="AY641" s="462" t="str">
        <f t="shared" si="155"/>
        <v/>
      </c>
      <c r="AZ641" s="462" t="str">
        <f t="shared" si="156"/>
        <v/>
      </c>
      <c r="BA641" s="462">
        <f t="shared" si="157"/>
        <v>0</v>
      </c>
      <c r="BB641" s="462">
        <f>IF(AND(AT641=1,AK641="E",AU641&gt;=0.75,AW641=1),Health,IF(AND(AT641=1,AK641="E",AU641&gt;=0.75),Health*P641,IF(AND(AT641=1,AK641="E",AU641&gt;=0.5,AW641=1),PTHealth,IF(AND(AT641=1,AK641="E",AU641&gt;=0.5),PTHealth*P641,0))))</f>
        <v>0</v>
      </c>
      <c r="BC641" s="462">
        <f>IF(AND(AT641=3,AK641="E",AV641&gt;=0.75,AW641=1),Health,IF(AND(AT641=3,AK641="E",AV641&gt;=0.75),Health*P641,IF(AND(AT641=3,AK641="E",AV641&gt;=0.5,AW641=1),PTHealth,IF(AND(AT641=3,AK641="E",AV641&gt;=0.5),PTHealth*P641,0))))</f>
        <v>0</v>
      </c>
      <c r="BD641" s="462">
        <f>IF(AND(AT641&lt;&gt;0,AX641&gt;=MAXSSDI),SSDI*MAXSSDI*P641,IF(AT641&lt;&gt;0,SSDI*W641,0))</f>
        <v>0</v>
      </c>
      <c r="BE641" s="462">
        <f>IF(AT641&lt;&gt;0,SSHI*W641,0)</f>
        <v>0</v>
      </c>
      <c r="BF641" s="462">
        <f>IF(AND(AT641&lt;&gt;0,AN641&lt;&gt;"NE"),VLOOKUP(AN641,Retirement_Rates,3,FALSE)*W641,0)</f>
        <v>0</v>
      </c>
      <c r="BG641" s="462">
        <f>IF(AND(AT641&lt;&gt;0,AJ641&lt;&gt;"PF"),Life*W641,0)</f>
        <v>0</v>
      </c>
      <c r="BH641" s="462">
        <f>IF(AND(AT641&lt;&gt;0,AM641="Y"),UI*W641,0)</f>
        <v>0</v>
      </c>
      <c r="BI641" s="462">
        <f>IF(AND(AT641&lt;&gt;0,N641&lt;&gt;"NR"),DHR*W641,0)</f>
        <v>0</v>
      </c>
      <c r="BJ641" s="462">
        <f>IF(AT641&lt;&gt;0,WC*W641,0)</f>
        <v>0</v>
      </c>
      <c r="BK641" s="462">
        <f>IF(OR(AND(AT641&lt;&gt;0,AJ641&lt;&gt;"PF",AN641&lt;&gt;"NE",AG641&lt;&gt;"A"),AND(AL641="E",OR(AT641=1,AT641=3))),Sick*W641,0)</f>
        <v>0</v>
      </c>
      <c r="BL641" s="462">
        <f t="shared" si="158"/>
        <v>0</v>
      </c>
      <c r="BM641" s="462">
        <f t="shared" si="159"/>
        <v>0</v>
      </c>
      <c r="BN641" s="462">
        <f>IF(AND(AT641=1,AK641="E",AU641&gt;=0.75,AW641=1),HealthBY,IF(AND(AT641=1,AK641="E",AU641&gt;=0.75),HealthBY*P641,IF(AND(AT641=1,AK641="E",AU641&gt;=0.5,AW641=1),PTHealthBY,IF(AND(AT641=1,AK641="E",AU641&gt;=0.5),PTHealthBY*P641,0))))</f>
        <v>0</v>
      </c>
      <c r="BO641" s="462">
        <f>IF(AND(AT641=3,AK641="E",AV641&gt;=0.75,AW641=1),HealthBY,IF(AND(AT641=3,AK641="E",AV641&gt;=0.75),HealthBY*P641,IF(AND(AT641=3,AK641="E",AV641&gt;=0.5,AW641=1),PTHealthBY,IF(AND(AT641=3,AK641="E",AV641&gt;=0.5),PTHealthBY*P641,0))))</f>
        <v>0</v>
      </c>
      <c r="BP641" s="462">
        <f>IF(AND(AT641&lt;&gt;0,(AX641+BA641)&gt;=MAXSSDIBY),SSDIBY*MAXSSDIBY*P641,IF(AT641&lt;&gt;0,SSDIBY*W641,0))</f>
        <v>0</v>
      </c>
      <c r="BQ641" s="462">
        <f>IF(AT641&lt;&gt;0,SSHIBY*W641,0)</f>
        <v>0</v>
      </c>
      <c r="BR641" s="462">
        <f>IF(AND(AT641&lt;&gt;0,AN641&lt;&gt;"NE"),VLOOKUP(AN641,Retirement_Rates,4,FALSE)*W641,0)</f>
        <v>0</v>
      </c>
      <c r="BS641" s="462">
        <f>IF(AND(AT641&lt;&gt;0,AJ641&lt;&gt;"PF"),LifeBY*W641,0)</f>
        <v>0</v>
      </c>
      <c r="BT641" s="462">
        <f>IF(AND(AT641&lt;&gt;0,AM641="Y"),UIBY*W641,0)</f>
        <v>0</v>
      </c>
      <c r="BU641" s="462">
        <f>IF(AND(AT641&lt;&gt;0,N641&lt;&gt;"NR"),DHRBY*W641,0)</f>
        <v>0</v>
      </c>
      <c r="BV641" s="462">
        <f>IF(AT641&lt;&gt;0,WCBY*W641,0)</f>
        <v>0</v>
      </c>
      <c r="BW641" s="462">
        <f>IF(OR(AND(AT641&lt;&gt;0,AJ641&lt;&gt;"PF",AN641&lt;&gt;"NE",AG641&lt;&gt;"A"),AND(AL641="E",OR(AT641=1,AT641=3))),SickBY*W641,0)</f>
        <v>0</v>
      </c>
      <c r="BX641" s="462">
        <f t="shared" si="160"/>
        <v>0</v>
      </c>
      <c r="BY641" s="462">
        <f t="shared" si="161"/>
        <v>0</v>
      </c>
      <c r="BZ641" s="462">
        <f t="shared" si="162"/>
        <v>0</v>
      </c>
      <c r="CA641" s="462">
        <f t="shared" si="163"/>
        <v>0</v>
      </c>
      <c r="CB641" s="462">
        <f t="shared" si="164"/>
        <v>0</v>
      </c>
      <c r="CC641" s="462">
        <f>IF(AT641&lt;&gt;0,SSHICHG*Y641,0)</f>
        <v>0</v>
      </c>
      <c r="CD641" s="462">
        <f>IF(AND(AT641&lt;&gt;0,AN641&lt;&gt;"NE"),VLOOKUP(AN641,Retirement_Rates,5,FALSE)*Y641,0)</f>
        <v>0</v>
      </c>
      <c r="CE641" s="462">
        <f>IF(AND(AT641&lt;&gt;0,AJ641&lt;&gt;"PF"),LifeCHG*Y641,0)</f>
        <v>0</v>
      </c>
      <c r="CF641" s="462">
        <f>IF(AND(AT641&lt;&gt;0,AM641="Y"),UICHG*Y641,0)</f>
        <v>0</v>
      </c>
      <c r="CG641" s="462">
        <f>IF(AND(AT641&lt;&gt;0,N641&lt;&gt;"NR"),DHRCHG*Y641,0)</f>
        <v>0</v>
      </c>
      <c r="CH641" s="462">
        <f>IF(AT641&lt;&gt;0,WCCHG*Y641,0)</f>
        <v>0</v>
      </c>
      <c r="CI641" s="462">
        <f>IF(OR(AND(AT641&lt;&gt;0,AJ641&lt;&gt;"PF",AN641&lt;&gt;"NE",AG641&lt;&gt;"A"),AND(AL641="E",OR(AT641=1,AT641=3))),SickCHG*Y641,0)</f>
        <v>0</v>
      </c>
      <c r="CJ641" s="462">
        <f t="shared" si="165"/>
        <v>0</v>
      </c>
      <c r="CK641" s="462" t="str">
        <f t="shared" si="166"/>
        <v/>
      </c>
      <c r="CL641" s="462" t="str">
        <f t="shared" si="167"/>
        <v/>
      </c>
      <c r="CM641" s="462" t="str">
        <f t="shared" si="168"/>
        <v/>
      </c>
      <c r="CN641" s="462" t="str">
        <f t="shared" si="169"/>
        <v>0348-00</v>
      </c>
    </row>
    <row r="642" spans="1:92" ht="15" thickBot="1" x14ac:dyDescent="0.35">
      <c r="A642" s="376" t="s">
        <v>161</v>
      </c>
      <c r="B642" s="376" t="s">
        <v>162</v>
      </c>
      <c r="C642" s="376" t="s">
        <v>581</v>
      </c>
      <c r="D642" s="376" t="s">
        <v>204</v>
      </c>
      <c r="E642" s="376" t="s">
        <v>759</v>
      </c>
      <c r="F642" s="377" t="s">
        <v>166</v>
      </c>
      <c r="G642" s="376" t="s">
        <v>1351</v>
      </c>
      <c r="H642" s="378"/>
      <c r="I642" s="378"/>
      <c r="J642" s="376" t="s">
        <v>185</v>
      </c>
      <c r="K642" s="376" t="s">
        <v>205</v>
      </c>
      <c r="L642" s="376" t="s">
        <v>200</v>
      </c>
      <c r="M642" s="376" t="s">
        <v>170</v>
      </c>
      <c r="N642" s="376" t="s">
        <v>202</v>
      </c>
      <c r="O642" s="379">
        <v>1</v>
      </c>
      <c r="P642" s="460">
        <v>0</v>
      </c>
      <c r="Q642" s="460">
        <v>0</v>
      </c>
      <c r="R642" s="380">
        <v>80</v>
      </c>
      <c r="S642" s="460">
        <v>0</v>
      </c>
      <c r="T642" s="380">
        <v>23.82</v>
      </c>
      <c r="U642" s="380">
        <v>0</v>
      </c>
      <c r="V642" s="380">
        <v>11.15</v>
      </c>
      <c r="W642" s="380">
        <v>0</v>
      </c>
      <c r="X642" s="380">
        <v>0</v>
      </c>
      <c r="Y642" s="380">
        <v>0</v>
      </c>
      <c r="Z642" s="380">
        <v>0</v>
      </c>
      <c r="AA642" s="376" t="s">
        <v>582</v>
      </c>
      <c r="AB642" s="376" t="s">
        <v>583</v>
      </c>
      <c r="AC642" s="376" t="s">
        <v>584</v>
      </c>
      <c r="AD642" s="376" t="s">
        <v>215</v>
      </c>
      <c r="AE642" s="376" t="s">
        <v>205</v>
      </c>
      <c r="AF642" s="376" t="s">
        <v>210</v>
      </c>
      <c r="AG642" s="376" t="s">
        <v>177</v>
      </c>
      <c r="AH642" s="381">
        <v>24.84</v>
      </c>
      <c r="AI642" s="381">
        <v>44546.9</v>
      </c>
      <c r="AJ642" s="376" t="s">
        <v>178</v>
      </c>
      <c r="AK642" s="376" t="s">
        <v>179</v>
      </c>
      <c r="AL642" s="376" t="s">
        <v>180</v>
      </c>
      <c r="AM642" s="376" t="s">
        <v>181</v>
      </c>
      <c r="AN642" s="376" t="s">
        <v>68</v>
      </c>
      <c r="AO642" s="379">
        <v>80</v>
      </c>
      <c r="AP642" s="460">
        <v>1</v>
      </c>
      <c r="AQ642" s="460">
        <v>0</v>
      </c>
      <c r="AR642" s="458" t="s">
        <v>182</v>
      </c>
      <c r="AS642" s="462">
        <f t="shared" si="153"/>
        <v>0</v>
      </c>
      <c r="AT642">
        <f t="shared" si="154"/>
        <v>0</v>
      </c>
      <c r="AU642" s="462" t="str">
        <f>IF(AT642=0,"",IF(AND(AT642=1,M642="F",SUMIF(C2:C698,C642,AS2:AS698)&lt;=1),SUMIF(C2:C698,C642,AS2:AS698),IF(AND(AT642=1,M642="F",SUMIF(C2:C698,C642,AS2:AS698)&gt;1),1,"")))</f>
        <v/>
      </c>
      <c r="AV642" s="462" t="str">
        <f>IF(AT642=0,"",IF(AND(AT642=3,M642="F",SUMIF(C2:C698,C642,AS2:AS698)&lt;=1),SUMIF(C2:C698,C642,AS2:AS698),IF(AND(AT642=3,M642="F",SUMIF(C2:C698,C642,AS2:AS698)&gt;1),1,"")))</f>
        <v/>
      </c>
      <c r="AW642" s="462">
        <f>SUMIF(C2:C698,C642,O2:O698)</f>
        <v>3</v>
      </c>
      <c r="AX642" s="462">
        <f>IF(AND(M642="F",AS642&lt;&gt;0),SUMIF(C2:C698,C642,W2:W698),0)</f>
        <v>0</v>
      </c>
      <c r="AY642" s="462" t="str">
        <f t="shared" si="155"/>
        <v/>
      </c>
      <c r="AZ642" s="462" t="str">
        <f t="shared" si="156"/>
        <v/>
      </c>
      <c r="BA642" s="462">
        <f t="shared" si="157"/>
        <v>0</v>
      </c>
      <c r="BB642" s="462">
        <f>IF(AND(AT642=1,AK642="E",AU642&gt;=0.75,AW642=1),Health,IF(AND(AT642=1,AK642="E",AU642&gt;=0.75),Health*P642,IF(AND(AT642=1,AK642="E",AU642&gt;=0.5,AW642=1),PTHealth,IF(AND(AT642=1,AK642="E",AU642&gt;=0.5),PTHealth*P642,0))))</f>
        <v>0</v>
      </c>
      <c r="BC642" s="462">
        <f>IF(AND(AT642=3,AK642="E",AV642&gt;=0.75,AW642=1),Health,IF(AND(AT642=3,AK642="E",AV642&gt;=0.75),Health*P642,IF(AND(AT642=3,AK642="E",AV642&gt;=0.5,AW642=1),PTHealth,IF(AND(AT642=3,AK642="E",AV642&gt;=0.5),PTHealth*P642,0))))</f>
        <v>0</v>
      </c>
      <c r="BD642" s="462">
        <f>IF(AND(AT642&lt;&gt;0,AX642&gt;=MAXSSDI),SSDI*MAXSSDI*P642,IF(AT642&lt;&gt;0,SSDI*W642,0))</f>
        <v>0</v>
      </c>
      <c r="BE642" s="462">
        <f>IF(AT642&lt;&gt;0,SSHI*W642,0)</f>
        <v>0</v>
      </c>
      <c r="BF642" s="462">
        <f>IF(AND(AT642&lt;&gt;0,AN642&lt;&gt;"NE"),VLOOKUP(AN642,Retirement_Rates,3,FALSE)*W642,0)</f>
        <v>0</v>
      </c>
      <c r="BG642" s="462">
        <f>IF(AND(AT642&lt;&gt;0,AJ642&lt;&gt;"PF"),Life*W642,0)</f>
        <v>0</v>
      </c>
      <c r="BH642" s="462">
        <f>IF(AND(AT642&lt;&gt;0,AM642="Y"),UI*W642,0)</f>
        <v>0</v>
      </c>
      <c r="BI642" s="462">
        <f>IF(AND(AT642&lt;&gt;0,N642&lt;&gt;"NR"),DHR*W642,0)</f>
        <v>0</v>
      </c>
      <c r="BJ642" s="462">
        <f>IF(AT642&lt;&gt;0,WC*W642,0)</f>
        <v>0</v>
      </c>
      <c r="BK642" s="462">
        <f>IF(OR(AND(AT642&lt;&gt;0,AJ642&lt;&gt;"PF",AN642&lt;&gt;"NE",AG642&lt;&gt;"A"),AND(AL642="E",OR(AT642=1,AT642=3))),Sick*W642,0)</f>
        <v>0</v>
      </c>
      <c r="BL642" s="462">
        <f t="shared" si="158"/>
        <v>0</v>
      </c>
      <c r="BM642" s="462">
        <f t="shared" si="159"/>
        <v>0</v>
      </c>
      <c r="BN642" s="462">
        <f>IF(AND(AT642=1,AK642="E",AU642&gt;=0.75,AW642=1),HealthBY,IF(AND(AT642=1,AK642="E",AU642&gt;=0.75),HealthBY*P642,IF(AND(AT642=1,AK642="E",AU642&gt;=0.5,AW642=1),PTHealthBY,IF(AND(AT642=1,AK642="E",AU642&gt;=0.5),PTHealthBY*P642,0))))</f>
        <v>0</v>
      </c>
      <c r="BO642" s="462">
        <f>IF(AND(AT642=3,AK642="E",AV642&gt;=0.75,AW642=1),HealthBY,IF(AND(AT642=3,AK642="E",AV642&gt;=0.75),HealthBY*P642,IF(AND(AT642=3,AK642="E",AV642&gt;=0.5,AW642=1),PTHealthBY,IF(AND(AT642=3,AK642="E",AV642&gt;=0.5),PTHealthBY*P642,0))))</f>
        <v>0</v>
      </c>
      <c r="BP642" s="462">
        <f>IF(AND(AT642&lt;&gt;0,(AX642+BA642)&gt;=MAXSSDIBY),SSDIBY*MAXSSDIBY*P642,IF(AT642&lt;&gt;0,SSDIBY*W642,0))</f>
        <v>0</v>
      </c>
      <c r="BQ642" s="462">
        <f>IF(AT642&lt;&gt;0,SSHIBY*W642,0)</f>
        <v>0</v>
      </c>
      <c r="BR642" s="462">
        <f>IF(AND(AT642&lt;&gt;0,AN642&lt;&gt;"NE"),VLOOKUP(AN642,Retirement_Rates,4,FALSE)*W642,0)</f>
        <v>0</v>
      </c>
      <c r="BS642" s="462">
        <f>IF(AND(AT642&lt;&gt;0,AJ642&lt;&gt;"PF"),LifeBY*W642,0)</f>
        <v>0</v>
      </c>
      <c r="BT642" s="462">
        <f>IF(AND(AT642&lt;&gt;0,AM642="Y"),UIBY*W642,0)</f>
        <v>0</v>
      </c>
      <c r="BU642" s="462">
        <f>IF(AND(AT642&lt;&gt;0,N642&lt;&gt;"NR"),DHRBY*W642,0)</f>
        <v>0</v>
      </c>
      <c r="BV642" s="462">
        <f>IF(AT642&lt;&gt;0,WCBY*W642,0)</f>
        <v>0</v>
      </c>
      <c r="BW642" s="462">
        <f>IF(OR(AND(AT642&lt;&gt;0,AJ642&lt;&gt;"PF",AN642&lt;&gt;"NE",AG642&lt;&gt;"A"),AND(AL642="E",OR(AT642=1,AT642=3))),SickBY*W642,0)</f>
        <v>0</v>
      </c>
      <c r="BX642" s="462">
        <f t="shared" si="160"/>
        <v>0</v>
      </c>
      <c r="BY642" s="462">
        <f t="shared" si="161"/>
        <v>0</v>
      </c>
      <c r="BZ642" s="462">
        <f t="shared" si="162"/>
        <v>0</v>
      </c>
      <c r="CA642" s="462">
        <f t="shared" si="163"/>
        <v>0</v>
      </c>
      <c r="CB642" s="462">
        <f t="shared" si="164"/>
        <v>0</v>
      </c>
      <c r="CC642" s="462">
        <f>IF(AT642&lt;&gt;0,SSHICHG*Y642,0)</f>
        <v>0</v>
      </c>
      <c r="CD642" s="462">
        <f>IF(AND(AT642&lt;&gt;0,AN642&lt;&gt;"NE"),VLOOKUP(AN642,Retirement_Rates,5,FALSE)*Y642,0)</f>
        <v>0</v>
      </c>
      <c r="CE642" s="462">
        <f>IF(AND(AT642&lt;&gt;0,AJ642&lt;&gt;"PF"),LifeCHG*Y642,0)</f>
        <v>0</v>
      </c>
      <c r="CF642" s="462">
        <f>IF(AND(AT642&lt;&gt;0,AM642="Y"),UICHG*Y642,0)</f>
        <v>0</v>
      </c>
      <c r="CG642" s="462">
        <f>IF(AND(AT642&lt;&gt;0,N642&lt;&gt;"NR"),DHRCHG*Y642,0)</f>
        <v>0</v>
      </c>
      <c r="CH642" s="462">
        <f>IF(AT642&lt;&gt;0,WCCHG*Y642,0)</f>
        <v>0</v>
      </c>
      <c r="CI642" s="462">
        <f>IF(OR(AND(AT642&lt;&gt;0,AJ642&lt;&gt;"PF",AN642&lt;&gt;"NE",AG642&lt;&gt;"A"),AND(AL642="E",OR(AT642=1,AT642=3))),SickCHG*Y642,0)</f>
        <v>0</v>
      </c>
      <c r="CJ642" s="462">
        <f t="shared" si="165"/>
        <v>0</v>
      </c>
      <c r="CK642" s="462" t="str">
        <f t="shared" si="166"/>
        <v/>
      </c>
      <c r="CL642" s="462" t="str">
        <f t="shared" si="167"/>
        <v/>
      </c>
      <c r="CM642" s="462" t="str">
        <f t="shared" si="168"/>
        <v/>
      </c>
      <c r="CN642" s="462" t="str">
        <f t="shared" si="169"/>
        <v>0348-00</v>
      </c>
    </row>
    <row r="643" spans="1:92" ht="15" thickBot="1" x14ac:dyDescent="0.35">
      <c r="A643" s="376" t="s">
        <v>161</v>
      </c>
      <c r="B643" s="376" t="s">
        <v>162</v>
      </c>
      <c r="C643" s="376" t="s">
        <v>395</v>
      </c>
      <c r="D643" s="376" t="s">
        <v>362</v>
      </c>
      <c r="E643" s="376" t="s">
        <v>759</v>
      </c>
      <c r="F643" s="377" t="s">
        <v>166</v>
      </c>
      <c r="G643" s="376" t="s">
        <v>1351</v>
      </c>
      <c r="H643" s="378"/>
      <c r="I643" s="378"/>
      <c r="J643" s="376" t="s">
        <v>168</v>
      </c>
      <c r="K643" s="376" t="s">
        <v>363</v>
      </c>
      <c r="L643" s="376" t="s">
        <v>200</v>
      </c>
      <c r="M643" s="376" t="s">
        <v>170</v>
      </c>
      <c r="N643" s="376" t="s">
        <v>202</v>
      </c>
      <c r="O643" s="379">
        <v>1</v>
      </c>
      <c r="P643" s="460">
        <v>0</v>
      </c>
      <c r="Q643" s="460">
        <v>0</v>
      </c>
      <c r="R643" s="380">
        <v>80</v>
      </c>
      <c r="S643" s="460">
        <v>0</v>
      </c>
      <c r="T643" s="380">
        <v>2289</v>
      </c>
      <c r="U643" s="380">
        <v>0</v>
      </c>
      <c r="V643" s="380">
        <v>996.57</v>
      </c>
      <c r="W643" s="380">
        <v>0</v>
      </c>
      <c r="X643" s="380">
        <v>0</v>
      </c>
      <c r="Y643" s="380">
        <v>0</v>
      </c>
      <c r="Z643" s="380">
        <v>0</v>
      </c>
      <c r="AA643" s="376" t="s">
        <v>396</v>
      </c>
      <c r="AB643" s="376" t="s">
        <v>397</v>
      </c>
      <c r="AC643" s="376" t="s">
        <v>231</v>
      </c>
      <c r="AD643" s="376" t="s">
        <v>215</v>
      </c>
      <c r="AE643" s="376" t="s">
        <v>363</v>
      </c>
      <c r="AF643" s="376" t="s">
        <v>210</v>
      </c>
      <c r="AG643" s="376" t="s">
        <v>177</v>
      </c>
      <c r="AH643" s="381">
        <v>22.5</v>
      </c>
      <c r="AI643" s="379">
        <v>5648</v>
      </c>
      <c r="AJ643" s="376" t="s">
        <v>178</v>
      </c>
      <c r="AK643" s="376" t="s">
        <v>179</v>
      </c>
      <c r="AL643" s="376" t="s">
        <v>180</v>
      </c>
      <c r="AM643" s="376" t="s">
        <v>181</v>
      </c>
      <c r="AN643" s="376" t="s">
        <v>68</v>
      </c>
      <c r="AO643" s="379">
        <v>80</v>
      </c>
      <c r="AP643" s="460">
        <v>1</v>
      </c>
      <c r="AQ643" s="460">
        <v>0</v>
      </c>
      <c r="AR643" s="458" t="s">
        <v>182</v>
      </c>
      <c r="AS643" s="462">
        <f t="shared" ref="AS643:AS698" si="170">IF(((AO643/80)*AP643*P643)&gt;1,AQ643,((AO643/80)*AP643*P643))</f>
        <v>0</v>
      </c>
      <c r="AT643">
        <f t="shared" ref="AT643:AT698" si="171">IF(AND(M643="F",N643&lt;&gt;"NG",AS643&lt;&gt;0,AND(AR643&lt;&gt;6,AR643&lt;&gt;36,AR643&lt;&gt;56),AG643&lt;&gt;"A",OR(AG643="H",AJ643="FS")),1,IF(AND(M643="F",N643&lt;&gt;"NG",AS643&lt;&gt;0,AG643="A"),3,0))</f>
        <v>0</v>
      </c>
      <c r="AU643" s="462" t="str">
        <f>IF(AT643=0,"",IF(AND(AT643=1,M643="F",SUMIF(C2:C698,C643,AS2:AS698)&lt;=1),SUMIF(C2:C698,C643,AS2:AS698),IF(AND(AT643=1,M643="F",SUMIF(C2:C698,C643,AS2:AS698)&gt;1),1,"")))</f>
        <v/>
      </c>
      <c r="AV643" s="462" t="str">
        <f>IF(AT643=0,"",IF(AND(AT643=3,M643="F",SUMIF(C2:C698,C643,AS2:AS698)&lt;=1),SUMIF(C2:C698,C643,AS2:AS698),IF(AND(AT643=3,M643="F",SUMIF(C2:C698,C643,AS2:AS698)&gt;1),1,"")))</f>
        <v/>
      </c>
      <c r="AW643" s="462">
        <f>SUMIF(C2:C698,C643,O2:O698)</f>
        <v>4</v>
      </c>
      <c r="AX643" s="462">
        <f>IF(AND(M643="F",AS643&lt;&gt;0),SUMIF(C2:C698,C643,W2:W698),0)</f>
        <v>0</v>
      </c>
      <c r="AY643" s="462" t="str">
        <f t="shared" ref="AY643:AY698" si="172">IF(AT643=1,W643,"")</f>
        <v/>
      </c>
      <c r="AZ643" s="462" t="str">
        <f t="shared" ref="AZ643:AZ698" si="173">IF(AT643=3,W643,"")</f>
        <v/>
      </c>
      <c r="BA643" s="462">
        <f t="shared" ref="BA643:BA698" si="174">IF(AT643=1,Y643-W643,0)</f>
        <v>0</v>
      </c>
      <c r="BB643" s="462">
        <f>IF(AND(AT643=1,AK643="E",AU643&gt;=0.75,AW643=1),Health,IF(AND(AT643=1,AK643="E",AU643&gt;=0.75),Health*P643,IF(AND(AT643=1,AK643="E",AU643&gt;=0.5,AW643=1),PTHealth,IF(AND(AT643=1,AK643="E",AU643&gt;=0.5),PTHealth*P643,0))))</f>
        <v>0</v>
      </c>
      <c r="BC643" s="462">
        <f>IF(AND(AT643=3,AK643="E",AV643&gt;=0.75,AW643=1),Health,IF(AND(AT643=3,AK643="E",AV643&gt;=0.75),Health*P643,IF(AND(AT643=3,AK643="E",AV643&gt;=0.5,AW643=1),PTHealth,IF(AND(AT643=3,AK643="E",AV643&gt;=0.5),PTHealth*P643,0))))</f>
        <v>0</v>
      </c>
      <c r="BD643" s="462">
        <f>IF(AND(AT643&lt;&gt;0,AX643&gt;=MAXSSDI),SSDI*MAXSSDI*P643,IF(AT643&lt;&gt;0,SSDI*W643,0))</f>
        <v>0</v>
      </c>
      <c r="BE643" s="462">
        <f>IF(AT643&lt;&gt;0,SSHI*W643,0)</f>
        <v>0</v>
      </c>
      <c r="BF643" s="462">
        <f>IF(AND(AT643&lt;&gt;0,AN643&lt;&gt;"NE"),VLOOKUP(AN643,Retirement_Rates,3,FALSE)*W643,0)</f>
        <v>0</v>
      </c>
      <c r="BG643" s="462">
        <f>IF(AND(AT643&lt;&gt;0,AJ643&lt;&gt;"PF"),Life*W643,0)</f>
        <v>0</v>
      </c>
      <c r="BH643" s="462">
        <f>IF(AND(AT643&lt;&gt;0,AM643="Y"),UI*W643,0)</f>
        <v>0</v>
      </c>
      <c r="BI643" s="462">
        <f>IF(AND(AT643&lt;&gt;0,N643&lt;&gt;"NR"),DHR*W643,0)</f>
        <v>0</v>
      </c>
      <c r="BJ643" s="462">
        <f>IF(AT643&lt;&gt;0,WC*W643,0)</f>
        <v>0</v>
      </c>
      <c r="BK643" s="462">
        <f>IF(OR(AND(AT643&lt;&gt;0,AJ643&lt;&gt;"PF",AN643&lt;&gt;"NE",AG643&lt;&gt;"A"),AND(AL643="E",OR(AT643=1,AT643=3))),Sick*W643,0)</f>
        <v>0</v>
      </c>
      <c r="BL643" s="462">
        <f t="shared" ref="BL643:BL698" si="175">IF(AT643=1,SUM(BD643:BK643),0)</f>
        <v>0</v>
      </c>
      <c r="BM643" s="462">
        <f t="shared" ref="BM643:BM698" si="176">IF(AT643=3,SUM(BD643:BK643),0)</f>
        <v>0</v>
      </c>
      <c r="BN643" s="462">
        <f>IF(AND(AT643=1,AK643="E",AU643&gt;=0.75,AW643=1),HealthBY,IF(AND(AT643=1,AK643="E",AU643&gt;=0.75),HealthBY*P643,IF(AND(AT643=1,AK643="E",AU643&gt;=0.5,AW643=1),PTHealthBY,IF(AND(AT643=1,AK643="E",AU643&gt;=0.5),PTHealthBY*P643,0))))</f>
        <v>0</v>
      </c>
      <c r="BO643" s="462">
        <f>IF(AND(AT643=3,AK643="E",AV643&gt;=0.75,AW643=1),HealthBY,IF(AND(AT643=3,AK643="E",AV643&gt;=0.75),HealthBY*P643,IF(AND(AT643=3,AK643="E",AV643&gt;=0.5,AW643=1),PTHealthBY,IF(AND(AT643=3,AK643="E",AV643&gt;=0.5),PTHealthBY*P643,0))))</f>
        <v>0</v>
      </c>
      <c r="BP643" s="462">
        <f>IF(AND(AT643&lt;&gt;0,(AX643+BA643)&gt;=MAXSSDIBY),SSDIBY*MAXSSDIBY*P643,IF(AT643&lt;&gt;0,SSDIBY*W643,0))</f>
        <v>0</v>
      </c>
      <c r="BQ643" s="462">
        <f>IF(AT643&lt;&gt;0,SSHIBY*W643,0)</f>
        <v>0</v>
      </c>
      <c r="BR643" s="462">
        <f>IF(AND(AT643&lt;&gt;0,AN643&lt;&gt;"NE"),VLOOKUP(AN643,Retirement_Rates,4,FALSE)*W643,0)</f>
        <v>0</v>
      </c>
      <c r="BS643" s="462">
        <f>IF(AND(AT643&lt;&gt;0,AJ643&lt;&gt;"PF"),LifeBY*W643,0)</f>
        <v>0</v>
      </c>
      <c r="BT643" s="462">
        <f>IF(AND(AT643&lt;&gt;0,AM643="Y"),UIBY*W643,0)</f>
        <v>0</v>
      </c>
      <c r="BU643" s="462">
        <f>IF(AND(AT643&lt;&gt;0,N643&lt;&gt;"NR"),DHRBY*W643,0)</f>
        <v>0</v>
      </c>
      <c r="BV643" s="462">
        <f>IF(AT643&lt;&gt;0,WCBY*W643,0)</f>
        <v>0</v>
      </c>
      <c r="BW643" s="462">
        <f>IF(OR(AND(AT643&lt;&gt;0,AJ643&lt;&gt;"PF",AN643&lt;&gt;"NE",AG643&lt;&gt;"A"),AND(AL643="E",OR(AT643=1,AT643=3))),SickBY*W643,0)</f>
        <v>0</v>
      </c>
      <c r="BX643" s="462">
        <f t="shared" ref="BX643:BX698" si="177">IF(AT643=1,SUM(BP643:BW643),0)</f>
        <v>0</v>
      </c>
      <c r="BY643" s="462">
        <f t="shared" ref="BY643:BY698" si="178">IF(AT643=3,SUM(BP643:BW643),0)</f>
        <v>0</v>
      </c>
      <c r="BZ643" s="462">
        <f t="shared" ref="BZ643:BZ698" si="179">IF(AT643=1,BN643-BB643,0)</f>
        <v>0</v>
      </c>
      <c r="CA643" s="462">
        <f t="shared" ref="CA643:CA698" si="180">IF(AT643=3,BO643-BC643,0)</f>
        <v>0</v>
      </c>
      <c r="CB643" s="462">
        <f t="shared" ref="CB643:CB698" si="181">BP643-BD643</f>
        <v>0</v>
      </c>
      <c r="CC643" s="462">
        <f>IF(AT643&lt;&gt;0,SSHICHG*Y643,0)</f>
        <v>0</v>
      </c>
      <c r="CD643" s="462">
        <f>IF(AND(AT643&lt;&gt;0,AN643&lt;&gt;"NE"),VLOOKUP(AN643,Retirement_Rates,5,FALSE)*Y643,0)</f>
        <v>0</v>
      </c>
      <c r="CE643" s="462">
        <f>IF(AND(AT643&lt;&gt;0,AJ643&lt;&gt;"PF"),LifeCHG*Y643,0)</f>
        <v>0</v>
      </c>
      <c r="CF643" s="462">
        <f>IF(AND(AT643&lt;&gt;0,AM643="Y"),UICHG*Y643,0)</f>
        <v>0</v>
      </c>
      <c r="CG643" s="462">
        <f>IF(AND(AT643&lt;&gt;0,N643&lt;&gt;"NR"),DHRCHG*Y643,0)</f>
        <v>0</v>
      </c>
      <c r="CH643" s="462">
        <f>IF(AT643&lt;&gt;0,WCCHG*Y643,0)</f>
        <v>0</v>
      </c>
      <c r="CI643" s="462">
        <f>IF(OR(AND(AT643&lt;&gt;0,AJ643&lt;&gt;"PF",AN643&lt;&gt;"NE",AG643&lt;&gt;"A"),AND(AL643="E",OR(AT643=1,AT643=3))),SickCHG*Y643,0)</f>
        <v>0</v>
      </c>
      <c r="CJ643" s="462">
        <f t="shared" ref="CJ643:CJ698" si="182">IF(AT643=1,SUM(CB643:CI643),0)</f>
        <v>0</v>
      </c>
      <c r="CK643" s="462" t="str">
        <f t="shared" ref="CK643:CK698" si="183">IF(AT643=3,SUM(CB643:CI643),"")</f>
        <v/>
      </c>
      <c r="CL643" s="462" t="str">
        <f t="shared" ref="CL643:CL698" si="184">IF(OR(N643="NG",AG643="D"),(T643+U643),"")</f>
        <v/>
      </c>
      <c r="CM643" s="462" t="str">
        <f t="shared" ref="CM643:CM698" si="185">IF(OR(N643="NG",AG643="D"),V643,"")</f>
        <v/>
      </c>
      <c r="CN643" s="462" t="str">
        <f t="shared" ref="CN643:CN698" si="186">E643 &amp; "-" &amp; F643</f>
        <v>0348-00</v>
      </c>
    </row>
    <row r="644" spans="1:92" ht="15" thickBot="1" x14ac:dyDescent="0.35">
      <c r="A644" s="376" t="s">
        <v>161</v>
      </c>
      <c r="B644" s="376" t="s">
        <v>162</v>
      </c>
      <c r="C644" s="376" t="s">
        <v>402</v>
      </c>
      <c r="D644" s="376" t="s">
        <v>362</v>
      </c>
      <c r="E644" s="376" t="s">
        <v>759</v>
      </c>
      <c r="F644" s="377" t="s">
        <v>166</v>
      </c>
      <c r="G644" s="376" t="s">
        <v>1351</v>
      </c>
      <c r="H644" s="378"/>
      <c r="I644" s="378"/>
      <c r="J644" s="376" t="s">
        <v>168</v>
      </c>
      <c r="K644" s="376" t="s">
        <v>363</v>
      </c>
      <c r="L644" s="376" t="s">
        <v>200</v>
      </c>
      <c r="M644" s="376" t="s">
        <v>170</v>
      </c>
      <c r="N644" s="376" t="s">
        <v>202</v>
      </c>
      <c r="O644" s="379">
        <v>1</v>
      </c>
      <c r="P644" s="460">
        <v>0</v>
      </c>
      <c r="Q644" s="460">
        <v>0</v>
      </c>
      <c r="R644" s="380">
        <v>80</v>
      </c>
      <c r="S644" s="460">
        <v>0</v>
      </c>
      <c r="T644" s="380">
        <v>6809.76</v>
      </c>
      <c r="U644" s="380">
        <v>0</v>
      </c>
      <c r="V644" s="380">
        <v>3379.03</v>
      </c>
      <c r="W644" s="380">
        <v>0</v>
      </c>
      <c r="X644" s="380">
        <v>0</v>
      </c>
      <c r="Y644" s="380">
        <v>0</v>
      </c>
      <c r="Z644" s="380">
        <v>0</v>
      </c>
      <c r="AA644" s="376" t="s">
        <v>403</v>
      </c>
      <c r="AB644" s="376" t="s">
        <v>404</v>
      </c>
      <c r="AC644" s="376" t="s">
        <v>405</v>
      </c>
      <c r="AD644" s="376" t="s">
        <v>190</v>
      </c>
      <c r="AE644" s="376" t="s">
        <v>363</v>
      </c>
      <c r="AF644" s="376" t="s">
        <v>210</v>
      </c>
      <c r="AG644" s="376" t="s">
        <v>177</v>
      </c>
      <c r="AH644" s="381">
        <v>22.5</v>
      </c>
      <c r="AI644" s="381">
        <v>12098.3</v>
      </c>
      <c r="AJ644" s="376" t="s">
        <v>178</v>
      </c>
      <c r="AK644" s="376" t="s">
        <v>179</v>
      </c>
      <c r="AL644" s="376" t="s">
        <v>180</v>
      </c>
      <c r="AM644" s="376" t="s">
        <v>181</v>
      </c>
      <c r="AN644" s="376" t="s">
        <v>68</v>
      </c>
      <c r="AO644" s="379">
        <v>80</v>
      </c>
      <c r="AP644" s="460">
        <v>1</v>
      </c>
      <c r="AQ644" s="460">
        <v>0</v>
      </c>
      <c r="AR644" s="458" t="s">
        <v>182</v>
      </c>
      <c r="AS644" s="462">
        <f t="shared" si="170"/>
        <v>0</v>
      </c>
      <c r="AT644">
        <f t="shared" si="171"/>
        <v>0</v>
      </c>
      <c r="AU644" s="462" t="str">
        <f>IF(AT644=0,"",IF(AND(AT644=1,M644="F",SUMIF(C2:C698,C644,AS2:AS698)&lt;=1),SUMIF(C2:C698,C644,AS2:AS698),IF(AND(AT644=1,M644="F",SUMIF(C2:C698,C644,AS2:AS698)&gt;1),1,"")))</f>
        <v/>
      </c>
      <c r="AV644" s="462" t="str">
        <f>IF(AT644=0,"",IF(AND(AT644=3,M644="F",SUMIF(C2:C698,C644,AS2:AS698)&lt;=1),SUMIF(C2:C698,C644,AS2:AS698),IF(AND(AT644=3,M644="F",SUMIF(C2:C698,C644,AS2:AS698)&gt;1),1,"")))</f>
        <v/>
      </c>
      <c r="AW644" s="462">
        <f>SUMIF(C2:C698,C644,O2:O698)</f>
        <v>5</v>
      </c>
      <c r="AX644" s="462">
        <f>IF(AND(M644="F",AS644&lt;&gt;0),SUMIF(C2:C698,C644,W2:W698),0)</f>
        <v>0</v>
      </c>
      <c r="AY644" s="462" t="str">
        <f t="shared" si="172"/>
        <v/>
      </c>
      <c r="AZ644" s="462" t="str">
        <f t="shared" si="173"/>
        <v/>
      </c>
      <c r="BA644" s="462">
        <f t="shared" si="174"/>
        <v>0</v>
      </c>
      <c r="BB644" s="462">
        <f>IF(AND(AT644=1,AK644="E",AU644&gt;=0.75,AW644=1),Health,IF(AND(AT644=1,AK644="E",AU644&gt;=0.75),Health*P644,IF(AND(AT644=1,AK644="E",AU644&gt;=0.5,AW644=1),PTHealth,IF(AND(AT644=1,AK644="E",AU644&gt;=0.5),PTHealth*P644,0))))</f>
        <v>0</v>
      </c>
      <c r="BC644" s="462">
        <f>IF(AND(AT644=3,AK644="E",AV644&gt;=0.75,AW644=1),Health,IF(AND(AT644=3,AK644="E",AV644&gt;=0.75),Health*P644,IF(AND(AT644=3,AK644="E",AV644&gt;=0.5,AW644=1),PTHealth,IF(AND(AT644=3,AK644="E",AV644&gt;=0.5),PTHealth*P644,0))))</f>
        <v>0</v>
      </c>
      <c r="BD644" s="462">
        <f>IF(AND(AT644&lt;&gt;0,AX644&gt;=MAXSSDI),SSDI*MAXSSDI*P644,IF(AT644&lt;&gt;0,SSDI*W644,0))</f>
        <v>0</v>
      </c>
      <c r="BE644" s="462">
        <f>IF(AT644&lt;&gt;0,SSHI*W644,0)</f>
        <v>0</v>
      </c>
      <c r="BF644" s="462">
        <f>IF(AND(AT644&lt;&gt;0,AN644&lt;&gt;"NE"),VLOOKUP(AN644,Retirement_Rates,3,FALSE)*W644,0)</f>
        <v>0</v>
      </c>
      <c r="BG644" s="462">
        <f>IF(AND(AT644&lt;&gt;0,AJ644&lt;&gt;"PF"),Life*W644,0)</f>
        <v>0</v>
      </c>
      <c r="BH644" s="462">
        <f>IF(AND(AT644&lt;&gt;0,AM644="Y"),UI*W644,0)</f>
        <v>0</v>
      </c>
      <c r="BI644" s="462">
        <f>IF(AND(AT644&lt;&gt;0,N644&lt;&gt;"NR"),DHR*W644,0)</f>
        <v>0</v>
      </c>
      <c r="BJ644" s="462">
        <f>IF(AT644&lt;&gt;0,WC*W644,0)</f>
        <v>0</v>
      </c>
      <c r="BK644" s="462">
        <f>IF(OR(AND(AT644&lt;&gt;0,AJ644&lt;&gt;"PF",AN644&lt;&gt;"NE",AG644&lt;&gt;"A"),AND(AL644="E",OR(AT644=1,AT644=3))),Sick*W644,0)</f>
        <v>0</v>
      </c>
      <c r="BL644" s="462">
        <f t="shared" si="175"/>
        <v>0</v>
      </c>
      <c r="BM644" s="462">
        <f t="shared" si="176"/>
        <v>0</v>
      </c>
      <c r="BN644" s="462">
        <f>IF(AND(AT644=1,AK644="E",AU644&gt;=0.75,AW644=1),HealthBY,IF(AND(AT644=1,AK644="E",AU644&gt;=0.75),HealthBY*P644,IF(AND(AT644=1,AK644="E",AU644&gt;=0.5,AW644=1),PTHealthBY,IF(AND(AT644=1,AK644="E",AU644&gt;=0.5),PTHealthBY*P644,0))))</f>
        <v>0</v>
      </c>
      <c r="BO644" s="462">
        <f>IF(AND(AT644=3,AK644="E",AV644&gt;=0.75,AW644=1),HealthBY,IF(AND(AT644=3,AK644="E",AV644&gt;=0.75),HealthBY*P644,IF(AND(AT644=3,AK644="E",AV644&gt;=0.5,AW644=1),PTHealthBY,IF(AND(AT644=3,AK644="E",AV644&gt;=0.5),PTHealthBY*P644,0))))</f>
        <v>0</v>
      </c>
      <c r="BP644" s="462">
        <f>IF(AND(AT644&lt;&gt;0,(AX644+BA644)&gt;=MAXSSDIBY),SSDIBY*MAXSSDIBY*P644,IF(AT644&lt;&gt;0,SSDIBY*W644,0))</f>
        <v>0</v>
      </c>
      <c r="BQ644" s="462">
        <f>IF(AT644&lt;&gt;0,SSHIBY*W644,0)</f>
        <v>0</v>
      </c>
      <c r="BR644" s="462">
        <f>IF(AND(AT644&lt;&gt;0,AN644&lt;&gt;"NE"),VLOOKUP(AN644,Retirement_Rates,4,FALSE)*W644,0)</f>
        <v>0</v>
      </c>
      <c r="BS644" s="462">
        <f>IF(AND(AT644&lt;&gt;0,AJ644&lt;&gt;"PF"),LifeBY*W644,0)</f>
        <v>0</v>
      </c>
      <c r="BT644" s="462">
        <f>IF(AND(AT644&lt;&gt;0,AM644="Y"),UIBY*W644,0)</f>
        <v>0</v>
      </c>
      <c r="BU644" s="462">
        <f>IF(AND(AT644&lt;&gt;0,N644&lt;&gt;"NR"),DHRBY*W644,0)</f>
        <v>0</v>
      </c>
      <c r="BV644" s="462">
        <f>IF(AT644&lt;&gt;0,WCBY*W644,0)</f>
        <v>0</v>
      </c>
      <c r="BW644" s="462">
        <f>IF(OR(AND(AT644&lt;&gt;0,AJ644&lt;&gt;"PF",AN644&lt;&gt;"NE",AG644&lt;&gt;"A"),AND(AL644="E",OR(AT644=1,AT644=3))),SickBY*W644,0)</f>
        <v>0</v>
      </c>
      <c r="BX644" s="462">
        <f t="shared" si="177"/>
        <v>0</v>
      </c>
      <c r="BY644" s="462">
        <f t="shared" si="178"/>
        <v>0</v>
      </c>
      <c r="BZ644" s="462">
        <f t="shared" si="179"/>
        <v>0</v>
      </c>
      <c r="CA644" s="462">
        <f t="shared" si="180"/>
        <v>0</v>
      </c>
      <c r="CB644" s="462">
        <f t="shared" si="181"/>
        <v>0</v>
      </c>
      <c r="CC644" s="462">
        <f>IF(AT644&lt;&gt;0,SSHICHG*Y644,0)</f>
        <v>0</v>
      </c>
      <c r="CD644" s="462">
        <f>IF(AND(AT644&lt;&gt;0,AN644&lt;&gt;"NE"),VLOOKUP(AN644,Retirement_Rates,5,FALSE)*Y644,0)</f>
        <v>0</v>
      </c>
      <c r="CE644" s="462">
        <f>IF(AND(AT644&lt;&gt;0,AJ644&lt;&gt;"PF"),LifeCHG*Y644,0)</f>
        <v>0</v>
      </c>
      <c r="CF644" s="462">
        <f>IF(AND(AT644&lt;&gt;0,AM644="Y"),UICHG*Y644,0)</f>
        <v>0</v>
      </c>
      <c r="CG644" s="462">
        <f>IF(AND(AT644&lt;&gt;0,N644&lt;&gt;"NR"),DHRCHG*Y644,0)</f>
        <v>0</v>
      </c>
      <c r="CH644" s="462">
        <f>IF(AT644&lt;&gt;0,WCCHG*Y644,0)</f>
        <v>0</v>
      </c>
      <c r="CI644" s="462">
        <f>IF(OR(AND(AT644&lt;&gt;0,AJ644&lt;&gt;"PF",AN644&lt;&gt;"NE",AG644&lt;&gt;"A"),AND(AL644="E",OR(AT644=1,AT644=3))),SickCHG*Y644,0)</f>
        <v>0</v>
      </c>
      <c r="CJ644" s="462">
        <f t="shared" si="182"/>
        <v>0</v>
      </c>
      <c r="CK644" s="462" t="str">
        <f t="shared" si="183"/>
        <v/>
      </c>
      <c r="CL644" s="462" t="str">
        <f t="shared" si="184"/>
        <v/>
      </c>
      <c r="CM644" s="462" t="str">
        <f t="shared" si="185"/>
        <v/>
      </c>
      <c r="CN644" s="462" t="str">
        <f t="shared" si="186"/>
        <v>0348-00</v>
      </c>
    </row>
    <row r="645" spans="1:92" ht="15" thickBot="1" x14ac:dyDescent="0.35">
      <c r="A645" s="376" t="s">
        <v>161</v>
      </c>
      <c r="B645" s="376" t="s">
        <v>162</v>
      </c>
      <c r="C645" s="376" t="s">
        <v>612</v>
      </c>
      <c r="D645" s="376" t="s">
        <v>613</v>
      </c>
      <c r="E645" s="376" t="s">
        <v>759</v>
      </c>
      <c r="F645" s="377" t="s">
        <v>166</v>
      </c>
      <c r="G645" s="376" t="s">
        <v>1351</v>
      </c>
      <c r="H645" s="378"/>
      <c r="I645" s="378"/>
      <c r="J645" s="376" t="s">
        <v>185</v>
      </c>
      <c r="K645" s="376" t="s">
        <v>614</v>
      </c>
      <c r="L645" s="376" t="s">
        <v>247</v>
      </c>
      <c r="M645" s="376" t="s">
        <v>170</v>
      </c>
      <c r="N645" s="376" t="s">
        <v>202</v>
      </c>
      <c r="O645" s="379">
        <v>1</v>
      </c>
      <c r="P645" s="460">
        <v>0.5</v>
      </c>
      <c r="Q645" s="460">
        <v>0.5</v>
      </c>
      <c r="R645" s="380">
        <v>80</v>
      </c>
      <c r="S645" s="460">
        <v>0.5</v>
      </c>
      <c r="T645" s="380">
        <v>29506.53</v>
      </c>
      <c r="U645" s="380">
        <v>0</v>
      </c>
      <c r="V645" s="380">
        <v>12060.93</v>
      </c>
      <c r="W645" s="380">
        <v>30617.599999999999</v>
      </c>
      <c r="X645" s="380">
        <v>12755.89</v>
      </c>
      <c r="Y645" s="380">
        <v>30617.599999999999</v>
      </c>
      <c r="Z645" s="380">
        <v>12676.28</v>
      </c>
      <c r="AA645" s="376" t="s">
        <v>615</v>
      </c>
      <c r="AB645" s="376" t="s">
        <v>616</v>
      </c>
      <c r="AC645" s="376" t="s">
        <v>617</v>
      </c>
      <c r="AD645" s="376" t="s">
        <v>215</v>
      </c>
      <c r="AE645" s="376" t="s">
        <v>614</v>
      </c>
      <c r="AF645" s="376" t="s">
        <v>299</v>
      </c>
      <c r="AG645" s="376" t="s">
        <v>177</v>
      </c>
      <c r="AH645" s="381">
        <v>29.44</v>
      </c>
      <c r="AI645" s="379">
        <v>6400</v>
      </c>
      <c r="AJ645" s="376" t="s">
        <v>178</v>
      </c>
      <c r="AK645" s="376" t="s">
        <v>179</v>
      </c>
      <c r="AL645" s="376" t="s">
        <v>180</v>
      </c>
      <c r="AM645" s="376" t="s">
        <v>181</v>
      </c>
      <c r="AN645" s="376" t="s">
        <v>68</v>
      </c>
      <c r="AO645" s="379">
        <v>80</v>
      </c>
      <c r="AP645" s="460">
        <v>1</v>
      </c>
      <c r="AQ645" s="460">
        <v>0.5</v>
      </c>
      <c r="AR645" s="458" t="s">
        <v>182</v>
      </c>
      <c r="AS645" s="462">
        <f t="shared" si="170"/>
        <v>0.5</v>
      </c>
      <c r="AT645">
        <f t="shared" si="171"/>
        <v>1</v>
      </c>
      <c r="AU645" s="462">
        <f>IF(AT645=0,"",IF(AND(AT645=1,M645="F",SUMIF(C2:C698,C645,AS2:AS698)&lt;=1),SUMIF(C2:C698,C645,AS2:AS698),IF(AND(AT645=1,M645="F",SUMIF(C2:C698,C645,AS2:AS698)&gt;1),1,"")))</f>
        <v>1</v>
      </c>
      <c r="AV645" s="462" t="str">
        <f>IF(AT645=0,"",IF(AND(AT645=3,M645="F",SUMIF(C2:C698,C645,AS2:AS698)&lt;=1),SUMIF(C2:C698,C645,AS2:AS698),IF(AND(AT645=3,M645="F",SUMIF(C2:C698,C645,AS2:AS698)&gt;1),1,"")))</f>
        <v/>
      </c>
      <c r="AW645" s="462">
        <f>SUMIF(C2:C698,C645,O2:O698)</f>
        <v>2</v>
      </c>
      <c r="AX645" s="462">
        <f>IF(AND(M645="F",AS645&lt;&gt;0),SUMIF(C2:C698,C645,W2:W698),0)</f>
        <v>61235.199999999997</v>
      </c>
      <c r="AY645" s="462">
        <f t="shared" si="172"/>
        <v>30617.599999999999</v>
      </c>
      <c r="AZ645" s="462" t="str">
        <f t="shared" si="173"/>
        <v/>
      </c>
      <c r="BA645" s="462">
        <f t="shared" si="174"/>
        <v>0</v>
      </c>
      <c r="BB645" s="462">
        <f>IF(AND(AT645=1,AK645="E",AU645&gt;=0.75,AW645=1),Health,IF(AND(AT645=1,AK645="E",AU645&gt;=0.75),Health*P645,IF(AND(AT645=1,AK645="E",AU645&gt;=0.5,AW645=1),PTHealth,IF(AND(AT645=1,AK645="E",AU645&gt;=0.5),PTHealth*P645,0))))</f>
        <v>5825</v>
      </c>
      <c r="BC645" s="462">
        <f>IF(AND(AT645=3,AK645="E",AV645&gt;=0.75,AW645=1),Health,IF(AND(AT645=3,AK645="E",AV645&gt;=0.75),Health*P645,IF(AND(AT645=3,AK645="E",AV645&gt;=0.5,AW645=1),PTHealth,IF(AND(AT645=3,AK645="E",AV645&gt;=0.5),PTHealth*P645,0))))</f>
        <v>0</v>
      </c>
      <c r="BD645" s="462">
        <f>IF(AND(AT645&lt;&gt;0,AX645&gt;=MAXSSDI),SSDI*MAXSSDI*P645,IF(AT645&lt;&gt;0,SSDI*W645,0))</f>
        <v>1898.2911999999999</v>
      </c>
      <c r="BE645" s="462">
        <f>IF(AT645&lt;&gt;0,SSHI*W645,0)</f>
        <v>443.95519999999999</v>
      </c>
      <c r="BF645" s="462">
        <f>IF(AND(AT645&lt;&gt;0,AN645&lt;&gt;"NE"),VLOOKUP(AN645,Retirement_Rates,3,FALSE)*W645,0)</f>
        <v>3655.7414400000002</v>
      </c>
      <c r="BG645" s="462">
        <f>IF(AND(AT645&lt;&gt;0,AJ645&lt;&gt;"PF"),Life*W645,0)</f>
        <v>220.75289599999999</v>
      </c>
      <c r="BH645" s="462">
        <f>IF(AND(AT645&lt;&gt;0,AM645="Y"),UI*W645,0)</f>
        <v>150.02624</v>
      </c>
      <c r="BI645" s="462">
        <f>IF(AND(AT645&lt;&gt;0,N645&lt;&gt;"NR"),DHR*W645,0)</f>
        <v>93.689855999999992</v>
      </c>
      <c r="BJ645" s="462">
        <f>IF(AT645&lt;&gt;0,WC*W645,0)</f>
        <v>468.44927999999993</v>
      </c>
      <c r="BK645" s="462">
        <f>IF(OR(AND(AT645&lt;&gt;0,AJ645&lt;&gt;"PF",AN645&lt;&gt;"NE",AG645&lt;&gt;"A"),AND(AL645="E",OR(AT645=1,AT645=3))),Sick*W645,0)</f>
        <v>0</v>
      </c>
      <c r="BL645" s="462">
        <f t="shared" si="175"/>
        <v>6930.9061119999997</v>
      </c>
      <c r="BM645" s="462">
        <f t="shared" si="176"/>
        <v>0</v>
      </c>
      <c r="BN645" s="462">
        <f>IF(AND(AT645=1,AK645="E",AU645&gt;=0.75,AW645=1),HealthBY,IF(AND(AT645=1,AK645="E",AU645&gt;=0.75),HealthBY*P645,IF(AND(AT645=1,AK645="E",AU645&gt;=0.5,AW645=1),PTHealthBY,IF(AND(AT645=1,AK645="E",AU645&gt;=0.5),PTHealthBY*P645,0))))</f>
        <v>5825</v>
      </c>
      <c r="BO645" s="462">
        <f>IF(AND(AT645=3,AK645="E",AV645&gt;=0.75,AW645=1),HealthBY,IF(AND(AT645=3,AK645="E",AV645&gt;=0.75),HealthBY*P645,IF(AND(AT645=3,AK645="E",AV645&gt;=0.5,AW645=1),PTHealthBY,IF(AND(AT645=3,AK645="E",AV645&gt;=0.5),PTHealthBY*P645,0))))</f>
        <v>0</v>
      </c>
      <c r="BP645" s="462">
        <f>IF(AND(AT645&lt;&gt;0,(AX645+BA645)&gt;=MAXSSDIBY),SSDIBY*MAXSSDIBY*P645,IF(AT645&lt;&gt;0,SSDIBY*W645,0))</f>
        <v>1898.2911999999999</v>
      </c>
      <c r="BQ645" s="462">
        <f>IF(AT645&lt;&gt;0,SSHIBY*W645,0)</f>
        <v>443.95519999999999</v>
      </c>
      <c r="BR645" s="462">
        <f>IF(AND(AT645&lt;&gt;0,AN645&lt;&gt;"NE"),VLOOKUP(AN645,Retirement_Rates,4,FALSE)*W645,0)</f>
        <v>3655.7414400000002</v>
      </c>
      <c r="BS645" s="462">
        <f>IF(AND(AT645&lt;&gt;0,AJ645&lt;&gt;"PF"),LifeBY*W645,0)</f>
        <v>220.75289599999999</v>
      </c>
      <c r="BT645" s="462">
        <f>IF(AND(AT645&lt;&gt;0,AM645="Y"),UIBY*W645,0)</f>
        <v>0</v>
      </c>
      <c r="BU645" s="462">
        <f>IF(AND(AT645&lt;&gt;0,N645&lt;&gt;"NR"),DHRBY*W645,0)</f>
        <v>93.689855999999992</v>
      </c>
      <c r="BV645" s="462">
        <f>IF(AT645&lt;&gt;0,WCBY*W645,0)</f>
        <v>538.86976000000004</v>
      </c>
      <c r="BW645" s="462">
        <f>IF(OR(AND(AT645&lt;&gt;0,AJ645&lt;&gt;"PF",AN645&lt;&gt;"NE",AG645&lt;&gt;"A"),AND(AL645="E",OR(AT645=1,AT645=3))),SickBY*W645,0)</f>
        <v>0</v>
      </c>
      <c r="BX645" s="462">
        <f t="shared" si="177"/>
        <v>6851.3003520000002</v>
      </c>
      <c r="BY645" s="462">
        <f t="shared" si="178"/>
        <v>0</v>
      </c>
      <c r="BZ645" s="462">
        <f t="shared" si="179"/>
        <v>0</v>
      </c>
      <c r="CA645" s="462">
        <f t="shared" si="180"/>
        <v>0</v>
      </c>
      <c r="CB645" s="462">
        <f t="shared" si="181"/>
        <v>0</v>
      </c>
      <c r="CC645" s="462">
        <f>IF(AT645&lt;&gt;0,SSHICHG*Y645,0)</f>
        <v>0</v>
      </c>
      <c r="CD645" s="462">
        <f>IF(AND(AT645&lt;&gt;0,AN645&lt;&gt;"NE"),VLOOKUP(AN645,Retirement_Rates,5,FALSE)*Y645,0)</f>
        <v>0</v>
      </c>
      <c r="CE645" s="462">
        <f>IF(AND(AT645&lt;&gt;0,AJ645&lt;&gt;"PF"),LifeCHG*Y645,0)</f>
        <v>0</v>
      </c>
      <c r="CF645" s="462">
        <f>IF(AND(AT645&lt;&gt;0,AM645="Y"),UICHG*Y645,0)</f>
        <v>-150.02624</v>
      </c>
      <c r="CG645" s="462">
        <f>IF(AND(AT645&lt;&gt;0,N645&lt;&gt;"NR"),DHRCHG*Y645,0)</f>
        <v>0</v>
      </c>
      <c r="CH645" s="462">
        <f>IF(AT645&lt;&gt;0,WCCHG*Y645,0)</f>
        <v>70.420480000000055</v>
      </c>
      <c r="CI645" s="462">
        <f>IF(OR(AND(AT645&lt;&gt;0,AJ645&lt;&gt;"PF",AN645&lt;&gt;"NE",AG645&lt;&gt;"A"),AND(AL645="E",OR(AT645=1,AT645=3))),SickCHG*Y645,0)</f>
        <v>0</v>
      </c>
      <c r="CJ645" s="462">
        <f t="shared" si="182"/>
        <v>-79.605759999999947</v>
      </c>
      <c r="CK645" s="462" t="str">
        <f t="shared" si="183"/>
        <v/>
      </c>
      <c r="CL645" s="462" t="str">
        <f t="shared" si="184"/>
        <v/>
      </c>
      <c r="CM645" s="462" t="str">
        <f t="shared" si="185"/>
        <v/>
      </c>
      <c r="CN645" s="462" t="str">
        <f t="shared" si="186"/>
        <v>0348-00</v>
      </c>
    </row>
    <row r="646" spans="1:92" ht="15" thickBot="1" x14ac:dyDescent="0.35">
      <c r="A646" s="376" t="s">
        <v>161</v>
      </c>
      <c r="B646" s="376" t="s">
        <v>162</v>
      </c>
      <c r="C646" s="376" t="s">
        <v>413</v>
      </c>
      <c r="D646" s="376" t="s">
        <v>362</v>
      </c>
      <c r="E646" s="376" t="s">
        <v>759</v>
      </c>
      <c r="F646" s="377" t="s">
        <v>166</v>
      </c>
      <c r="G646" s="376" t="s">
        <v>1351</v>
      </c>
      <c r="H646" s="378"/>
      <c r="I646" s="378"/>
      <c r="J646" s="376" t="s">
        <v>168</v>
      </c>
      <c r="K646" s="376" t="s">
        <v>363</v>
      </c>
      <c r="L646" s="376" t="s">
        <v>200</v>
      </c>
      <c r="M646" s="376" t="s">
        <v>170</v>
      </c>
      <c r="N646" s="376" t="s">
        <v>202</v>
      </c>
      <c r="O646" s="379">
        <v>1</v>
      </c>
      <c r="P646" s="460">
        <v>0</v>
      </c>
      <c r="Q646" s="460">
        <v>0</v>
      </c>
      <c r="R646" s="380">
        <v>80</v>
      </c>
      <c r="S646" s="460">
        <v>0</v>
      </c>
      <c r="T646" s="380">
        <v>23143.51</v>
      </c>
      <c r="U646" s="380">
        <v>0</v>
      </c>
      <c r="V646" s="380">
        <v>10512.54</v>
      </c>
      <c r="W646" s="380">
        <v>0</v>
      </c>
      <c r="X646" s="380">
        <v>0</v>
      </c>
      <c r="Y646" s="380">
        <v>0</v>
      </c>
      <c r="Z646" s="380">
        <v>0</v>
      </c>
      <c r="AA646" s="376" t="s">
        <v>414</v>
      </c>
      <c r="AB646" s="376" t="s">
        <v>415</v>
      </c>
      <c r="AC646" s="376" t="s">
        <v>189</v>
      </c>
      <c r="AD646" s="376" t="s">
        <v>416</v>
      </c>
      <c r="AE646" s="376" t="s">
        <v>363</v>
      </c>
      <c r="AF646" s="376" t="s">
        <v>210</v>
      </c>
      <c r="AG646" s="376" t="s">
        <v>177</v>
      </c>
      <c r="AH646" s="381">
        <v>24.98</v>
      </c>
      <c r="AI646" s="381">
        <v>61708.3</v>
      </c>
      <c r="AJ646" s="376" t="s">
        <v>178</v>
      </c>
      <c r="AK646" s="376" t="s">
        <v>179</v>
      </c>
      <c r="AL646" s="376" t="s">
        <v>180</v>
      </c>
      <c r="AM646" s="376" t="s">
        <v>181</v>
      </c>
      <c r="AN646" s="376" t="s">
        <v>68</v>
      </c>
      <c r="AO646" s="379">
        <v>80</v>
      </c>
      <c r="AP646" s="460">
        <v>1</v>
      </c>
      <c r="AQ646" s="460">
        <v>0</v>
      </c>
      <c r="AR646" s="458" t="s">
        <v>182</v>
      </c>
      <c r="AS646" s="462">
        <f t="shared" si="170"/>
        <v>0</v>
      </c>
      <c r="AT646">
        <f t="shared" si="171"/>
        <v>0</v>
      </c>
      <c r="AU646" s="462" t="str">
        <f>IF(AT646=0,"",IF(AND(AT646=1,M646="F",SUMIF(C2:C698,C646,AS2:AS698)&lt;=1),SUMIF(C2:C698,C646,AS2:AS698),IF(AND(AT646=1,M646="F",SUMIF(C2:C698,C646,AS2:AS698)&gt;1),1,"")))</f>
        <v/>
      </c>
      <c r="AV646" s="462" t="str">
        <f>IF(AT646=0,"",IF(AND(AT646=3,M646="F",SUMIF(C2:C698,C646,AS2:AS698)&lt;=1),SUMIF(C2:C698,C646,AS2:AS698),IF(AND(AT646=3,M646="F",SUMIF(C2:C698,C646,AS2:AS698)&gt;1),1,"")))</f>
        <v/>
      </c>
      <c r="AW646" s="462">
        <f>SUMIF(C2:C698,C646,O2:O698)</f>
        <v>4</v>
      </c>
      <c r="AX646" s="462">
        <f>IF(AND(M646="F",AS646&lt;&gt;0),SUMIF(C2:C698,C646,W2:W698),0)</f>
        <v>0</v>
      </c>
      <c r="AY646" s="462" t="str">
        <f t="shared" si="172"/>
        <v/>
      </c>
      <c r="AZ646" s="462" t="str">
        <f t="shared" si="173"/>
        <v/>
      </c>
      <c r="BA646" s="462">
        <f t="shared" si="174"/>
        <v>0</v>
      </c>
      <c r="BB646" s="462">
        <f>IF(AND(AT646=1,AK646="E",AU646&gt;=0.75,AW646=1),Health,IF(AND(AT646=1,AK646="E",AU646&gt;=0.75),Health*P646,IF(AND(AT646=1,AK646="E",AU646&gt;=0.5,AW646=1),PTHealth,IF(AND(AT646=1,AK646="E",AU646&gt;=0.5),PTHealth*P646,0))))</f>
        <v>0</v>
      </c>
      <c r="BC646" s="462">
        <f>IF(AND(AT646=3,AK646="E",AV646&gt;=0.75,AW646=1),Health,IF(AND(AT646=3,AK646="E",AV646&gt;=0.75),Health*P646,IF(AND(AT646=3,AK646="E",AV646&gt;=0.5,AW646=1),PTHealth,IF(AND(AT646=3,AK646="E",AV646&gt;=0.5),PTHealth*P646,0))))</f>
        <v>0</v>
      </c>
      <c r="BD646" s="462">
        <f>IF(AND(AT646&lt;&gt;0,AX646&gt;=MAXSSDI),SSDI*MAXSSDI*P646,IF(AT646&lt;&gt;0,SSDI*W646,0))</f>
        <v>0</v>
      </c>
      <c r="BE646" s="462">
        <f>IF(AT646&lt;&gt;0,SSHI*W646,0)</f>
        <v>0</v>
      </c>
      <c r="BF646" s="462">
        <f>IF(AND(AT646&lt;&gt;0,AN646&lt;&gt;"NE"),VLOOKUP(AN646,Retirement_Rates,3,FALSE)*W646,0)</f>
        <v>0</v>
      </c>
      <c r="BG646" s="462">
        <f>IF(AND(AT646&lt;&gt;0,AJ646&lt;&gt;"PF"),Life*W646,0)</f>
        <v>0</v>
      </c>
      <c r="BH646" s="462">
        <f>IF(AND(AT646&lt;&gt;0,AM646="Y"),UI*W646,0)</f>
        <v>0</v>
      </c>
      <c r="BI646" s="462">
        <f>IF(AND(AT646&lt;&gt;0,N646&lt;&gt;"NR"),DHR*W646,0)</f>
        <v>0</v>
      </c>
      <c r="BJ646" s="462">
        <f>IF(AT646&lt;&gt;0,WC*W646,0)</f>
        <v>0</v>
      </c>
      <c r="BK646" s="462">
        <f>IF(OR(AND(AT646&lt;&gt;0,AJ646&lt;&gt;"PF",AN646&lt;&gt;"NE",AG646&lt;&gt;"A"),AND(AL646="E",OR(AT646=1,AT646=3))),Sick*W646,0)</f>
        <v>0</v>
      </c>
      <c r="BL646" s="462">
        <f t="shared" si="175"/>
        <v>0</v>
      </c>
      <c r="BM646" s="462">
        <f t="shared" si="176"/>
        <v>0</v>
      </c>
      <c r="BN646" s="462">
        <f>IF(AND(AT646=1,AK646="E",AU646&gt;=0.75,AW646=1),HealthBY,IF(AND(AT646=1,AK646="E",AU646&gt;=0.75),HealthBY*P646,IF(AND(AT646=1,AK646="E",AU646&gt;=0.5,AW646=1),PTHealthBY,IF(AND(AT646=1,AK646="E",AU646&gt;=0.5),PTHealthBY*P646,0))))</f>
        <v>0</v>
      </c>
      <c r="BO646" s="462">
        <f>IF(AND(AT646=3,AK646="E",AV646&gt;=0.75,AW646=1),HealthBY,IF(AND(AT646=3,AK646="E",AV646&gt;=0.75),HealthBY*P646,IF(AND(AT646=3,AK646="E",AV646&gt;=0.5,AW646=1),PTHealthBY,IF(AND(AT646=3,AK646="E",AV646&gt;=0.5),PTHealthBY*P646,0))))</f>
        <v>0</v>
      </c>
      <c r="BP646" s="462">
        <f>IF(AND(AT646&lt;&gt;0,(AX646+BA646)&gt;=MAXSSDIBY),SSDIBY*MAXSSDIBY*P646,IF(AT646&lt;&gt;0,SSDIBY*W646,0))</f>
        <v>0</v>
      </c>
      <c r="BQ646" s="462">
        <f>IF(AT646&lt;&gt;0,SSHIBY*W646,0)</f>
        <v>0</v>
      </c>
      <c r="BR646" s="462">
        <f>IF(AND(AT646&lt;&gt;0,AN646&lt;&gt;"NE"),VLOOKUP(AN646,Retirement_Rates,4,FALSE)*W646,0)</f>
        <v>0</v>
      </c>
      <c r="BS646" s="462">
        <f>IF(AND(AT646&lt;&gt;0,AJ646&lt;&gt;"PF"),LifeBY*W646,0)</f>
        <v>0</v>
      </c>
      <c r="BT646" s="462">
        <f>IF(AND(AT646&lt;&gt;0,AM646="Y"),UIBY*W646,0)</f>
        <v>0</v>
      </c>
      <c r="BU646" s="462">
        <f>IF(AND(AT646&lt;&gt;0,N646&lt;&gt;"NR"),DHRBY*W646,0)</f>
        <v>0</v>
      </c>
      <c r="BV646" s="462">
        <f>IF(AT646&lt;&gt;0,WCBY*W646,0)</f>
        <v>0</v>
      </c>
      <c r="BW646" s="462">
        <f>IF(OR(AND(AT646&lt;&gt;0,AJ646&lt;&gt;"PF",AN646&lt;&gt;"NE",AG646&lt;&gt;"A"),AND(AL646="E",OR(AT646=1,AT646=3))),SickBY*W646,0)</f>
        <v>0</v>
      </c>
      <c r="BX646" s="462">
        <f t="shared" si="177"/>
        <v>0</v>
      </c>
      <c r="BY646" s="462">
        <f t="shared" si="178"/>
        <v>0</v>
      </c>
      <c r="BZ646" s="462">
        <f t="shared" si="179"/>
        <v>0</v>
      </c>
      <c r="CA646" s="462">
        <f t="shared" si="180"/>
        <v>0</v>
      </c>
      <c r="CB646" s="462">
        <f t="shared" si="181"/>
        <v>0</v>
      </c>
      <c r="CC646" s="462">
        <f>IF(AT646&lt;&gt;0,SSHICHG*Y646,0)</f>
        <v>0</v>
      </c>
      <c r="CD646" s="462">
        <f>IF(AND(AT646&lt;&gt;0,AN646&lt;&gt;"NE"),VLOOKUP(AN646,Retirement_Rates,5,FALSE)*Y646,0)</f>
        <v>0</v>
      </c>
      <c r="CE646" s="462">
        <f>IF(AND(AT646&lt;&gt;0,AJ646&lt;&gt;"PF"),LifeCHG*Y646,0)</f>
        <v>0</v>
      </c>
      <c r="CF646" s="462">
        <f>IF(AND(AT646&lt;&gt;0,AM646="Y"),UICHG*Y646,0)</f>
        <v>0</v>
      </c>
      <c r="CG646" s="462">
        <f>IF(AND(AT646&lt;&gt;0,N646&lt;&gt;"NR"),DHRCHG*Y646,0)</f>
        <v>0</v>
      </c>
      <c r="CH646" s="462">
        <f>IF(AT646&lt;&gt;0,WCCHG*Y646,0)</f>
        <v>0</v>
      </c>
      <c r="CI646" s="462">
        <f>IF(OR(AND(AT646&lt;&gt;0,AJ646&lt;&gt;"PF",AN646&lt;&gt;"NE",AG646&lt;&gt;"A"),AND(AL646="E",OR(AT646=1,AT646=3))),SickCHG*Y646,0)</f>
        <v>0</v>
      </c>
      <c r="CJ646" s="462">
        <f t="shared" si="182"/>
        <v>0</v>
      </c>
      <c r="CK646" s="462" t="str">
        <f t="shared" si="183"/>
        <v/>
      </c>
      <c r="CL646" s="462" t="str">
        <f t="shared" si="184"/>
        <v/>
      </c>
      <c r="CM646" s="462" t="str">
        <f t="shared" si="185"/>
        <v/>
      </c>
      <c r="CN646" s="462" t="str">
        <f t="shared" si="186"/>
        <v>0348-00</v>
      </c>
    </row>
    <row r="647" spans="1:92" ht="15" thickBot="1" x14ac:dyDescent="0.35">
      <c r="A647" s="376" t="s">
        <v>161</v>
      </c>
      <c r="B647" s="376" t="s">
        <v>162</v>
      </c>
      <c r="C647" s="376" t="s">
        <v>420</v>
      </c>
      <c r="D647" s="376" t="s">
        <v>421</v>
      </c>
      <c r="E647" s="376" t="s">
        <v>759</v>
      </c>
      <c r="F647" s="377" t="s">
        <v>166</v>
      </c>
      <c r="G647" s="376" t="s">
        <v>1351</v>
      </c>
      <c r="H647" s="378"/>
      <c r="I647" s="378"/>
      <c r="J647" s="376" t="s">
        <v>168</v>
      </c>
      <c r="K647" s="376" t="s">
        <v>422</v>
      </c>
      <c r="L647" s="376" t="s">
        <v>243</v>
      </c>
      <c r="M647" s="376" t="s">
        <v>170</v>
      </c>
      <c r="N647" s="376" t="s">
        <v>202</v>
      </c>
      <c r="O647" s="379">
        <v>1</v>
      </c>
      <c r="P647" s="460">
        <v>0</v>
      </c>
      <c r="Q647" s="460">
        <v>0</v>
      </c>
      <c r="R647" s="380">
        <v>80</v>
      </c>
      <c r="S647" s="460">
        <v>0</v>
      </c>
      <c r="T647" s="380">
        <v>5079.8599999999997</v>
      </c>
      <c r="U647" s="380">
        <v>0</v>
      </c>
      <c r="V647" s="380">
        <v>1861.24</v>
      </c>
      <c r="W647" s="380">
        <v>0</v>
      </c>
      <c r="X647" s="380">
        <v>0</v>
      </c>
      <c r="Y647" s="380">
        <v>0</v>
      </c>
      <c r="Z647" s="380">
        <v>0</v>
      </c>
      <c r="AA647" s="376" t="s">
        <v>423</v>
      </c>
      <c r="AB647" s="376" t="s">
        <v>424</v>
      </c>
      <c r="AC647" s="376" t="s">
        <v>425</v>
      </c>
      <c r="AD647" s="376" t="s">
        <v>247</v>
      </c>
      <c r="AE647" s="376" t="s">
        <v>422</v>
      </c>
      <c r="AF647" s="376" t="s">
        <v>248</v>
      </c>
      <c r="AG647" s="376" t="s">
        <v>177</v>
      </c>
      <c r="AH647" s="381">
        <v>41.65</v>
      </c>
      <c r="AI647" s="381">
        <v>34827.5</v>
      </c>
      <c r="AJ647" s="376" t="s">
        <v>178</v>
      </c>
      <c r="AK647" s="376" t="s">
        <v>179</v>
      </c>
      <c r="AL647" s="376" t="s">
        <v>180</v>
      </c>
      <c r="AM647" s="376" t="s">
        <v>181</v>
      </c>
      <c r="AN647" s="376" t="s">
        <v>68</v>
      </c>
      <c r="AO647" s="379">
        <v>80</v>
      </c>
      <c r="AP647" s="460">
        <v>1</v>
      </c>
      <c r="AQ647" s="460">
        <v>0</v>
      </c>
      <c r="AR647" s="458" t="s">
        <v>182</v>
      </c>
      <c r="AS647" s="462">
        <f t="shared" si="170"/>
        <v>0</v>
      </c>
      <c r="AT647">
        <f t="shared" si="171"/>
        <v>0</v>
      </c>
      <c r="AU647" s="462" t="str">
        <f>IF(AT647=0,"",IF(AND(AT647=1,M647="F",SUMIF(C2:C698,C647,AS2:AS698)&lt;=1),SUMIF(C2:C698,C647,AS2:AS698),IF(AND(AT647=1,M647="F",SUMIF(C2:C698,C647,AS2:AS698)&gt;1),1,"")))</f>
        <v/>
      </c>
      <c r="AV647" s="462" t="str">
        <f>IF(AT647=0,"",IF(AND(AT647=3,M647="F",SUMIF(C2:C698,C647,AS2:AS698)&lt;=1),SUMIF(C2:C698,C647,AS2:AS698),IF(AND(AT647=3,M647="F",SUMIF(C2:C698,C647,AS2:AS698)&gt;1),1,"")))</f>
        <v/>
      </c>
      <c r="AW647" s="462">
        <f>SUMIF(C2:C698,C647,O2:O698)</f>
        <v>2</v>
      </c>
      <c r="AX647" s="462">
        <f>IF(AND(M647="F",AS647&lt;&gt;0),SUMIF(C2:C698,C647,W2:W698),0)</f>
        <v>0</v>
      </c>
      <c r="AY647" s="462" t="str">
        <f t="shared" si="172"/>
        <v/>
      </c>
      <c r="AZ647" s="462" t="str">
        <f t="shared" si="173"/>
        <v/>
      </c>
      <c r="BA647" s="462">
        <f t="shared" si="174"/>
        <v>0</v>
      </c>
      <c r="BB647" s="462">
        <f>IF(AND(AT647=1,AK647="E",AU647&gt;=0.75,AW647=1),Health,IF(AND(AT647=1,AK647="E",AU647&gt;=0.75),Health*P647,IF(AND(AT647=1,AK647="E",AU647&gt;=0.5,AW647=1),PTHealth,IF(AND(AT647=1,AK647="E",AU647&gt;=0.5),PTHealth*P647,0))))</f>
        <v>0</v>
      </c>
      <c r="BC647" s="462">
        <f>IF(AND(AT647=3,AK647="E",AV647&gt;=0.75,AW647=1),Health,IF(AND(AT647=3,AK647="E",AV647&gt;=0.75),Health*P647,IF(AND(AT647=3,AK647="E",AV647&gt;=0.5,AW647=1),PTHealth,IF(AND(AT647=3,AK647="E",AV647&gt;=0.5),PTHealth*P647,0))))</f>
        <v>0</v>
      </c>
      <c r="BD647" s="462">
        <f>IF(AND(AT647&lt;&gt;0,AX647&gt;=MAXSSDI),SSDI*MAXSSDI*P647,IF(AT647&lt;&gt;0,SSDI*W647,0))</f>
        <v>0</v>
      </c>
      <c r="BE647" s="462">
        <f>IF(AT647&lt;&gt;0,SSHI*W647,0)</f>
        <v>0</v>
      </c>
      <c r="BF647" s="462">
        <f>IF(AND(AT647&lt;&gt;0,AN647&lt;&gt;"NE"),VLOOKUP(AN647,Retirement_Rates,3,FALSE)*W647,0)</f>
        <v>0</v>
      </c>
      <c r="BG647" s="462">
        <f>IF(AND(AT647&lt;&gt;0,AJ647&lt;&gt;"PF"),Life*W647,0)</f>
        <v>0</v>
      </c>
      <c r="BH647" s="462">
        <f>IF(AND(AT647&lt;&gt;0,AM647="Y"),UI*W647,0)</f>
        <v>0</v>
      </c>
      <c r="BI647" s="462">
        <f>IF(AND(AT647&lt;&gt;0,N647&lt;&gt;"NR"),DHR*W647,0)</f>
        <v>0</v>
      </c>
      <c r="BJ647" s="462">
        <f>IF(AT647&lt;&gt;0,WC*W647,0)</f>
        <v>0</v>
      </c>
      <c r="BK647" s="462">
        <f>IF(OR(AND(AT647&lt;&gt;0,AJ647&lt;&gt;"PF",AN647&lt;&gt;"NE",AG647&lt;&gt;"A"),AND(AL647="E",OR(AT647=1,AT647=3))),Sick*W647,0)</f>
        <v>0</v>
      </c>
      <c r="BL647" s="462">
        <f t="shared" si="175"/>
        <v>0</v>
      </c>
      <c r="BM647" s="462">
        <f t="shared" si="176"/>
        <v>0</v>
      </c>
      <c r="BN647" s="462">
        <f>IF(AND(AT647=1,AK647="E",AU647&gt;=0.75,AW647=1),HealthBY,IF(AND(AT647=1,AK647="E",AU647&gt;=0.75),HealthBY*P647,IF(AND(AT647=1,AK647="E",AU647&gt;=0.5,AW647=1),PTHealthBY,IF(AND(AT647=1,AK647="E",AU647&gt;=0.5),PTHealthBY*P647,0))))</f>
        <v>0</v>
      </c>
      <c r="BO647" s="462">
        <f>IF(AND(AT647=3,AK647="E",AV647&gt;=0.75,AW647=1),HealthBY,IF(AND(AT647=3,AK647="E",AV647&gt;=0.75),HealthBY*P647,IF(AND(AT647=3,AK647="E",AV647&gt;=0.5,AW647=1),PTHealthBY,IF(AND(AT647=3,AK647="E",AV647&gt;=0.5),PTHealthBY*P647,0))))</f>
        <v>0</v>
      </c>
      <c r="BP647" s="462">
        <f>IF(AND(AT647&lt;&gt;0,(AX647+BA647)&gt;=MAXSSDIBY),SSDIBY*MAXSSDIBY*P647,IF(AT647&lt;&gt;0,SSDIBY*W647,0))</f>
        <v>0</v>
      </c>
      <c r="BQ647" s="462">
        <f>IF(AT647&lt;&gt;0,SSHIBY*W647,0)</f>
        <v>0</v>
      </c>
      <c r="BR647" s="462">
        <f>IF(AND(AT647&lt;&gt;0,AN647&lt;&gt;"NE"),VLOOKUP(AN647,Retirement_Rates,4,FALSE)*W647,0)</f>
        <v>0</v>
      </c>
      <c r="BS647" s="462">
        <f>IF(AND(AT647&lt;&gt;0,AJ647&lt;&gt;"PF"),LifeBY*W647,0)</f>
        <v>0</v>
      </c>
      <c r="BT647" s="462">
        <f>IF(AND(AT647&lt;&gt;0,AM647="Y"),UIBY*W647,0)</f>
        <v>0</v>
      </c>
      <c r="BU647" s="462">
        <f>IF(AND(AT647&lt;&gt;0,N647&lt;&gt;"NR"),DHRBY*W647,0)</f>
        <v>0</v>
      </c>
      <c r="BV647" s="462">
        <f>IF(AT647&lt;&gt;0,WCBY*W647,0)</f>
        <v>0</v>
      </c>
      <c r="BW647" s="462">
        <f>IF(OR(AND(AT647&lt;&gt;0,AJ647&lt;&gt;"PF",AN647&lt;&gt;"NE",AG647&lt;&gt;"A"),AND(AL647="E",OR(AT647=1,AT647=3))),SickBY*W647,0)</f>
        <v>0</v>
      </c>
      <c r="BX647" s="462">
        <f t="shared" si="177"/>
        <v>0</v>
      </c>
      <c r="BY647" s="462">
        <f t="shared" si="178"/>
        <v>0</v>
      </c>
      <c r="BZ647" s="462">
        <f t="shared" si="179"/>
        <v>0</v>
      </c>
      <c r="CA647" s="462">
        <f t="shared" si="180"/>
        <v>0</v>
      </c>
      <c r="CB647" s="462">
        <f t="shared" si="181"/>
        <v>0</v>
      </c>
      <c r="CC647" s="462">
        <f>IF(AT647&lt;&gt;0,SSHICHG*Y647,0)</f>
        <v>0</v>
      </c>
      <c r="CD647" s="462">
        <f>IF(AND(AT647&lt;&gt;0,AN647&lt;&gt;"NE"),VLOOKUP(AN647,Retirement_Rates,5,FALSE)*Y647,0)</f>
        <v>0</v>
      </c>
      <c r="CE647" s="462">
        <f>IF(AND(AT647&lt;&gt;0,AJ647&lt;&gt;"PF"),LifeCHG*Y647,0)</f>
        <v>0</v>
      </c>
      <c r="CF647" s="462">
        <f>IF(AND(AT647&lt;&gt;0,AM647="Y"),UICHG*Y647,0)</f>
        <v>0</v>
      </c>
      <c r="CG647" s="462">
        <f>IF(AND(AT647&lt;&gt;0,N647&lt;&gt;"NR"),DHRCHG*Y647,0)</f>
        <v>0</v>
      </c>
      <c r="CH647" s="462">
        <f>IF(AT647&lt;&gt;0,WCCHG*Y647,0)</f>
        <v>0</v>
      </c>
      <c r="CI647" s="462">
        <f>IF(OR(AND(AT647&lt;&gt;0,AJ647&lt;&gt;"PF",AN647&lt;&gt;"NE",AG647&lt;&gt;"A"),AND(AL647="E",OR(AT647=1,AT647=3))),SickCHG*Y647,0)</f>
        <v>0</v>
      </c>
      <c r="CJ647" s="462">
        <f t="shared" si="182"/>
        <v>0</v>
      </c>
      <c r="CK647" s="462" t="str">
        <f t="shared" si="183"/>
        <v/>
      </c>
      <c r="CL647" s="462" t="str">
        <f t="shared" si="184"/>
        <v/>
      </c>
      <c r="CM647" s="462" t="str">
        <f t="shared" si="185"/>
        <v/>
      </c>
      <c r="CN647" s="462" t="str">
        <f t="shared" si="186"/>
        <v>0348-00</v>
      </c>
    </row>
    <row r="648" spans="1:92" ht="15" thickBot="1" x14ac:dyDescent="0.35">
      <c r="A648" s="376" t="s">
        <v>161</v>
      </c>
      <c r="B648" s="376" t="s">
        <v>162</v>
      </c>
      <c r="C648" s="376" t="s">
        <v>446</v>
      </c>
      <c r="D648" s="376" t="s">
        <v>365</v>
      </c>
      <c r="E648" s="376" t="s">
        <v>759</v>
      </c>
      <c r="F648" s="377" t="s">
        <v>166</v>
      </c>
      <c r="G648" s="376" t="s">
        <v>1351</v>
      </c>
      <c r="H648" s="378"/>
      <c r="I648" s="378"/>
      <c r="J648" s="376" t="s">
        <v>185</v>
      </c>
      <c r="K648" s="376" t="s">
        <v>366</v>
      </c>
      <c r="L648" s="376" t="s">
        <v>274</v>
      </c>
      <c r="M648" s="376" t="s">
        <v>170</v>
      </c>
      <c r="N648" s="376" t="s">
        <v>202</v>
      </c>
      <c r="O648" s="379">
        <v>1</v>
      </c>
      <c r="P648" s="460">
        <v>0</v>
      </c>
      <c r="Q648" s="460">
        <v>0</v>
      </c>
      <c r="R648" s="380">
        <v>80</v>
      </c>
      <c r="S648" s="460">
        <v>0</v>
      </c>
      <c r="T648" s="380">
        <v>324.89999999999998</v>
      </c>
      <c r="U648" s="380">
        <v>0</v>
      </c>
      <c r="V648" s="380">
        <v>189.34</v>
      </c>
      <c r="W648" s="380">
        <v>0</v>
      </c>
      <c r="X648" s="380">
        <v>0</v>
      </c>
      <c r="Y648" s="380">
        <v>0</v>
      </c>
      <c r="Z648" s="380">
        <v>0</v>
      </c>
      <c r="AA648" s="376" t="s">
        <v>447</v>
      </c>
      <c r="AB648" s="376" t="s">
        <v>448</v>
      </c>
      <c r="AC648" s="376" t="s">
        <v>449</v>
      </c>
      <c r="AD648" s="376" t="s">
        <v>220</v>
      </c>
      <c r="AE648" s="376" t="s">
        <v>366</v>
      </c>
      <c r="AF648" s="376" t="s">
        <v>279</v>
      </c>
      <c r="AG648" s="376" t="s">
        <v>177</v>
      </c>
      <c r="AH648" s="381">
        <v>17.84</v>
      </c>
      <c r="AI648" s="379">
        <v>6160</v>
      </c>
      <c r="AJ648" s="376" t="s">
        <v>178</v>
      </c>
      <c r="AK648" s="376" t="s">
        <v>179</v>
      </c>
      <c r="AL648" s="376" t="s">
        <v>180</v>
      </c>
      <c r="AM648" s="376" t="s">
        <v>181</v>
      </c>
      <c r="AN648" s="376" t="s">
        <v>68</v>
      </c>
      <c r="AO648" s="379">
        <v>80</v>
      </c>
      <c r="AP648" s="460">
        <v>1</v>
      </c>
      <c r="AQ648" s="460">
        <v>0</v>
      </c>
      <c r="AR648" s="458" t="s">
        <v>182</v>
      </c>
      <c r="AS648" s="462">
        <f t="shared" si="170"/>
        <v>0</v>
      </c>
      <c r="AT648">
        <f t="shared" si="171"/>
        <v>0</v>
      </c>
      <c r="AU648" s="462" t="str">
        <f>IF(AT648=0,"",IF(AND(AT648=1,M648="F",SUMIF(C2:C698,C648,AS2:AS698)&lt;=1),SUMIF(C2:C698,C648,AS2:AS698),IF(AND(AT648=1,M648="F",SUMIF(C2:C698,C648,AS2:AS698)&gt;1),1,"")))</f>
        <v/>
      </c>
      <c r="AV648" s="462" t="str">
        <f>IF(AT648=0,"",IF(AND(AT648=3,M648="F",SUMIF(C2:C698,C648,AS2:AS698)&lt;=1),SUMIF(C2:C698,C648,AS2:AS698),IF(AND(AT648=3,M648="F",SUMIF(C2:C698,C648,AS2:AS698)&gt;1),1,"")))</f>
        <v/>
      </c>
      <c r="AW648" s="462">
        <f>SUMIF(C2:C698,C648,O2:O698)</f>
        <v>3</v>
      </c>
      <c r="AX648" s="462">
        <f>IF(AND(M648="F",AS648&lt;&gt;0),SUMIF(C2:C698,C648,W2:W698),0)</f>
        <v>0</v>
      </c>
      <c r="AY648" s="462" t="str">
        <f t="shared" si="172"/>
        <v/>
      </c>
      <c r="AZ648" s="462" t="str">
        <f t="shared" si="173"/>
        <v/>
      </c>
      <c r="BA648" s="462">
        <f t="shared" si="174"/>
        <v>0</v>
      </c>
      <c r="BB648" s="462">
        <f>IF(AND(AT648=1,AK648="E",AU648&gt;=0.75,AW648=1),Health,IF(AND(AT648=1,AK648="E",AU648&gt;=0.75),Health*P648,IF(AND(AT648=1,AK648="E",AU648&gt;=0.5,AW648=1),PTHealth,IF(AND(AT648=1,AK648="E",AU648&gt;=0.5),PTHealth*P648,0))))</f>
        <v>0</v>
      </c>
      <c r="BC648" s="462">
        <f>IF(AND(AT648=3,AK648="E",AV648&gt;=0.75,AW648=1),Health,IF(AND(AT648=3,AK648="E",AV648&gt;=0.75),Health*P648,IF(AND(AT648=3,AK648="E",AV648&gt;=0.5,AW648=1),PTHealth,IF(AND(AT648=3,AK648="E",AV648&gt;=0.5),PTHealth*P648,0))))</f>
        <v>0</v>
      </c>
      <c r="BD648" s="462">
        <f>IF(AND(AT648&lt;&gt;0,AX648&gt;=MAXSSDI),SSDI*MAXSSDI*P648,IF(AT648&lt;&gt;0,SSDI*W648,0))</f>
        <v>0</v>
      </c>
      <c r="BE648" s="462">
        <f>IF(AT648&lt;&gt;0,SSHI*W648,0)</f>
        <v>0</v>
      </c>
      <c r="BF648" s="462">
        <f>IF(AND(AT648&lt;&gt;0,AN648&lt;&gt;"NE"),VLOOKUP(AN648,Retirement_Rates,3,FALSE)*W648,0)</f>
        <v>0</v>
      </c>
      <c r="BG648" s="462">
        <f>IF(AND(AT648&lt;&gt;0,AJ648&lt;&gt;"PF"),Life*W648,0)</f>
        <v>0</v>
      </c>
      <c r="BH648" s="462">
        <f>IF(AND(AT648&lt;&gt;0,AM648="Y"),UI*W648,0)</f>
        <v>0</v>
      </c>
      <c r="BI648" s="462">
        <f>IF(AND(AT648&lt;&gt;0,N648&lt;&gt;"NR"),DHR*W648,0)</f>
        <v>0</v>
      </c>
      <c r="BJ648" s="462">
        <f>IF(AT648&lt;&gt;0,WC*W648,0)</f>
        <v>0</v>
      </c>
      <c r="BK648" s="462">
        <f>IF(OR(AND(AT648&lt;&gt;0,AJ648&lt;&gt;"PF",AN648&lt;&gt;"NE",AG648&lt;&gt;"A"),AND(AL648="E",OR(AT648=1,AT648=3))),Sick*W648,0)</f>
        <v>0</v>
      </c>
      <c r="BL648" s="462">
        <f t="shared" si="175"/>
        <v>0</v>
      </c>
      <c r="BM648" s="462">
        <f t="shared" si="176"/>
        <v>0</v>
      </c>
      <c r="BN648" s="462">
        <f>IF(AND(AT648=1,AK648="E",AU648&gt;=0.75,AW648=1),HealthBY,IF(AND(AT648=1,AK648="E",AU648&gt;=0.75),HealthBY*P648,IF(AND(AT648=1,AK648="E",AU648&gt;=0.5,AW648=1),PTHealthBY,IF(AND(AT648=1,AK648="E",AU648&gt;=0.5),PTHealthBY*P648,0))))</f>
        <v>0</v>
      </c>
      <c r="BO648" s="462">
        <f>IF(AND(AT648=3,AK648="E",AV648&gt;=0.75,AW648=1),HealthBY,IF(AND(AT648=3,AK648="E",AV648&gt;=0.75),HealthBY*P648,IF(AND(AT648=3,AK648="E",AV648&gt;=0.5,AW648=1),PTHealthBY,IF(AND(AT648=3,AK648="E",AV648&gt;=0.5),PTHealthBY*P648,0))))</f>
        <v>0</v>
      </c>
      <c r="BP648" s="462">
        <f>IF(AND(AT648&lt;&gt;0,(AX648+BA648)&gt;=MAXSSDIBY),SSDIBY*MAXSSDIBY*P648,IF(AT648&lt;&gt;0,SSDIBY*W648,0))</f>
        <v>0</v>
      </c>
      <c r="BQ648" s="462">
        <f>IF(AT648&lt;&gt;0,SSHIBY*W648,0)</f>
        <v>0</v>
      </c>
      <c r="BR648" s="462">
        <f>IF(AND(AT648&lt;&gt;0,AN648&lt;&gt;"NE"),VLOOKUP(AN648,Retirement_Rates,4,FALSE)*W648,0)</f>
        <v>0</v>
      </c>
      <c r="BS648" s="462">
        <f>IF(AND(AT648&lt;&gt;0,AJ648&lt;&gt;"PF"),LifeBY*W648,0)</f>
        <v>0</v>
      </c>
      <c r="BT648" s="462">
        <f>IF(AND(AT648&lt;&gt;0,AM648="Y"),UIBY*W648,0)</f>
        <v>0</v>
      </c>
      <c r="BU648" s="462">
        <f>IF(AND(AT648&lt;&gt;0,N648&lt;&gt;"NR"),DHRBY*W648,0)</f>
        <v>0</v>
      </c>
      <c r="BV648" s="462">
        <f>IF(AT648&lt;&gt;0,WCBY*W648,0)</f>
        <v>0</v>
      </c>
      <c r="BW648" s="462">
        <f>IF(OR(AND(AT648&lt;&gt;0,AJ648&lt;&gt;"PF",AN648&lt;&gt;"NE",AG648&lt;&gt;"A"),AND(AL648="E",OR(AT648=1,AT648=3))),SickBY*W648,0)</f>
        <v>0</v>
      </c>
      <c r="BX648" s="462">
        <f t="shared" si="177"/>
        <v>0</v>
      </c>
      <c r="BY648" s="462">
        <f t="shared" si="178"/>
        <v>0</v>
      </c>
      <c r="BZ648" s="462">
        <f t="shared" si="179"/>
        <v>0</v>
      </c>
      <c r="CA648" s="462">
        <f t="shared" si="180"/>
        <v>0</v>
      </c>
      <c r="CB648" s="462">
        <f t="shared" si="181"/>
        <v>0</v>
      </c>
      <c r="CC648" s="462">
        <f>IF(AT648&lt;&gt;0,SSHICHG*Y648,0)</f>
        <v>0</v>
      </c>
      <c r="CD648" s="462">
        <f>IF(AND(AT648&lt;&gt;0,AN648&lt;&gt;"NE"),VLOOKUP(AN648,Retirement_Rates,5,FALSE)*Y648,0)</f>
        <v>0</v>
      </c>
      <c r="CE648" s="462">
        <f>IF(AND(AT648&lt;&gt;0,AJ648&lt;&gt;"PF"),LifeCHG*Y648,0)</f>
        <v>0</v>
      </c>
      <c r="CF648" s="462">
        <f>IF(AND(AT648&lt;&gt;0,AM648="Y"),UICHG*Y648,0)</f>
        <v>0</v>
      </c>
      <c r="CG648" s="462">
        <f>IF(AND(AT648&lt;&gt;0,N648&lt;&gt;"NR"),DHRCHG*Y648,0)</f>
        <v>0</v>
      </c>
      <c r="CH648" s="462">
        <f>IF(AT648&lt;&gt;0,WCCHG*Y648,0)</f>
        <v>0</v>
      </c>
      <c r="CI648" s="462">
        <f>IF(OR(AND(AT648&lt;&gt;0,AJ648&lt;&gt;"PF",AN648&lt;&gt;"NE",AG648&lt;&gt;"A"),AND(AL648="E",OR(AT648=1,AT648=3))),SickCHG*Y648,0)</f>
        <v>0</v>
      </c>
      <c r="CJ648" s="462">
        <f t="shared" si="182"/>
        <v>0</v>
      </c>
      <c r="CK648" s="462" t="str">
        <f t="shared" si="183"/>
        <v/>
      </c>
      <c r="CL648" s="462" t="str">
        <f t="shared" si="184"/>
        <v/>
      </c>
      <c r="CM648" s="462" t="str">
        <f t="shared" si="185"/>
        <v/>
      </c>
      <c r="CN648" s="462" t="str">
        <f t="shared" si="186"/>
        <v>0348-00</v>
      </c>
    </row>
    <row r="649" spans="1:92" ht="15" thickBot="1" x14ac:dyDescent="0.35">
      <c r="A649" s="376" t="s">
        <v>161</v>
      </c>
      <c r="B649" s="376" t="s">
        <v>162</v>
      </c>
      <c r="C649" s="376" t="s">
        <v>510</v>
      </c>
      <c r="D649" s="376" t="s">
        <v>287</v>
      </c>
      <c r="E649" s="376" t="s">
        <v>759</v>
      </c>
      <c r="F649" s="377" t="s">
        <v>166</v>
      </c>
      <c r="G649" s="376" t="s">
        <v>1351</v>
      </c>
      <c r="H649" s="378"/>
      <c r="I649" s="378"/>
      <c r="J649" s="376" t="s">
        <v>168</v>
      </c>
      <c r="K649" s="376" t="s">
        <v>290</v>
      </c>
      <c r="L649" s="376" t="s">
        <v>166</v>
      </c>
      <c r="M649" s="376" t="s">
        <v>170</v>
      </c>
      <c r="N649" s="376" t="s">
        <v>291</v>
      </c>
      <c r="O649" s="379">
        <v>0</v>
      </c>
      <c r="P649" s="460">
        <v>0</v>
      </c>
      <c r="Q649" s="460">
        <v>0</v>
      </c>
      <c r="R649" s="380">
        <v>0</v>
      </c>
      <c r="S649" s="460">
        <v>0</v>
      </c>
      <c r="T649" s="380">
        <v>7189.71</v>
      </c>
      <c r="U649" s="380">
        <v>0</v>
      </c>
      <c r="V649" s="380">
        <v>874.26</v>
      </c>
      <c r="W649" s="380">
        <v>0</v>
      </c>
      <c r="X649" s="380">
        <v>0</v>
      </c>
      <c r="Y649" s="380">
        <v>0</v>
      </c>
      <c r="Z649" s="380">
        <v>0</v>
      </c>
      <c r="AA649" s="378"/>
      <c r="AB649" s="376" t="s">
        <v>45</v>
      </c>
      <c r="AC649" s="376" t="s">
        <v>45</v>
      </c>
      <c r="AD649" s="378"/>
      <c r="AE649" s="378"/>
      <c r="AF649" s="378"/>
      <c r="AG649" s="378"/>
      <c r="AH649" s="379">
        <v>0</v>
      </c>
      <c r="AI649" s="379">
        <v>0</v>
      </c>
      <c r="AJ649" s="378"/>
      <c r="AK649" s="378"/>
      <c r="AL649" s="376" t="s">
        <v>180</v>
      </c>
      <c r="AM649" s="378"/>
      <c r="AN649" s="378"/>
      <c r="AO649" s="379">
        <v>0</v>
      </c>
      <c r="AP649" s="460">
        <v>0</v>
      </c>
      <c r="AQ649" s="460">
        <v>0</v>
      </c>
      <c r="AR649" s="459"/>
      <c r="AS649" s="462">
        <f t="shared" si="170"/>
        <v>0</v>
      </c>
      <c r="AT649">
        <f t="shared" si="171"/>
        <v>0</v>
      </c>
      <c r="AU649" s="462" t="str">
        <f>IF(AT649=0,"",IF(AND(AT649=1,M649="F",SUMIF(C2:C698,C649,AS2:AS698)&lt;=1),SUMIF(C2:C698,C649,AS2:AS698),IF(AND(AT649=1,M649="F",SUMIF(C2:C698,C649,AS2:AS698)&gt;1),1,"")))</f>
        <v/>
      </c>
      <c r="AV649" s="462" t="str">
        <f>IF(AT649=0,"",IF(AND(AT649=3,M649="F",SUMIF(C2:C698,C649,AS2:AS698)&lt;=1),SUMIF(C2:C698,C649,AS2:AS698),IF(AND(AT649=3,M649="F",SUMIF(C2:C698,C649,AS2:AS698)&gt;1),1,"")))</f>
        <v/>
      </c>
      <c r="AW649" s="462">
        <f>SUMIF(C2:C698,C649,O2:O698)</f>
        <v>0</v>
      </c>
      <c r="AX649" s="462">
        <f>IF(AND(M649="F",AS649&lt;&gt;0),SUMIF(C2:C698,C649,W2:W698),0)</f>
        <v>0</v>
      </c>
      <c r="AY649" s="462" t="str">
        <f t="shared" si="172"/>
        <v/>
      </c>
      <c r="AZ649" s="462" t="str">
        <f t="shared" si="173"/>
        <v/>
      </c>
      <c r="BA649" s="462">
        <f t="shared" si="174"/>
        <v>0</v>
      </c>
      <c r="BB649" s="462">
        <f>IF(AND(AT649=1,AK649="E",AU649&gt;=0.75,AW649=1),Health,IF(AND(AT649=1,AK649="E",AU649&gt;=0.75),Health*P649,IF(AND(AT649=1,AK649="E",AU649&gt;=0.5,AW649=1),PTHealth,IF(AND(AT649=1,AK649="E",AU649&gt;=0.5),PTHealth*P649,0))))</f>
        <v>0</v>
      </c>
      <c r="BC649" s="462">
        <f>IF(AND(AT649=3,AK649="E",AV649&gt;=0.75,AW649=1),Health,IF(AND(AT649=3,AK649="E",AV649&gt;=0.75),Health*P649,IF(AND(AT649=3,AK649="E",AV649&gt;=0.5,AW649=1),PTHealth,IF(AND(AT649=3,AK649="E",AV649&gt;=0.5),PTHealth*P649,0))))</f>
        <v>0</v>
      </c>
      <c r="BD649" s="462">
        <f>IF(AND(AT649&lt;&gt;0,AX649&gt;=MAXSSDI),SSDI*MAXSSDI*P649,IF(AT649&lt;&gt;0,SSDI*W649,0))</f>
        <v>0</v>
      </c>
      <c r="BE649" s="462">
        <f>IF(AT649&lt;&gt;0,SSHI*W649,0)</f>
        <v>0</v>
      </c>
      <c r="BF649" s="462">
        <f>IF(AND(AT649&lt;&gt;0,AN649&lt;&gt;"NE"),VLOOKUP(AN649,Retirement_Rates,3,FALSE)*W649,0)</f>
        <v>0</v>
      </c>
      <c r="BG649" s="462">
        <f>IF(AND(AT649&lt;&gt;0,AJ649&lt;&gt;"PF"),Life*W649,0)</f>
        <v>0</v>
      </c>
      <c r="BH649" s="462">
        <f>IF(AND(AT649&lt;&gt;0,AM649="Y"),UI*W649,0)</f>
        <v>0</v>
      </c>
      <c r="BI649" s="462">
        <f>IF(AND(AT649&lt;&gt;0,N649&lt;&gt;"NR"),DHR*W649,0)</f>
        <v>0</v>
      </c>
      <c r="BJ649" s="462">
        <f>IF(AT649&lt;&gt;0,WC*W649,0)</f>
        <v>0</v>
      </c>
      <c r="BK649" s="462">
        <f>IF(OR(AND(AT649&lt;&gt;0,AJ649&lt;&gt;"PF",AN649&lt;&gt;"NE",AG649&lt;&gt;"A"),AND(AL649="E",OR(AT649=1,AT649=3))),Sick*W649,0)</f>
        <v>0</v>
      </c>
      <c r="BL649" s="462">
        <f t="shared" si="175"/>
        <v>0</v>
      </c>
      <c r="BM649" s="462">
        <f t="shared" si="176"/>
        <v>0</v>
      </c>
      <c r="BN649" s="462">
        <f>IF(AND(AT649=1,AK649="E",AU649&gt;=0.75,AW649=1),HealthBY,IF(AND(AT649=1,AK649="E",AU649&gt;=0.75),HealthBY*P649,IF(AND(AT649=1,AK649="E",AU649&gt;=0.5,AW649=1),PTHealthBY,IF(AND(AT649=1,AK649="E",AU649&gt;=0.5),PTHealthBY*P649,0))))</f>
        <v>0</v>
      </c>
      <c r="BO649" s="462">
        <f>IF(AND(AT649=3,AK649="E",AV649&gt;=0.75,AW649=1),HealthBY,IF(AND(AT649=3,AK649="E",AV649&gt;=0.75),HealthBY*P649,IF(AND(AT649=3,AK649="E",AV649&gt;=0.5,AW649=1),PTHealthBY,IF(AND(AT649=3,AK649="E",AV649&gt;=0.5),PTHealthBY*P649,0))))</f>
        <v>0</v>
      </c>
      <c r="BP649" s="462">
        <f>IF(AND(AT649&lt;&gt;0,(AX649+BA649)&gt;=MAXSSDIBY),SSDIBY*MAXSSDIBY*P649,IF(AT649&lt;&gt;0,SSDIBY*W649,0))</f>
        <v>0</v>
      </c>
      <c r="BQ649" s="462">
        <f>IF(AT649&lt;&gt;0,SSHIBY*W649,0)</f>
        <v>0</v>
      </c>
      <c r="BR649" s="462">
        <f>IF(AND(AT649&lt;&gt;0,AN649&lt;&gt;"NE"),VLOOKUP(AN649,Retirement_Rates,4,FALSE)*W649,0)</f>
        <v>0</v>
      </c>
      <c r="BS649" s="462">
        <f>IF(AND(AT649&lt;&gt;0,AJ649&lt;&gt;"PF"),LifeBY*W649,0)</f>
        <v>0</v>
      </c>
      <c r="BT649" s="462">
        <f>IF(AND(AT649&lt;&gt;0,AM649="Y"),UIBY*W649,0)</f>
        <v>0</v>
      </c>
      <c r="BU649" s="462">
        <f>IF(AND(AT649&lt;&gt;0,N649&lt;&gt;"NR"),DHRBY*W649,0)</f>
        <v>0</v>
      </c>
      <c r="BV649" s="462">
        <f>IF(AT649&lt;&gt;0,WCBY*W649,0)</f>
        <v>0</v>
      </c>
      <c r="BW649" s="462">
        <f>IF(OR(AND(AT649&lt;&gt;0,AJ649&lt;&gt;"PF",AN649&lt;&gt;"NE",AG649&lt;&gt;"A"),AND(AL649="E",OR(AT649=1,AT649=3))),SickBY*W649,0)</f>
        <v>0</v>
      </c>
      <c r="BX649" s="462">
        <f t="shared" si="177"/>
        <v>0</v>
      </c>
      <c r="BY649" s="462">
        <f t="shared" si="178"/>
        <v>0</v>
      </c>
      <c r="BZ649" s="462">
        <f t="shared" si="179"/>
        <v>0</v>
      </c>
      <c r="CA649" s="462">
        <f t="shared" si="180"/>
        <v>0</v>
      </c>
      <c r="CB649" s="462">
        <f t="shared" si="181"/>
        <v>0</v>
      </c>
      <c r="CC649" s="462">
        <f>IF(AT649&lt;&gt;0,SSHICHG*Y649,0)</f>
        <v>0</v>
      </c>
      <c r="CD649" s="462">
        <f>IF(AND(AT649&lt;&gt;0,AN649&lt;&gt;"NE"),VLOOKUP(AN649,Retirement_Rates,5,FALSE)*Y649,0)</f>
        <v>0</v>
      </c>
      <c r="CE649" s="462">
        <f>IF(AND(AT649&lt;&gt;0,AJ649&lt;&gt;"PF"),LifeCHG*Y649,0)</f>
        <v>0</v>
      </c>
      <c r="CF649" s="462">
        <f>IF(AND(AT649&lt;&gt;0,AM649="Y"),UICHG*Y649,0)</f>
        <v>0</v>
      </c>
      <c r="CG649" s="462">
        <f>IF(AND(AT649&lt;&gt;0,N649&lt;&gt;"NR"),DHRCHG*Y649,0)</f>
        <v>0</v>
      </c>
      <c r="CH649" s="462">
        <f>IF(AT649&lt;&gt;0,WCCHG*Y649,0)</f>
        <v>0</v>
      </c>
      <c r="CI649" s="462">
        <f>IF(OR(AND(AT649&lt;&gt;0,AJ649&lt;&gt;"PF",AN649&lt;&gt;"NE",AG649&lt;&gt;"A"),AND(AL649="E",OR(AT649=1,AT649=3))),SickCHG*Y649,0)</f>
        <v>0</v>
      </c>
      <c r="CJ649" s="462">
        <f t="shared" si="182"/>
        <v>0</v>
      </c>
      <c r="CK649" s="462" t="str">
        <f t="shared" si="183"/>
        <v/>
      </c>
      <c r="CL649" s="462">
        <f t="shared" si="184"/>
        <v>7189.71</v>
      </c>
      <c r="CM649" s="462">
        <f t="shared" si="185"/>
        <v>874.26</v>
      </c>
      <c r="CN649" s="462" t="str">
        <f t="shared" si="186"/>
        <v>0348-00</v>
      </c>
    </row>
    <row r="650" spans="1:92" ht="15" thickBot="1" x14ac:dyDescent="0.35">
      <c r="A650" s="376" t="s">
        <v>161</v>
      </c>
      <c r="B650" s="376" t="s">
        <v>162</v>
      </c>
      <c r="C650" s="376" t="s">
        <v>450</v>
      </c>
      <c r="D650" s="376" t="s">
        <v>272</v>
      </c>
      <c r="E650" s="376" t="s">
        <v>759</v>
      </c>
      <c r="F650" s="377" t="s">
        <v>166</v>
      </c>
      <c r="G650" s="376" t="s">
        <v>1351</v>
      </c>
      <c r="H650" s="378"/>
      <c r="I650" s="378"/>
      <c r="J650" s="376" t="s">
        <v>185</v>
      </c>
      <c r="K650" s="376" t="s">
        <v>273</v>
      </c>
      <c r="L650" s="376" t="s">
        <v>274</v>
      </c>
      <c r="M650" s="376" t="s">
        <v>170</v>
      </c>
      <c r="N650" s="376" t="s">
        <v>202</v>
      </c>
      <c r="O650" s="379">
        <v>1</v>
      </c>
      <c r="P650" s="460">
        <v>0</v>
      </c>
      <c r="Q650" s="460">
        <v>0</v>
      </c>
      <c r="R650" s="380">
        <v>80</v>
      </c>
      <c r="S650" s="460">
        <v>0</v>
      </c>
      <c r="T650" s="380">
        <v>1262.24</v>
      </c>
      <c r="U650" s="380">
        <v>0</v>
      </c>
      <c r="V650" s="380">
        <v>558.65</v>
      </c>
      <c r="W650" s="380">
        <v>0</v>
      </c>
      <c r="X650" s="380">
        <v>0</v>
      </c>
      <c r="Y650" s="380">
        <v>0</v>
      </c>
      <c r="Z650" s="380">
        <v>0</v>
      </c>
      <c r="AA650" s="376" t="s">
        <v>451</v>
      </c>
      <c r="AB650" s="376" t="s">
        <v>452</v>
      </c>
      <c r="AC650" s="376" t="s">
        <v>453</v>
      </c>
      <c r="AD650" s="376" t="s">
        <v>370</v>
      </c>
      <c r="AE650" s="376" t="s">
        <v>273</v>
      </c>
      <c r="AF650" s="376" t="s">
        <v>279</v>
      </c>
      <c r="AG650" s="376" t="s">
        <v>177</v>
      </c>
      <c r="AH650" s="381">
        <v>27.38</v>
      </c>
      <c r="AI650" s="381">
        <v>100037.7</v>
      </c>
      <c r="AJ650" s="376" t="s">
        <v>178</v>
      </c>
      <c r="AK650" s="376" t="s">
        <v>179</v>
      </c>
      <c r="AL650" s="376" t="s">
        <v>180</v>
      </c>
      <c r="AM650" s="376" t="s">
        <v>181</v>
      </c>
      <c r="AN650" s="376" t="s">
        <v>68</v>
      </c>
      <c r="AO650" s="379">
        <v>80</v>
      </c>
      <c r="AP650" s="460">
        <v>1</v>
      </c>
      <c r="AQ650" s="460">
        <v>0</v>
      </c>
      <c r="AR650" s="458" t="s">
        <v>182</v>
      </c>
      <c r="AS650" s="462">
        <f t="shared" si="170"/>
        <v>0</v>
      </c>
      <c r="AT650">
        <f t="shared" si="171"/>
        <v>0</v>
      </c>
      <c r="AU650" s="462" t="str">
        <f>IF(AT650=0,"",IF(AND(AT650=1,M650="F",SUMIF(C2:C698,C650,AS2:AS698)&lt;=1),SUMIF(C2:C698,C650,AS2:AS698),IF(AND(AT650=1,M650="F",SUMIF(C2:C698,C650,AS2:AS698)&gt;1),1,"")))</f>
        <v/>
      </c>
      <c r="AV650" s="462" t="str">
        <f>IF(AT650=0,"",IF(AND(AT650=3,M650="F",SUMIF(C2:C698,C650,AS2:AS698)&lt;=1),SUMIF(C2:C698,C650,AS2:AS698),IF(AND(AT650=3,M650="F",SUMIF(C2:C698,C650,AS2:AS698)&gt;1),1,"")))</f>
        <v/>
      </c>
      <c r="AW650" s="462">
        <f>SUMIF(C2:C698,C650,O2:O698)</f>
        <v>6</v>
      </c>
      <c r="AX650" s="462">
        <f>IF(AND(M650="F",AS650&lt;&gt;0),SUMIF(C2:C698,C650,W2:W698),0)</f>
        <v>0</v>
      </c>
      <c r="AY650" s="462" t="str">
        <f t="shared" si="172"/>
        <v/>
      </c>
      <c r="AZ650" s="462" t="str">
        <f t="shared" si="173"/>
        <v/>
      </c>
      <c r="BA650" s="462">
        <f t="shared" si="174"/>
        <v>0</v>
      </c>
      <c r="BB650" s="462">
        <f>IF(AND(AT650=1,AK650="E",AU650&gt;=0.75,AW650=1),Health,IF(AND(AT650=1,AK650="E",AU650&gt;=0.75),Health*P650,IF(AND(AT650=1,AK650="E",AU650&gt;=0.5,AW650=1),PTHealth,IF(AND(AT650=1,AK650="E",AU650&gt;=0.5),PTHealth*P650,0))))</f>
        <v>0</v>
      </c>
      <c r="BC650" s="462">
        <f>IF(AND(AT650=3,AK650="E",AV650&gt;=0.75,AW650=1),Health,IF(AND(AT650=3,AK650="E",AV650&gt;=0.75),Health*P650,IF(AND(AT650=3,AK650="E",AV650&gt;=0.5,AW650=1),PTHealth,IF(AND(AT650=3,AK650="E",AV650&gt;=0.5),PTHealth*P650,0))))</f>
        <v>0</v>
      </c>
      <c r="BD650" s="462">
        <f>IF(AND(AT650&lt;&gt;0,AX650&gt;=MAXSSDI),SSDI*MAXSSDI*P650,IF(AT650&lt;&gt;0,SSDI*W650,0))</f>
        <v>0</v>
      </c>
      <c r="BE650" s="462">
        <f>IF(AT650&lt;&gt;0,SSHI*W650,0)</f>
        <v>0</v>
      </c>
      <c r="BF650" s="462">
        <f>IF(AND(AT650&lt;&gt;0,AN650&lt;&gt;"NE"),VLOOKUP(AN650,Retirement_Rates,3,FALSE)*W650,0)</f>
        <v>0</v>
      </c>
      <c r="BG650" s="462">
        <f>IF(AND(AT650&lt;&gt;0,AJ650&lt;&gt;"PF"),Life*W650,0)</f>
        <v>0</v>
      </c>
      <c r="BH650" s="462">
        <f>IF(AND(AT650&lt;&gt;0,AM650="Y"),UI*W650,0)</f>
        <v>0</v>
      </c>
      <c r="BI650" s="462">
        <f>IF(AND(AT650&lt;&gt;0,N650&lt;&gt;"NR"),DHR*W650,0)</f>
        <v>0</v>
      </c>
      <c r="BJ650" s="462">
        <f>IF(AT650&lt;&gt;0,WC*W650,0)</f>
        <v>0</v>
      </c>
      <c r="BK650" s="462">
        <f>IF(OR(AND(AT650&lt;&gt;0,AJ650&lt;&gt;"PF",AN650&lt;&gt;"NE",AG650&lt;&gt;"A"),AND(AL650="E",OR(AT650=1,AT650=3))),Sick*W650,0)</f>
        <v>0</v>
      </c>
      <c r="BL650" s="462">
        <f t="shared" si="175"/>
        <v>0</v>
      </c>
      <c r="BM650" s="462">
        <f t="shared" si="176"/>
        <v>0</v>
      </c>
      <c r="BN650" s="462">
        <f>IF(AND(AT650=1,AK650="E",AU650&gt;=0.75,AW650=1),HealthBY,IF(AND(AT650=1,AK650="E",AU650&gt;=0.75),HealthBY*P650,IF(AND(AT650=1,AK650="E",AU650&gt;=0.5,AW650=1),PTHealthBY,IF(AND(AT650=1,AK650="E",AU650&gt;=0.5),PTHealthBY*P650,0))))</f>
        <v>0</v>
      </c>
      <c r="BO650" s="462">
        <f>IF(AND(AT650=3,AK650="E",AV650&gt;=0.75,AW650=1),HealthBY,IF(AND(AT650=3,AK650="E",AV650&gt;=0.75),HealthBY*P650,IF(AND(AT650=3,AK650="E",AV650&gt;=0.5,AW650=1),PTHealthBY,IF(AND(AT650=3,AK650="E",AV650&gt;=0.5),PTHealthBY*P650,0))))</f>
        <v>0</v>
      </c>
      <c r="BP650" s="462">
        <f>IF(AND(AT650&lt;&gt;0,(AX650+BA650)&gt;=MAXSSDIBY),SSDIBY*MAXSSDIBY*P650,IF(AT650&lt;&gt;0,SSDIBY*W650,0))</f>
        <v>0</v>
      </c>
      <c r="BQ650" s="462">
        <f>IF(AT650&lt;&gt;0,SSHIBY*W650,0)</f>
        <v>0</v>
      </c>
      <c r="BR650" s="462">
        <f>IF(AND(AT650&lt;&gt;0,AN650&lt;&gt;"NE"),VLOOKUP(AN650,Retirement_Rates,4,FALSE)*W650,0)</f>
        <v>0</v>
      </c>
      <c r="BS650" s="462">
        <f>IF(AND(AT650&lt;&gt;0,AJ650&lt;&gt;"PF"),LifeBY*W650,0)</f>
        <v>0</v>
      </c>
      <c r="BT650" s="462">
        <f>IF(AND(AT650&lt;&gt;0,AM650="Y"),UIBY*W650,0)</f>
        <v>0</v>
      </c>
      <c r="BU650" s="462">
        <f>IF(AND(AT650&lt;&gt;0,N650&lt;&gt;"NR"),DHRBY*W650,0)</f>
        <v>0</v>
      </c>
      <c r="BV650" s="462">
        <f>IF(AT650&lt;&gt;0,WCBY*W650,0)</f>
        <v>0</v>
      </c>
      <c r="BW650" s="462">
        <f>IF(OR(AND(AT650&lt;&gt;0,AJ650&lt;&gt;"PF",AN650&lt;&gt;"NE",AG650&lt;&gt;"A"),AND(AL650="E",OR(AT650=1,AT650=3))),SickBY*W650,0)</f>
        <v>0</v>
      </c>
      <c r="BX650" s="462">
        <f t="shared" si="177"/>
        <v>0</v>
      </c>
      <c r="BY650" s="462">
        <f t="shared" si="178"/>
        <v>0</v>
      </c>
      <c r="BZ650" s="462">
        <f t="shared" si="179"/>
        <v>0</v>
      </c>
      <c r="CA650" s="462">
        <f t="shared" si="180"/>
        <v>0</v>
      </c>
      <c r="CB650" s="462">
        <f t="shared" si="181"/>
        <v>0</v>
      </c>
      <c r="CC650" s="462">
        <f>IF(AT650&lt;&gt;0,SSHICHG*Y650,0)</f>
        <v>0</v>
      </c>
      <c r="CD650" s="462">
        <f>IF(AND(AT650&lt;&gt;0,AN650&lt;&gt;"NE"),VLOOKUP(AN650,Retirement_Rates,5,FALSE)*Y650,0)</f>
        <v>0</v>
      </c>
      <c r="CE650" s="462">
        <f>IF(AND(AT650&lt;&gt;0,AJ650&lt;&gt;"PF"),LifeCHG*Y650,0)</f>
        <v>0</v>
      </c>
      <c r="CF650" s="462">
        <f>IF(AND(AT650&lt;&gt;0,AM650="Y"),UICHG*Y650,0)</f>
        <v>0</v>
      </c>
      <c r="CG650" s="462">
        <f>IF(AND(AT650&lt;&gt;0,N650&lt;&gt;"NR"),DHRCHG*Y650,0)</f>
        <v>0</v>
      </c>
      <c r="CH650" s="462">
        <f>IF(AT650&lt;&gt;0,WCCHG*Y650,0)</f>
        <v>0</v>
      </c>
      <c r="CI650" s="462">
        <f>IF(OR(AND(AT650&lt;&gt;0,AJ650&lt;&gt;"PF",AN650&lt;&gt;"NE",AG650&lt;&gt;"A"),AND(AL650="E",OR(AT650=1,AT650=3))),SickCHG*Y650,0)</f>
        <v>0</v>
      </c>
      <c r="CJ650" s="462">
        <f t="shared" si="182"/>
        <v>0</v>
      </c>
      <c r="CK650" s="462" t="str">
        <f t="shared" si="183"/>
        <v/>
      </c>
      <c r="CL650" s="462" t="str">
        <f t="shared" si="184"/>
        <v/>
      </c>
      <c r="CM650" s="462" t="str">
        <f t="shared" si="185"/>
        <v/>
      </c>
      <c r="CN650" s="462" t="str">
        <f t="shared" si="186"/>
        <v>0348-00</v>
      </c>
    </row>
    <row r="651" spans="1:92" ht="15" thickBot="1" x14ac:dyDescent="0.35">
      <c r="A651" s="376" t="s">
        <v>161</v>
      </c>
      <c r="B651" s="376" t="s">
        <v>162</v>
      </c>
      <c r="C651" s="376" t="s">
        <v>456</v>
      </c>
      <c r="D651" s="376" t="s">
        <v>457</v>
      </c>
      <c r="E651" s="376" t="s">
        <v>759</v>
      </c>
      <c r="F651" s="377" t="s">
        <v>166</v>
      </c>
      <c r="G651" s="376" t="s">
        <v>1351</v>
      </c>
      <c r="H651" s="378"/>
      <c r="I651" s="378"/>
      <c r="J651" s="376" t="s">
        <v>168</v>
      </c>
      <c r="K651" s="376" t="s">
        <v>458</v>
      </c>
      <c r="L651" s="376" t="s">
        <v>177</v>
      </c>
      <c r="M651" s="376" t="s">
        <v>170</v>
      </c>
      <c r="N651" s="376" t="s">
        <v>202</v>
      </c>
      <c r="O651" s="379">
        <v>1</v>
      </c>
      <c r="P651" s="460">
        <v>0</v>
      </c>
      <c r="Q651" s="460">
        <v>0</v>
      </c>
      <c r="R651" s="380">
        <v>80</v>
      </c>
      <c r="S651" s="460">
        <v>0</v>
      </c>
      <c r="T651" s="380">
        <v>4992.55</v>
      </c>
      <c r="U651" s="380">
        <v>0</v>
      </c>
      <c r="V651" s="380">
        <v>3455.84</v>
      </c>
      <c r="W651" s="380">
        <v>0</v>
      </c>
      <c r="X651" s="380">
        <v>0</v>
      </c>
      <c r="Y651" s="380">
        <v>0</v>
      </c>
      <c r="Z651" s="380">
        <v>0</v>
      </c>
      <c r="AA651" s="376" t="s">
        <v>459</v>
      </c>
      <c r="AB651" s="376" t="s">
        <v>460</v>
      </c>
      <c r="AC651" s="376" t="s">
        <v>461</v>
      </c>
      <c r="AD651" s="376" t="s">
        <v>462</v>
      </c>
      <c r="AE651" s="376" t="s">
        <v>458</v>
      </c>
      <c r="AF651" s="376" t="s">
        <v>436</v>
      </c>
      <c r="AG651" s="376" t="s">
        <v>177</v>
      </c>
      <c r="AH651" s="381">
        <v>15.5</v>
      </c>
      <c r="AI651" s="379">
        <v>2588</v>
      </c>
      <c r="AJ651" s="376" t="s">
        <v>178</v>
      </c>
      <c r="AK651" s="376" t="s">
        <v>179</v>
      </c>
      <c r="AL651" s="376" t="s">
        <v>180</v>
      </c>
      <c r="AM651" s="376" t="s">
        <v>181</v>
      </c>
      <c r="AN651" s="376" t="s">
        <v>68</v>
      </c>
      <c r="AO651" s="379">
        <v>80</v>
      </c>
      <c r="AP651" s="460">
        <v>1</v>
      </c>
      <c r="AQ651" s="460">
        <v>0</v>
      </c>
      <c r="AR651" s="458" t="s">
        <v>182</v>
      </c>
      <c r="AS651" s="462">
        <f t="shared" si="170"/>
        <v>0</v>
      </c>
      <c r="AT651">
        <f t="shared" si="171"/>
        <v>0</v>
      </c>
      <c r="AU651" s="462" t="str">
        <f>IF(AT651=0,"",IF(AND(AT651=1,M651="F",SUMIF(C2:C698,C651,AS2:AS698)&lt;=1),SUMIF(C2:C698,C651,AS2:AS698),IF(AND(AT651=1,M651="F",SUMIF(C2:C698,C651,AS2:AS698)&gt;1),1,"")))</f>
        <v/>
      </c>
      <c r="AV651" s="462" t="str">
        <f>IF(AT651=0,"",IF(AND(AT651=3,M651="F",SUMIF(C2:C698,C651,AS2:AS698)&lt;=1),SUMIF(C2:C698,C651,AS2:AS698),IF(AND(AT651=3,M651="F",SUMIF(C2:C698,C651,AS2:AS698)&gt;1),1,"")))</f>
        <v/>
      </c>
      <c r="AW651" s="462">
        <f>SUMIF(C2:C698,C651,O2:O698)</f>
        <v>5</v>
      </c>
      <c r="AX651" s="462">
        <f>IF(AND(M651="F",AS651&lt;&gt;0),SUMIF(C2:C698,C651,W2:W698),0)</f>
        <v>0</v>
      </c>
      <c r="AY651" s="462" t="str">
        <f t="shared" si="172"/>
        <v/>
      </c>
      <c r="AZ651" s="462" t="str">
        <f t="shared" si="173"/>
        <v/>
      </c>
      <c r="BA651" s="462">
        <f t="shared" si="174"/>
        <v>0</v>
      </c>
      <c r="BB651" s="462">
        <f>IF(AND(AT651=1,AK651="E",AU651&gt;=0.75,AW651=1),Health,IF(AND(AT651=1,AK651="E",AU651&gt;=0.75),Health*P651,IF(AND(AT651=1,AK651="E",AU651&gt;=0.5,AW651=1),PTHealth,IF(AND(AT651=1,AK651="E",AU651&gt;=0.5),PTHealth*P651,0))))</f>
        <v>0</v>
      </c>
      <c r="BC651" s="462">
        <f>IF(AND(AT651=3,AK651="E",AV651&gt;=0.75,AW651=1),Health,IF(AND(AT651=3,AK651="E",AV651&gt;=0.75),Health*P651,IF(AND(AT651=3,AK651="E",AV651&gt;=0.5,AW651=1),PTHealth,IF(AND(AT651=3,AK651="E",AV651&gt;=0.5),PTHealth*P651,0))))</f>
        <v>0</v>
      </c>
      <c r="BD651" s="462">
        <f>IF(AND(AT651&lt;&gt;0,AX651&gt;=MAXSSDI),SSDI*MAXSSDI*P651,IF(AT651&lt;&gt;0,SSDI*W651,0))</f>
        <v>0</v>
      </c>
      <c r="BE651" s="462">
        <f>IF(AT651&lt;&gt;0,SSHI*W651,0)</f>
        <v>0</v>
      </c>
      <c r="BF651" s="462">
        <f>IF(AND(AT651&lt;&gt;0,AN651&lt;&gt;"NE"),VLOOKUP(AN651,Retirement_Rates,3,FALSE)*W651,0)</f>
        <v>0</v>
      </c>
      <c r="BG651" s="462">
        <f>IF(AND(AT651&lt;&gt;0,AJ651&lt;&gt;"PF"),Life*W651,0)</f>
        <v>0</v>
      </c>
      <c r="BH651" s="462">
        <f>IF(AND(AT651&lt;&gt;0,AM651="Y"),UI*W651,0)</f>
        <v>0</v>
      </c>
      <c r="BI651" s="462">
        <f>IF(AND(AT651&lt;&gt;0,N651&lt;&gt;"NR"),DHR*W651,0)</f>
        <v>0</v>
      </c>
      <c r="BJ651" s="462">
        <f>IF(AT651&lt;&gt;0,WC*W651,0)</f>
        <v>0</v>
      </c>
      <c r="BK651" s="462">
        <f>IF(OR(AND(AT651&lt;&gt;0,AJ651&lt;&gt;"PF",AN651&lt;&gt;"NE",AG651&lt;&gt;"A"),AND(AL651="E",OR(AT651=1,AT651=3))),Sick*W651,0)</f>
        <v>0</v>
      </c>
      <c r="BL651" s="462">
        <f t="shared" si="175"/>
        <v>0</v>
      </c>
      <c r="BM651" s="462">
        <f t="shared" si="176"/>
        <v>0</v>
      </c>
      <c r="BN651" s="462">
        <f>IF(AND(AT651=1,AK651="E",AU651&gt;=0.75,AW651=1),HealthBY,IF(AND(AT651=1,AK651="E",AU651&gt;=0.75),HealthBY*P651,IF(AND(AT651=1,AK651="E",AU651&gt;=0.5,AW651=1),PTHealthBY,IF(AND(AT651=1,AK651="E",AU651&gt;=0.5),PTHealthBY*P651,0))))</f>
        <v>0</v>
      </c>
      <c r="BO651" s="462">
        <f>IF(AND(AT651=3,AK651="E",AV651&gt;=0.75,AW651=1),HealthBY,IF(AND(AT651=3,AK651="E",AV651&gt;=0.75),HealthBY*P651,IF(AND(AT651=3,AK651="E",AV651&gt;=0.5,AW651=1),PTHealthBY,IF(AND(AT651=3,AK651="E",AV651&gt;=0.5),PTHealthBY*P651,0))))</f>
        <v>0</v>
      </c>
      <c r="BP651" s="462">
        <f>IF(AND(AT651&lt;&gt;0,(AX651+BA651)&gt;=MAXSSDIBY),SSDIBY*MAXSSDIBY*P651,IF(AT651&lt;&gt;0,SSDIBY*W651,0))</f>
        <v>0</v>
      </c>
      <c r="BQ651" s="462">
        <f>IF(AT651&lt;&gt;0,SSHIBY*W651,0)</f>
        <v>0</v>
      </c>
      <c r="BR651" s="462">
        <f>IF(AND(AT651&lt;&gt;0,AN651&lt;&gt;"NE"),VLOOKUP(AN651,Retirement_Rates,4,FALSE)*W651,0)</f>
        <v>0</v>
      </c>
      <c r="BS651" s="462">
        <f>IF(AND(AT651&lt;&gt;0,AJ651&lt;&gt;"PF"),LifeBY*W651,0)</f>
        <v>0</v>
      </c>
      <c r="BT651" s="462">
        <f>IF(AND(AT651&lt;&gt;0,AM651="Y"),UIBY*W651,0)</f>
        <v>0</v>
      </c>
      <c r="BU651" s="462">
        <f>IF(AND(AT651&lt;&gt;0,N651&lt;&gt;"NR"),DHRBY*W651,0)</f>
        <v>0</v>
      </c>
      <c r="BV651" s="462">
        <f>IF(AT651&lt;&gt;0,WCBY*W651,0)</f>
        <v>0</v>
      </c>
      <c r="BW651" s="462">
        <f>IF(OR(AND(AT651&lt;&gt;0,AJ651&lt;&gt;"PF",AN651&lt;&gt;"NE",AG651&lt;&gt;"A"),AND(AL651="E",OR(AT651=1,AT651=3))),SickBY*W651,0)</f>
        <v>0</v>
      </c>
      <c r="BX651" s="462">
        <f t="shared" si="177"/>
        <v>0</v>
      </c>
      <c r="BY651" s="462">
        <f t="shared" si="178"/>
        <v>0</v>
      </c>
      <c r="BZ651" s="462">
        <f t="shared" si="179"/>
        <v>0</v>
      </c>
      <c r="CA651" s="462">
        <f t="shared" si="180"/>
        <v>0</v>
      </c>
      <c r="CB651" s="462">
        <f t="shared" si="181"/>
        <v>0</v>
      </c>
      <c r="CC651" s="462">
        <f>IF(AT651&lt;&gt;0,SSHICHG*Y651,0)</f>
        <v>0</v>
      </c>
      <c r="CD651" s="462">
        <f>IF(AND(AT651&lt;&gt;0,AN651&lt;&gt;"NE"),VLOOKUP(AN651,Retirement_Rates,5,FALSE)*Y651,0)</f>
        <v>0</v>
      </c>
      <c r="CE651" s="462">
        <f>IF(AND(AT651&lt;&gt;0,AJ651&lt;&gt;"PF"),LifeCHG*Y651,0)</f>
        <v>0</v>
      </c>
      <c r="CF651" s="462">
        <f>IF(AND(AT651&lt;&gt;0,AM651="Y"),UICHG*Y651,0)</f>
        <v>0</v>
      </c>
      <c r="CG651" s="462">
        <f>IF(AND(AT651&lt;&gt;0,N651&lt;&gt;"NR"),DHRCHG*Y651,0)</f>
        <v>0</v>
      </c>
      <c r="CH651" s="462">
        <f>IF(AT651&lt;&gt;0,WCCHG*Y651,0)</f>
        <v>0</v>
      </c>
      <c r="CI651" s="462">
        <f>IF(OR(AND(AT651&lt;&gt;0,AJ651&lt;&gt;"PF",AN651&lt;&gt;"NE",AG651&lt;&gt;"A"),AND(AL651="E",OR(AT651=1,AT651=3))),SickCHG*Y651,0)</f>
        <v>0</v>
      </c>
      <c r="CJ651" s="462">
        <f t="shared" si="182"/>
        <v>0</v>
      </c>
      <c r="CK651" s="462" t="str">
        <f t="shared" si="183"/>
        <v/>
      </c>
      <c r="CL651" s="462" t="str">
        <f t="shared" si="184"/>
        <v/>
      </c>
      <c r="CM651" s="462" t="str">
        <f t="shared" si="185"/>
        <v/>
      </c>
      <c r="CN651" s="462" t="str">
        <f t="shared" si="186"/>
        <v>0348-00</v>
      </c>
    </row>
    <row r="652" spans="1:92" ht="15" thickBot="1" x14ac:dyDescent="0.35">
      <c r="A652" s="376" t="s">
        <v>161</v>
      </c>
      <c r="B652" s="376" t="s">
        <v>162</v>
      </c>
      <c r="C652" s="376" t="s">
        <v>463</v>
      </c>
      <c r="D652" s="376" t="s">
        <v>250</v>
      </c>
      <c r="E652" s="376" t="s">
        <v>759</v>
      </c>
      <c r="F652" s="377" t="s">
        <v>166</v>
      </c>
      <c r="G652" s="376" t="s">
        <v>1351</v>
      </c>
      <c r="H652" s="378"/>
      <c r="I652" s="378"/>
      <c r="J652" s="376" t="s">
        <v>168</v>
      </c>
      <c r="K652" s="376" t="s">
        <v>407</v>
      </c>
      <c r="L652" s="376" t="s">
        <v>247</v>
      </c>
      <c r="M652" s="376" t="s">
        <v>170</v>
      </c>
      <c r="N652" s="376" t="s">
        <v>202</v>
      </c>
      <c r="O652" s="379">
        <v>1</v>
      </c>
      <c r="P652" s="460">
        <v>0</v>
      </c>
      <c r="Q652" s="460">
        <v>0</v>
      </c>
      <c r="R652" s="380">
        <v>80</v>
      </c>
      <c r="S652" s="460">
        <v>0</v>
      </c>
      <c r="T652" s="380">
        <v>8599.09</v>
      </c>
      <c r="U652" s="380">
        <v>0</v>
      </c>
      <c r="V652" s="380">
        <v>3427.57</v>
      </c>
      <c r="W652" s="380">
        <v>0</v>
      </c>
      <c r="X652" s="380">
        <v>0</v>
      </c>
      <c r="Y652" s="380">
        <v>0</v>
      </c>
      <c r="Z652" s="380">
        <v>0</v>
      </c>
      <c r="AA652" s="376" t="s">
        <v>464</v>
      </c>
      <c r="AB652" s="376" t="s">
        <v>269</v>
      </c>
      <c r="AC652" s="376" t="s">
        <v>465</v>
      </c>
      <c r="AD652" s="376" t="s">
        <v>224</v>
      </c>
      <c r="AE652" s="376" t="s">
        <v>407</v>
      </c>
      <c r="AF652" s="376" t="s">
        <v>299</v>
      </c>
      <c r="AG652" s="376" t="s">
        <v>177</v>
      </c>
      <c r="AH652" s="381">
        <v>28.16</v>
      </c>
      <c r="AI652" s="381">
        <v>17926.2</v>
      </c>
      <c r="AJ652" s="376" t="s">
        <v>178</v>
      </c>
      <c r="AK652" s="376" t="s">
        <v>179</v>
      </c>
      <c r="AL652" s="376" t="s">
        <v>180</v>
      </c>
      <c r="AM652" s="376" t="s">
        <v>181</v>
      </c>
      <c r="AN652" s="376" t="s">
        <v>68</v>
      </c>
      <c r="AO652" s="379">
        <v>80</v>
      </c>
      <c r="AP652" s="460">
        <v>1</v>
      </c>
      <c r="AQ652" s="460">
        <v>0</v>
      </c>
      <c r="AR652" s="458" t="s">
        <v>182</v>
      </c>
      <c r="AS652" s="462">
        <f t="shared" si="170"/>
        <v>0</v>
      </c>
      <c r="AT652">
        <f t="shared" si="171"/>
        <v>0</v>
      </c>
      <c r="AU652" s="462" t="str">
        <f>IF(AT652=0,"",IF(AND(AT652=1,M652="F",SUMIF(C2:C698,C652,AS2:AS698)&lt;=1),SUMIF(C2:C698,C652,AS2:AS698),IF(AND(AT652=1,M652="F",SUMIF(C2:C698,C652,AS2:AS698)&gt;1),1,"")))</f>
        <v/>
      </c>
      <c r="AV652" s="462" t="str">
        <f>IF(AT652=0,"",IF(AND(AT652=3,M652="F",SUMIF(C2:C698,C652,AS2:AS698)&lt;=1),SUMIF(C2:C698,C652,AS2:AS698),IF(AND(AT652=3,M652="F",SUMIF(C2:C698,C652,AS2:AS698)&gt;1),1,"")))</f>
        <v/>
      </c>
      <c r="AW652" s="462">
        <f>SUMIF(C2:C698,C652,O2:O698)</f>
        <v>4</v>
      </c>
      <c r="AX652" s="462">
        <f>IF(AND(M652="F",AS652&lt;&gt;0),SUMIF(C2:C698,C652,W2:W698),0)</f>
        <v>0</v>
      </c>
      <c r="AY652" s="462" t="str">
        <f t="shared" si="172"/>
        <v/>
      </c>
      <c r="AZ652" s="462" t="str">
        <f t="shared" si="173"/>
        <v/>
      </c>
      <c r="BA652" s="462">
        <f t="shared" si="174"/>
        <v>0</v>
      </c>
      <c r="BB652" s="462">
        <f>IF(AND(AT652=1,AK652="E",AU652&gt;=0.75,AW652=1),Health,IF(AND(AT652=1,AK652="E",AU652&gt;=0.75),Health*P652,IF(AND(AT652=1,AK652="E",AU652&gt;=0.5,AW652=1),PTHealth,IF(AND(AT652=1,AK652="E",AU652&gt;=0.5),PTHealth*P652,0))))</f>
        <v>0</v>
      </c>
      <c r="BC652" s="462">
        <f>IF(AND(AT652=3,AK652="E",AV652&gt;=0.75,AW652=1),Health,IF(AND(AT652=3,AK652="E",AV652&gt;=0.75),Health*P652,IF(AND(AT652=3,AK652="E",AV652&gt;=0.5,AW652=1),PTHealth,IF(AND(AT652=3,AK652="E",AV652&gt;=0.5),PTHealth*P652,0))))</f>
        <v>0</v>
      </c>
      <c r="BD652" s="462">
        <f>IF(AND(AT652&lt;&gt;0,AX652&gt;=MAXSSDI),SSDI*MAXSSDI*P652,IF(AT652&lt;&gt;0,SSDI*W652,0))</f>
        <v>0</v>
      </c>
      <c r="BE652" s="462">
        <f>IF(AT652&lt;&gt;0,SSHI*W652,0)</f>
        <v>0</v>
      </c>
      <c r="BF652" s="462">
        <f>IF(AND(AT652&lt;&gt;0,AN652&lt;&gt;"NE"),VLOOKUP(AN652,Retirement_Rates,3,FALSE)*W652,0)</f>
        <v>0</v>
      </c>
      <c r="BG652" s="462">
        <f>IF(AND(AT652&lt;&gt;0,AJ652&lt;&gt;"PF"),Life*W652,0)</f>
        <v>0</v>
      </c>
      <c r="BH652" s="462">
        <f>IF(AND(AT652&lt;&gt;0,AM652="Y"),UI*W652,0)</f>
        <v>0</v>
      </c>
      <c r="BI652" s="462">
        <f>IF(AND(AT652&lt;&gt;0,N652&lt;&gt;"NR"),DHR*W652,0)</f>
        <v>0</v>
      </c>
      <c r="BJ652" s="462">
        <f>IF(AT652&lt;&gt;0,WC*W652,0)</f>
        <v>0</v>
      </c>
      <c r="BK652" s="462">
        <f>IF(OR(AND(AT652&lt;&gt;0,AJ652&lt;&gt;"PF",AN652&lt;&gt;"NE",AG652&lt;&gt;"A"),AND(AL652="E",OR(AT652=1,AT652=3))),Sick*W652,0)</f>
        <v>0</v>
      </c>
      <c r="BL652" s="462">
        <f t="shared" si="175"/>
        <v>0</v>
      </c>
      <c r="BM652" s="462">
        <f t="shared" si="176"/>
        <v>0</v>
      </c>
      <c r="BN652" s="462">
        <f>IF(AND(AT652=1,AK652="E",AU652&gt;=0.75,AW652=1),HealthBY,IF(AND(AT652=1,AK652="E",AU652&gt;=0.75),HealthBY*P652,IF(AND(AT652=1,AK652="E",AU652&gt;=0.5,AW652=1),PTHealthBY,IF(AND(AT652=1,AK652="E",AU652&gt;=0.5),PTHealthBY*P652,0))))</f>
        <v>0</v>
      </c>
      <c r="BO652" s="462">
        <f>IF(AND(AT652=3,AK652="E",AV652&gt;=0.75,AW652=1),HealthBY,IF(AND(AT652=3,AK652="E",AV652&gt;=0.75),HealthBY*P652,IF(AND(AT652=3,AK652="E",AV652&gt;=0.5,AW652=1),PTHealthBY,IF(AND(AT652=3,AK652="E",AV652&gt;=0.5),PTHealthBY*P652,0))))</f>
        <v>0</v>
      </c>
      <c r="BP652" s="462">
        <f>IF(AND(AT652&lt;&gt;0,(AX652+BA652)&gt;=MAXSSDIBY),SSDIBY*MAXSSDIBY*P652,IF(AT652&lt;&gt;0,SSDIBY*W652,0))</f>
        <v>0</v>
      </c>
      <c r="BQ652" s="462">
        <f>IF(AT652&lt;&gt;0,SSHIBY*W652,0)</f>
        <v>0</v>
      </c>
      <c r="BR652" s="462">
        <f>IF(AND(AT652&lt;&gt;0,AN652&lt;&gt;"NE"),VLOOKUP(AN652,Retirement_Rates,4,FALSE)*W652,0)</f>
        <v>0</v>
      </c>
      <c r="BS652" s="462">
        <f>IF(AND(AT652&lt;&gt;0,AJ652&lt;&gt;"PF"),LifeBY*W652,0)</f>
        <v>0</v>
      </c>
      <c r="BT652" s="462">
        <f>IF(AND(AT652&lt;&gt;0,AM652="Y"),UIBY*W652,0)</f>
        <v>0</v>
      </c>
      <c r="BU652" s="462">
        <f>IF(AND(AT652&lt;&gt;0,N652&lt;&gt;"NR"),DHRBY*W652,0)</f>
        <v>0</v>
      </c>
      <c r="BV652" s="462">
        <f>IF(AT652&lt;&gt;0,WCBY*W652,0)</f>
        <v>0</v>
      </c>
      <c r="BW652" s="462">
        <f>IF(OR(AND(AT652&lt;&gt;0,AJ652&lt;&gt;"PF",AN652&lt;&gt;"NE",AG652&lt;&gt;"A"),AND(AL652="E",OR(AT652=1,AT652=3))),SickBY*W652,0)</f>
        <v>0</v>
      </c>
      <c r="BX652" s="462">
        <f t="shared" si="177"/>
        <v>0</v>
      </c>
      <c r="BY652" s="462">
        <f t="shared" si="178"/>
        <v>0</v>
      </c>
      <c r="BZ652" s="462">
        <f t="shared" si="179"/>
        <v>0</v>
      </c>
      <c r="CA652" s="462">
        <f t="shared" si="180"/>
        <v>0</v>
      </c>
      <c r="CB652" s="462">
        <f t="shared" si="181"/>
        <v>0</v>
      </c>
      <c r="CC652" s="462">
        <f>IF(AT652&lt;&gt;0,SSHICHG*Y652,0)</f>
        <v>0</v>
      </c>
      <c r="CD652" s="462">
        <f>IF(AND(AT652&lt;&gt;0,AN652&lt;&gt;"NE"),VLOOKUP(AN652,Retirement_Rates,5,FALSE)*Y652,0)</f>
        <v>0</v>
      </c>
      <c r="CE652" s="462">
        <f>IF(AND(AT652&lt;&gt;0,AJ652&lt;&gt;"PF"),LifeCHG*Y652,0)</f>
        <v>0</v>
      </c>
      <c r="CF652" s="462">
        <f>IF(AND(AT652&lt;&gt;0,AM652="Y"),UICHG*Y652,0)</f>
        <v>0</v>
      </c>
      <c r="CG652" s="462">
        <f>IF(AND(AT652&lt;&gt;0,N652&lt;&gt;"NR"),DHRCHG*Y652,0)</f>
        <v>0</v>
      </c>
      <c r="CH652" s="462">
        <f>IF(AT652&lt;&gt;0,WCCHG*Y652,0)</f>
        <v>0</v>
      </c>
      <c r="CI652" s="462">
        <f>IF(OR(AND(AT652&lt;&gt;0,AJ652&lt;&gt;"PF",AN652&lt;&gt;"NE",AG652&lt;&gt;"A"),AND(AL652="E",OR(AT652=1,AT652=3))),SickCHG*Y652,0)</f>
        <v>0</v>
      </c>
      <c r="CJ652" s="462">
        <f t="shared" si="182"/>
        <v>0</v>
      </c>
      <c r="CK652" s="462" t="str">
        <f t="shared" si="183"/>
        <v/>
      </c>
      <c r="CL652" s="462" t="str">
        <f t="shared" si="184"/>
        <v/>
      </c>
      <c r="CM652" s="462" t="str">
        <f t="shared" si="185"/>
        <v/>
      </c>
      <c r="CN652" s="462" t="str">
        <f t="shared" si="186"/>
        <v>0348-00</v>
      </c>
    </row>
    <row r="653" spans="1:92" ht="15" thickBot="1" x14ac:dyDescent="0.35">
      <c r="A653" s="376" t="s">
        <v>161</v>
      </c>
      <c r="B653" s="376" t="s">
        <v>162</v>
      </c>
      <c r="C653" s="376" t="s">
        <v>466</v>
      </c>
      <c r="D653" s="376" t="s">
        <v>467</v>
      </c>
      <c r="E653" s="376" t="s">
        <v>759</v>
      </c>
      <c r="F653" s="377" t="s">
        <v>166</v>
      </c>
      <c r="G653" s="376" t="s">
        <v>1351</v>
      </c>
      <c r="H653" s="378"/>
      <c r="I653" s="378"/>
      <c r="J653" s="376" t="s">
        <v>185</v>
      </c>
      <c r="K653" s="376" t="s">
        <v>468</v>
      </c>
      <c r="L653" s="376" t="s">
        <v>224</v>
      </c>
      <c r="M653" s="376" t="s">
        <v>170</v>
      </c>
      <c r="N653" s="376" t="s">
        <v>202</v>
      </c>
      <c r="O653" s="379">
        <v>1</v>
      </c>
      <c r="P653" s="460">
        <v>0</v>
      </c>
      <c r="Q653" s="460">
        <v>0</v>
      </c>
      <c r="R653" s="380">
        <v>80</v>
      </c>
      <c r="S653" s="460">
        <v>0</v>
      </c>
      <c r="T653" s="380">
        <v>241</v>
      </c>
      <c r="U653" s="380">
        <v>0</v>
      </c>
      <c r="V653" s="380">
        <v>109.13</v>
      </c>
      <c r="W653" s="380">
        <v>0</v>
      </c>
      <c r="X653" s="380">
        <v>0</v>
      </c>
      <c r="Y653" s="380">
        <v>0</v>
      </c>
      <c r="Z653" s="380">
        <v>0</v>
      </c>
      <c r="AA653" s="376" t="s">
        <v>469</v>
      </c>
      <c r="AB653" s="376" t="s">
        <v>470</v>
      </c>
      <c r="AC653" s="376" t="s">
        <v>471</v>
      </c>
      <c r="AD653" s="376" t="s">
        <v>215</v>
      </c>
      <c r="AE653" s="376" t="s">
        <v>468</v>
      </c>
      <c r="AF653" s="376" t="s">
        <v>232</v>
      </c>
      <c r="AG653" s="376" t="s">
        <v>177</v>
      </c>
      <c r="AH653" s="381">
        <v>25.14</v>
      </c>
      <c r="AI653" s="381">
        <v>6495.4</v>
      </c>
      <c r="AJ653" s="376" t="s">
        <v>178</v>
      </c>
      <c r="AK653" s="376" t="s">
        <v>179</v>
      </c>
      <c r="AL653" s="376" t="s">
        <v>180</v>
      </c>
      <c r="AM653" s="376" t="s">
        <v>181</v>
      </c>
      <c r="AN653" s="376" t="s">
        <v>68</v>
      </c>
      <c r="AO653" s="379">
        <v>80</v>
      </c>
      <c r="AP653" s="460">
        <v>1</v>
      </c>
      <c r="AQ653" s="460">
        <v>0</v>
      </c>
      <c r="AR653" s="458" t="s">
        <v>182</v>
      </c>
      <c r="AS653" s="462">
        <f t="shared" si="170"/>
        <v>0</v>
      </c>
      <c r="AT653">
        <f t="shared" si="171"/>
        <v>0</v>
      </c>
      <c r="AU653" s="462" t="str">
        <f>IF(AT653=0,"",IF(AND(AT653=1,M653="F",SUMIF(C2:C698,C653,AS2:AS698)&lt;=1),SUMIF(C2:C698,C653,AS2:AS698),IF(AND(AT653=1,M653="F",SUMIF(C2:C698,C653,AS2:AS698)&gt;1),1,"")))</f>
        <v/>
      </c>
      <c r="AV653" s="462" t="str">
        <f>IF(AT653=0,"",IF(AND(AT653=3,M653="F",SUMIF(C2:C698,C653,AS2:AS698)&lt;=1),SUMIF(C2:C698,C653,AS2:AS698),IF(AND(AT653=3,M653="F",SUMIF(C2:C698,C653,AS2:AS698)&gt;1),1,"")))</f>
        <v/>
      </c>
      <c r="AW653" s="462">
        <f>SUMIF(C2:C698,C653,O2:O698)</f>
        <v>4</v>
      </c>
      <c r="AX653" s="462">
        <f>IF(AND(M653="F",AS653&lt;&gt;0),SUMIF(C2:C698,C653,W2:W698),0)</f>
        <v>0</v>
      </c>
      <c r="AY653" s="462" t="str">
        <f t="shared" si="172"/>
        <v/>
      </c>
      <c r="AZ653" s="462" t="str">
        <f t="shared" si="173"/>
        <v/>
      </c>
      <c r="BA653" s="462">
        <f t="shared" si="174"/>
        <v>0</v>
      </c>
      <c r="BB653" s="462">
        <f>IF(AND(AT653=1,AK653="E",AU653&gt;=0.75,AW653=1),Health,IF(AND(AT653=1,AK653="E",AU653&gt;=0.75),Health*P653,IF(AND(AT653=1,AK653="E",AU653&gt;=0.5,AW653=1),PTHealth,IF(AND(AT653=1,AK653="E",AU653&gt;=0.5),PTHealth*P653,0))))</f>
        <v>0</v>
      </c>
      <c r="BC653" s="462">
        <f>IF(AND(AT653=3,AK653="E",AV653&gt;=0.75,AW653=1),Health,IF(AND(AT653=3,AK653="E",AV653&gt;=0.75),Health*P653,IF(AND(AT653=3,AK653="E",AV653&gt;=0.5,AW653=1),PTHealth,IF(AND(AT653=3,AK653="E",AV653&gt;=0.5),PTHealth*P653,0))))</f>
        <v>0</v>
      </c>
      <c r="BD653" s="462">
        <f>IF(AND(AT653&lt;&gt;0,AX653&gt;=MAXSSDI),SSDI*MAXSSDI*P653,IF(AT653&lt;&gt;0,SSDI*W653,0))</f>
        <v>0</v>
      </c>
      <c r="BE653" s="462">
        <f>IF(AT653&lt;&gt;0,SSHI*W653,0)</f>
        <v>0</v>
      </c>
      <c r="BF653" s="462">
        <f>IF(AND(AT653&lt;&gt;0,AN653&lt;&gt;"NE"),VLOOKUP(AN653,Retirement_Rates,3,FALSE)*W653,0)</f>
        <v>0</v>
      </c>
      <c r="BG653" s="462">
        <f>IF(AND(AT653&lt;&gt;0,AJ653&lt;&gt;"PF"),Life*W653,0)</f>
        <v>0</v>
      </c>
      <c r="BH653" s="462">
        <f>IF(AND(AT653&lt;&gt;0,AM653="Y"),UI*W653,0)</f>
        <v>0</v>
      </c>
      <c r="BI653" s="462">
        <f>IF(AND(AT653&lt;&gt;0,N653&lt;&gt;"NR"),DHR*W653,0)</f>
        <v>0</v>
      </c>
      <c r="BJ653" s="462">
        <f>IF(AT653&lt;&gt;0,WC*W653,0)</f>
        <v>0</v>
      </c>
      <c r="BK653" s="462">
        <f>IF(OR(AND(AT653&lt;&gt;0,AJ653&lt;&gt;"PF",AN653&lt;&gt;"NE",AG653&lt;&gt;"A"),AND(AL653="E",OR(AT653=1,AT653=3))),Sick*W653,0)</f>
        <v>0</v>
      </c>
      <c r="BL653" s="462">
        <f t="shared" si="175"/>
        <v>0</v>
      </c>
      <c r="BM653" s="462">
        <f t="shared" si="176"/>
        <v>0</v>
      </c>
      <c r="BN653" s="462">
        <f>IF(AND(AT653=1,AK653="E",AU653&gt;=0.75,AW653=1),HealthBY,IF(AND(AT653=1,AK653="E",AU653&gt;=0.75),HealthBY*P653,IF(AND(AT653=1,AK653="E",AU653&gt;=0.5,AW653=1),PTHealthBY,IF(AND(AT653=1,AK653="E",AU653&gt;=0.5),PTHealthBY*P653,0))))</f>
        <v>0</v>
      </c>
      <c r="BO653" s="462">
        <f>IF(AND(AT653=3,AK653="E",AV653&gt;=0.75,AW653=1),HealthBY,IF(AND(AT653=3,AK653="E",AV653&gt;=0.75),HealthBY*P653,IF(AND(AT653=3,AK653="E",AV653&gt;=0.5,AW653=1),PTHealthBY,IF(AND(AT653=3,AK653="E",AV653&gt;=0.5),PTHealthBY*P653,0))))</f>
        <v>0</v>
      </c>
      <c r="BP653" s="462">
        <f>IF(AND(AT653&lt;&gt;0,(AX653+BA653)&gt;=MAXSSDIBY),SSDIBY*MAXSSDIBY*P653,IF(AT653&lt;&gt;0,SSDIBY*W653,0))</f>
        <v>0</v>
      </c>
      <c r="BQ653" s="462">
        <f>IF(AT653&lt;&gt;0,SSHIBY*W653,0)</f>
        <v>0</v>
      </c>
      <c r="BR653" s="462">
        <f>IF(AND(AT653&lt;&gt;0,AN653&lt;&gt;"NE"),VLOOKUP(AN653,Retirement_Rates,4,FALSE)*W653,0)</f>
        <v>0</v>
      </c>
      <c r="BS653" s="462">
        <f>IF(AND(AT653&lt;&gt;0,AJ653&lt;&gt;"PF"),LifeBY*W653,0)</f>
        <v>0</v>
      </c>
      <c r="BT653" s="462">
        <f>IF(AND(AT653&lt;&gt;0,AM653="Y"),UIBY*W653,0)</f>
        <v>0</v>
      </c>
      <c r="BU653" s="462">
        <f>IF(AND(AT653&lt;&gt;0,N653&lt;&gt;"NR"),DHRBY*W653,0)</f>
        <v>0</v>
      </c>
      <c r="BV653" s="462">
        <f>IF(AT653&lt;&gt;0,WCBY*W653,0)</f>
        <v>0</v>
      </c>
      <c r="BW653" s="462">
        <f>IF(OR(AND(AT653&lt;&gt;0,AJ653&lt;&gt;"PF",AN653&lt;&gt;"NE",AG653&lt;&gt;"A"),AND(AL653="E",OR(AT653=1,AT653=3))),SickBY*W653,0)</f>
        <v>0</v>
      </c>
      <c r="BX653" s="462">
        <f t="shared" si="177"/>
        <v>0</v>
      </c>
      <c r="BY653" s="462">
        <f t="shared" si="178"/>
        <v>0</v>
      </c>
      <c r="BZ653" s="462">
        <f t="shared" si="179"/>
        <v>0</v>
      </c>
      <c r="CA653" s="462">
        <f t="shared" si="180"/>
        <v>0</v>
      </c>
      <c r="CB653" s="462">
        <f t="shared" si="181"/>
        <v>0</v>
      </c>
      <c r="CC653" s="462">
        <f>IF(AT653&lt;&gt;0,SSHICHG*Y653,0)</f>
        <v>0</v>
      </c>
      <c r="CD653" s="462">
        <f>IF(AND(AT653&lt;&gt;0,AN653&lt;&gt;"NE"),VLOOKUP(AN653,Retirement_Rates,5,FALSE)*Y653,0)</f>
        <v>0</v>
      </c>
      <c r="CE653" s="462">
        <f>IF(AND(AT653&lt;&gt;0,AJ653&lt;&gt;"PF"),LifeCHG*Y653,0)</f>
        <v>0</v>
      </c>
      <c r="CF653" s="462">
        <f>IF(AND(AT653&lt;&gt;0,AM653="Y"),UICHG*Y653,0)</f>
        <v>0</v>
      </c>
      <c r="CG653" s="462">
        <f>IF(AND(AT653&lt;&gt;0,N653&lt;&gt;"NR"),DHRCHG*Y653,0)</f>
        <v>0</v>
      </c>
      <c r="CH653" s="462">
        <f>IF(AT653&lt;&gt;0,WCCHG*Y653,0)</f>
        <v>0</v>
      </c>
      <c r="CI653" s="462">
        <f>IF(OR(AND(AT653&lt;&gt;0,AJ653&lt;&gt;"PF",AN653&lt;&gt;"NE",AG653&lt;&gt;"A"),AND(AL653="E",OR(AT653=1,AT653=3))),SickCHG*Y653,0)</f>
        <v>0</v>
      </c>
      <c r="CJ653" s="462">
        <f t="shared" si="182"/>
        <v>0</v>
      </c>
      <c r="CK653" s="462" t="str">
        <f t="shared" si="183"/>
        <v/>
      </c>
      <c r="CL653" s="462" t="str">
        <f t="shared" si="184"/>
        <v/>
      </c>
      <c r="CM653" s="462" t="str">
        <f t="shared" si="185"/>
        <v/>
      </c>
      <c r="CN653" s="462" t="str">
        <f t="shared" si="186"/>
        <v>0348-00</v>
      </c>
    </row>
    <row r="654" spans="1:92" ht="15" thickBot="1" x14ac:dyDescent="0.35">
      <c r="A654" s="376" t="s">
        <v>161</v>
      </c>
      <c r="B654" s="376" t="s">
        <v>162</v>
      </c>
      <c r="C654" s="376" t="s">
        <v>478</v>
      </c>
      <c r="D654" s="376" t="s">
        <v>479</v>
      </c>
      <c r="E654" s="376" t="s">
        <v>759</v>
      </c>
      <c r="F654" s="377" t="s">
        <v>166</v>
      </c>
      <c r="G654" s="376" t="s">
        <v>1351</v>
      </c>
      <c r="H654" s="378"/>
      <c r="I654" s="378"/>
      <c r="J654" s="376" t="s">
        <v>185</v>
      </c>
      <c r="K654" s="376" t="s">
        <v>480</v>
      </c>
      <c r="L654" s="376" t="s">
        <v>180</v>
      </c>
      <c r="M654" s="376" t="s">
        <v>170</v>
      </c>
      <c r="N654" s="376" t="s">
        <v>202</v>
      </c>
      <c r="O654" s="379">
        <v>1</v>
      </c>
      <c r="P654" s="460">
        <v>0</v>
      </c>
      <c r="Q654" s="460">
        <v>0</v>
      </c>
      <c r="R654" s="380">
        <v>80</v>
      </c>
      <c r="S654" s="460">
        <v>0</v>
      </c>
      <c r="T654" s="380">
        <v>8779.74</v>
      </c>
      <c r="U654" s="380">
        <v>0</v>
      </c>
      <c r="V654" s="380">
        <v>3293.45</v>
      </c>
      <c r="W654" s="380">
        <v>0</v>
      </c>
      <c r="X654" s="380">
        <v>0</v>
      </c>
      <c r="Y654" s="380">
        <v>0</v>
      </c>
      <c r="Z654" s="380">
        <v>0</v>
      </c>
      <c r="AA654" s="376" t="s">
        <v>481</v>
      </c>
      <c r="AB654" s="376" t="s">
        <v>482</v>
      </c>
      <c r="AC654" s="376" t="s">
        <v>431</v>
      </c>
      <c r="AD654" s="376" t="s">
        <v>207</v>
      </c>
      <c r="AE654" s="376" t="s">
        <v>480</v>
      </c>
      <c r="AF654" s="376" t="s">
        <v>256</v>
      </c>
      <c r="AG654" s="376" t="s">
        <v>177</v>
      </c>
      <c r="AH654" s="381">
        <v>38.14</v>
      </c>
      <c r="AI654" s="381">
        <v>48337.9</v>
      </c>
      <c r="AJ654" s="376" t="s">
        <v>178</v>
      </c>
      <c r="AK654" s="376" t="s">
        <v>179</v>
      </c>
      <c r="AL654" s="376" t="s">
        <v>180</v>
      </c>
      <c r="AM654" s="376" t="s">
        <v>181</v>
      </c>
      <c r="AN654" s="376" t="s">
        <v>68</v>
      </c>
      <c r="AO654" s="379">
        <v>80</v>
      </c>
      <c r="AP654" s="460">
        <v>1</v>
      </c>
      <c r="AQ654" s="460">
        <v>0</v>
      </c>
      <c r="AR654" s="458" t="s">
        <v>182</v>
      </c>
      <c r="AS654" s="462">
        <f t="shared" si="170"/>
        <v>0</v>
      </c>
      <c r="AT654">
        <f t="shared" si="171"/>
        <v>0</v>
      </c>
      <c r="AU654" s="462" t="str">
        <f>IF(AT654=0,"",IF(AND(AT654=1,M654="F",SUMIF(C2:C698,C654,AS2:AS698)&lt;=1),SUMIF(C2:C698,C654,AS2:AS698),IF(AND(AT654=1,M654="F",SUMIF(C2:C698,C654,AS2:AS698)&gt;1),1,"")))</f>
        <v/>
      </c>
      <c r="AV654" s="462" t="str">
        <f>IF(AT654=0,"",IF(AND(AT654=3,M654="F",SUMIF(C2:C698,C654,AS2:AS698)&lt;=1),SUMIF(C2:C698,C654,AS2:AS698),IF(AND(AT654=3,M654="F",SUMIF(C2:C698,C654,AS2:AS698)&gt;1),1,"")))</f>
        <v/>
      </c>
      <c r="AW654" s="462">
        <f>SUMIF(C2:C698,C654,O2:O698)</f>
        <v>3</v>
      </c>
      <c r="AX654" s="462">
        <f>IF(AND(M654="F",AS654&lt;&gt;0),SUMIF(C2:C698,C654,W2:W698),0)</f>
        <v>0</v>
      </c>
      <c r="AY654" s="462" t="str">
        <f t="shared" si="172"/>
        <v/>
      </c>
      <c r="AZ654" s="462" t="str">
        <f t="shared" si="173"/>
        <v/>
      </c>
      <c r="BA654" s="462">
        <f t="shared" si="174"/>
        <v>0</v>
      </c>
      <c r="BB654" s="462">
        <f>IF(AND(AT654=1,AK654="E",AU654&gt;=0.75,AW654=1),Health,IF(AND(AT654=1,AK654="E",AU654&gt;=0.75),Health*P654,IF(AND(AT654=1,AK654="E",AU654&gt;=0.5,AW654=1),PTHealth,IF(AND(AT654=1,AK654="E",AU654&gt;=0.5),PTHealth*P654,0))))</f>
        <v>0</v>
      </c>
      <c r="BC654" s="462">
        <f>IF(AND(AT654=3,AK654="E",AV654&gt;=0.75,AW654=1),Health,IF(AND(AT654=3,AK654="E",AV654&gt;=0.75),Health*P654,IF(AND(AT654=3,AK654="E",AV654&gt;=0.5,AW654=1),PTHealth,IF(AND(AT654=3,AK654="E",AV654&gt;=0.5),PTHealth*P654,0))))</f>
        <v>0</v>
      </c>
      <c r="BD654" s="462">
        <f>IF(AND(AT654&lt;&gt;0,AX654&gt;=MAXSSDI),SSDI*MAXSSDI*P654,IF(AT654&lt;&gt;0,SSDI*W654,0))</f>
        <v>0</v>
      </c>
      <c r="BE654" s="462">
        <f>IF(AT654&lt;&gt;0,SSHI*W654,0)</f>
        <v>0</v>
      </c>
      <c r="BF654" s="462">
        <f>IF(AND(AT654&lt;&gt;0,AN654&lt;&gt;"NE"),VLOOKUP(AN654,Retirement_Rates,3,FALSE)*W654,0)</f>
        <v>0</v>
      </c>
      <c r="BG654" s="462">
        <f>IF(AND(AT654&lt;&gt;0,AJ654&lt;&gt;"PF"),Life*W654,0)</f>
        <v>0</v>
      </c>
      <c r="BH654" s="462">
        <f>IF(AND(AT654&lt;&gt;0,AM654="Y"),UI*W654,0)</f>
        <v>0</v>
      </c>
      <c r="BI654" s="462">
        <f>IF(AND(AT654&lt;&gt;0,N654&lt;&gt;"NR"),DHR*W654,0)</f>
        <v>0</v>
      </c>
      <c r="BJ654" s="462">
        <f>IF(AT654&lt;&gt;0,WC*W654,0)</f>
        <v>0</v>
      </c>
      <c r="BK654" s="462">
        <f>IF(OR(AND(AT654&lt;&gt;0,AJ654&lt;&gt;"PF",AN654&lt;&gt;"NE",AG654&lt;&gt;"A"),AND(AL654="E",OR(AT654=1,AT654=3))),Sick*W654,0)</f>
        <v>0</v>
      </c>
      <c r="BL654" s="462">
        <f t="shared" si="175"/>
        <v>0</v>
      </c>
      <c r="BM654" s="462">
        <f t="shared" si="176"/>
        <v>0</v>
      </c>
      <c r="BN654" s="462">
        <f>IF(AND(AT654=1,AK654="E",AU654&gt;=0.75,AW654=1),HealthBY,IF(AND(AT654=1,AK654="E",AU654&gt;=0.75),HealthBY*P654,IF(AND(AT654=1,AK654="E",AU654&gt;=0.5,AW654=1),PTHealthBY,IF(AND(AT654=1,AK654="E",AU654&gt;=0.5),PTHealthBY*P654,0))))</f>
        <v>0</v>
      </c>
      <c r="BO654" s="462">
        <f>IF(AND(AT654=3,AK654="E",AV654&gt;=0.75,AW654=1),HealthBY,IF(AND(AT654=3,AK654="E",AV654&gt;=0.75),HealthBY*P654,IF(AND(AT654=3,AK654="E",AV654&gt;=0.5,AW654=1),PTHealthBY,IF(AND(AT654=3,AK654="E",AV654&gt;=0.5),PTHealthBY*P654,0))))</f>
        <v>0</v>
      </c>
      <c r="BP654" s="462">
        <f>IF(AND(AT654&lt;&gt;0,(AX654+BA654)&gt;=MAXSSDIBY),SSDIBY*MAXSSDIBY*P654,IF(AT654&lt;&gt;0,SSDIBY*W654,0))</f>
        <v>0</v>
      </c>
      <c r="BQ654" s="462">
        <f>IF(AT654&lt;&gt;0,SSHIBY*W654,0)</f>
        <v>0</v>
      </c>
      <c r="BR654" s="462">
        <f>IF(AND(AT654&lt;&gt;0,AN654&lt;&gt;"NE"),VLOOKUP(AN654,Retirement_Rates,4,FALSE)*W654,0)</f>
        <v>0</v>
      </c>
      <c r="BS654" s="462">
        <f>IF(AND(AT654&lt;&gt;0,AJ654&lt;&gt;"PF"),LifeBY*W654,0)</f>
        <v>0</v>
      </c>
      <c r="BT654" s="462">
        <f>IF(AND(AT654&lt;&gt;0,AM654="Y"),UIBY*W654,0)</f>
        <v>0</v>
      </c>
      <c r="BU654" s="462">
        <f>IF(AND(AT654&lt;&gt;0,N654&lt;&gt;"NR"),DHRBY*W654,0)</f>
        <v>0</v>
      </c>
      <c r="BV654" s="462">
        <f>IF(AT654&lt;&gt;0,WCBY*W654,0)</f>
        <v>0</v>
      </c>
      <c r="BW654" s="462">
        <f>IF(OR(AND(AT654&lt;&gt;0,AJ654&lt;&gt;"PF",AN654&lt;&gt;"NE",AG654&lt;&gt;"A"),AND(AL654="E",OR(AT654=1,AT654=3))),SickBY*W654,0)</f>
        <v>0</v>
      </c>
      <c r="BX654" s="462">
        <f t="shared" si="177"/>
        <v>0</v>
      </c>
      <c r="BY654" s="462">
        <f t="shared" si="178"/>
        <v>0</v>
      </c>
      <c r="BZ654" s="462">
        <f t="shared" si="179"/>
        <v>0</v>
      </c>
      <c r="CA654" s="462">
        <f t="shared" si="180"/>
        <v>0</v>
      </c>
      <c r="CB654" s="462">
        <f t="shared" si="181"/>
        <v>0</v>
      </c>
      <c r="CC654" s="462">
        <f>IF(AT654&lt;&gt;0,SSHICHG*Y654,0)</f>
        <v>0</v>
      </c>
      <c r="CD654" s="462">
        <f>IF(AND(AT654&lt;&gt;0,AN654&lt;&gt;"NE"),VLOOKUP(AN654,Retirement_Rates,5,FALSE)*Y654,0)</f>
        <v>0</v>
      </c>
      <c r="CE654" s="462">
        <f>IF(AND(AT654&lt;&gt;0,AJ654&lt;&gt;"PF"),LifeCHG*Y654,0)</f>
        <v>0</v>
      </c>
      <c r="CF654" s="462">
        <f>IF(AND(AT654&lt;&gt;0,AM654="Y"),UICHG*Y654,0)</f>
        <v>0</v>
      </c>
      <c r="CG654" s="462">
        <f>IF(AND(AT654&lt;&gt;0,N654&lt;&gt;"NR"),DHRCHG*Y654,0)</f>
        <v>0</v>
      </c>
      <c r="CH654" s="462">
        <f>IF(AT654&lt;&gt;0,WCCHG*Y654,0)</f>
        <v>0</v>
      </c>
      <c r="CI654" s="462">
        <f>IF(OR(AND(AT654&lt;&gt;0,AJ654&lt;&gt;"PF",AN654&lt;&gt;"NE",AG654&lt;&gt;"A"),AND(AL654="E",OR(AT654=1,AT654=3))),SickCHG*Y654,0)</f>
        <v>0</v>
      </c>
      <c r="CJ654" s="462">
        <f t="shared" si="182"/>
        <v>0</v>
      </c>
      <c r="CK654" s="462" t="str">
        <f t="shared" si="183"/>
        <v/>
      </c>
      <c r="CL654" s="462" t="str">
        <f t="shared" si="184"/>
        <v/>
      </c>
      <c r="CM654" s="462" t="str">
        <f t="shared" si="185"/>
        <v/>
      </c>
      <c r="CN654" s="462" t="str">
        <f t="shared" si="186"/>
        <v>0348-00</v>
      </c>
    </row>
    <row r="655" spans="1:92" ht="15" thickBot="1" x14ac:dyDescent="0.35">
      <c r="A655" s="376" t="s">
        <v>161</v>
      </c>
      <c r="B655" s="376" t="s">
        <v>162</v>
      </c>
      <c r="C655" s="376" t="s">
        <v>483</v>
      </c>
      <c r="D655" s="376" t="s">
        <v>362</v>
      </c>
      <c r="E655" s="376" t="s">
        <v>759</v>
      </c>
      <c r="F655" s="377" t="s">
        <v>166</v>
      </c>
      <c r="G655" s="376" t="s">
        <v>1351</v>
      </c>
      <c r="H655" s="378"/>
      <c r="I655" s="378"/>
      <c r="J655" s="376" t="s">
        <v>185</v>
      </c>
      <c r="K655" s="376" t="s">
        <v>363</v>
      </c>
      <c r="L655" s="376" t="s">
        <v>200</v>
      </c>
      <c r="M655" s="376" t="s">
        <v>170</v>
      </c>
      <c r="N655" s="376" t="s">
        <v>202</v>
      </c>
      <c r="O655" s="379">
        <v>1</v>
      </c>
      <c r="P655" s="460">
        <v>0</v>
      </c>
      <c r="Q655" s="460">
        <v>0</v>
      </c>
      <c r="R655" s="380">
        <v>80</v>
      </c>
      <c r="S655" s="460">
        <v>0</v>
      </c>
      <c r="T655" s="380">
        <v>1066.8599999999999</v>
      </c>
      <c r="U655" s="380">
        <v>0</v>
      </c>
      <c r="V655" s="380">
        <v>452.69</v>
      </c>
      <c r="W655" s="380">
        <v>0</v>
      </c>
      <c r="X655" s="380">
        <v>0</v>
      </c>
      <c r="Y655" s="380">
        <v>0</v>
      </c>
      <c r="Z655" s="380">
        <v>0</v>
      </c>
      <c r="AA655" s="376" t="s">
        <v>484</v>
      </c>
      <c r="AB655" s="376" t="s">
        <v>485</v>
      </c>
      <c r="AC655" s="376" t="s">
        <v>231</v>
      </c>
      <c r="AD655" s="376" t="s">
        <v>486</v>
      </c>
      <c r="AE655" s="376" t="s">
        <v>363</v>
      </c>
      <c r="AF655" s="376" t="s">
        <v>210</v>
      </c>
      <c r="AG655" s="376" t="s">
        <v>177</v>
      </c>
      <c r="AH655" s="381">
        <v>22.5</v>
      </c>
      <c r="AI655" s="381">
        <v>13101.2</v>
      </c>
      <c r="AJ655" s="376" t="s">
        <v>178</v>
      </c>
      <c r="AK655" s="376" t="s">
        <v>179</v>
      </c>
      <c r="AL655" s="376" t="s">
        <v>180</v>
      </c>
      <c r="AM655" s="376" t="s">
        <v>181</v>
      </c>
      <c r="AN655" s="376" t="s">
        <v>68</v>
      </c>
      <c r="AO655" s="379">
        <v>80</v>
      </c>
      <c r="AP655" s="460">
        <v>1</v>
      </c>
      <c r="AQ655" s="460">
        <v>0</v>
      </c>
      <c r="AR655" s="458" t="s">
        <v>182</v>
      </c>
      <c r="AS655" s="462">
        <f t="shared" si="170"/>
        <v>0</v>
      </c>
      <c r="AT655">
        <f t="shared" si="171"/>
        <v>0</v>
      </c>
      <c r="AU655" s="462" t="str">
        <f>IF(AT655=0,"",IF(AND(AT655=1,M655="F",SUMIF(C2:C698,C655,AS2:AS698)&lt;=1),SUMIF(C2:C698,C655,AS2:AS698),IF(AND(AT655=1,M655="F",SUMIF(C2:C698,C655,AS2:AS698)&gt;1),1,"")))</f>
        <v/>
      </c>
      <c r="AV655" s="462" t="str">
        <f>IF(AT655=0,"",IF(AND(AT655=3,M655="F",SUMIF(C2:C698,C655,AS2:AS698)&lt;=1),SUMIF(C2:C698,C655,AS2:AS698),IF(AND(AT655=3,M655="F",SUMIF(C2:C698,C655,AS2:AS698)&gt;1),1,"")))</f>
        <v/>
      </c>
      <c r="AW655" s="462">
        <f>SUMIF(C2:C698,C655,O2:O698)</f>
        <v>4</v>
      </c>
      <c r="AX655" s="462">
        <f>IF(AND(M655="F",AS655&lt;&gt;0),SUMIF(C2:C698,C655,W2:W698),0)</f>
        <v>0</v>
      </c>
      <c r="AY655" s="462" t="str">
        <f t="shared" si="172"/>
        <v/>
      </c>
      <c r="AZ655" s="462" t="str">
        <f t="shared" si="173"/>
        <v/>
      </c>
      <c r="BA655" s="462">
        <f t="shared" si="174"/>
        <v>0</v>
      </c>
      <c r="BB655" s="462">
        <f>IF(AND(AT655=1,AK655="E",AU655&gt;=0.75,AW655=1),Health,IF(AND(AT655=1,AK655="E",AU655&gt;=0.75),Health*P655,IF(AND(AT655=1,AK655="E",AU655&gt;=0.5,AW655=1),PTHealth,IF(AND(AT655=1,AK655="E",AU655&gt;=0.5),PTHealth*P655,0))))</f>
        <v>0</v>
      </c>
      <c r="BC655" s="462">
        <f>IF(AND(AT655=3,AK655="E",AV655&gt;=0.75,AW655=1),Health,IF(AND(AT655=3,AK655="E",AV655&gt;=0.75),Health*P655,IF(AND(AT655=3,AK655="E",AV655&gt;=0.5,AW655=1),PTHealth,IF(AND(AT655=3,AK655="E",AV655&gt;=0.5),PTHealth*P655,0))))</f>
        <v>0</v>
      </c>
      <c r="BD655" s="462">
        <f>IF(AND(AT655&lt;&gt;0,AX655&gt;=MAXSSDI),SSDI*MAXSSDI*P655,IF(AT655&lt;&gt;0,SSDI*W655,0))</f>
        <v>0</v>
      </c>
      <c r="BE655" s="462">
        <f>IF(AT655&lt;&gt;0,SSHI*W655,0)</f>
        <v>0</v>
      </c>
      <c r="BF655" s="462">
        <f>IF(AND(AT655&lt;&gt;0,AN655&lt;&gt;"NE"),VLOOKUP(AN655,Retirement_Rates,3,FALSE)*W655,0)</f>
        <v>0</v>
      </c>
      <c r="BG655" s="462">
        <f>IF(AND(AT655&lt;&gt;0,AJ655&lt;&gt;"PF"),Life*W655,0)</f>
        <v>0</v>
      </c>
      <c r="BH655" s="462">
        <f>IF(AND(AT655&lt;&gt;0,AM655="Y"),UI*W655,0)</f>
        <v>0</v>
      </c>
      <c r="BI655" s="462">
        <f>IF(AND(AT655&lt;&gt;0,N655&lt;&gt;"NR"),DHR*W655,0)</f>
        <v>0</v>
      </c>
      <c r="BJ655" s="462">
        <f>IF(AT655&lt;&gt;0,WC*W655,0)</f>
        <v>0</v>
      </c>
      <c r="BK655" s="462">
        <f>IF(OR(AND(AT655&lt;&gt;0,AJ655&lt;&gt;"PF",AN655&lt;&gt;"NE",AG655&lt;&gt;"A"),AND(AL655="E",OR(AT655=1,AT655=3))),Sick*W655,0)</f>
        <v>0</v>
      </c>
      <c r="BL655" s="462">
        <f t="shared" si="175"/>
        <v>0</v>
      </c>
      <c r="BM655" s="462">
        <f t="shared" si="176"/>
        <v>0</v>
      </c>
      <c r="BN655" s="462">
        <f>IF(AND(AT655=1,AK655="E",AU655&gt;=0.75,AW655=1),HealthBY,IF(AND(AT655=1,AK655="E",AU655&gt;=0.75),HealthBY*P655,IF(AND(AT655=1,AK655="E",AU655&gt;=0.5,AW655=1),PTHealthBY,IF(AND(AT655=1,AK655="E",AU655&gt;=0.5),PTHealthBY*P655,0))))</f>
        <v>0</v>
      </c>
      <c r="BO655" s="462">
        <f>IF(AND(AT655=3,AK655="E",AV655&gt;=0.75,AW655=1),HealthBY,IF(AND(AT655=3,AK655="E",AV655&gt;=0.75),HealthBY*P655,IF(AND(AT655=3,AK655="E",AV655&gt;=0.5,AW655=1),PTHealthBY,IF(AND(AT655=3,AK655="E",AV655&gt;=0.5),PTHealthBY*P655,0))))</f>
        <v>0</v>
      </c>
      <c r="BP655" s="462">
        <f>IF(AND(AT655&lt;&gt;0,(AX655+BA655)&gt;=MAXSSDIBY),SSDIBY*MAXSSDIBY*P655,IF(AT655&lt;&gt;0,SSDIBY*W655,0))</f>
        <v>0</v>
      </c>
      <c r="BQ655" s="462">
        <f>IF(AT655&lt;&gt;0,SSHIBY*W655,0)</f>
        <v>0</v>
      </c>
      <c r="BR655" s="462">
        <f>IF(AND(AT655&lt;&gt;0,AN655&lt;&gt;"NE"),VLOOKUP(AN655,Retirement_Rates,4,FALSE)*W655,0)</f>
        <v>0</v>
      </c>
      <c r="BS655" s="462">
        <f>IF(AND(AT655&lt;&gt;0,AJ655&lt;&gt;"PF"),LifeBY*W655,0)</f>
        <v>0</v>
      </c>
      <c r="BT655" s="462">
        <f>IF(AND(AT655&lt;&gt;0,AM655="Y"),UIBY*W655,0)</f>
        <v>0</v>
      </c>
      <c r="BU655" s="462">
        <f>IF(AND(AT655&lt;&gt;0,N655&lt;&gt;"NR"),DHRBY*W655,0)</f>
        <v>0</v>
      </c>
      <c r="BV655" s="462">
        <f>IF(AT655&lt;&gt;0,WCBY*W655,0)</f>
        <v>0</v>
      </c>
      <c r="BW655" s="462">
        <f>IF(OR(AND(AT655&lt;&gt;0,AJ655&lt;&gt;"PF",AN655&lt;&gt;"NE",AG655&lt;&gt;"A"),AND(AL655="E",OR(AT655=1,AT655=3))),SickBY*W655,0)</f>
        <v>0</v>
      </c>
      <c r="BX655" s="462">
        <f t="shared" si="177"/>
        <v>0</v>
      </c>
      <c r="BY655" s="462">
        <f t="shared" si="178"/>
        <v>0</v>
      </c>
      <c r="BZ655" s="462">
        <f t="shared" si="179"/>
        <v>0</v>
      </c>
      <c r="CA655" s="462">
        <f t="shared" si="180"/>
        <v>0</v>
      </c>
      <c r="CB655" s="462">
        <f t="shared" si="181"/>
        <v>0</v>
      </c>
      <c r="CC655" s="462">
        <f>IF(AT655&lt;&gt;0,SSHICHG*Y655,0)</f>
        <v>0</v>
      </c>
      <c r="CD655" s="462">
        <f>IF(AND(AT655&lt;&gt;0,AN655&lt;&gt;"NE"),VLOOKUP(AN655,Retirement_Rates,5,FALSE)*Y655,0)</f>
        <v>0</v>
      </c>
      <c r="CE655" s="462">
        <f>IF(AND(AT655&lt;&gt;0,AJ655&lt;&gt;"PF"),LifeCHG*Y655,0)</f>
        <v>0</v>
      </c>
      <c r="CF655" s="462">
        <f>IF(AND(AT655&lt;&gt;0,AM655="Y"),UICHG*Y655,0)</f>
        <v>0</v>
      </c>
      <c r="CG655" s="462">
        <f>IF(AND(AT655&lt;&gt;0,N655&lt;&gt;"NR"),DHRCHG*Y655,0)</f>
        <v>0</v>
      </c>
      <c r="CH655" s="462">
        <f>IF(AT655&lt;&gt;0,WCCHG*Y655,0)</f>
        <v>0</v>
      </c>
      <c r="CI655" s="462">
        <f>IF(OR(AND(AT655&lt;&gt;0,AJ655&lt;&gt;"PF",AN655&lt;&gt;"NE",AG655&lt;&gt;"A"),AND(AL655="E",OR(AT655=1,AT655=3))),SickCHG*Y655,0)</f>
        <v>0</v>
      </c>
      <c r="CJ655" s="462">
        <f t="shared" si="182"/>
        <v>0</v>
      </c>
      <c r="CK655" s="462" t="str">
        <f t="shared" si="183"/>
        <v/>
      </c>
      <c r="CL655" s="462" t="str">
        <f t="shared" si="184"/>
        <v/>
      </c>
      <c r="CM655" s="462" t="str">
        <f t="shared" si="185"/>
        <v/>
      </c>
      <c r="CN655" s="462" t="str">
        <f t="shared" si="186"/>
        <v>0348-00</v>
      </c>
    </row>
    <row r="656" spans="1:92" ht="15" thickBot="1" x14ac:dyDescent="0.35">
      <c r="A656" s="376" t="s">
        <v>161</v>
      </c>
      <c r="B656" s="376" t="s">
        <v>162</v>
      </c>
      <c r="C656" s="376" t="s">
        <v>494</v>
      </c>
      <c r="D656" s="376" t="s">
        <v>467</v>
      </c>
      <c r="E656" s="376" t="s">
        <v>759</v>
      </c>
      <c r="F656" s="377" t="s">
        <v>166</v>
      </c>
      <c r="G656" s="376" t="s">
        <v>1351</v>
      </c>
      <c r="H656" s="378"/>
      <c r="I656" s="378"/>
      <c r="J656" s="376" t="s">
        <v>185</v>
      </c>
      <c r="K656" s="376" t="s">
        <v>468</v>
      </c>
      <c r="L656" s="376" t="s">
        <v>224</v>
      </c>
      <c r="M656" s="376" t="s">
        <v>170</v>
      </c>
      <c r="N656" s="376" t="s">
        <v>202</v>
      </c>
      <c r="O656" s="379">
        <v>1</v>
      </c>
      <c r="P656" s="460">
        <v>0</v>
      </c>
      <c r="Q656" s="460">
        <v>0</v>
      </c>
      <c r="R656" s="380">
        <v>80</v>
      </c>
      <c r="S656" s="460">
        <v>0</v>
      </c>
      <c r="T656" s="380">
        <v>482</v>
      </c>
      <c r="U656" s="380">
        <v>0</v>
      </c>
      <c r="V656" s="380">
        <v>228.71</v>
      </c>
      <c r="W656" s="380">
        <v>0</v>
      </c>
      <c r="X656" s="380">
        <v>0</v>
      </c>
      <c r="Y656" s="380">
        <v>0</v>
      </c>
      <c r="Z656" s="380">
        <v>0</v>
      </c>
      <c r="AA656" s="376" t="s">
        <v>495</v>
      </c>
      <c r="AB656" s="376" t="s">
        <v>496</v>
      </c>
      <c r="AC656" s="376" t="s">
        <v>497</v>
      </c>
      <c r="AD656" s="376" t="s">
        <v>224</v>
      </c>
      <c r="AE656" s="376" t="s">
        <v>468</v>
      </c>
      <c r="AF656" s="376" t="s">
        <v>232</v>
      </c>
      <c r="AG656" s="376" t="s">
        <v>177</v>
      </c>
      <c r="AH656" s="381">
        <v>25.14</v>
      </c>
      <c r="AI656" s="379">
        <v>5960</v>
      </c>
      <c r="AJ656" s="376" t="s">
        <v>178</v>
      </c>
      <c r="AK656" s="376" t="s">
        <v>179</v>
      </c>
      <c r="AL656" s="376" t="s">
        <v>180</v>
      </c>
      <c r="AM656" s="376" t="s">
        <v>181</v>
      </c>
      <c r="AN656" s="376" t="s">
        <v>68</v>
      </c>
      <c r="AO656" s="379">
        <v>80</v>
      </c>
      <c r="AP656" s="460">
        <v>1</v>
      </c>
      <c r="AQ656" s="460">
        <v>0</v>
      </c>
      <c r="AR656" s="458" t="s">
        <v>182</v>
      </c>
      <c r="AS656" s="462">
        <f t="shared" si="170"/>
        <v>0</v>
      </c>
      <c r="AT656">
        <f t="shared" si="171"/>
        <v>0</v>
      </c>
      <c r="AU656" s="462" t="str">
        <f>IF(AT656=0,"",IF(AND(AT656=1,M656="F",SUMIF(C2:C698,C656,AS2:AS698)&lt;=1),SUMIF(C2:C698,C656,AS2:AS698),IF(AND(AT656=1,M656="F",SUMIF(C2:C698,C656,AS2:AS698)&gt;1),1,"")))</f>
        <v/>
      </c>
      <c r="AV656" s="462" t="str">
        <f>IF(AT656=0,"",IF(AND(AT656=3,M656="F",SUMIF(C2:C698,C656,AS2:AS698)&lt;=1),SUMIF(C2:C698,C656,AS2:AS698),IF(AND(AT656=3,M656="F",SUMIF(C2:C698,C656,AS2:AS698)&gt;1),1,"")))</f>
        <v/>
      </c>
      <c r="AW656" s="462">
        <f>SUMIF(C2:C698,C656,O2:O698)</f>
        <v>3</v>
      </c>
      <c r="AX656" s="462">
        <f>IF(AND(M656="F",AS656&lt;&gt;0),SUMIF(C2:C698,C656,W2:W698),0)</f>
        <v>0</v>
      </c>
      <c r="AY656" s="462" t="str">
        <f t="shared" si="172"/>
        <v/>
      </c>
      <c r="AZ656" s="462" t="str">
        <f t="shared" si="173"/>
        <v/>
      </c>
      <c r="BA656" s="462">
        <f t="shared" si="174"/>
        <v>0</v>
      </c>
      <c r="BB656" s="462">
        <f>IF(AND(AT656=1,AK656="E",AU656&gt;=0.75,AW656=1),Health,IF(AND(AT656=1,AK656="E",AU656&gt;=0.75),Health*P656,IF(AND(AT656=1,AK656="E",AU656&gt;=0.5,AW656=1),PTHealth,IF(AND(AT656=1,AK656="E",AU656&gt;=0.5),PTHealth*P656,0))))</f>
        <v>0</v>
      </c>
      <c r="BC656" s="462">
        <f>IF(AND(AT656=3,AK656="E",AV656&gt;=0.75,AW656=1),Health,IF(AND(AT656=3,AK656="E",AV656&gt;=0.75),Health*P656,IF(AND(AT656=3,AK656="E",AV656&gt;=0.5,AW656=1),PTHealth,IF(AND(AT656=3,AK656="E",AV656&gt;=0.5),PTHealth*P656,0))))</f>
        <v>0</v>
      </c>
      <c r="BD656" s="462">
        <f>IF(AND(AT656&lt;&gt;0,AX656&gt;=MAXSSDI),SSDI*MAXSSDI*P656,IF(AT656&lt;&gt;0,SSDI*W656,0))</f>
        <v>0</v>
      </c>
      <c r="BE656" s="462">
        <f>IF(AT656&lt;&gt;0,SSHI*W656,0)</f>
        <v>0</v>
      </c>
      <c r="BF656" s="462">
        <f>IF(AND(AT656&lt;&gt;0,AN656&lt;&gt;"NE"),VLOOKUP(AN656,Retirement_Rates,3,FALSE)*W656,0)</f>
        <v>0</v>
      </c>
      <c r="BG656" s="462">
        <f>IF(AND(AT656&lt;&gt;0,AJ656&lt;&gt;"PF"),Life*W656,0)</f>
        <v>0</v>
      </c>
      <c r="BH656" s="462">
        <f>IF(AND(AT656&lt;&gt;0,AM656="Y"),UI*W656,0)</f>
        <v>0</v>
      </c>
      <c r="BI656" s="462">
        <f>IF(AND(AT656&lt;&gt;0,N656&lt;&gt;"NR"),DHR*W656,0)</f>
        <v>0</v>
      </c>
      <c r="BJ656" s="462">
        <f>IF(AT656&lt;&gt;0,WC*W656,0)</f>
        <v>0</v>
      </c>
      <c r="BK656" s="462">
        <f>IF(OR(AND(AT656&lt;&gt;0,AJ656&lt;&gt;"PF",AN656&lt;&gt;"NE",AG656&lt;&gt;"A"),AND(AL656="E",OR(AT656=1,AT656=3))),Sick*W656,0)</f>
        <v>0</v>
      </c>
      <c r="BL656" s="462">
        <f t="shared" si="175"/>
        <v>0</v>
      </c>
      <c r="BM656" s="462">
        <f t="shared" si="176"/>
        <v>0</v>
      </c>
      <c r="BN656" s="462">
        <f>IF(AND(AT656=1,AK656="E",AU656&gt;=0.75,AW656=1),HealthBY,IF(AND(AT656=1,AK656="E",AU656&gt;=0.75),HealthBY*P656,IF(AND(AT656=1,AK656="E",AU656&gt;=0.5,AW656=1),PTHealthBY,IF(AND(AT656=1,AK656="E",AU656&gt;=0.5),PTHealthBY*P656,0))))</f>
        <v>0</v>
      </c>
      <c r="BO656" s="462">
        <f>IF(AND(AT656=3,AK656="E",AV656&gt;=0.75,AW656=1),HealthBY,IF(AND(AT656=3,AK656="E",AV656&gt;=0.75),HealthBY*P656,IF(AND(AT656=3,AK656="E",AV656&gt;=0.5,AW656=1),PTHealthBY,IF(AND(AT656=3,AK656="E",AV656&gt;=0.5),PTHealthBY*P656,0))))</f>
        <v>0</v>
      </c>
      <c r="BP656" s="462">
        <f>IF(AND(AT656&lt;&gt;0,(AX656+BA656)&gt;=MAXSSDIBY),SSDIBY*MAXSSDIBY*P656,IF(AT656&lt;&gt;0,SSDIBY*W656,0))</f>
        <v>0</v>
      </c>
      <c r="BQ656" s="462">
        <f>IF(AT656&lt;&gt;0,SSHIBY*W656,0)</f>
        <v>0</v>
      </c>
      <c r="BR656" s="462">
        <f>IF(AND(AT656&lt;&gt;0,AN656&lt;&gt;"NE"),VLOOKUP(AN656,Retirement_Rates,4,FALSE)*W656,0)</f>
        <v>0</v>
      </c>
      <c r="BS656" s="462">
        <f>IF(AND(AT656&lt;&gt;0,AJ656&lt;&gt;"PF"),LifeBY*W656,0)</f>
        <v>0</v>
      </c>
      <c r="BT656" s="462">
        <f>IF(AND(AT656&lt;&gt;0,AM656="Y"),UIBY*W656,0)</f>
        <v>0</v>
      </c>
      <c r="BU656" s="462">
        <f>IF(AND(AT656&lt;&gt;0,N656&lt;&gt;"NR"),DHRBY*W656,0)</f>
        <v>0</v>
      </c>
      <c r="BV656" s="462">
        <f>IF(AT656&lt;&gt;0,WCBY*W656,0)</f>
        <v>0</v>
      </c>
      <c r="BW656" s="462">
        <f>IF(OR(AND(AT656&lt;&gt;0,AJ656&lt;&gt;"PF",AN656&lt;&gt;"NE",AG656&lt;&gt;"A"),AND(AL656="E",OR(AT656=1,AT656=3))),SickBY*W656,0)</f>
        <v>0</v>
      </c>
      <c r="BX656" s="462">
        <f t="shared" si="177"/>
        <v>0</v>
      </c>
      <c r="BY656" s="462">
        <f t="shared" si="178"/>
        <v>0</v>
      </c>
      <c r="BZ656" s="462">
        <f t="shared" si="179"/>
        <v>0</v>
      </c>
      <c r="CA656" s="462">
        <f t="shared" si="180"/>
        <v>0</v>
      </c>
      <c r="CB656" s="462">
        <f t="shared" si="181"/>
        <v>0</v>
      </c>
      <c r="CC656" s="462">
        <f>IF(AT656&lt;&gt;0,SSHICHG*Y656,0)</f>
        <v>0</v>
      </c>
      <c r="CD656" s="462">
        <f>IF(AND(AT656&lt;&gt;0,AN656&lt;&gt;"NE"),VLOOKUP(AN656,Retirement_Rates,5,FALSE)*Y656,0)</f>
        <v>0</v>
      </c>
      <c r="CE656" s="462">
        <f>IF(AND(AT656&lt;&gt;0,AJ656&lt;&gt;"PF"),LifeCHG*Y656,0)</f>
        <v>0</v>
      </c>
      <c r="CF656" s="462">
        <f>IF(AND(AT656&lt;&gt;0,AM656="Y"),UICHG*Y656,0)</f>
        <v>0</v>
      </c>
      <c r="CG656" s="462">
        <f>IF(AND(AT656&lt;&gt;0,N656&lt;&gt;"NR"),DHRCHG*Y656,0)</f>
        <v>0</v>
      </c>
      <c r="CH656" s="462">
        <f>IF(AT656&lt;&gt;0,WCCHG*Y656,0)</f>
        <v>0</v>
      </c>
      <c r="CI656" s="462">
        <f>IF(OR(AND(AT656&lt;&gt;0,AJ656&lt;&gt;"PF",AN656&lt;&gt;"NE",AG656&lt;&gt;"A"),AND(AL656="E",OR(AT656=1,AT656=3))),SickCHG*Y656,0)</f>
        <v>0</v>
      </c>
      <c r="CJ656" s="462">
        <f t="shared" si="182"/>
        <v>0</v>
      </c>
      <c r="CK656" s="462" t="str">
        <f t="shared" si="183"/>
        <v/>
      </c>
      <c r="CL656" s="462" t="str">
        <f t="shared" si="184"/>
        <v/>
      </c>
      <c r="CM656" s="462" t="str">
        <f t="shared" si="185"/>
        <v/>
      </c>
      <c r="CN656" s="462" t="str">
        <f t="shared" si="186"/>
        <v>0348-00</v>
      </c>
    </row>
    <row r="657" spans="1:92" ht="15" thickBot="1" x14ac:dyDescent="0.35">
      <c r="A657" s="376" t="s">
        <v>161</v>
      </c>
      <c r="B657" s="376" t="s">
        <v>162</v>
      </c>
      <c r="C657" s="376" t="s">
        <v>498</v>
      </c>
      <c r="D657" s="376" t="s">
        <v>418</v>
      </c>
      <c r="E657" s="376" t="s">
        <v>759</v>
      </c>
      <c r="F657" s="377" t="s">
        <v>166</v>
      </c>
      <c r="G657" s="376" t="s">
        <v>1351</v>
      </c>
      <c r="H657" s="378"/>
      <c r="I657" s="378"/>
      <c r="J657" s="376" t="s">
        <v>168</v>
      </c>
      <c r="K657" s="376" t="s">
        <v>419</v>
      </c>
      <c r="L657" s="376" t="s">
        <v>177</v>
      </c>
      <c r="M657" s="376" t="s">
        <v>170</v>
      </c>
      <c r="N657" s="376" t="s">
        <v>202</v>
      </c>
      <c r="O657" s="379">
        <v>1</v>
      </c>
      <c r="P657" s="460">
        <v>0</v>
      </c>
      <c r="Q657" s="460">
        <v>0</v>
      </c>
      <c r="R657" s="380">
        <v>80</v>
      </c>
      <c r="S657" s="460">
        <v>0</v>
      </c>
      <c r="T657" s="380">
        <v>12327</v>
      </c>
      <c r="U657" s="380">
        <v>0</v>
      </c>
      <c r="V657" s="380">
        <v>7364.58</v>
      </c>
      <c r="W657" s="380">
        <v>0</v>
      </c>
      <c r="X657" s="380">
        <v>0</v>
      </c>
      <c r="Y657" s="380">
        <v>0</v>
      </c>
      <c r="Z657" s="380">
        <v>0</v>
      </c>
      <c r="AA657" s="376" t="s">
        <v>499</v>
      </c>
      <c r="AB657" s="376" t="s">
        <v>500</v>
      </c>
      <c r="AC657" s="376" t="s">
        <v>501</v>
      </c>
      <c r="AD657" s="376" t="s">
        <v>278</v>
      </c>
      <c r="AE657" s="376" t="s">
        <v>419</v>
      </c>
      <c r="AF657" s="376" t="s">
        <v>436</v>
      </c>
      <c r="AG657" s="376" t="s">
        <v>177</v>
      </c>
      <c r="AH657" s="381">
        <v>15.5</v>
      </c>
      <c r="AI657" s="381">
        <v>1367.3</v>
      </c>
      <c r="AJ657" s="376" t="s">
        <v>178</v>
      </c>
      <c r="AK657" s="376" t="s">
        <v>179</v>
      </c>
      <c r="AL657" s="376" t="s">
        <v>180</v>
      </c>
      <c r="AM657" s="376" t="s">
        <v>181</v>
      </c>
      <c r="AN657" s="376" t="s">
        <v>68</v>
      </c>
      <c r="AO657" s="379">
        <v>80</v>
      </c>
      <c r="AP657" s="460">
        <v>1</v>
      </c>
      <c r="AQ657" s="460">
        <v>0</v>
      </c>
      <c r="AR657" s="458" t="s">
        <v>182</v>
      </c>
      <c r="AS657" s="462">
        <f t="shared" si="170"/>
        <v>0</v>
      </c>
      <c r="AT657">
        <f t="shared" si="171"/>
        <v>0</v>
      </c>
      <c r="AU657" s="462" t="str">
        <f>IF(AT657=0,"",IF(AND(AT657=1,M657="F",SUMIF(C2:C698,C657,AS2:AS698)&lt;=1),SUMIF(C2:C698,C657,AS2:AS698),IF(AND(AT657=1,M657="F",SUMIF(C2:C698,C657,AS2:AS698)&gt;1),1,"")))</f>
        <v/>
      </c>
      <c r="AV657" s="462" t="str">
        <f>IF(AT657=0,"",IF(AND(AT657=3,M657="F",SUMIF(C2:C698,C657,AS2:AS698)&lt;=1),SUMIF(C2:C698,C657,AS2:AS698),IF(AND(AT657=3,M657="F",SUMIF(C2:C698,C657,AS2:AS698)&gt;1),1,"")))</f>
        <v/>
      </c>
      <c r="AW657" s="462">
        <f>SUMIF(C2:C698,C657,O2:O698)</f>
        <v>4</v>
      </c>
      <c r="AX657" s="462">
        <f>IF(AND(M657="F",AS657&lt;&gt;0),SUMIF(C2:C698,C657,W2:W698),0)</f>
        <v>0</v>
      </c>
      <c r="AY657" s="462" t="str">
        <f t="shared" si="172"/>
        <v/>
      </c>
      <c r="AZ657" s="462" t="str">
        <f t="shared" si="173"/>
        <v/>
      </c>
      <c r="BA657" s="462">
        <f t="shared" si="174"/>
        <v>0</v>
      </c>
      <c r="BB657" s="462">
        <f>IF(AND(AT657=1,AK657="E",AU657&gt;=0.75,AW657=1),Health,IF(AND(AT657=1,AK657="E",AU657&gt;=0.75),Health*P657,IF(AND(AT657=1,AK657="E",AU657&gt;=0.5,AW657=1),PTHealth,IF(AND(AT657=1,AK657="E",AU657&gt;=0.5),PTHealth*P657,0))))</f>
        <v>0</v>
      </c>
      <c r="BC657" s="462">
        <f>IF(AND(AT657=3,AK657="E",AV657&gt;=0.75,AW657=1),Health,IF(AND(AT657=3,AK657="E",AV657&gt;=0.75),Health*P657,IF(AND(AT657=3,AK657="E",AV657&gt;=0.5,AW657=1),PTHealth,IF(AND(AT657=3,AK657="E",AV657&gt;=0.5),PTHealth*P657,0))))</f>
        <v>0</v>
      </c>
      <c r="BD657" s="462">
        <f>IF(AND(AT657&lt;&gt;0,AX657&gt;=MAXSSDI),SSDI*MAXSSDI*P657,IF(AT657&lt;&gt;0,SSDI*W657,0))</f>
        <v>0</v>
      </c>
      <c r="BE657" s="462">
        <f>IF(AT657&lt;&gt;0,SSHI*W657,0)</f>
        <v>0</v>
      </c>
      <c r="BF657" s="462">
        <f>IF(AND(AT657&lt;&gt;0,AN657&lt;&gt;"NE"),VLOOKUP(AN657,Retirement_Rates,3,FALSE)*W657,0)</f>
        <v>0</v>
      </c>
      <c r="BG657" s="462">
        <f>IF(AND(AT657&lt;&gt;0,AJ657&lt;&gt;"PF"),Life*W657,0)</f>
        <v>0</v>
      </c>
      <c r="BH657" s="462">
        <f>IF(AND(AT657&lt;&gt;0,AM657="Y"),UI*W657,0)</f>
        <v>0</v>
      </c>
      <c r="BI657" s="462">
        <f>IF(AND(AT657&lt;&gt;0,N657&lt;&gt;"NR"),DHR*W657,0)</f>
        <v>0</v>
      </c>
      <c r="BJ657" s="462">
        <f>IF(AT657&lt;&gt;0,WC*W657,0)</f>
        <v>0</v>
      </c>
      <c r="BK657" s="462">
        <f>IF(OR(AND(AT657&lt;&gt;0,AJ657&lt;&gt;"PF",AN657&lt;&gt;"NE",AG657&lt;&gt;"A"),AND(AL657="E",OR(AT657=1,AT657=3))),Sick*W657,0)</f>
        <v>0</v>
      </c>
      <c r="BL657" s="462">
        <f t="shared" si="175"/>
        <v>0</v>
      </c>
      <c r="BM657" s="462">
        <f t="shared" si="176"/>
        <v>0</v>
      </c>
      <c r="BN657" s="462">
        <f>IF(AND(AT657=1,AK657="E",AU657&gt;=0.75,AW657=1),HealthBY,IF(AND(AT657=1,AK657="E",AU657&gt;=0.75),HealthBY*P657,IF(AND(AT657=1,AK657="E",AU657&gt;=0.5,AW657=1),PTHealthBY,IF(AND(AT657=1,AK657="E",AU657&gt;=0.5),PTHealthBY*P657,0))))</f>
        <v>0</v>
      </c>
      <c r="BO657" s="462">
        <f>IF(AND(AT657=3,AK657="E",AV657&gt;=0.75,AW657=1),HealthBY,IF(AND(AT657=3,AK657="E",AV657&gt;=0.75),HealthBY*P657,IF(AND(AT657=3,AK657="E",AV657&gt;=0.5,AW657=1),PTHealthBY,IF(AND(AT657=3,AK657="E",AV657&gt;=0.5),PTHealthBY*P657,0))))</f>
        <v>0</v>
      </c>
      <c r="BP657" s="462">
        <f>IF(AND(AT657&lt;&gt;0,(AX657+BA657)&gt;=MAXSSDIBY),SSDIBY*MAXSSDIBY*P657,IF(AT657&lt;&gt;0,SSDIBY*W657,0))</f>
        <v>0</v>
      </c>
      <c r="BQ657" s="462">
        <f>IF(AT657&lt;&gt;0,SSHIBY*W657,0)</f>
        <v>0</v>
      </c>
      <c r="BR657" s="462">
        <f>IF(AND(AT657&lt;&gt;0,AN657&lt;&gt;"NE"),VLOOKUP(AN657,Retirement_Rates,4,FALSE)*W657,0)</f>
        <v>0</v>
      </c>
      <c r="BS657" s="462">
        <f>IF(AND(AT657&lt;&gt;0,AJ657&lt;&gt;"PF"),LifeBY*W657,0)</f>
        <v>0</v>
      </c>
      <c r="BT657" s="462">
        <f>IF(AND(AT657&lt;&gt;0,AM657="Y"),UIBY*W657,0)</f>
        <v>0</v>
      </c>
      <c r="BU657" s="462">
        <f>IF(AND(AT657&lt;&gt;0,N657&lt;&gt;"NR"),DHRBY*W657,0)</f>
        <v>0</v>
      </c>
      <c r="BV657" s="462">
        <f>IF(AT657&lt;&gt;0,WCBY*W657,0)</f>
        <v>0</v>
      </c>
      <c r="BW657" s="462">
        <f>IF(OR(AND(AT657&lt;&gt;0,AJ657&lt;&gt;"PF",AN657&lt;&gt;"NE",AG657&lt;&gt;"A"),AND(AL657="E",OR(AT657=1,AT657=3))),SickBY*W657,0)</f>
        <v>0</v>
      </c>
      <c r="BX657" s="462">
        <f t="shared" si="177"/>
        <v>0</v>
      </c>
      <c r="BY657" s="462">
        <f t="shared" si="178"/>
        <v>0</v>
      </c>
      <c r="BZ657" s="462">
        <f t="shared" si="179"/>
        <v>0</v>
      </c>
      <c r="CA657" s="462">
        <f t="shared" si="180"/>
        <v>0</v>
      </c>
      <c r="CB657" s="462">
        <f t="shared" si="181"/>
        <v>0</v>
      </c>
      <c r="CC657" s="462">
        <f>IF(AT657&lt;&gt;0,SSHICHG*Y657,0)</f>
        <v>0</v>
      </c>
      <c r="CD657" s="462">
        <f>IF(AND(AT657&lt;&gt;0,AN657&lt;&gt;"NE"),VLOOKUP(AN657,Retirement_Rates,5,FALSE)*Y657,0)</f>
        <v>0</v>
      </c>
      <c r="CE657" s="462">
        <f>IF(AND(AT657&lt;&gt;0,AJ657&lt;&gt;"PF"),LifeCHG*Y657,0)</f>
        <v>0</v>
      </c>
      <c r="CF657" s="462">
        <f>IF(AND(AT657&lt;&gt;0,AM657="Y"),UICHG*Y657,0)</f>
        <v>0</v>
      </c>
      <c r="CG657" s="462">
        <f>IF(AND(AT657&lt;&gt;0,N657&lt;&gt;"NR"),DHRCHG*Y657,0)</f>
        <v>0</v>
      </c>
      <c r="CH657" s="462">
        <f>IF(AT657&lt;&gt;0,WCCHG*Y657,0)</f>
        <v>0</v>
      </c>
      <c r="CI657" s="462">
        <f>IF(OR(AND(AT657&lt;&gt;0,AJ657&lt;&gt;"PF",AN657&lt;&gt;"NE",AG657&lt;&gt;"A"),AND(AL657="E",OR(AT657=1,AT657=3))),SickCHG*Y657,0)</f>
        <v>0</v>
      </c>
      <c r="CJ657" s="462">
        <f t="shared" si="182"/>
        <v>0</v>
      </c>
      <c r="CK657" s="462" t="str">
        <f t="shared" si="183"/>
        <v/>
      </c>
      <c r="CL657" s="462" t="str">
        <f t="shared" si="184"/>
        <v/>
      </c>
      <c r="CM657" s="462" t="str">
        <f t="shared" si="185"/>
        <v/>
      </c>
      <c r="CN657" s="462" t="str">
        <f t="shared" si="186"/>
        <v>0348-00</v>
      </c>
    </row>
    <row r="658" spans="1:92" ht="15" thickBot="1" x14ac:dyDescent="0.35">
      <c r="A658" s="376" t="s">
        <v>161</v>
      </c>
      <c r="B658" s="376" t="s">
        <v>162</v>
      </c>
      <c r="C658" s="376" t="s">
        <v>502</v>
      </c>
      <c r="D658" s="376" t="s">
        <v>418</v>
      </c>
      <c r="E658" s="376" t="s">
        <v>759</v>
      </c>
      <c r="F658" s="377" t="s">
        <v>166</v>
      </c>
      <c r="G658" s="376" t="s">
        <v>1351</v>
      </c>
      <c r="H658" s="378"/>
      <c r="I658" s="378"/>
      <c r="J658" s="376" t="s">
        <v>168</v>
      </c>
      <c r="K658" s="376" t="s">
        <v>419</v>
      </c>
      <c r="L658" s="376" t="s">
        <v>177</v>
      </c>
      <c r="M658" s="376" t="s">
        <v>170</v>
      </c>
      <c r="N658" s="376" t="s">
        <v>202</v>
      </c>
      <c r="O658" s="379">
        <v>1</v>
      </c>
      <c r="P658" s="460">
        <v>0</v>
      </c>
      <c r="Q658" s="460">
        <v>0</v>
      </c>
      <c r="R658" s="380">
        <v>80</v>
      </c>
      <c r="S658" s="460">
        <v>0</v>
      </c>
      <c r="T658" s="380">
        <v>14415.64</v>
      </c>
      <c r="U658" s="380">
        <v>0</v>
      </c>
      <c r="V658" s="380">
        <v>8537</v>
      </c>
      <c r="W658" s="380">
        <v>0</v>
      </c>
      <c r="X658" s="380">
        <v>0</v>
      </c>
      <c r="Y658" s="380">
        <v>0</v>
      </c>
      <c r="Z658" s="380">
        <v>0</v>
      </c>
      <c r="AA658" s="376" t="s">
        <v>503</v>
      </c>
      <c r="AB658" s="376" t="s">
        <v>218</v>
      </c>
      <c r="AC658" s="376" t="s">
        <v>504</v>
      </c>
      <c r="AD658" s="376" t="s">
        <v>215</v>
      </c>
      <c r="AE658" s="376" t="s">
        <v>419</v>
      </c>
      <c r="AF658" s="376" t="s">
        <v>436</v>
      </c>
      <c r="AG658" s="376" t="s">
        <v>177</v>
      </c>
      <c r="AH658" s="381">
        <v>15.93</v>
      </c>
      <c r="AI658" s="381">
        <v>5922.8</v>
      </c>
      <c r="AJ658" s="376" t="s">
        <v>178</v>
      </c>
      <c r="AK658" s="376" t="s">
        <v>179</v>
      </c>
      <c r="AL658" s="376" t="s">
        <v>180</v>
      </c>
      <c r="AM658" s="376" t="s">
        <v>181</v>
      </c>
      <c r="AN658" s="376" t="s">
        <v>68</v>
      </c>
      <c r="AO658" s="379">
        <v>80</v>
      </c>
      <c r="AP658" s="460">
        <v>1</v>
      </c>
      <c r="AQ658" s="460">
        <v>0</v>
      </c>
      <c r="AR658" s="458" t="s">
        <v>182</v>
      </c>
      <c r="AS658" s="462">
        <f t="shared" si="170"/>
        <v>0</v>
      </c>
      <c r="AT658">
        <f t="shared" si="171"/>
        <v>0</v>
      </c>
      <c r="AU658" s="462" t="str">
        <f>IF(AT658=0,"",IF(AND(AT658=1,M658="F",SUMIF(C2:C698,C658,AS2:AS698)&lt;=1),SUMIF(C2:C698,C658,AS2:AS698),IF(AND(AT658=1,M658="F",SUMIF(C2:C698,C658,AS2:AS698)&gt;1),1,"")))</f>
        <v/>
      </c>
      <c r="AV658" s="462" t="str">
        <f>IF(AT658=0,"",IF(AND(AT658=3,M658="F",SUMIF(C2:C698,C658,AS2:AS698)&lt;=1),SUMIF(C2:C698,C658,AS2:AS698),IF(AND(AT658=3,M658="F",SUMIF(C2:C698,C658,AS2:AS698)&gt;1),1,"")))</f>
        <v/>
      </c>
      <c r="AW658" s="462">
        <f>SUMIF(C2:C698,C658,O2:O698)</f>
        <v>4</v>
      </c>
      <c r="AX658" s="462">
        <f>IF(AND(M658="F",AS658&lt;&gt;0),SUMIF(C2:C698,C658,W2:W698),0)</f>
        <v>0</v>
      </c>
      <c r="AY658" s="462" t="str">
        <f t="shared" si="172"/>
        <v/>
      </c>
      <c r="AZ658" s="462" t="str">
        <f t="shared" si="173"/>
        <v/>
      </c>
      <c r="BA658" s="462">
        <f t="shared" si="174"/>
        <v>0</v>
      </c>
      <c r="BB658" s="462">
        <f>IF(AND(AT658=1,AK658="E",AU658&gt;=0.75,AW658=1),Health,IF(AND(AT658=1,AK658="E",AU658&gt;=0.75),Health*P658,IF(AND(AT658=1,AK658="E",AU658&gt;=0.5,AW658=1),PTHealth,IF(AND(AT658=1,AK658="E",AU658&gt;=0.5),PTHealth*P658,0))))</f>
        <v>0</v>
      </c>
      <c r="BC658" s="462">
        <f>IF(AND(AT658=3,AK658="E",AV658&gt;=0.75,AW658=1),Health,IF(AND(AT658=3,AK658="E",AV658&gt;=0.75),Health*P658,IF(AND(AT658=3,AK658="E",AV658&gt;=0.5,AW658=1),PTHealth,IF(AND(AT658=3,AK658="E",AV658&gt;=0.5),PTHealth*P658,0))))</f>
        <v>0</v>
      </c>
      <c r="BD658" s="462">
        <f>IF(AND(AT658&lt;&gt;0,AX658&gt;=MAXSSDI),SSDI*MAXSSDI*P658,IF(AT658&lt;&gt;0,SSDI*W658,0))</f>
        <v>0</v>
      </c>
      <c r="BE658" s="462">
        <f>IF(AT658&lt;&gt;0,SSHI*W658,0)</f>
        <v>0</v>
      </c>
      <c r="BF658" s="462">
        <f>IF(AND(AT658&lt;&gt;0,AN658&lt;&gt;"NE"),VLOOKUP(AN658,Retirement_Rates,3,FALSE)*W658,0)</f>
        <v>0</v>
      </c>
      <c r="BG658" s="462">
        <f>IF(AND(AT658&lt;&gt;0,AJ658&lt;&gt;"PF"),Life*W658,0)</f>
        <v>0</v>
      </c>
      <c r="BH658" s="462">
        <f>IF(AND(AT658&lt;&gt;0,AM658="Y"),UI*W658,0)</f>
        <v>0</v>
      </c>
      <c r="BI658" s="462">
        <f>IF(AND(AT658&lt;&gt;0,N658&lt;&gt;"NR"),DHR*W658,0)</f>
        <v>0</v>
      </c>
      <c r="BJ658" s="462">
        <f>IF(AT658&lt;&gt;0,WC*W658,0)</f>
        <v>0</v>
      </c>
      <c r="BK658" s="462">
        <f>IF(OR(AND(AT658&lt;&gt;0,AJ658&lt;&gt;"PF",AN658&lt;&gt;"NE",AG658&lt;&gt;"A"),AND(AL658="E",OR(AT658=1,AT658=3))),Sick*W658,0)</f>
        <v>0</v>
      </c>
      <c r="BL658" s="462">
        <f t="shared" si="175"/>
        <v>0</v>
      </c>
      <c r="BM658" s="462">
        <f t="shared" si="176"/>
        <v>0</v>
      </c>
      <c r="BN658" s="462">
        <f>IF(AND(AT658=1,AK658="E",AU658&gt;=0.75,AW658=1),HealthBY,IF(AND(AT658=1,AK658="E",AU658&gt;=0.75),HealthBY*P658,IF(AND(AT658=1,AK658="E",AU658&gt;=0.5,AW658=1),PTHealthBY,IF(AND(AT658=1,AK658="E",AU658&gt;=0.5),PTHealthBY*P658,0))))</f>
        <v>0</v>
      </c>
      <c r="BO658" s="462">
        <f>IF(AND(AT658=3,AK658="E",AV658&gt;=0.75,AW658=1),HealthBY,IF(AND(AT658=3,AK658="E",AV658&gt;=0.75),HealthBY*P658,IF(AND(AT658=3,AK658="E",AV658&gt;=0.5,AW658=1),PTHealthBY,IF(AND(AT658=3,AK658="E",AV658&gt;=0.5),PTHealthBY*P658,0))))</f>
        <v>0</v>
      </c>
      <c r="BP658" s="462">
        <f>IF(AND(AT658&lt;&gt;0,(AX658+BA658)&gt;=MAXSSDIBY),SSDIBY*MAXSSDIBY*P658,IF(AT658&lt;&gt;0,SSDIBY*W658,0))</f>
        <v>0</v>
      </c>
      <c r="BQ658" s="462">
        <f>IF(AT658&lt;&gt;0,SSHIBY*W658,0)</f>
        <v>0</v>
      </c>
      <c r="BR658" s="462">
        <f>IF(AND(AT658&lt;&gt;0,AN658&lt;&gt;"NE"),VLOOKUP(AN658,Retirement_Rates,4,FALSE)*W658,0)</f>
        <v>0</v>
      </c>
      <c r="BS658" s="462">
        <f>IF(AND(AT658&lt;&gt;0,AJ658&lt;&gt;"PF"),LifeBY*W658,0)</f>
        <v>0</v>
      </c>
      <c r="BT658" s="462">
        <f>IF(AND(AT658&lt;&gt;0,AM658="Y"),UIBY*W658,0)</f>
        <v>0</v>
      </c>
      <c r="BU658" s="462">
        <f>IF(AND(AT658&lt;&gt;0,N658&lt;&gt;"NR"),DHRBY*W658,0)</f>
        <v>0</v>
      </c>
      <c r="BV658" s="462">
        <f>IF(AT658&lt;&gt;0,WCBY*W658,0)</f>
        <v>0</v>
      </c>
      <c r="BW658" s="462">
        <f>IF(OR(AND(AT658&lt;&gt;0,AJ658&lt;&gt;"PF",AN658&lt;&gt;"NE",AG658&lt;&gt;"A"),AND(AL658="E",OR(AT658=1,AT658=3))),SickBY*W658,0)</f>
        <v>0</v>
      </c>
      <c r="BX658" s="462">
        <f t="shared" si="177"/>
        <v>0</v>
      </c>
      <c r="BY658" s="462">
        <f t="shared" si="178"/>
        <v>0</v>
      </c>
      <c r="BZ658" s="462">
        <f t="shared" si="179"/>
        <v>0</v>
      </c>
      <c r="CA658" s="462">
        <f t="shared" si="180"/>
        <v>0</v>
      </c>
      <c r="CB658" s="462">
        <f t="shared" si="181"/>
        <v>0</v>
      </c>
      <c r="CC658" s="462">
        <f>IF(AT658&lt;&gt;0,SSHICHG*Y658,0)</f>
        <v>0</v>
      </c>
      <c r="CD658" s="462">
        <f>IF(AND(AT658&lt;&gt;0,AN658&lt;&gt;"NE"),VLOOKUP(AN658,Retirement_Rates,5,FALSE)*Y658,0)</f>
        <v>0</v>
      </c>
      <c r="CE658" s="462">
        <f>IF(AND(AT658&lt;&gt;0,AJ658&lt;&gt;"PF"),LifeCHG*Y658,0)</f>
        <v>0</v>
      </c>
      <c r="CF658" s="462">
        <f>IF(AND(AT658&lt;&gt;0,AM658="Y"),UICHG*Y658,0)</f>
        <v>0</v>
      </c>
      <c r="CG658" s="462">
        <f>IF(AND(AT658&lt;&gt;0,N658&lt;&gt;"NR"),DHRCHG*Y658,0)</f>
        <v>0</v>
      </c>
      <c r="CH658" s="462">
        <f>IF(AT658&lt;&gt;0,WCCHG*Y658,0)</f>
        <v>0</v>
      </c>
      <c r="CI658" s="462">
        <f>IF(OR(AND(AT658&lt;&gt;0,AJ658&lt;&gt;"PF",AN658&lt;&gt;"NE",AG658&lt;&gt;"A"),AND(AL658="E",OR(AT658=1,AT658=3))),SickCHG*Y658,0)</f>
        <v>0</v>
      </c>
      <c r="CJ658" s="462">
        <f t="shared" si="182"/>
        <v>0</v>
      </c>
      <c r="CK658" s="462" t="str">
        <f t="shared" si="183"/>
        <v/>
      </c>
      <c r="CL658" s="462" t="str">
        <f t="shared" si="184"/>
        <v/>
      </c>
      <c r="CM658" s="462" t="str">
        <f t="shared" si="185"/>
        <v/>
      </c>
      <c r="CN658" s="462" t="str">
        <f t="shared" si="186"/>
        <v>0348-00</v>
      </c>
    </row>
    <row r="659" spans="1:92" ht="15" thickBot="1" x14ac:dyDescent="0.35">
      <c r="A659" s="376" t="s">
        <v>161</v>
      </c>
      <c r="B659" s="376" t="s">
        <v>162</v>
      </c>
      <c r="C659" s="376" t="s">
        <v>894</v>
      </c>
      <c r="D659" s="376" t="s">
        <v>895</v>
      </c>
      <c r="E659" s="376" t="s">
        <v>759</v>
      </c>
      <c r="F659" s="377" t="s">
        <v>166</v>
      </c>
      <c r="G659" s="376" t="s">
        <v>1352</v>
      </c>
      <c r="H659" s="378"/>
      <c r="I659" s="378"/>
      <c r="J659" s="376" t="s">
        <v>168</v>
      </c>
      <c r="K659" s="376" t="s">
        <v>896</v>
      </c>
      <c r="L659" s="376" t="s">
        <v>224</v>
      </c>
      <c r="M659" s="376" t="s">
        <v>170</v>
      </c>
      <c r="N659" s="376" t="s">
        <v>202</v>
      </c>
      <c r="O659" s="379">
        <v>1</v>
      </c>
      <c r="P659" s="460">
        <v>0</v>
      </c>
      <c r="Q659" s="460">
        <v>0</v>
      </c>
      <c r="R659" s="380">
        <v>80</v>
      </c>
      <c r="S659" s="460">
        <v>0</v>
      </c>
      <c r="T659" s="380">
        <v>6982.35</v>
      </c>
      <c r="U659" s="380">
        <v>0</v>
      </c>
      <c r="V659" s="380">
        <v>3991.11</v>
      </c>
      <c r="W659" s="380">
        <v>0</v>
      </c>
      <c r="X659" s="380">
        <v>0</v>
      </c>
      <c r="Y659" s="380">
        <v>0</v>
      </c>
      <c r="Z659" s="380">
        <v>0</v>
      </c>
      <c r="AA659" s="376" t="s">
        <v>897</v>
      </c>
      <c r="AB659" s="376" t="s">
        <v>898</v>
      </c>
      <c r="AC659" s="376" t="s">
        <v>899</v>
      </c>
      <c r="AD659" s="376" t="s">
        <v>591</v>
      </c>
      <c r="AE659" s="376" t="s">
        <v>896</v>
      </c>
      <c r="AF659" s="376" t="s">
        <v>232</v>
      </c>
      <c r="AG659" s="376" t="s">
        <v>177</v>
      </c>
      <c r="AH659" s="381">
        <v>25.69</v>
      </c>
      <c r="AI659" s="379">
        <v>45119</v>
      </c>
      <c r="AJ659" s="376" t="s">
        <v>178</v>
      </c>
      <c r="AK659" s="376" t="s">
        <v>179</v>
      </c>
      <c r="AL659" s="376" t="s">
        <v>180</v>
      </c>
      <c r="AM659" s="376" t="s">
        <v>181</v>
      </c>
      <c r="AN659" s="376" t="s">
        <v>68</v>
      </c>
      <c r="AO659" s="379">
        <v>80</v>
      </c>
      <c r="AP659" s="460">
        <v>1</v>
      </c>
      <c r="AQ659" s="460">
        <v>0</v>
      </c>
      <c r="AR659" s="458" t="s">
        <v>182</v>
      </c>
      <c r="AS659" s="462">
        <f t="shared" si="170"/>
        <v>0</v>
      </c>
      <c r="AT659">
        <f t="shared" si="171"/>
        <v>0</v>
      </c>
      <c r="AU659" s="462" t="str">
        <f>IF(AT659=0,"",IF(AND(AT659=1,M659="F",SUMIF(C2:C698,C659,AS2:AS698)&lt;=1),SUMIF(C2:C698,C659,AS2:AS698),IF(AND(AT659=1,M659="F",SUMIF(C2:C698,C659,AS2:AS698)&gt;1),1,"")))</f>
        <v/>
      </c>
      <c r="AV659" s="462" t="str">
        <f>IF(AT659=0,"",IF(AND(AT659=3,M659="F",SUMIF(C2:C698,C659,AS2:AS698)&lt;=1),SUMIF(C2:C698,C659,AS2:AS698),IF(AND(AT659=3,M659="F",SUMIF(C2:C698,C659,AS2:AS698)&gt;1),1,"")))</f>
        <v/>
      </c>
      <c r="AW659" s="462">
        <f>SUMIF(C2:C698,C659,O2:O698)</f>
        <v>3</v>
      </c>
      <c r="AX659" s="462">
        <f>IF(AND(M659="F",AS659&lt;&gt;0),SUMIF(C2:C698,C659,W2:W698),0)</f>
        <v>0</v>
      </c>
      <c r="AY659" s="462" t="str">
        <f t="shared" si="172"/>
        <v/>
      </c>
      <c r="AZ659" s="462" t="str">
        <f t="shared" si="173"/>
        <v/>
      </c>
      <c r="BA659" s="462">
        <f t="shared" si="174"/>
        <v>0</v>
      </c>
      <c r="BB659" s="462">
        <f>IF(AND(AT659=1,AK659="E",AU659&gt;=0.75,AW659=1),Health,IF(AND(AT659=1,AK659="E",AU659&gt;=0.75),Health*P659,IF(AND(AT659=1,AK659="E",AU659&gt;=0.5,AW659=1),PTHealth,IF(AND(AT659=1,AK659="E",AU659&gt;=0.5),PTHealth*P659,0))))</f>
        <v>0</v>
      </c>
      <c r="BC659" s="462">
        <f>IF(AND(AT659=3,AK659="E",AV659&gt;=0.75,AW659=1),Health,IF(AND(AT659=3,AK659="E",AV659&gt;=0.75),Health*P659,IF(AND(AT659=3,AK659="E",AV659&gt;=0.5,AW659=1),PTHealth,IF(AND(AT659=3,AK659="E",AV659&gt;=0.5),PTHealth*P659,0))))</f>
        <v>0</v>
      </c>
      <c r="BD659" s="462">
        <f>IF(AND(AT659&lt;&gt;0,AX659&gt;=MAXSSDI),SSDI*MAXSSDI*P659,IF(AT659&lt;&gt;0,SSDI*W659,0))</f>
        <v>0</v>
      </c>
      <c r="BE659" s="462">
        <f>IF(AT659&lt;&gt;0,SSHI*W659,0)</f>
        <v>0</v>
      </c>
      <c r="BF659" s="462">
        <f>IF(AND(AT659&lt;&gt;0,AN659&lt;&gt;"NE"),VLOOKUP(AN659,Retirement_Rates,3,FALSE)*W659,0)</f>
        <v>0</v>
      </c>
      <c r="BG659" s="462">
        <f>IF(AND(AT659&lt;&gt;0,AJ659&lt;&gt;"PF"),Life*W659,0)</f>
        <v>0</v>
      </c>
      <c r="BH659" s="462">
        <f>IF(AND(AT659&lt;&gt;0,AM659="Y"),UI*W659,0)</f>
        <v>0</v>
      </c>
      <c r="BI659" s="462">
        <f>IF(AND(AT659&lt;&gt;0,N659&lt;&gt;"NR"),DHR*W659,0)</f>
        <v>0</v>
      </c>
      <c r="BJ659" s="462">
        <f>IF(AT659&lt;&gt;0,WC*W659,0)</f>
        <v>0</v>
      </c>
      <c r="BK659" s="462">
        <f>IF(OR(AND(AT659&lt;&gt;0,AJ659&lt;&gt;"PF",AN659&lt;&gt;"NE",AG659&lt;&gt;"A"),AND(AL659="E",OR(AT659=1,AT659=3))),Sick*W659,0)</f>
        <v>0</v>
      </c>
      <c r="BL659" s="462">
        <f t="shared" si="175"/>
        <v>0</v>
      </c>
      <c r="BM659" s="462">
        <f t="shared" si="176"/>
        <v>0</v>
      </c>
      <c r="BN659" s="462">
        <f>IF(AND(AT659=1,AK659="E",AU659&gt;=0.75,AW659=1),HealthBY,IF(AND(AT659=1,AK659="E",AU659&gt;=0.75),HealthBY*P659,IF(AND(AT659=1,AK659="E",AU659&gt;=0.5,AW659=1),PTHealthBY,IF(AND(AT659=1,AK659="E",AU659&gt;=0.5),PTHealthBY*P659,0))))</f>
        <v>0</v>
      </c>
      <c r="BO659" s="462">
        <f>IF(AND(AT659=3,AK659="E",AV659&gt;=0.75,AW659=1),HealthBY,IF(AND(AT659=3,AK659="E",AV659&gt;=0.75),HealthBY*P659,IF(AND(AT659=3,AK659="E",AV659&gt;=0.5,AW659=1),PTHealthBY,IF(AND(AT659=3,AK659="E",AV659&gt;=0.5),PTHealthBY*P659,0))))</f>
        <v>0</v>
      </c>
      <c r="BP659" s="462">
        <f>IF(AND(AT659&lt;&gt;0,(AX659+BA659)&gt;=MAXSSDIBY),SSDIBY*MAXSSDIBY*P659,IF(AT659&lt;&gt;0,SSDIBY*W659,0))</f>
        <v>0</v>
      </c>
      <c r="BQ659" s="462">
        <f>IF(AT659&lt;&gt;0,SSHIBY*W659,0)</f>
        <v>0</v>
      </c>
      <c r="BR659" s="462">
        <f>IF(AND(AT659&lt;&gt;0,AN659&lt;&gt;"NE"),VLOOKUP(AN659,Retirement_Rates,4,FALSE)*W659,0)</f>
        <v>0</v>
      </c>
      <c r="BS659" s="462">
        <f>IF(AND(AT659&lt;&gt;0,AJ659&lt;&gt;"PF"),LifeBY*W659,0)</f>
        <v>0</v>
      </c>
      <c r="BT659" s="462">
        <f>IF(AND(AT659&lt;&gt;0,AM659="Y"),UIBY*W659,0)</f>
        <v>0</v>
      </c>
      <c r="BU659" s="462">
        <f>IF(AND(AT659&lt;&gt;0,N659&lt;&gt;"NR"),DHRBY*W659,0)</f>
        <v>0</v>
      </c>
      <c r="BV659" s="462">
        <f>IF(AT659&lt;&gt;0,WCBY*W659,0)</f>
        <v>0</v>
      </c>
      <c r="BW659" s="462">
        <f>IF(OR(AND(AT659&lt;&gt;0,AJ659&lt;&gt;"PF",AN659&lt;&gt;"NE",AG659&lt;&gt;"A"),AND(AL659="E",OR(AT659=1,AT659=3))),SickBY*W659,0)</f>
        <v>0</v>
      </c>
      <c r="BX659" s="462">
        <f t="shared" si="177"/>
        <v>0</v>
      </c>
      <c r="BY659" s="462">
        <f t="shared" si="178"/>
        <v>0</v>
      </c>
      <c r="BZ659" s="462">
        <f t="shared" si="179"/>
        <v>0</v>
      </c>
      <c r="CA659" s="462">
        <f t="shared" si="180"/>
        <v>0</v>
      </c>
      <c r="CB659" s="462">
        <f t="shared" si="181"/>
        <v>0</v>
      </c>
      <c r="CC659" s="462">
        <f>IF(AT659&lt;&gt;0,SSHICHG*Y659,0)</f>
        <v>0</v>
      </c>
      <c r="CD659" s="462">
        <f>IF(AND(AT659&lt;&gt;0,AN659&lt;&gt;"NE"),VLOOKUP(AN659,Retirement_Rates,5,FALSE)*Y659,0)</f>
        <v>0</v>
      </c>
      <c r="CE659" s="462">
        <f>IF(AND(AT659&lt;&gt;0,AJ659&lt;&gt;"PF"),LifeCHG*Y659,0)</f>
        <v>0</v>
      </c>
      <c r="CF659" s="462">
        <f>IF(AND(AT659&lt;&gt;0,AM659="Y"),UICHG*Y659,0)</f>
        <v>0</v>
      </c>
      <c r="CG659" s="462">
        <f>IF(AND(AT659&lt;&gt;0,N659&lt;&gt;"NR"),DHRCHG*Y659,0)</f>
        <v>0</v>
      </c>
      <c r="CH659" s="462">
        <f>IF(AT659&lt;&gt;0,WCCHG*Y659,0)</f>
        <v>0</v>
      </c>
      <c r="CI659" s="462">
        <f>IF(OR(AND(AT659&lt;&gt;0,AJ659&lt;&gt;"PF",AN659&lt;&gt;"NE",AG659&lt;&gt;"A"),AND(AL659="E",OR(AT659=1,AT659=3))),SickCHG*Y659,0)</f>
        <v>0</v>
      </c>
      <c r="CJ659" s="462">
        <f t="shared" si="182"/>
        <v>0</v>
      </c>
      <c r="CK659" s="462" t="str">
        <f t="shared" si="183"/>
        <v/>
      </c>
      <c r="CL659" s="462" t="str">
        <f t="shared" si="184"/>
        <v/>
      </c>
      <c r="CM659" s="462" t="str">
        <f t="shared" si="185"/>
        <v/>
      </c>
      <c r="CN659" s="462" t="str">
        <f t="shared" si="186"/>
        <v>0348-00</v>
      </c>
    </row>
    <row r="660" spans="1:92" ht="15" thickBot="1" x14ac:dyDescent="0.35">
      <c r="A660" s="376" t="s">
        <v>161</v>
      </c>
      <c r="B660" s="376" t="s">
        <v>162</v>
      </c>
      <c r="C660" s="376" t="s">
        <v>915</v>
      </c>
      <c r="D660" s="376" t="s">
        <v>250</v>
      </c>
      <c r="E660" s="376" t="s">
        <v>759</v>
      </c>
      <c r="F660" s="377" t="s">
        <v>166</v>
      </c>
      <c r="G660" s="376" t="s">
        <v>1352</v>
      </c>
      <c r="H660" s="378"/>
      <c r="I660" s="378"/>
      <c r="J660" s="376" t="s">
        <v>168</v>
      </c>
      <c r="K660" s="376" t="s">
        <v>407</v>
      </c>
      <c r="L660" s="376" t="s">
        <v>247</v>
      </c>
      <c r="M660" s="376" t="s">
        <v>170</v>
      </c>
      <c r="N660" s="376" t="s">
        <v>202</v>
      </c>
      <c r="O660" s="379">
        <v>1</v>
      </c>
      <c r="P660" s="460">
        <v>0</v>
      </c>
      <c r="Q660" s="460">
        <v>0</v>
      </c>
      <c r="R660" s="380">
        <v>80</v>
      </c>
      <c r="S660" s="460">
        <v>0</v>
      </c>
      <c r="T660" s="380">
        <v>7588.98</v>
      </c>
      <c r="U660" s="380">
        <v>0</v>
      </c>
      <c r="V660" s="380">
        <v>2986.61</v>
      </c>
      <c r="W660" s="380">
        <v>0</v>
      </c>
      <c r="X660" s="380">
        <v>0</v>
      </c>
      <c r="Y660" s="380">
        <v>0</v>
      </c>
      <c r="Z660" s="380">
        <v>0</v>
      </c>
      <c r="AA660" s="376" t="s">
        <v>916</v>
      </c>
      <c r="AB660" s="376" t="s">
        <v>917</v>
      </c>
      <c r="AC660" s="376" t="s">
        <v>918</v>
      </c>
      <c r="AD660" s="376" t="s">
        <v>220</v>
      </c>
      <c r="AE660" s="376" t="s">
        <v>407</v>
      </c>
      <c r="AF660" s="376" t="s">
        <v>299</v>
      </c>
      <c r="AG660" s="376" t="s">
        <v>177</v>
      </c>
      <c r="AH660" s="381">
        <v>29.76</v>
      </c>
      <c r="AI660" s="379">
        <v>8161</v>
      </c>
      <c r="AJ660" s="376" t="s">
        <v>178</v>
      </c>
      <c r="AK660" s="376" t="s">
        <v>179</v>
      </c>
      <c r="AL660" s="376" t="s">
        <v>180</v>
      </c>
      <c r="AM660" s="376" t="s">
        <v>181</v>
      </c>
      <c r="AN660" s="376" t="s">
        <v>68</v>
      </c>
      <c r="AO660" s="379">
        <v>80</v>
      </c>
      <c r="AP660" s="460">
        <v>1</v>
      </c>
      <c r="AQ660" s="460">
        <v>0</v>
      </c>
      <c r="AR660" s="458" t="s">
        <v>182</v>
      </c>
      <c r="AS660" s="462">
        <f t="shared" si="170"/>
        <v>0</v>
      </c>
      <c r="AT660">
        <f t="shared" si="171"/>
        <v>0</v>
      </c>
      <c r="AU660" s="462" t="str">
        <f>IF(AT660=0,"",IF(AND(AT660=1,M660="F",SUMIF(C2:C698,C660,AS2:AS698)&lt;=1),SUMIF(C2:C698,C660,AS2:AS698),IF(AND(AT660=1,M660="F",SUMIF(C2:C698,C660,AS2:AS698)&gt;1),1,"")))</f>
        <v/>
      </c>
      <c r="AV660" s="462" t="str">
        <f>IF(AT660=0,"",IF(AND(AT660=3,M660="F",SUMIF(C2:C698,C660,AS2:AS698)&lt;=1),SUMIF(C2:C698,C660,AS2:AS698),IF(AND(AT660=3,M660="F",SUMIF(C2:C698,C660,AS2:AS698)&gt;1),1,"")))</f>
        <v/>
      </c>
      <c r="AW660" s="462">
        <f>SUMIF(C2:C698,C660,O2:O698)</f>
        <v>3</v>
      </c>
      <c r="AX660" s="462">
        <f>IF(AND(M660="F",AS660&lt;&gt;0),SUMIF(C2:C698,C660,W2:W698),0)</f>
        <v>0</v>
      </c>
      <c r="AY660" s="462" t="str">
        <f t="shared" si="172"/>
        <v/>
      </c>
      <c r="AZ660" s="462" t="str">
        <f t="shared" si="173"/>
        <v/>
      </c>
      <c r="BA660" s="462">
        <f t="shared" si="174"/>
        <v>0</v>
      </c>
      <c r="BB660" s="462">
        <f>IF(AND(AT660=1,AK660="E",AU660&gt;=0.75,AW660=1),Health,IF(AND(AT660=1,AK660="E",AU660&gt;=0.75),Health*P660,IF(AND(AT660=1,AK660="E",AU660&gt;=0.5,AW660=1),PTHealth,IF(AND(AT660=1,AK660="E",AU660&gt;=0.5),PTHealth*P660,0))))</f>
        <v>0</v>
      </c>
      <c r="BC660" s="462">
        <f>IF(AND(AT660=3,AK660="E",AV660&gt;=0.75,AW660=1),Health,IF(AND(AT660=3,AK660="E",AV660&gt;=0.75),Health*P660,IF(AND(AT660=3,AK660="E",AV660&gt;=0.5,AW660=1),PTHealth,IF(AND(AT660=3,AK660="E",AV660&gt;=0.5),PTHealth*P660,0))))</f>
        <v>0</v>
      </c>
      <c r="BD660" s="462">
        <f>IF(AND(AT660&lt;&gt;0,AX660&gt;=MAXSSDI),SSDI*MAXSSDI*P660,IF(AT660&lt;&gt;0,SSDI*W660,0))</f>
        <v>0</v>
      </c>
      <c r="BE660" s="462">
        <f>IF(AT660&lt;&gt;0,SSHI*W660,0)</f>
        <v>0</v>
      </c>
      <c r="BF660" s="462">
        <f>IF(AND(AT660&lt;&gt;0,AN660&lt;&gt;"NE"),VLOOKUP(AN660,Retirement_Rates,3,FALSE)*W660,0)</f>
        <v>0</v>
      </c>
      <c r="BG660" s="462">
        <f>IF(AND(AT660&lt;&gt;0,AJ660&lt;&gt;"PF"),Life*W660,0)</f>
        <v>0</v>
      </c>
      <c r="BH660" s="462">
        <f>IF(AND(AT660&lt;&gt;0,AM660="Y"),UI*W660,0)</f>
        <v>0</v>
      </c>
      <c r="BI660" s="462">
        <f>IF(AND(AT660&lt;&gt;0,N660&lt;&gt;"NR"),DHR*W660,0)</f>
        <v>0</v>
      </c>
      <c r="BJ660" s="462">
        <f>IF(AT660&lt;&gt;0,WC*W660,0)</f>
        <v>0</v>
      </c>
      <c r="BK660" s="462">
        <f>IF(OR(AND(AT660&lt;&gt;0,AJ660&lt;&gt;"PF",AN660&lt;&gt;"NE",AG660&lt;&gt;"A"),AND(AL660="E",OR(AT660=1,AT660=3))),Sick*W660,0)</f>
        <v>0</v>
      </c>
      <c r="BL660" s="462">
        <f t="shared" si="175"/>
        <v>0</v>
      </c>
      <c r="BM660" s="462">
        <f t="shared" si="176"/>
        <v>0</v>
      </c>
      <c r="BN660" s="462">
        <f>IF(AND(AT660=1,AK660="E",AU660&gt;=0.75,AW660=1),HealthBY,IF(AND(AT660=1,AK660="E",AU660&gt;=0.75),HealthBY*P660,IF(AND(AT660=1,AK660="E",AU660&gt;=0.5,AW660=1),PTHealthBY,IF(AND(AT660=1,AK660="E",AU660&gt;=0.5),PTHealthBY*P660,0))))</f>
        <v>0</v>
      </c>
      <c r="BO660" s="462">
        <f>IF(AND(AT660=3,AK660="E",AV660&gt;=0.75,AW660=1),HealthBY,IF(AND(AT660=3,AK660="E",AV660&gt;=0.75),HealthBY*P660,IF(AND(AT660=3,AK660="E",AV660&gt;=0.5,AW660=1),PTHealthBY,IF(AND(AT660=3,AK660="E",AV660&gt;=0.5),PTHealthBY*P660,0))))</f>
        <v>0</v>
      </c>
      <c r="BP660" s="462">
        <f>IF(AND(AT660&lt;&gt;0,(AX660+BA660)&gt;=MAXSSDIBY),SSDIBY*MAXSSDIBY*P660,IF(AT660&lt;&gt;0,SSDIBY*W660,0))</f>
        <v>0</v>
      </c>
      <c r="BQ660" s="462">
        <f>IF(AT660&lt;&gt;0,SSHIBY*W660,0)</f>
        <v>0</v>
      </c>
      <c r="BR660" s="462">
        <f>IF(AND(AT660&lt;&gt;0,AN660&lt;&gt;"NE"),VLOOKUP(AN660,Retirement_Rates,4,FALSE)*W660,0)</f>
        <v>0</v>
      </c>
      <c r="BS660" s="462">
        <f>IF(AND(AT660&lt;&gt;0,AJ660&lt;&gt;"PF"),LifeBY*W660,0)</f>
        <v>0</v>
      </c>
      <c r="BT660" s="462">
        <f>IF(AND(AT660&lt;&gt;0,AM660="Y"),UIBY*W660,0)</f>
        <v>0</v>
      </c>
      <c r="BU660" s="462">
        <f>IF(AND(AT660&lt;&gt;0,N660&lt;&gt;"NR"),DHRBY*W660,0)</f>
        <v>0</v>
      </c>
      <c r="BV660" s="462">
        <f>IF(AT660&lt;&gt;0,WCBY*W660,0)</f>
        <v>0</v>
      </c>
      <c r="BW660" s="462">
        <f>IF(OR(AND(AT660&lt;&gt;0,AJ660&lt;&gt;"PF",AN660&lt;&gt;"NE",AG660&lt;&gt;"A"),AND(AL660="E",OR(AT660=1,AT660=3))),SickBY*W660,0)</f>
        <v>0</v>
      </c>
      <c r="BX660" s="462">
        <f t="shared" si="177"/>
        <v>0</v>
      </c>
      <c r="BY660" s="462">
        <f t="shared" si="178"/>
        <v>0</v>
      </c>
      <c r="BZ660" s="462">
        <f t="shared" si="179"/>
        <v>0</v>
      </c>
      <c r="CA660" s="462">
        <f t="shared" si="180"/>
        <v>0</v>
      </c>
      <c r="CB660" s="462">
        <f t="shared" si="181"/>
        <v>0</v>
      </c>
      <c r="CC660" s="462">
        <f>IF(AT660&lt;&gt;0,SSHICHG*Y660,0)</f>
        <v>0</v>
      </c>
      <c r="CD660" s="462">
        <f>IF(AND(AT660&lt;&gt;0,AN660&lt;&gt;"NE"),VLOOKUP(AN660,Retirement_Rates,5,FALSE)*Y660,0)</f>
        <v>0</v>
      </c>
      <c r="CE660" s="462">
        <f>IF(AND(AT660&lt;&gt;0,AJ660&lt;&gt;"PF"),LifeCHG*Y660,0)</f>
        <v>0</v>
      </c>
      <c r="CF660" s="462">
        <f>IF(AND(AT660&lt;&gt;0,AM660="Y"),UICHG*Y660,0)</f>
        <v>0</v>
      </c>
      <c r="CG660" s="462">
        <f>IF(AND(AT660&lt;&gt;0,N660&lt;&gt;"NR"),DHRCHG*Y660,0)</f>
        <v>0</v>
      </c>
      <c r="CH660" s="462">
        <f>IF(AT660&lt;&gt;0,WCCHG*Y660,0)</f>
        <v>0</v>
      </c>
      <c r="CI660" s="462">
        <f>IF(OR(AND(AT660&lt;&gt;0,AJ660&lt;&gt;"PF",AN660&lt;&gt;"NE",AG660&lt;&gt;"A"),AND(AL660="E",OR(AT660=1,AT660=3))),SickCHG*Y660,0)</f>
        <v>0</v>
      </c>
      <c r="CJ660" s="462">
        <f t="shared" si="182"/>
        <v>0</v>
      </c>
      <c r="CK660" s="462" t="str">
        <f t="shared" si="183"/>
        <v/>
      </c>
      <c r="CL660" s="462" t="str">
        <f t="shared" si="184"/>
        <v/>
      </c>
      <c r="CM660" s="462" t="str">
        <f t="shared" si="185"/>
        <v/>
      </c>
      <c r="CN660" s="462" t="str">
        <f t="shared" si="186"/>
        <v>0348-00</v>
      </c>
    </row>
    <row r="661" spans="1:92" ht="15" thickBot="1" x14ac:dyDescent="0.35">
      <c r="A661" s="376" t="s">
        <v>161</v>
      </c>
      <c r="B661" s="376" t="s">
        <v>162</v>
      </c>
      <c r="C661" s="376" t="s">
        <v>1353</v>
      </c>
      <c r="D661" s="376" t="s">
        <v>250</v>
      </c>
      <c r="E661" s="376" t="s">
        <v>759</v>
      </c>
      <c r="F661" s="377" t="s">
        <v>166</v>
      </c>
      <c r="G661" s="376" t="s">
        <v>1352</v>
      </c>
      <c r="H661" s="378"/>
      <c r="I661" s="378"/>
      <c r="J661" s="376" t="s">
        <v>168</v>
      </c>
      <c r="K661" s="376" t="s">
        <v>251</v>
      </c>
      <c r="L661" s="376" t="s">
        <v>180</v>
      </c>
      <c r="M661" s="376" t="s">
        <v>170</v>
      </c>
      <c r="N661" s="376" t="s">
        <v>1103</v>
      </c>
      <c r="O661" s="379">
        <v>1</v>
      </c>
      <c r="P661" s="460">
        <v>1</v>
      </c>
      <c r="Q661" s="460">
        <v>1</v>
      </c>
      <c r="R661" s="380">
        <v>80</v>
      </c>
      <c r="S661" s="460">
        <v>1</v>
      </c>
      <c r="T661" s="380">
        <v>66826.41</v>
      </c>
      <c r="U661" s="380">
        <v>0</v>
      </c>
      <c r="V661" s="380">
        <v>26269.27</v>
      </c>
      <c r="W661" s="380">
        <v>69347.199999999997</v>
      </c>
      <c r="X661" s="380">
        <v>27348.1</v>
      </c>
      <c r="Y661" s="380">
        <v>69347.199999999997</v>
      </c>
      <c r="Z661" s="380">
        <v>27167.8</v>
      </c>
      <c r="AA661" s="376" t="s">
        <v>1354</v>
      </c>
      <c r="AB661" s="376" t="s">
        <v>1355</v>
      </c>
      <c r="AC661" s="376" t="s">
        <v>486</v>
      </c>
      <c r="AD661" s="376" t="s">
        <v>220</v>
      </c>
      <c r="AE661" s="376" t="s">
        <v>251</v>
      </c>
      <c r="AF661" s="376" t="s">
        <v>256</v>
      </c>
      <c r="AG661" s="376" t="s">
        <v>177</v>
      </c>
      <c r="AH661" s="381">
        <v>33.340000000000003</v>
      </c>
      <c r="AI661" s="379">
        <v>16552</v>
      </c>
      <c r="AJ661" s="376" t="s">
        <v>178</v>
      </c>
      <c r="AK661" s="376" t="s">
        <v>179</v>
      </c>
      <c r="AL661" s="376" t="s">
        <v>180</v>
      </c>
      <c r="AM661" s="376" t="s">
        <v>181</v>
      </c>
      <c r="AN661" s="376" t="s">
        <v>68</v>
      </c>
      <c r="AO661" s="379">
        <v>80</v>
      </c>
      <c r="AP661" s="460">
        <v>1</v>
      </c>
      <c r="AQ661" s="460">
        <v>1</v>
      </c>
      <c r="AR661" s="458" t="s">
        <v>182</v>
      </c>
      <c r="AS661" s="462">
        <f t="shared" si="170"/>
        <v>1</v>
      </c>
      <c r="AT661">
        <f t="shared" si="171"/>
        <v>1</v>
      </c>
      <c r="AU661" s="462">
        <f>IF(AT661=0,"",IF(AND(AT661=1,M661="F",SUMIF(C2:C698,C661,AS2:AS698)&lt;=1),SUMIF(C2:C698,C661,AS2:AS698),IF(AND(AT661=1,M661="F",SUMIF(C2:C698,C661,AS2:AS698)&gt;1),1,"")))</f>
        <v>1</v>
      </c>
      <c r="AV661" s="462" t="str">
        <f>IF(AT661=0,"",IF(AND(AT661=3,M661="F",SUMIF(C2:C698,C661,AS2:AS698)&lt;=1),SUMIF(C2:C698,C661,AS2:AS698),IF(AND(AT661=3,M661="F",SUMIF(C2:C698,C661,AS2:AS698)&gt;1),1,"")))</f>
        <v/>
      </c>
      <c r="AW661" s="462">
        <f>SUMIF(C2:C698,C661,O2:O698)</f>
        <v>1</v>
      </c>
      <c r="AX661" s="462">
        <f>IF(AND(M661="F",AS661&lt;&gt;0),SUMIF(C2:C698,C661,W2:W698),0)</f>
        <v>69347.199999999997</v>
      </c>
      <c r="AY661" s="462">
        <f t="shared" si="172"/>
        <v>69347.199999999997</v>
      </c>
      <c r="AZ661" s="462" t="str">
        <f t="shared" si="173"/>
        <v/>
      </c>
      <c r="BA661" s="462">
        <f t="shared" si="174"/>
        <v>0</v>
      </c>
      <c r="BB661" s="462">
        <f>IF(AND(AT661=1,AK661="E",AU661&gt;=0.75,AW661=1),Health,IF(AND(AT661=1,AK661="E",AU661&gt;=0.75),Health*P661,IF(AND(AT661=1,AK661="E",AU661&gt;=0.5,AW661=1),PTHealth,IF(AND(AT661=1,AK661="E",AU661&gt;=0.5),PTHealth*P661,0))))</f>
        <v>11650</v>
      </c>
      <c r="BC661" s="462">
        <f>IF(AND(AT661=3,AK661="E",AV661&gt;=0.75,AW661=1),Health,IF(AND(AT661=3,AK661="E",AV661&gt;=0.75),Health*P661,IF(AND(AT661=3,AK661="E",AV661&gt;=0.5,AW661=1),PTHealth,IF(AND(AT661=3,AK661="E",AV661&gt;=0.5),PTHealth*P661,0))))</f>
        <v>0</v>
      </c>
      <c r="BD661" s="462">
        <f>IF(AND(AT661&lt;&gt;0,AX661&gt;=MAXSSDI),SSDI*MAXSSDI*P661,IF(AT661&lt;&gt;0,SSDI*W661,0))</f>
        <v>4299.5263999999997</v>
      </c>
      <c r="BE661" s="462">
        <f>IF(AT661&lt;&gt;0,SSHI*W661,0)</f>
        <v>1005.5344</v>
      </c>
      <c r="BF661" s="462">
        <f>IF(AND(AT661&lt;&gt;0,AN661&lt;&gt;"NE"),VLOOKUP(AN661,Retirement_Rates,3,FALSE)*W661,0)</f>
        <v>8280.0556799999995</v>
      </c>
      <c r="BG661" s="462">
        <f>IF(AND(AT661&lt;&gt;0,AJ661&lt;&gt;"PF"),Life*W661,0)</f>
        <v>499.993312</v>
      </c>
      <c r="BH661" s="462">
        <f>IF(AND(AT661&lt;&gt;0,AM661="Y"),UI*W661,0)</f>
        <v>339.80127999999996</v>
      </c>
      <c r="BI661" s="462">
        <f>IF(AND(AT661&lt;&gt;0,N661&lt;&gt;"NR"),DHR*W661,0)</f>
        <v>212.20243199999999</v>
      </c>
      <c r="BJ661" s="462">
        <f>IF(AT661&lt;&gt;0,WC*W661,0)</f>
        <v>1061.01216</v>
      </c>
      <c r="BK661" s="462">
        <f>IF(OR(AND(AT661&lt;&gt;0,AJ661&lt;&gt;"PF",AN661&lt;&gt;"NE",AG661&lt;&gt;"A"),AND(AL661="E",OR(AT661=1,AT661=3))),Sick*W661,0)</f>
        <v>0</v>
      </c>
      <c r="BL661" s="462">
        <f t="shared" si="175"/>
        <v>15698.125663999999</v>
      </c>
      <c r="BM661" s="462">
        <f t="shared" si="176"/>
        <v>0</v>
      </c>
      <c r="BN661" s="462">
        <f>IF(AND(AT661=1,AK661="E",AU661&gt;=0.75,AW661=1),HealthBY,IF(AND(AT661=1,AK661="E",AU661&gt;=0.75),HealthBY*P661,IF(AND(AT661=1,AK661="E",AU661&gt;=0.5,AW661=1),PTHealthBY,IF(AND(AT661=1,AK661="E",AU661&gt;=0.5),PTHealthBY*P661,0))))</f>
        <v>11650</v>
      </c>
      <c r="BO661" s="462">
        <f>IF(AND(AT661=3,AK661="E",AV661&gt;=0.75,AW661=1),HealthBY,IF(AND(AT661=3,AK661="E",AV661&gt;=0.75),HealthBY*P661,IF(AND(AT661=3,AK661="E",AV661&gt;=0.5,AW661=1),PTHealthBY,IF(AND(AT661=3,AK661="E",AV661&gt;=0.5),PTHealthBY*P661,0))))</f>
        <v>0</v>
      </c>
      <c r="BP661" s="462">
        <f>IF(AND(AT661&lt;&gt;0,(AX661+BA661)&gt;=MAXSSDIBY),SSDIBY*MAXSSDIBY*P661,IF(AT661&lt;&gt;0,SSDIBY*W661,0))</f>
        <v>4299.5263999999997</v>
      </c>
      <c r="BQ661" s="462">
        <f>IF(AT661&lt;&gt;0,SSHIBY*W661,0)</f>
        <v>1005.5344</v>
      </c>
      <c r="BR661" s="462">
        <f>IF(AND(AT661&lt;&gt;0,AN661&lt;&gt;"NE"),VLOOKUP(AN661,Retirement_Rates,4,FALSE)*W661,0)</f>
        <v>8280.0556799999995</v>
      </c>
      <c r="BS661" s="462">
        <f>IF(AND(AT661&lt;&gt;0,AJ661&lt;&gt;"PF"),LifeBY*W661,0)</f>
        <v>499.993312</v>
      </c>
      <c r="BT661" s="462">
        <f>IF(AND(AT661&lt;&gt;0,AM661="Y"),UIBY*W661,0)</f>
        <v>0</v>
      </c>
      <c r="BU661" s="462">
        <f>IF(AND(AT661&lt;&gt;0,N661&lt;&gt;"NR"),DHRBY*W661,0)</f>
        <v>212.20243199999999</v>
      </c>
      <c r="BV661" s="462">
        <f>IF(AT661&lt;&gt;0,WCBY*W661,0)</f>
        <v>1220.51072</v>
      </c>
      <c r="BW661" s="462">
        <f>IF(OR(AND(AT661&lt;&gt;0,AJ661&lt;&gt;"PF",AN661&lt;&gt;"NE",AG661&lt;&gt;"A"),AND(AL661="E",OR(AT661=1,AT661=3))),SickBY*W661,0)</f>
        <v>0</v>
      </c>
      <c r="BX661" s="462">
        <f t="shared" si="177"/>
        <v>15517.822944</v>
      </c>
      <c r="BY661" s="462">
        <f t="shared" si="178"/>
        <v>0</v>
      </c>
      <c r="BZ661" s="462">
        <f t="shared" si="179"/>
        <v>0</v>
      </c>
      <c r="CA661" s="462">
        <f t="shared" si="180"/>
        <v>0</v>
      </c>
      <c r="CB661" s="462">
        <f t="shared" si="181"/>
        <v>0</v>
      </c>
      <c r="CC661" s="462">
        <f>IF(AT661&lt;&gt;0,SSHICHG*Y661,0)</f>
        <v>0</v>
      </c>
      <c r="CD661" s="462">
        <f>IF(AND(AT661&lt;&gt;0,AN661&lt;&gt;"NE"),VLOOKUP(AN661,Retirement_Rates,5,FALSE)*Y661,0)</f>
        <v>0</v>
      </c>
      <c r="CE661" s="462">
        <f>IF(AND(AT661&lt;&gt;0,AJ661&lt;&gt;"PF"),LifeCHG*Y661,0)</f>
        <v>0</v>
      </c>
      <c r="CF661" s="462">
        <f>IF(AND(AT661&lt;&gt;0,AM661="Y"),UICHG*Y661,0)</f>
        <v>-339.80127999999996</v>
      </c>
      <c r="CG661" s="462">
        <f>IF(AND(AT661&lt;&gt;0,N661&lt;&gt;"NR"),DHRCHG*Y661,0)</f>
        <v>0</v>
      </c>
      <c r="CH661" s="462">
        <f>IF(AT661&lt;&gt;0,WCCHG*Y661,0)</f>
        <v>159.49856000000011</v>
      </c>
      <c r="CI661" s="462">
        <f>IF(OR(AND(AT661&lt;&gt;0,AJ661&lt;&gt;"PF",AN661&lt;&gt;"NE",AG661&lt;&gt;"A"),AND(AL661="E",OR(AT661=1,AT661=3))),SickCHG*Y661,0)</f>
        <v>0</v>
      </c>
      <c r="CJ661" s="462">
        <f t="shared" si="182"/>
        <v>-180.30271999999985</v>
      </c>
      <c r="CK661" s="462" t="str">
        <f t="shared" si="183"/>
        <v/>
      </c>
      <c r="CL661" s="462" t="str">
        <f t="shared" si="184"/>
        <v/>
      </c>
      <c r="CM661" s="462" t="str">
        <f t="shared" si="185"/>
        <v/>
      </c>
      <c r="CN661" s="462" t="str">
        <f t="shared" si="186"/>
        <v>0348-00</v>
      </c>
    </row>
    <row r="662" spans="1:92" ht="15" thickBot="1" x14ac:dyDescent="0.35">
      <c r="A662" s="376" t="s">
        <v>161</v>
      </c>
      <c r="B662" s="376" t="s">
        <v>162</v>
      </c>
      <c r="C662" s="376" t="s">
        <v>920</v>
      </c>
      <c r="D662" s="376" t="s">
        <v>362</v>
      </c>
      <c r="E662" s="376" t="s">
        <v>759</v>
      </c>
      <c r="F662" s="377" t="s">
        <v>166</v>
      </c>
      <c r="G662" s="376" t="s">
        <v>1352</v>
      </c>
      <c r="H662" s="378"/>
      <c r="I662" s="378"/>
      <c r="J662" s="376" t="s">
        <v>877</v>
      </c>
      <c r="K662" s="376" t="s">
        <v>363</v>
      </c>
      <c r="L662" s="376" t="s">
        <v>200</v>
      </c>
      <c r="M662" s="376" t="s">
        <v>170</v>
      </c>
      <c r="N662" s="376" t="s">
        <v>202</v>
      </c>
      <c r="O662" s="379">
        <v>1</v>
      </c>
      <c r="P662" s="460">
        <v>0</v>
      </c>
      <c r="Q662" s="460">
        <v>0</v>
      </c>
      <c r="R662" s="380">
        <v>80</v>
      </c>
      <c r="S662" s="460">
        <v>0</v>
      </c>
      <c r="T662" s="380">
        <v>388.5</v>
      </c>
      <c r="U662" s="380">
        <v>0</v>
      </c>
      <c r="V662" s="380">
        <v>184.5</v>
      </c>
      <c r="W662" s="380">
        <v>0</v>
      </c>
      <c r="X662" s="380">
        <v>0</v>
      </c>
      <c r="Y662" s="380">
        <v>0</v>
      </c>
      <c r="Z662" s="380">
        <v>0</v>
      </c>
      <c r="AA662" s="376" t="s">
        <v>921</v>
      </c>
      <c r="AB662" s="376" t="s">
        <v>922</v>
      </c>
      <c r="AC662" s="376" t="s">
        <v>486</v>
      </c>
      <c r="AD662" s="376" t="s">
        <v>278</v>
      </c>
      <c r="AE662" s="376" t="s">
        <v>363</v>
      </c>
      <c r="AF662" s="376" t="s">
        <v>210</v>
      </c>
      <c r="AG662" s="376" t="s">
        <v>177</v>
      </c>
      <c r="AH662" s="381">
        <v>22.5</v>
      </c>
      <c r="AI662" s="379">
        <v>6896</v>
      </c>
      <c r="AJ662" s="376" t="s">
        <v>178</v>
      </c>
      <c r="AK662" s="376" t="s">
        <v>179</v>
      </c>
      <c r="AL662" s="376" t="s">
        <v>180</v>
      </c>
      <c r="AM662" s="376" t="s">
        <v>181</v>
      </c>
      <c r="AN662" s="376" t="s">
        <v>68</v>
      </c>
      <c r="AO662" s="379">
        <v>80</v>
      </c>
      <c r="AP662" s="460">
        <v>1</v>
      </c>
      <c r="AQ662" s="460">
        <v>0</v>
      </c>
      <c r="AR662" s="458" t="s">
        <v>182</v>
      </c>
      <c r="AS662" s="462">
        <f t="shared" si="170"/>
        <v>0</v>
      </c>
      <c r="AT662">
        <f t="shared" si="171"/>
        <v>0</v>
      </c>
      <c r="AU662" s="462" t="str">
        <f>IF(AT662=0,"",IF(AND(AT662=1,M662="F",SUMIF(C2:C698,C662,AS2:AS698)&lt;=1),SUMIF(C2:C698,C662,AS2:AS698),IF(AND(AT662=1,M662="F",SUMIF(C2:C698,C662,AS2:AS698)&gt;1),1,"")))</f>
        <v/>
      </c>
      <c r="AV662" s="462" t="str">
        <f>IF(AT662=0,"",IF(AND(AT662=3,M662="F",SUMIF(C2:C698,C662,AS2:AS698)&lt;=1),SUMIF(C2:C698,C662,AS2:AS698),IF(AND(AT662=3,M662="F",SUMIF(C2:C698,C662,AS2:AS698)&gt;1),1,"")))</f>
        <v/>
      </c>
      <c r="AW662" s="462">
        <f>SUMIF(C2:C698,C662,O2:O698)</f>
        <v>6</v>
      </c>
      <c r="AX662" s="462">
        <f>IF(AND(M662="F",AS662&lt;&gt;0),SUMIF(C2:C698,C662,W2:W698),0)</f>
        <v>0</v>
      </c>
      <c r="AY662" s="462" t="str">
        <f t="shared" si="172"/>
        <v/>
      </c>
      <c r="AZ662" s="462" t="str">
        <f t="shared" si="173"/>
        <v/>
      </c>
      <c r="BA662" s="462">
        <f t="shared" si="174"/>
        <v>0</v>
      </c>
      <c r="BB662" s="462">
        <f>IF(AND(AT662=1,AK662="E",AU662&gt;=0.75,AW662=1),Health,IF(AND(AT662=1,AK662="E",AU662&gt;=0.75),Health*P662,IF(AND(AT662=1,AK662="E",AU662&gt;=0.5,AW662=1),PTHealth,IF(AND(AT662=1,AK662="E",AU662&gt;=0.5),PTHealth*P662,0))))</f>
        <v>0</v>
      </c>
      <c r="BC662" s="462">
        <f>IF(AND(AT662=3,AK662="E",AV662&gt;=0.75,AW662=1),Health,IF(AND(AT662=3,AK662="E",AV662&gt;=0.75),Health*P662,IF(AND(AT662=3,AK662="E",AV662&gt;=0.5,AW662=1),PTHealth,IF(AND(AT662=3,AK662="E",AV662&gt;=0.5),PTHealth*P662,0))))</f>
        <v>0</v>
      </c>
      <c r="BD662" s="462">
        <f>IF(AND(AT662&lt;&gt;0,AX662&gt;=MAXSSDI),SSDI*MAXSSDI*P662,IF(AT662&lt;&gt;0,SSDI*W662,0))</f>
        <v>0</v>
      </c>
      <c r="BE662" s="462">
        <f>IF(AT662&lt;&gt;0,SSHI*W662,0)</f>
        <v>0</v>
      </c>
      <c r="BF662" s="462">
        <f>IF(AND(AT662&lt;&gt;0,AN662&lt;&gt;"NE"),VLOOKUP(AN662,Retirement_Rates,3,FALSE)*W662,0)</f>
        <v>0</v>
      </c>
      <c r="BG662" s="462">
        <f>IF(AND(AT662&lt;&gt;0,AJ662&lt;&gt;"PF"),Life*W662,0)</f>
        <v>0</v>
      </c>
      <c r="BH662" s="462">
        <f>IF(AND(AT662&lt;&gt;0,AM662="Y"),UI*W662,0)</f>
        <v>0</v>
      </c>
      <c r="BI662" s="462">
        <f>IF(AND(AT662&lt;&gt;0,N662&lt;&gt;"NR"),DHR*W662,0)</f>
        <v>0</v>
      </c>
      <c r="BJ662" s="462">
        <f>IF(AT662&lt;&gt;0,WC*W662,0)</f>
        <v>0</v>
      </c>
      <c r="BK662" s="462">
        <f>IF(OR(AND(AT662&lt;&gt;0,AJ662&lt;&gt;"PF",AN662&lt;&gt;"NE",AG662&lt;&gt;"A"),AND(AL662="E",OR(AT662=1,AT662=3))),Sick*W662,0)</f>
        <v>0</v>
      </c>
      <c r="BL662" s="462">
        <f t="shared" si="175"/>
        <v>0</v>
      </c>
      <c r="BM662" s="462">
        <f t="shared" si="176"/>
        <v>0</v>
      </c>
      <c r="BN662" s="462">
        <f>IF(AND(AT662=1,AK662="E",AU662&gt;=0.75,AW662=1),HealthBY,IF(AND(AT662=1,AK662="E",AU662&gt;=0.75),HealthBY*P662,IF(AND(AT662=1,AK662="E",AU662&gt;=0.5,AW662=1),PTHealthBY,IF(AND(AT662=1,AK662="E",AU662&gt;=0.5),PTHealthBY*P662,0))))</f>
        <v>0</v>
      </c>
      <c r="BO662" s="462">
        <f>IF(AND(AT662=3,AK662="E",AV662&gt;=0.75,AW662=1),HealthBY,IF(AND(AT662=3,AK662="E",AV662&gt;=0.75),HealthBY*P662,IF(AND(AT662=3,AK662="E",AV662&gt;=0.5,AW662=1),PTHealthBY,IF(AND(AT662=3,AK662="E",AV662&gt;=0.5),PTHealthBY*P662,0))))</f>
        <v>0</v>
      </c>
      <c r="BP662" s="462">
        <f>IF(AND(AT662&lt;&gt;0,(AX662+BA662)&gt;=MAXSSDIBY),SSDIBY*MAXSSDIBY*P662,IF(AT662&lt;&gt;0,SSDIBY*W662,0))</f>
        <v>0</v>
      </c>
      <c r="BQ662" s="462">
        <f>IF(AT662&lt;&gt;0,SSHIBY*W662,0)</f>
        <v>0</v>
      </c>
      <c r="BR662" s="462">
        <f>IF(AND(AT662&lt;&gt;0,AN662&lt;&gt;"NE"),VLOOKUP(AN662,Retirement_Rates,4,FALSE)*W662,0)</f>
        <v>0</v>
      </c>
      <c r="BS662" s="462">
        <f>IF(AND(AT662&lt;&gt;0,AJ662&lt;&gt;"PF"),LifeBY*W662,0)</f>
        <v>0</v>
      </c>
      <c r="BT662" s="462">
        <f>IF(AND(AT662&lt;&gt;0,AM662="Y"),UIBY*W662,0)</f>
        <v>0</v>
      </c>
      <c r="BU662" s="462">
        <f>IF(AND(AT662&lt;&gt;0,N662&lt;&gt;"NR"),DHRBY*W662,0)</f>
        <v>0</v>
      </c>
      <c r="BV662" s="462">
        <f>IF(AT662&lt;&gt;0,WCBY*W662,0)</f>
        <v>0</v>
      </c>
      <c r="BW662" s="462">
        <f>IF(OR(AND(AT662&lt;&gt;0,AJ662&lt;&gt;"PF",AN662&lt;&gt;"NE",AG662&lt;&gt;"A"),AND(AL662="E",OR(AT662=1,AT662=3))),SickBY*W662,0)</f>
        <v>0</v>
      </c>
      <c r="BX662" s="462">
        <f t="shared" si="177"/>
        <v>0</v>
      </c>
      <c r="BY662" s="462">
        <f t="shared" si="178"/>
        <v>0</v>
      </c>
      <c r="BZ662" s="462">
        <f t="shared" si="179"/>
        <v>0</v>
      </c>
      <c r="CA662" s="462">
        <f t="shared" si="180"/>
        <v>0</v>
      </c>
      <c r="CB662" s="462">
        <f t="shared" si="181"/>
        <v>0</v>
      </c>
      <c r="CC662" s="462">
        <f>IF(AT662&lt;&gt;0,SSHICHG*Y662,0)</f>
        <v>0</v>
      </c>
      <c r="CD662" s="462">
        <f>IF(AND(AT662&lt;&gt;0,AN662&lt;&gt;"NE"),VLOOKUP(AN662,Retirement_Rates,5,FALSE)*Y662,0)</f>
        <v>0</v>
      </c>
      <c r="CE662" s="462">
        <f>IF(AND(AT662&lt;&gt;0,AJ662&lt;&gt;"PF"),LifeCHG*Y662,0)</f>
        <v>0</v>
      </c>
      <c r="CF662" s="462">
        <f>IF(AND(AT662&lt;&gt;0,AM662="Y"),UICHG*Y662,0)</f>
        <v>0</v>
      </c>
      <c r="CG662" s="462">
        <f>IF(AND(AT662&lt;&gt;0,N662&lt;&gt;"NR"),DHRCHG*Y662,0)</f>
        <v>0</v>
      </c>
      <c r="CH662" s="462">
        <f>IF(AT662&lt;&gt;0,WCCHG*Y662,0)</f>
        <v>0</v>
      </c>
      <c r="CI662" s="462">
        <f>IF(OR(AND(AT662&lt;&gt;0,AJ662&lt;&gt;"PF",AN662&lt;&gt;"NE",AG662&lt;&gt;"A"),AND(AL662="E",OR(AT662=1,AT662=3))),SickCHG*Y662,0)</f>
        <v>0</v>
      </c>
      <c r="CJ662" s="462">
        <f t="shared" si="182"/>
        <v>0</v>
      </c>
      <c r="CK662" s="462" t="str">
        <f t="shared" si="183"/>
        <v/>
      </c>
      <c r="CL662" s="462" t="str">
        <f t="shared" si="184"/>
        <v/>
      </c>
      <c r="CM662" s="462" t="str">
        <f t="shared" si="185"/>
        <v/>
      </c>
      <c r="CN662" s="462" t="str">
        <f t="shared" si="186"/>
        <v>0348-00</v>
      </c>
    </row>
    <row r="663" spans="1:92" ht="15" thickBot="1" x14ac:dyDescent="0.35">
      <c r="A663" s="376" t="s">
        <v>161</v>
      </c>
      <c r="B663" s="376" t="s">
        <v>162</v>
      </c>
      <c r="C663" s="376" t="s">
        <v>923</v>
      </c>
      <c r="D663" s="376" t="s">
        <v>362</v>
      </c>
      <c r="E663" s="376" t="s">
        <v>759</v>
      </c>
      <c r="F663" s="377" t="s">
        <v>166</v>
      </c>
      <c r="G663" s="376" t="s">
        <v>1352</v>
      </c>
      <c r="H663" s="378"/>
      <c r="I663" s="378"/>
      <c r="J663" s="376" t="s">
        <v>168</v>
      </c>
      <c r="K663" s="376" t="s">
        <v>363</v>
      </c>
      <c r="L663" s="376" t="s">
        <v>200</v>
      </c>
      <c r="M663" s="376" t="s">
        <v>170</v>
      </c>
      <c r="N663" s="376" t="s">
        <v>202</v>
      </c>
      <c r="O663" s="379">
        <v>1</v>
      </c>
      <c r="P663" s="460">
        <v>0</v>
      </c>
      <c r="Q663" s="460">
        <v>0</v>
      </c>
      <c r="R663" s="380">
        <v>80</v>
      </c>
      <c r="S663" s="460">
        <v>0</v>
      </c>
      <c r="T663" s="380">
        <v>245.07</v>
      </c>
      <c r="U663" s="380">
        <v>0</v>
      </c>
      <c r="V663" s="380">
        <v>120.96</v>
      </c>
      <c r="W663" s="380">
        <v>0</v>
      </c>
      <c r="X663" s="380">
        <v>0</v>
      </c>
      <c r="Y663" s="380">
        <v>0</v>
      </c>
      <c r="Z663" s="380">
        <v>0</v>
      </c>
      <c r="AA663" s="376" t="s">
        <v>924</v>
      </c>
      <c r="AB663" s="376" t="s">
        <v>925</v>
      </c>
      <c r="AC663" s="376" t="s">
        <v>926</v>
      </c>
      <c r="AD663" s="376" t="s">
        <v>177</v>
      </c>
      <c r="AE663" s="376" t="s">
        <v>363</v>
      </c>
      <c r="AF663" s="376" t="s">
        <v>210</v>
      </c>
      <c r="AG663" s="376" t="s">
        <v>177</v>
      </c>
      <c r="AH663" s="381">
        <v>22.5</v>
      </c>
      <c r="AI663" s="381">
        <v>13298.5</v>
      </c>
      <c r="AJ663" s="376" t="s">
        <v>178</v>
      </c>
      <c r="AK663" s="376" t="s">
        <v>179</v>
      </c>
      <c r="AL663" s="376" t="s">
        <v>180</v>
      </c>
      <c r="AM663" s="376" t="s">
        <v>181</v>
      </c>
      <c r="AN663" s="376" t="s">
        <v>68</v>
      </c>
      <c r="AO663" s="379">
        <v>80</v>
      </c>
      <c r="AP663" s="460">
        <v>1</v>
      </c>
      <c r="AQ663" s="460">
        <v>0</v>
      </c>
      <c r="AR663" s="458" t="s">
        <v>182</v>
      </c>
      <c r="AS663" s="462">
        <f t="shared" si="170"/>
        <v>0</v>
      </c>
      <c r="AT663">
        <f t="shared" si="171"/>
        <v>0</v>
      </c>
      <c r="AU663" s="462" t="str">
        <f>IF(AT663=0,"",IF(AND(AT663=1,M663="F",SUMIF(C2:C698,C663,AS2:AS698)&lt;=1),SUMIF(C2:C698,C663,AS2:AS698),IF(AND(AT663=1,M663="F",SUMIF(C2:C698,C663,AS2:AS698)&gt;1),1,"")))</f>
        <v/>
      </c>
      <c r="AV663" s="462" t="str">
        <f>IF(AT663=0,"",IF(AND(AT663=3,M663="F",SUMIF(C2:C698,C663,AS2:AS698)&lt;=1),SUMIF(C2:C698,C663,AS2:AS698),IF(AND(AT663=3,M663="F",SUMIF(C2:C698,C663,AS2:AS698)&gt;1),1,"")))</f>
        <v/>
      </c>
      <c r="AW663" s="462">
        <f>SUMIF(C2:C698,C663,O2:O698)</f>
        <v>9</v>
      </c>
      <c r="AX663" s="462">
        <f>IF(AND(M663="F",AS663&lt;&gt;0),SUMIF(C2:C698,C663,W2:W698),0)</f>
        <v>0</v>
      </c>
      <c r="AY663" s="462" t="str">
        <f t="shared" si="172"/>
        <v/>
      </c>
      <c r="AZ663" s="462" t="str">
        <f t="shared" si="173"/>
        <v/>
      </c>
      <c r="BA663" s="462">
        <f t="shared" si="174"/>
        <v>0</v>
      </c>
      <c r="BB663" s="462">
        <f>IF(AND(AT663=1,AK663="E",AU663&gt;=0.75,AW663=1),Health,IF(AND(AT663=1,AK663="E",AU663&gt;=0.75),Health*P663,IF(AND(AT663=1,AK663="E",AU663&gt;=0.5,AW663=1),PTHealth,IF(AND(AT663=1,AK663="E",AU663&gt;=0.5),PTHealth*P663,0))))</f>
        <v>0</v>
      </c>
      <c r="BC663" s="462">
        <f>IF(AND(AT663=3,AK663="E",AV663&gt;=0.75,AW663=1),Health,IF(AND(AT663=3,AK663="E",AV663&gt;=0.75),Health*P663,IF(AND(AT663=3,AK663="E",AV663&gt;=0.5,AW663=1),PTHealth,IF(AND(AT663=3,AK663="E",AV663&gt;=0.5),PTHealth*P663,0))))</f>
        <v>0</v>
      </c>
      <c r="BD663" s="462">
        <f>IF(AND(AT663&lt;&gt;0,AX663&gt;=MAXSSDI),SSDI*MAXSSDI*P663,IF(AT663&lt;&gt;0,SSDI*W663,0))</f>
        <v>0</v>
      </c>
      <c r="BE663" s="462">
        <f>IF(AT663&lt;&gt;0,SSHI*W663,0)</f>
        <v>0</v>
      </c>
      <c r="BF663" s="462">
        <f>IF(AND(AT663&lt;&gt;0,AN663&lt;&gt;"NE"),VLOOKUP(AN663,Retirement_Rates,3,FALSE)*W663,0)</f>
        <v>0</v>
      </c>
      <c r="BG663" s="462">
        <f>IF(AND(AT663&lt;&gt;0,AJ663&lt;&gt;"PF"),Life*W663,0)</f>
        <v>0</v>
      </c>
      <c r="BH663" s="462">
        <f>IF(AND(AT663&lt;&gt;0,AM663="Y"),UI*W663,0)</f>
        <v>0</v>
      </c>
      <c r="BI663" s="462">
        <f>IF(AND(AT663&lt;&gt;0,N663&lt;&gt;"NR"),DHR*W663,0)</f>
        <v>0</v>
      </c>
      <c r="BJ663" s="462">
        <f>IF(AT663&lt;&gt;0,WC*W663,0)</f>
        <v>0</v>
      </c>
      <c r="BK663" s="462">
        <f>IF(OR(AND(AT663&lt;&gt;0,AJ663&lt;&gt;"PF",AN663&lt;&gt;"NE",AG663&lt;&gt;"A"),AND(AL663="E",OR(AT663=1,AT663=3))),Sick*W663,0)</f>
        <v>0</v>
      </c>
      <c r="BL663" s="462">
        <f t="shared" si="175"/>
        <v>0</v>
      </c>
      <c r="BM663" s="462">
        <f t="shared" si="176"/>
        <v>0</v>
      </c>
      <c r="BN663" s="462">
        <f>IF(AND(AT663=1,AK663="E",AU663&gt;=0.75,AW663=1),HealthBY,IF(AND(AT663=1,AK663="E",AU663&gt;=0.75),HealthBY*P663,IF(AND(AT663=1,AK663="E",AU663&gt;=0.5,AW663=1),PTHealthBY,IF(AND(AT663=1,AK663="E",AU663&gt;=0.5),PTHealthBY*P663,0))))</f>
        <v>0</v>
      </c>
      <c r="BO663" s="462">
        <f>IF(AND(AT663=3,AK663="E",AV663&gt;=0.75,AW663=1),HealthBY,IF(AND(AT663=3,AK663="E",AV663&gt;=0.75),HealthBY*P663,IF(AND(AT663=3,AK663="E",AV663&gt;=0.5,AW663=1),PTHealthBY,IF(AND(AT663=3,AK663="E",AV663&gt;=0.5),PTHealthBY*P663,0))))</f>
        <v>0</v>
      </c>
      <c r="BP663" s="462">
        <f>IF(AND(AT663&lt;&gt;0,(AX663+BA663)&gt;=MAXSSDIBY),SSDIBY*MAXSSDIBY*P663,IF(AT663&lt;&gt;0,SSDIBY*W663,0))</f>
        <v>0</v>
      </c>
      <c r="BQ663" s="462">
        <f>IF(AT663&lt;&gt;0,SSHIBY*W663,0)</f>
        <v>0</v>
      </c>
      <c r="BR663" s="462">
        <f>IF(AND(AT663&lt;&gt;0,AN663&lt;&gt;"NE"),VLOOKUP(AN663,Retirement_Rates,4,FALSE)*W663,0)</f>
        <v>0</v>
      </c>
      <c r="BS663" s="462">
        <f>IF(AND(AT663&lt;&gt;0,AJ663&lt;&gt;"PF"),LifeBY*W663,0)</f>
        <v>0</v>
      </c>
      <c r="BT663" s="462">
        <f>IF(AND(AT663&lt;&gt;0,AM663="Y"),UIBY*W663,0)</f>
        <v>0</v>
      </c>
      <c r="BU663" s="462">
        <f>IF(AND(AT663&lt;&gt;0,N663&lt;&gt;"NR"),DHRBY*W663,0)</f>
        <v>0</v>
      </c>
      <c r="BV663" s="462">
        <f>IF(AT663&lt;&gt;0,WCBY*W663,0)</f>
        <v>0</v>
      </c>
      <c r="BW663" s="462">
        <f>IF(OR(AND(AT663&lt;&gt;0,AJ663&lt;&gt;"PF",AN663&lt;&gt;"NE",AG663&lt;&gt;"A"),AND(AL663="E",OR(AT663=1,AT663=3))),SickBY*W663,0)</f>
        <v>0</v>
      </c>
      <c r="BX663" s="462">
        <f t="shared" si="177"/>
        <v>0</v>
      </c>
      <c r="BY663" s="462">
        <f t="shared" si="178"/>
        <v>0</v>
      </c>
      <c r="BZ663" s="462">
        <f t="shared" si="179"/>
        <v>0</v>
      </c>
      <c r="CA663" s="462">
        <f t="shared" si="180"/>
        <v>0</v>
      </c>
      <c r="CB663" s="462">
        <f t="shared" si="181"/>
        <v>0</v>
      </c>
      <c r="CC663" s="462">
        <f>IF(AT663&lt;&gt;0,SSHICHG*Y663,0)</f>
        <v>0</v>
      </c>
      <c r="CD663" s="462">
        <f>IF(AND(AT663&lt;&gt;0,AN663&lt;&gt;"NE"),VLOOKUP(AN663,Retirement_Rates,5,FALSE)*Y663,0)</f>
        <v>0</v>
      </c>
      <c r="CE663" s="462">
        <f>IF(AND(AT663&lt;&gt;0,AJ663&lt;&gt;"PF"),LifeCHG*Y663,0)</f>
        <v>0</v>
      </c>
      <c r="CF663" s="462">
        <f>IF(AND(AT663&lt;&gt;0,AM663="Y"),UICHG*Y663,0)</f>
        <v>0</v>
      </c>
      <c r="CG663" s="462">
        <f>IF(AND(AT663&lt;&gt;0,N663&lt;&gt;"NR"),DHRCHG*Y663,0)</f>
        <v>0</v>
      </c>
      <c r="CH663" s="462">
        <f>IF(AT663&lt;&gt;0,WCCHG*Y663,0)</f>
        <v>0</v>
      </c>
      <c r="CI663" s="462">
        <f>IF(OR(AND(AT663&lt;&gt;0,AJ663&lt;&gt;"PF",AN663&lt;&gt;"NE",AG663&lt;&gt;"A"),AND(AL663="E",OR(AT663=1,AT663=3))),SickCHG*Y663,0)</f>
        <v>0</v>
      </c>
      <c r="CJ663" s="462">
        <f t="shared" si="182"/>
        <v>0</v>
      </c>
      <c r="CK663" s="462" t="str">
        <f t="shared" si="183"/>
        <v/>
      </c>
      <c r="CL663" s="462" t="str">
        <f t="shared" si="184"/>
        <v/>
      </c>
      <c r="CM663" s="462" t="str">
        <f t="shared" si="185"/>
        <v/>
      </c>
      <c r="CN663" s="462" t="str">
        <f t="shared" si="186"/>
        <v>0348-00</v>
      </c>
    </row>
    <row r="664" spans="1:92" ht="15" thickBot="1" x14ac:dyDescent="0.35">
      <c r="A664" s="376" t="s">
        <v>161</v>
      </c>
      <c r="B664" s="376" t="s">
        <v>162</v>
      </c>
      <c r="C664" s="376" t="s">
        <v>1356</v>
      </c>
      <c r="D664" s="376" t="s">
        <v>250</v>
      </c>
      <c r="E664" s="376" t="s">
        <v>759</v>
      </c>
      <c r="F664" s="377" t="s">
        <v>166</v>
      </c>
      <c r="G664" s="376" t="s">
        <v>1352</v>
      </c>
      <c r="H664" s="378"/>
      <c r="I664" s="378"/>
      <c r="J664" s="376" t="s">
        <v>168</v>
      </c>
      <c r="K664" s="376" t="s">
        <v>251</v>
      </c>
      <c r="L664" s="376" t="s">
        <v>180</v>
      </c>
      <c r="M664" s="376" t="s">
        <v>170</v>
      </c>
      <c r="N664" s="376" t="s">
        <v>202</v>
      </c>
      <c r="O664" s="379">
        <v>1</v>
      </c>
      <c r="P664" s="460">
        <v>1</v>
      </c>
      <c r="Q664" s="460">
        <v>1</v>
      </c>
      <c r="R664" s="380">
        <v>80</v>
      </c>
      <c r="S664" s="460">
        <v>1</v>
      </c>
      <c r="T664" s="380">
        <v>64309.64</v>
      </c>
      <c r="U664" s="380">
        <v>0</v>
      </c>
      <c r="V664" s="380">
        <v>25336.25</v>
      </c>
      <c r="W664" s="380">
        <v>65977.600000000006</v>
      </c>
      <c r="X664" s="380">
        <v>26585.32</v>
      </c>
      <c r="Y664" s="380">
        <v>65977.600000000006</v>
      </c>
      <c r="Z664" s="380">
        <v>26413.78</v>
      </c>
      <c r="AA664" s="376" t="s">
        <v>1357</v>
      </c>
      <c r="AB664" s="376" t="s">
        <v>1358</v>
      </c>
      <c r="AC664" s="376" t="s">
        <v>1301</v>
      </c>
      <c r="AD664" s="376" t="s">
        <v>486</v>
      </c>
      <c r="AE664" s="376" t="s">
        <v>251</v>
      </c>
      <c r="AF664" s="376" t="s">
        <v>256</v>
      </c>
      <c r="AG664" s="376" t="s">
        <v>177</v>
      </c>
      <c r="AH664" s="381">
        <v>31.72</v>
      </c>
      <c r="AI664" s="381">
        <v>8946.5</v>
      </c>
      <c r="AJ664" s="376" t="s">
        <v>178</v>
      </c>
      <c r="AK664" s="376" t="s">
        <v>179</v>
      </c>
      <c r="AL664" s="376" t="s">
        <v>180</v>
      </c>
      <c r="AM664" s="376" t="s">
        <v>181</v>
      </c>
      <c r="AN664" s="376" t="s">
        <v>68</v>
      </c>
      <c r="AO664" s="379">
        <v>80</v>
      </c>
      <c r="AP664" s="460">
        <v>1</v>
      </c>
      <c r="AQ664" s="460">
        <v>1</v>
      </c>
      <c r="AR664" s="458" t="s">
        <v>182</v>
      </c>
      <c r="AS664" s="462">
        <f t="shared" si="170"/>
        <v>1</v>
      </c>
      <c r="AT664">
        <f t="shared" si="171"/>
        <v>1</v>
      </c>
      <c r="AU664" s="462">
        <f>IF(AT664=0,"",IF(AND(AT664=1,M664="F",SUMIF(C2:C698,C664,AS2:AS698)&lt;=1),SUMIF(C2:C698,C664,AS2:AS698),IF(AND(AT664=1,M664="F",SUMIF(C2:C698,C664,AS2:AS698)&gt;1),1,"")))</f>
        <v>1</v>
      </c>
      <c r="AV664" s="462" t="str">
        <f>IF(AT664=0,"",IF(AND(AT664=3,M664="F",SUMIF(C2:C698,C664,AS2:AS698)&lt;=1),SUMIF(C2:C698,C664,AS2:AS698),IF(AND(AT664=3,M664="F",SUMIF(C2:C698,C664,AS2:AS698)&gt;1),1,"")))</f>
        <v/>
      </c>
      <c r="AW664" s="462">
        <f>SUMIF(C2:C698,C664,O2:O698)</f>
        <v>1</v>
      </c>
      <c r="AX664" s="462">
        <f>IF(AND(M664="F",AS664&lt;&gt;0),SUMIF(C2:C698,C664,W2:W698),0)</f>
        <v>65977.600000000006</v>
      </c>
      <c r="AY664" s="462">
        <f t="shared" si="172"/>
        <v>65977.600000000006</v>
      </c>
      <c r="AZ664" s="462" t="str">
        <f t="shared" si="173"/>
        <v/>
      </c>
      <c r="BA664" s="462">
        <f t="shared" si="174"/>
        <v>0</v>
      </c>
      <c r="BB664" s="462">
        <f>IF(AND(AT664=1,AK664="E",AU664&gt;=0.75,AW664=1),Health,IF(AND(AT664=1,AK664="E",AU664&gt;=0.75),Health*P664,IF(AND(AT664=1,AK664="E",AU664&gt;=0.5,AW664=1),PTHealth,IF(AND(AT664=1,AK664="E",AU664&gt;=0.5),PTHealth*P664,0))))</f>
        <v>11650</v>
      </c>
      <c r="BC664" s="462">
        <f>IF(AND(AT664=3,AK664="E",AV664&gt;=0.75,AW664=1),Health,IF(AND(AT664=3,AK664="E",AV664&gt;=0.75),Health*P664,IF(AND(AT664=3,AK664="E",AV664&gt;=0.5,AW664=1),PTHealth,IF(AND(AT664=3,AK664="E",AV664&gt;=0.5),PTHealth*P664,0))))</f>
        <v>0</v>
      </c>
      <c r="BD664" s="462">
        <f>IF(AND(AT664&lt;&gt;0,AX664&gt;=MAXSSDI),SSDI*MAXSSDI*P664,IF(AT664&lt;&gt;0,SSDI*W664,0))</f>
        <v>4090.6112000000003</v>
      </c>
      <c r="BE664" s="462">
        <f>IF(AT664&lt;&gt;0,SSHI*W664,0)</f>
        <v>956.67520000000013</v>
      </c>
      <c r="BF664" s="462">
        <f>IF(AND(AT664&lt;&gt;0,AN664&lt;&gt;"NE"),VLOOKUP(AN664,Retirement_Rates,3,FALSE)*W664,0)</f>
        <v>7877.7254400000011</v>
      </c>
      <c r="BG664" s="462">
        <f>IF(AND(AT664&lt;&gt;0,AJ664&lt;&gt;"PF"),Life*W664,0)</f>
        <v>475.69849600000003</v>
      </c>
      <c r="BH664" s="462">
        <f>IF(AND(AT664&lt;&gt;0,AM664="Y"),UI*W664,0)</f>
        <v>323.29024000000004</v>
      </c>
      <c r="BI664" s="462">
        <f>IF(AND(AT664&lt;&gt;0,N664&lt;&gt;"NR"),DHR*W664,0)</f>
        <v>201.89145600000001</v>
      </c>
      <c r="BJ664" s="462">
        <f>IF(AT664&lt;&gt;0,WC*W664,0)</f>
        <v>1009.4572800000001</v>
      </c>
      <c r="BK664" s="462">
        <f>IF(OR(AND(AT664&lt;&gt;0,AJ664&lt;&gt;"PF",AN664&lt;&gt;"NE",AG664&lt;&gt;"A"),AND(AL664="E",OR(AT664=1,AT664=3))),Sick*W664,0)</f>
        <v>0</v>
      </c>
      <c r="BL664" s="462">
        <f t="shared" si="175"/>
        <v>14935.349312000004</v>
      </c>
      <c r="BM664" s="462">
        <f t="shared" si="176"/>
        <v>0</v>
      </c>
      <c r="BN664" s="462">
        <f>IF(AND(AT664=1,AK664="E",AU664&gt;=0.75,AW664=1),HealthBY,IF(AND(AT664=1,AK664="E",AU664&gt;=0.75),HealthBY*P664,IF(AND(AT664=1,AK664="E",AU664&gt;=0.5,AW664=1),PTHealthBY,IF(AND(AT664=1,AK664="E",AU664&gt;=0.5),PTHealthBY*P664,0))))</f>
        <v>11650</v>
      </c>
      <c r="BO664" s="462">
        <f>IF(AND(AT664=3,AK664="E",AV664&gt;=0.75,AW664=1),HealthBY,IF(AND(AT664=3,AK664="E",AV664&gt;=0.75),HealthBY*P664,IF(AND(AT664=3,AK664="E",AV664&gt;=0.5,AW664=1),PTHealthBY,IF(AND(AT664=3,AK664="E",AV664&gt;=0.5),PTHealthBY*P664,0))))</f>
        <v>0</v>
      </c>
      <c r="BP664" s="462">
        <f>IF(AND(AT664&lt;&gt;0,(AX664+BA664)&gt;=MAXSSDIBY),SSDIBY*MAXSSDIBY*P664,IF(AT664&lt;&gt;0,SSDIBY*W664,0))</f>
        <v>4090.6112000000003</v>
      </c>
      <c r="BQ664" s="462">
        <f>IF(AT664&lt;&gt;0,SSHIBY*W664,0)</f>
        <v>956.67520000000013</v>
      </c>
      <c r="BR664" s="462">
        <f>IF(AND(AT664&lt;&gt;0,AN664&lt;&gt;"NE"),VLOOKUP(AN664,Retirement_Rates,4,FALSE)*W664,0)</f>
        <v>7877.7254400000011</v>
      </c>
      <c r="BS664" s="462">
        <f>IF(AND(AT664&lt;&gt;0,AJ664&lt;&gt;"PF"),LifeBY*W664,0)</f>
        <v>475.69849600000003</v>
      </c>
      <c r="BT664" s="462">
        <f>IF(AND(AT664&lt;&gt;0,AM664="Y"),UIBY*W664,0)</f>
        <v>0</v>
      </c>
      <c r="BU664" s="462">
        <f>IF(AND(AT664&lt;&gt;0,N664&lt;&gt;"NR"),DHRBY*W664,0)</f>
        <v>201.89145600000001</v>
      </c>
      <c r="BV664" s="462">
        <f>IF(AT664&lt;&gt;0,WCBY*W664,0)</f>
        <v>1161.2057600000003</v>
      </c>
      <c r="BW664" s="462">
        <f>IF(OR(AND(AT664&lt;&gt;0,AJ664&lt;&gt;"PF",AN664&lt;&gt;"NE",AG664&lt;&gt;"A"),AND(AL664="E",OR(AT664=1,AT664=3))),SickBY*W664,0)</f>
        <v>0</v>
      </c>
      <c r="BX664" s="462">
        <f t="shared" si="177"/>
        <v>14763.807552000004</v>
      </c>
      <c r="BY664" s="462">
        <f t="shared" si="178"/>
        <v>0</v>
      </c>
      <c r="BZ664" s="462">
        <f t="shared" si="179"/>
        <v>0</v>
      </c>
      <c r="CA664" s="462">
        <f t="shared" si="180"/>
        <v>0</v>
      </c>
      <c r="CB664" s="462">
        <f t="shared" si="181"/>
        <v>0</v>
      </c>
      <c r="CC664" s="462">
        <f>IF(AT664&lt;&gt;0,SSHICHG*Y664,0)</f>
        <v>0</v>
      </c>
      <c r="CD664" s="462">
        <f>IF(AND(AT664&lt;&gt;0,AN664&lt;&gt;"NE"),VLOOKUP(AN664,Retirement_Rates,5,FALSE)*Y664,0)</f>
        <v>0</v>
      </c>
      <c r="CE664" s="462">
        <f>IF(AND(AT664&lt;&gt;0,AJ664&lt;&gt;"PF"),LifeCHG*Y664,0)</f>
        <v>0</v>
      </c>
      <c r="CF664" s="462">
        <f>IF(AND(AT664&lt;&gt;0,AM664="Y"),UICHG*Y664,0)</f>
        <v>-323.29024000000004</v>
      </c>
      <c r="CG664" s="462">
        <f>IF(AND(AT664&lt;&gt;0,N664&lt;&gt;"NR"),DHRCHG*Y664,0)</f>
        <v>0</v>
      </c>
      <c r="CH664" s="462">
        <f>IF(AT664&lt;&gt;0,WCCHG*Y664,0)</f>
        <v>151.74848000000011</v>
      </c>
      <c r="CI664" s="462">
        <f>IF(OR(AND(AT664&lt;&gt;0,AJ664&lt;&gt;"PF",AN664&lt;&gt;"NE",AG664&lt;&gt;"A"),AND(AL664="E",OR(AT664=1,AT664=3))),SickCHG*Y664,0)</f>
        <v>0</v>
      </c>
      <c r="CJ664" s="462">
        <f t="shared" si="182"/>
        <v>-171.54175999999993</v>
      </c>
      <c r="CK664" s="462" t="str">
        <f t="shared" si="183"/>
        <v/>
      </c>
      <c r="CL664" s="462" t="str">
        <f t="shared" si="184"/>
        <v/>
      </c>
      <c r="CM664" s="462" t="str">
        <f t="shared" si="185"/>
        <v/>
      </c>
      <c r="CN664" s="462" t="str">
        <f t="shared" si="186"/>
        <v>0348-00</v>
      </c>
    </row>
    <row r="665" spans="1:92" ht="15" thickBot="1" x14ac:dyDescent="0.35">
      <c r="A665" s="376" t="s">
        <v>161</v>
      </c>
      <c r="B665" s="376" t="s">
        <v>162</v>
      </c>
      <c r="C665" s="376" t="s">
        <v>928</v>
      </c>
      <c r="D665" s="376" t="s">
        <v>362</v>
      </c>
      <c r="E665" s="376" t="s">
        <v>759</v>
      </c>
      <c r="F665" s="377" t="s">
        <v>166</v>
      </c>
      <c r="G665" s="376" t="s">
        <v>1352</v>
      </c>
      <c r="H665" s="378"/>
      <c r="I665" s="378"/>
      <c r="J665" s="376" t="s">
        <v>782</v>
      </c>
      <c r="K665" s="376" t="s">
        <v>363</v>
      </c>
      <c r="L665" s="376" t="s">
        <v>200</v>
      </c>
      <c r="M665" s="376" t="s">
        <v>170</v>
      </c>
      <c r="N665" s="376" t="s">
        <v>202</v>
      </c>
      <c r="O665" s="379">
        <v>1</v>
      </c>
      <c r="P665" s="460">
        <v>0</v>
      </c>
      <c r="Q665" s="460">
        <v>0</v>
      </c>
      <c r="R665" s="380">
        <v>80</v>
      </c>
      <c r="S665" s="460">
        <v>0</v>
      </c>
      <c r="T665" s="380">
        <v>2796</v>
      </c>
      <c r="U665" s="380">
        <v>0</v>
      </c>
      <c r="V665" s="380">
        <v>1416</v>
      </c>
      <c r="W665" s="380">
        <v>0</v>
      </c>
      <c r="X665" s="380">
        <v>0</v>
      </c>
      <c r="Y665" s="380">
        <v>0</v>
      </c>
      <c r="Z665" s="380">
        <v>0</v>
      </c>
      <c r="AA665" s="376" t="s">
        <v>929</v>
      </c>
      <c r="AB665" s="376" t="s">
        <v>409</v>
      </c>
      <c r="AC665" s="376" t="s">
        <v>930</v>
      </c>
      <c r="AD665" s="376" t="s">
        <v>177</v>
      </c>
      <c r="AE665" s="376" t="s">
        <v>363</v>
      </c>
      <c r="AF665" s="376" t="s">
        <v>210</v>
      </c>
      <c r="AG665" s="376" t="s">
        <v>177</v>
      </c>
      <c r="AH665" s="381">
        <v>22.5</v>
      </c>
      <c r="AI665" s="379">
        <v>960</v>
      </c>
      <c r="AJ665" s="376" t="s">
        <v>178</v>
      </c>
      <c r="AK665" s="376" t="s">
        <v>179</v>
      </c>
      <c r="AL665" s="376" t="s">
        <v>180</v>
      </c>
      <c r="AM665" s="376" t="s">
        <v>181</v>
      </c>
      <c r="AN665" s="376" t="s">
        <v>68</v>
      </c>
      <c r="AO665" s="379">
        <v>80</v>
      </c>
      <c r="AP665" s="460">
        <v>1</v>
      </c>
      <c r="AQ665" s="460">
        <v>0</v>
      </c>
      <c r="AR665" s="458" t="s">
        <v>182</v>
      </c>
      <c r="AS665" s="462">
        <f t="shared" si="170"/>
        <v>0</v>
      </c>
      <c r="AT665">
        <f t="shared" si="171"/>
        <v>0</v>
      </c>
      <c r="AU665" s="462" t="str">
        <f>IF(AT665=0,"",IF(AND(AT665=1,M665="F",SUMIF(C2:C698,C665,AS2:AS698)&lt;=1),SUMIF(C2:C698,C665,AS2:AS698),IF(AND(AT665=1,M665="F",SUMIF(C2:C698,C665,AS2:AS698)&gt;1),1,"")))</f>
        <v/>
      </c>
      <c r="AV665" s="462" t="str">
        <f>IF(AT665=0,"",IF(AND(AT665=3,M665="F",SUMIF(C2:C698,C665,AS2:AS698)&lt;=1),SUMIF(C2:C698,C665,AS2:AS698),IF(AND(AT665=3,M665="F",SUMIF(C2:C698,C665,AS2:AS698)&gt;1),1,"")))</f>
        <v/>
      </c>
      <c r="AW665" s="462">
        <f>SUMIF(C2:C698,C665,O2:O698)</f>
        <v>6</v>
      </c>
      <c r="AX665" s="462">
        <f>IF(AND(M665="F",AS665&lt;&gt;0),SUMIF(C2:C698,C665,W2:W698),0)</f>
        <v>0</v>
      </c>
      <c r="AY665" s="462" t="str">
        <f t="shared" si="172"/>
        <v/>
      </c>
      <c r="AZ665" s="462" t="str">
        <f t="shared" si="173"/>
        <v/>
      </c>
      <c r="BA665" s="462">
        <f t="shared" si="174"/>
        <v>0</v>
      </c>
      <c r="BB665" s="462">
        <f>IF(AND(AT665=1,AK665="E",AU665&gt;=0.75,AW665=1),Health,IF(AND(AT665=1,AK665="E",AU665&gt;=0.75),Health*P665,IF(AND(AT665=1,AK665="E",AU665&gt;=0.5,AW665=1),PTHealth,IF(AND(AT665=1,AK665="E",AU665&gt;=0.5),PTHealth*P665,0))))</f>
        <v>0</v>
      </c>
      <c r="BC665" s="462">
        <f>IF(AND(AT665=3,AK665="E",AV665&gt;=0.75,AW665=1),Health,IF(AND(AT665=3,AK665="E",AV665&gt;=0.75),Health*P665,IF(AND(AT665=3,AK665="E",AV665&gt;=0.5,AW665=1),PTHealth,IF(AND(AT665=3,AK665="E",AV665&gt;=0.5),PTHealth*P665,0))))</f>
        <v>0</v>
      </c>
      <c r="BD665" s="462">
        <f>IF(AND(AT665&lt;&gt;0,AX665&gt;=MAXSSDI),SSDI*MAXSSDI*P665,IF(AT665&lt;&gt;0,SSDI*W665,0))</f>
        <v>0</v>
      </c>
      <c r="BE665" s="462">
        <f>IF(AT665&lt;&gt;0,SSHI*W665,0)</f>
        <v>0</v>
      </c>
      <c r="BF665" s="462">
        <f>IF(AND(AT665&lt;&gt;0,AN665&lt;&gt;"NE"),VLOOKUP(AN665,Retirement_Rates,3,FALSE)*W665,0)</f>
        <v>0</v>
      </c>
      <c r="BG665" s="462">
        <f>IF(AND(AT665&lt;&gt;0,AJ665&lt;&gt;"PF"),Life*W665,0)</f>
        <v>0</v>
      </c>
      <c r="BH665" s="462">
        <f>IF(AND(AT665&lt;&gt;0,AM665="Y"),UI*W665,0)</f>
        <v>0</v>
      </c>
      <c r="BI665" s="462">
        <f>IF(AND(AT665&lt;&gt;0,N665&lt;&gt;"NR"),DHR*W665,0)</f>
        <v>0</v>
      </c>
      <c r="BJ665" s="462">
        <f>IF(AT665&lt;&gt;0,WC*W665,0)</f>
        <v>0</v>
      </c>
      <c r="BK665" s="462">
        <f>IF(OR(AND(AT665&lt;&gt;0,AJ665&lt;&gt;"PF",AN665&lt;&gt;"NE",AG665&lt;&gt;"A"),AND(AL665="E",OR(AT665=1,AT665=3))),Sick*W665,0)</f>
        <v>0</v>
      </c>
      <c r="BL665" s="462">
        <f t="shared" si="175"/>
        <v>0</v>
      </c>
      <c r="BM665" s="462">
        <f t="shared" si="176"/>
        <v>0</v>
      </c>
      <c r="BN665" s="462">
        <f>IF(AND(AT665=1,AK665="E",AU665&gt;=0.75,AW665=1),HealthBY,IF(AND(AT665=1,AK665="E",AU665&gt;=0.75),HealthBY*P665,IF(AND(AT665=1,AK665="E",AU665&gt;=0.5,AW665=1),PTHealthBY,IF(AND(AT665=1,AK665="E",AU665&gt;=0.5),PTHealthBY*P665,0))))</f>
        <v>0</v>
      </c>
      <c r="BO665" s="462">
        <f>IF(AND(AT665=3,AK665="E",AV665&gt;=0.75,AW665=1),HealthBY,IF(AND(AT665=3,AK665="E",AV665&gt;=0.75),HealthBY*P665,IF(AND(AT665=3,AK665="E",AV665&gt;=0.5,AW665=1),PTHealthBY,IF(AND(AT665=3,AK665="E",AV665&gt;=0.5),PTHealthBY*P665,0))))</f>
        <v>0</v>
      </c>
      <c r="BP665" s="462">
        <f>IF(AND(AT665&lt;&gt;0,(AX665+BA665)&gt;=MAXSSDIBY),SSDIBY*MAXSSDIBY*P665,IF(AT665&lt;&gt;0,SSDIBY*W665,0))</f>
        <v>0</v>
      </c>
      <c r="BQ665" s="462">
        <f>IF(AT665&lt;&gt;0,SSHIBY*W665,0)</f>
        <v>0</v>
      </c>
      <c r="BR665" s="462">
        <f>IF(AND(AT665&lt;&gt;0,AN665&lt;&gt;"NE"),VLOOKUP(AN665,Retirement_Rates,4,FALSE)*W665,0)</f>
        <v>0</v>
      </c>
      <c r="BS665" s="462">
        <f>IF(AND(AT665&lt;&gt;0,AJ665&lt;&gt;"PF"),LifeBY*W665,0)</f>
        <v>0</v>
      </c>
      <c r="BT665" s="462">
        <f>IF(AND(AT665&lt;&gt;0,AM665="Y"),UIBY*W665,0)</f>
        <v>0</v>
      </c>
      <c r="BU665" s="462">
        <f>IF(AND(AT665&lt;&gt;0,N665&lt;&gt;"NR"),DHRBY*W665,0)</f>
        <v>0</v>
      </c>
      <c r="BV665" s="462">
        <f>IF(AT665&lt;&gt;0,WCBY*W665,0)</f>
        <v>0</v>
      </c>
      <c r="BW665" s="462">
        <f>IF(OR(AND(AT665&lt;&gt;0,AJ665&lt;&gt;"PF",AN665&lt;&gt;"NE",AG665&lt;&gt;"A"),AND(AL665="E",OR(AT665=1,AT665=3))),SickBY*W665,0)</f>
        <v>0</v>
      </c>
      <c r="BX665" s="462">
        <f t="shared" si="177"/>
        <v>0</v>
      </c>
      <c r="BY665" s="462">
        <f t="shared" si="178"/>
        <v>0</v>
      </c>
      <c r="BZ665" s="462">
        <f t="shared" si="179"/>
        <v>0</v>
      </c>
      <c r="CA665" s="462">
        <f t="shared" si="180"/>
        <v>0</v>
      </c>
      <c r="CB665" s="462">
        <f t="shared" si="181"/>
        <v>0</v>
      </c>
      <c r="CC665" s="462">
        <f>IF(AT665&lt;&gt;0,SSHICHG*Y665,0)</f>
        <v>0</v>
      </c>
      <c r="CD665" s="462">
        <f>IF(AND(AT665&lt;&gt;0,AN665&lt;&gt;"NE"),VLOOKUP(AN665,Retirement_Rates,5,FALSE)*Y665,0)</f>
        <v>0</v>
      </c>
      <c r="CE665" s="462">
        <f>IF(AND(AT665&lt;&gt;0,AJ665&lt;&gt;"PF"),LifeCHG*Y665,0)</f>
        <v>0</v>
      </c>
      <c r="CF665" s="462">
        <f>IF(AND(AT665&lt;&gt;0,AM665="Y"),UICHG*Y665,0)</f>
        <v>0</v>
      </c>
      <c r="CG665" s="462">
        <f>IF(AND(AT665&lt;&gt;0,N665&lt;&gt;"NR"),DHRCHG*Y665,0)</f>
        <v>0</v>
      </c>
      <c r="CH665" s="462">
        <f>IF(AT665&lt;&gt;0,WCCHG*Y665,0)</f>
        <v>0</v>
      </c>
      <c r="CI665" s="462">
        <f>IF(OR(AND(AT665&lt;&gt;0,AJ665&lt;&gt;"PF",AN665&lt;&gt;"NE",AG665&lt;&gt;"A"),AND(AL665="E",OR(AT665=1,AT665=3))),SickCHG*Y665,0)</f>
        <v>0</v>
      </c>
      <c r="CJ665" s="462">
        <f t="shared" si="182"/>
        <v>0</v>
      </c>
      <c r="CK665" s="462" t="str">
        <f t="shared" si="183"/>
        <v/>
      </c>
      <c r="CL665" s="462" t="str">
        <f t="shared" si="184"/>
        <v/>
      </c>
      <c r="CM665" s="462" t="str">
        <f t="shared" si="185"/>
        <v/>
      </c>
      <c r="CN665" s="462" t="str">
        <f t="shared" si="186"/>
        <v>0348-00</v>
      </c>
    </row>
    <row r="666" spans="1:92" ht="15" thickBot="1" x14ac:dyDescent="0.35">
      <c r="A666" s="376" t="s">
        <v>161</v>
      </c>
      <c r="B666" s="376" t="s">
        <v>162</v>
      </c>
      <c r="C666" s="376" t="s">
        <v>767</v>
      </c>
      <c r="D666" s="376" t="s">
        <v>362</v>
      </c>
      <c r="E666" s="376" t="s">
        <v>759</v>
      </c>
      <c r="F666" s="377" t="s">
        <v>166</v>
      </c>
      <c r="G666" s="376" t="s">
        <v>1352</v>
      </c>
      <c r="H666" s="378"/>
      <c r="I666" s="378"/>
      <c r="J666" s="376" t="s">
        <v>768</v>
      </c>
      <c r="K666" s="376" t="s">
        <v>363</v>
      </c>
      <c r="L666" s="376" t="s">
        <v>200</v>
      </c>
      <c r="M666" s="376" t="s">
        <v>170</v>
      </c>
      <c r="N666" s="376" t="s">
        <v>202</v>
      </c>
      <c r="O666" s="379">
        <v>1</v>
      </c>
      <c r="P666" s="460">
        <v>0</v>
      </c>
      <c r="Q666" s="460">
        <v>0</v>
      </c>
      <c r="R666" s="380">
        <v>80</v>
      </c>
      <c r="S666" s="460">
        <v>0</v>
      </c>
      <c r="T666" s="380">
        <v>1143.8399999999999</v>
      </c>
      <c r="U666" s="380">
        <v>0</v>
      </c>
      <c r="V666" s="380">
        <v>536.91</v>
      </c>
      <c r="W666" s="380">
        <v>0</v>
      </c>
      <c r="X666" s="380">
        <v>0</v>
      </c>
      <c r="Y666" s="380">
        <v>0</v>
      </c>
      <c r="Z666" s="380">
        <v>0</v>
      </c>
      <c r="AA666" s="376" t="s">
        <v>769</v>
      </c>
      <c r="AB666" s="376" t="s">
        <v>770</v>
      </c>
      <c r="AC666" s="376" t="s">
        <v>771</v>
      </c>
      <c r="AD666" s="376" t="s">
        <v>278</v>
      </c>
      <c r="AE666" s="376" t="s">
        <v>363</v>
      </c>
      <c r="AF666" s="376" t="s">
        <v>210</v>
      </c>
      <c r="AG666" s="376" t="s">
        <v>177</v>
      </c>
      <c r="AH666" s="381">
        <v>24.17</v>
      </c>
      <c r="AI666" s="379">
        <v>25188</v>
      </c>
      <c r="AJ666" s="376" t="s">
        <v>178</v>
      </c>
      <c r="AK666" s="376" t="s">
        <v>179</v>
      </c>
      <c r="AL666" s="376" t="s">
        <v>180</v>
      </c>
      <c r="AM666" s="376" t="s">
        <v>181</v>
      </c>
      <c r="AN666" s="376" t="s">
        <v>68</v>
      </c>
      <c r="AO666" s="379">
        <v>80</v>
      </c>
      <c r="AP666" s="460">
        <v>1</v>
      </c>
      <c r="AQ666" s="460">
        <v>0</v>
      </c>
      <c r="AR666" s="458" t="s">
        <v>182</v>
      </c>
      <c r="AS666" s="462">
        <f t="shared" si="170"/>
        <v>0</v>
      </c>
      <c r="AT666">
        <f t="shared" si="171"/>
        <v>0</v>
      </c>
      <c r="AU666" s="462" t="str">
        <f>IF(AT666=0,"",IF(AND(AT666=1,M666="F",SUMIF(C2:C698,C666,AS2:AS698)&lt;=1),SUMIF(C2:C698,C666,AS2:AS698),IF(AND(AT666=1,M666="F",SUMIF(C2:C698,C666,AS2:AS698)&gt;1),1,"")))</f>
        <v/>
      </c>
      <c r="AV666" s="462" t="str">
        <f>IF(AT666=0,"",IF(AND(AT666=3,M666="F",SUMIF(C2:C698,C666,AS2:AS698)&lt;=1),SUMIF(C2:C698,C666,AS2:AS698),IF(AND(AT666=3,M666="F",SUMIF(C2:C698,C666,AS2:AS698)&gt;1),1,"")))</f>
        <v/>
      </c>
      <c r="AW666" s="462">
        <f>SUMIF(C2:C698,C666,O2:O698)</f>
        <v>7</v>
      </c>
      <c r="AX666" s="462">
        <f>IF(AND(M666="F",AS666&lt;&gt;0),SUMIF(C2:C698,C666,W2:W698),0)</f>
        <v>0</v>
      </c>
      <c r="AY666" s="462" t="str">
        <f t="shared" si="172"/>
        <v/>
      </c>
      <c r="AZ666" s="462" t="str">
        <f t="shared" si="173"/>
        <v/>
      </c>
      <c r="BA666" s="462">
        <f t="shared" si="174"/>
        <v>0</v>
      </c>
      <c r="BB666" s="462">
        <f>IF(AND(AT666=1,AK666="E",AU666&gt;=0.75,AW666=1),Health,IF(AND(AT666=1,AK666="E",AU666&gt;=0.75),Health*P666,IF(AND(AT666=1,AK666="E",AU666&gt;=0.5,AW666=1),PTHealth,IF(AND(AT666=1,AK666="E",AU666&gt;=0.5),PTHealth*P666,0))))</f>
        <v>0</v>
      </c>
      <c r="BC666" s="462">
        <f>IF(AND(AT666=3,AK666="E",AV666&gt;=0.75,AW666=1),Health,IF(AND(AT666=3,AK666="E",AV666&gt;=0.75),Health*P666,IF(AND(AT666=3,AK666="E",AV666&gt;=0.5,AW666=1),PTHealth,IF(AND(AT666=3,AK666="E",AV666&gt;=0.5),PTHealth*P666,0))))</f>
        <v>0</v>
      </c>
      <c r="BD666" s="462">
        <f>IF(AND(AT666&lt;&gt;0,AX666&gt;=MAXSSDI),SSDI*MAXSSDI*P666,IF(AT666&lt;&gt;0,SSDI*W666,0))</f>
        <v>0</v>
      </c>
      <c r="BE666" s="462">
        <f>IF(AT666&lt;&gt;0,SSHI*W666,0)</f>
        <v>0</v>
      </c>
      <c r="BF666" s="462">
        <f>IF(AND(AT666&lt;&gt;0,AN666&lt;&gt;"NE"),VLOOKUP(AN666,Retirement_Rates,3,FALSE)*W666,0)</f>
        <v>0</v>
      </c>
      <c r="BG666" s="462">
        <f>IF(AND(AT666&lt;&gt;0,AJ666&lt;&gt;"PF"),Life*W666,0)</f>
        <v>0</v>
      </c>
      <c r="BH666" s="462">
        <f>IF(AND(AT666&lt;&gt;0,AM666="Y"),UI*W666,0)</f>
        <v>0</v>
      </c>
      <c r="BI666" s="462">
        <f>IF(AND(AT666&lt;&gt;0,N666&lt;&gt;"NR"),DHR*W666,0)</f>
        <v>0</v>
      </c>
      <c r="BJ666" s="462">
        <f>IF(AT666&lt;&gt;0,WC*W666,0)</f>
        <v>0</v>
      </c>
      <c r="BK666" s="462">
        <f>IF(OR(AND(AT666&lt;&gt;0,AJ666&lt;&gt;"PF",AN666&lt;&gt;"NE",AG666&lt;&gt;"A"),AND(AL666="E",OR(AT666=1,AT666=3))),Sick*W666,0)</f>
        <v>0</v>
      </c>
      <c r="BL666" s="462">
        <f t="shared" si="175"/>
        <v>0</v>
      </c>
      <c r="BM666" s="462">
        <f t="shared" si="176"/>
        <v>0</v>
      </c>
      <c r="BN666" s="462">
        <f>IF(AND(AT666=1,AK666="E",AU666&gt;=0.75,AW666=1),HealthBY,IF(AND(AT666=1,AK666="E",AU666&gt;=0.75),HealthBY*P666,IF(AND(AT666=1,AK666="E",AU666&gt;=0.5,AW666=1),PTHealthBY,IF(AND(AT666=1,AK666="E",AU666&gt;=0.5),PTHealthBY*P666,0))))</f>
        <v>0</v>
      </c>
      <c r="BO666" s="462">
        <f>IF(AND(AT666=3,AK666="E",AV666&gt;=0.75,AW666=1),HealthBY,IF(AND(AT666=3,AK666="E",AV666&gt;=0.75),HealthBY*P666,IF(AND(AT666=3,AK666="E",AV666&gt;=0.5,AW666=1),PTHealthBY,IF(AND(AT666=3,AK666="E",AV666&gt;=0.5),PTHealthBY*P666,0))))</f>
        <v>0</v>
      </c>
      <c r="BP666" s="462">
        <f>IF(AND(AT666&lt;&gt;0,(AX666+BA666)&gt;=MAXSSDIBY),SSDIBY*MAXSSDIBY*P666,IF(AT666&lt;&gt;0,SSDIBY*W666,0))</f>
        <v>0</v>
      </c>
      <c r="BQ666" s="462">
        <f>IF(AT666&lt;&gt;0,SSHIBY*W666,0)</f>
        <v>0</v>
      </c>
      <c r="BR666" s="462">
        <f>IF(AND(AT666&lt;&gt;0,AN666&lt;&gt;"NE"),VLOOKUP(AN666,Retirement_Rates,4,FALSE)*W666,0)</f>
        <v>0</v>
      </c>
      <c r="BS666" s="462">
        <f>IF(AND(AT666&lt;&gt;0,AJ666&lt;&gt;"PF"),LifeBY*W666,0)</f>
        <v>0</v>
      </c>
      <c r="BT666" s="462">
        <f>IF(AND(AT666&lt;&gt;0,AM666="Y"),UIBY*W666,0)</f>
        <v>0</v>
      </c>
      <c r="BU666" s="462">
        <f>IF(AND(AT666&lt;&gt;0,N666&lt;&gt;"NR"),DHRBY*W666,0)</f>
        <v>0</v>
      </c>
      <c r="BV666" s="462">
        <f>IF(AT666&lt;&gt;0,WCBY*W666,0)</f>
        <v>0</v>
      </c>
      <c r="BW666" s="462">
        <f>IF(OR(AND(AT666&lt;&gt;0,AJ666&lt;&gt;"PF",AN666&lt;&gt;"NE",AG666&lt;&gt;"A"),AND(AL666="E",OR(AT666=1,AT666=3))),SickBY*W666,0)</f>
        <v>0</v>
      </c>
      <c r="BX666" s="462">
        <f t="shared" si="177"/>
        <v>0</v>
      </c>
      <c r="BY666" s="462">
        <f t="shared" si="178"/>
        <v>0</v>
      </c>
      <c r="BZ666" s="462">
        <f t="shared" si="179"/>
        <v>0</v>
      </c>
      <c r="CA666" s="462">
        <f t="shared" si="180"/>
        <v>0</v>
      </c>
      <c r="CB666" s="462">
        <f t="shared" si="181"/>
        <v>0</v>
      </c>
      <c r="CC666" s="462">
        <f>IF(AT666&lt;&gt;0,SSHICHG*Y666,0)</f>
        <v>0</v>
      </c>
      <c r="CD666" s="462">
        <f>IF(AND(AT666&lt;&gt;0,AN666&lt;&gt;"NE"),VLOOKUP(AN666,Retirement_Rates,5,FALSE)*Y666,0)</f>
        <v>0</v>
      </c>
      <c r="CE666" s="462">
        <f>IF(AND(AT666&lt;&gt;0,AJ666&lt;&gt;"PF"),LifeCHG*Y666,0)</f>
        <v>0</v>
      </c>
      <c r="CF666" s="462">
        <f>IF(AND(AT666&lt;&gt;0,AM666="Y"),UICHG*Y666,0)</f>
        <v>0</v>
      </c>
      <c r="CG666" s="462">
        <f>IF(AND(AT666&lt;&gt;0,N666&lt;&gt;"NR"),DHRCHG*Y666,0)</f>
        <v>0</v>
      </c>
      <c r="CH666" s="462">
        <f>IF(AT666&lt;&gt;0,WCCHG*Y666,0)</f>
        <v>0</v>
      </c>
      <c r="CI666" s="462">
        <f>IF(OR(AND(AT666&lt;&gt;0,AJ666&lt;&gt;"PF",AN666&lt;&gt;"NE",AG666&lt;&gt;"A"),AND(AL666="E",OR(AT666=1,AT666=3))),SickCHG*Y666,0)</f>
        <v>0</v>
      </c>
      <c r="CJ666" s="462">
        <f t="shared" si="182"/>
        <v>0</v>
      </c>
      <c r="CK666" s="462" t="str">
        <f t="shared" si="183"/>
        <v/>
      </c>
      <c r="CL666" s="462" t="str">
        <f t="shared" si="184"/>
        <v/>
      </c>
      <c r="CM666" s="462" t="str">
        <f t="shared" si="185"/>
        <v/>
      </c>
      <c r="CN666" s="462" t="str">
        <f t="shared" si="186"/>
        <v>0348-00</v>
      </c>
    </row>
    <row r="667" spans="1:92" ht="15" thickBot="1" x14ac:dyDescent="0.35">
      <c r="A667" s="376" t="s">
        <v>161</v>
      </c>
      <c r="B667" s="376" t="s">
        <v>162</v>
      </c>
      <c r="C667" s="376" t="s">
        <v>772</v>
      </c>
      <c r="D667" s="376" t="s">
        <v>362</v>
      </c>
      <c r="E667" s="376" t="s">
        <v>759</v>
      </c>
      <c r="F667" s="377" t="s">
        <v>166</v>
      </c>
      <c r="G667" s="376" t="s">
        <v>1352</v>
      </c>
      <c r="H667" s="378"/>
      <c r="I667" s="378"/>
      <c r="J667" s="376" t="s">
        <v>547</v>
      </c>
      <c r="K667" s="376" t="s">
        <v>363</v>
      </c>
      <c r="L667" s="376" t="s">
        <v>200</v>
      </c>
      <c r="M667" s="376" t="s">
        <v>170</v>
      </c>
      <c r="N667" s="376" t="s">
        <v>202</v>
      </c>
      <c r="O667" s="379">
        <v>1</v>
      </c>
      <c r="P667" s="460">
        <v>0</v>
      </c>
      <c r="Q667" s="460">
        <v>0</v>
      </c>
      <c r="R667" s="380">
        <v>80</v>
      </c>
      <c r="S667" s="460">
        <v>0</v>
      </c>
      <c r="T667" s="380">
        <v>1001.59</v>
      </c>
      <c r="U667" s="380">
        <v>0</v>
      </c>
      <c r="V667" s="380">
        <v>500.95</v>
      </c>
      <c r="W667" s="380">
        <v>0</v>
      </c>
      <c r="X667" s="380">
        <v>0</v>
      </c>
      <c r="Y667" s="380">
        <v>0</v>
      </c>
      <c r="Z667" s="380">
        <v>0</v>
      </c>
      <c r="AA667" s="376" t="s">
        <v>773</v>
      </c>
      <c r="AB667" s="376" t="s">
        <v>774</v>
      </c>
      <c r="AC667" s="376" t="s">
        <v>690</v>
      </c>
      <c r="AD667" s="376" t="s">
        <v>225</v>
      </c>
      <c r="AE667" s="376" t="s">
        <v>363</v>
      </c>
      <c r="AF667" s="376" t="s">
        <v>210</v>
      </c>
      <c r="AG667" s="376" t="s">
        <v>177</v>
      </c>
      <c r="AH667" s="381">
        <v>22.5</v>
      </c>
      <c r="AI667" s="379">
        <v>9056</v>
      </c>
      <c r="AJ667" s="376" t="s">
        <v>178</v>
      </c>
      <c r="AK667" s="376" t="s">
        <v>179</v>
      </c>
      <c r="AL667" s="376" t="s">
        <v>180</v>
      </c>
      <c r="AM667" s="376" t="s">
        <v>181</v>
      </c>
      <c r="AN667" s="376" t="s">
        <v>68</v>
      </c>
      <c r="AO667" s="379">
        <v>80</v>
      </c>
      <c r="AP667" s="460">
        <v>1</v>
      </c>
      <c r="AQ667" s="460">
        <v>0</v>
      </c>
      <c r="AR667" s="458" t="s">
        <v>182</v>
      </c>
      <c r="AS667" s="462">
        <f t="shared" si="170"/>
        <v>0</v>
      </c>
      <c r="AT667">
        <f t="shared" si="171"/>
        <v>0</v>
      </c>
      <c r="AU667" s="462" t="str">
        <f>IF(AT667=0,"",IF(AND(AT667=1,M667="F",SUMIF(C2:C698,C667,AS2:AS698)&lt;=1),SUMIF(C2:C698,C667,AS2:AS698),IF(AND(AT667=1,M667="F",SUMIF(C2:C698,C667,AS2:AS698)&gt;1),1,"")))</f>
        <v/>
      </c>
      <c r="AV667" s="462" t="str">
        <f>IF(AT667=0,"",IF(AND(AT667=3,M667="F",SUMIF(C2:C698,C667,AS2:AS698)&lt;=1),SUMIF(C2:C698,C667,AS2:AS698),IF(AND(AT667=3,M667="F",SUMIF(C2:C698,C667,AS2:AS698)&gt;1),1,"")))</f>
        <v/>
      </c>
      <c r="AW667" s="462">
        <f>SUMIF(C2:C698,C667,O2:O698)</f>
        <v>7</v>
      </c>
      <c r="AX667" s="462">
        <f>IF(AND(M667="F",AS667&lt;&gt;0),SUMIF(C2:C698,C667,W2:W698),0)</f>
        <v>0</v>
      </c>
      <c r="AY667" s="462" t="str">
        <f t="shared" si="172"/>
        <v/>
      </c>
      <c r="AZ667" s="462" t="str">
        <f t="shared" si="173"/>
        <v/>
      </c>
      <c r="BA667" s="462">
        <f t="shared" si="174"/>
        <v>0</v>
      </c>
      <c r="BB667" s="462">
        <f>IF(AND(AT667=1,AK667="E",AU667&gt;=0.75,AW667=1),Health,IF(AND(AT667=1,AK667="E",AU667&gt;=0.75),Health*P667,IF(AND(AT667=1,AK667="E",AU667&gt;=0.5,AW667=1),PTHealth,IF(AND(AT667=1,AK667="E",AU667&gt;=0.5),PTHealth*P667,0))))</f>
        <v>0</v>
      </c>
      <c r="BC667" s="462">
        <f>IF(AND(AT667=3,AK667="E",AV667&gt;=0.75,AW667=1),Health,IF(AND(AT667=3,AK667="E",AV667&gt;=0.75),Health*P667,IF(AND(AT667=3,AK667="E",AV667&gt;=0.5,AW667=1),PTHealth,IF(AND(AT667=3,AK667="E",AV667&gt;=0.5),PTHealth*P667,0))))</f>
        <v>0</v>
      </c>
      <c r="BD667" s="462">
        <f>IF(AND(AT667&lt;&gt;0,AX667&gt;=MAXSSDI),SSDI*MAXSSDI*P667,IF(AT667&lt;&gt;0,SSDI*W667,0))</f>
        <v>0</v>
      </c>
      <c r="BE667" s="462">
        <f>IF(AT667&lt;&gt;0,SSHI*W667,0)</f>
        <v>0</v>
      </c>
      <c r="BF667" s="462">
        <f>IF(AND(AT667&lt;&gt;0,AN667&lt;&gt;"NE"),VLOOKUP(AN667,Retirement_Rates,3,FALSE)*W667,0)</f>
        <v>0</v>
      </c>
      <c r="BG667" s="462">
        <f>IF(AND(AT667&lt;&gt;0,AJ667&lt;&gt;"PF"),Life*W667,0)</f>
        <v>0</v>
      </c>
      <c r="BH667" s="462">
        <f>IF(AND(AT667&lt;&gt;0,AM667="Y"),UI*W667,0)</f>
        <v>0</v>
      </c>
      <c r="BI667" s="462">
        <f>IF(AND(AT667&lt;&gt;0,N667&lt;&gt;"NR"),DHR*W667,0)</f>
        <v>0</v>
      </c>
      <c r="BJ667" s="462">
        <f>IF(AT667&lt;&gt;0,WC*W667,0)</f>
        <v>0</v>
      </c>
      <c r="BK667" s="462">
        <f>IF(OR(AND(AT667&lt;&gt;0,AJ667&lt;&gt;"PF",AN667&lt;&gt;"NE",AG667&lt;&gt;"A"),AND(AL667="E",OR(AT667=1,AT667=3))),Sick*W667,0)</f>
        <v>0</v>
      </c>
      <c r="BL667" s="462">
        <f t="shared" si="175"/>
        <v>0</v>
      </c>
      <c r="BM667" s="462">
        <f t="shared" si="176"/>
        <v>0</v>
      </c>
      <c r="BN667" s="462">
        <f>IF(AND(AT667=1,AK667="E",AU667&gt;=0.75,AW667=1),HealthBY,IF(AND(AT667=1,AK667="E",AU667&gt;=0.75),HealthBY*P667,IF(AND(AT667=1,AK667="E",AU667&gt;=0.5,AW667=1),PTHealthBY,IF(AND(AT667=1,AK667="E",AU667&gt;=0.5),PTHealthBY*P667,0))))</f>
        <v>0</v>
      </c>
      <c r="BO667" s="462">
        <f>IF(AND(AT667=3,AK667="E",AV667&gt;=0.75,AW667=1),HealthBY,IF(AND(AT667=3,AK667="E",AV667&gt;=0.75),HealthBY*P667,IF(AND(AT667=3,AK667="E",AV667&gt;=0.5,AW667=1),PTHealthBY,IF(AND(AT667=3,AK667="E",AV667&gt;=0.5),PTHealthBY*P667,0))))</f>
        <v>0</v>
      </c>
      <c r="BP667" s="462">
        <f>IF(AND(AT667&lt;&gt;0,(AX667+BA667)&gt;=MAXSSDIBY),SSDIBY*MAXSSDIBY*P667,IF(AT667&lt;&gt;0,SSDIBY*W667,0))</f>
        <v>0</v>
      </c>
      <c r="BQ667" s="462">
        <f>IF(AT667&lt;&gt;0,SSHIBY*W667,0)</f>
        <v>0</v>
      </c>
      <c r="BR667" s="462">
        <f>IF(AND(AT667&lt;&gt;0,AN667&lt;&gt;"NE"),VLOOKUP(AN667,Retirement_Rates,4,FALSE)*W667,0)</f>
        <v>0</v>
      </c>
      <c r="BS667" s="462">
        <f>IF(AND(AT667&lt;&gt;0,AJ667&lt;&gt;"PF"),LifeBY*W667,0)</f>
        <v>0</v>
      </c>
      <c r="BT667" s="462">
        <f>IF(AND(AT667&lt;&gt;0,AM667="Y"),UIBY*W667,0)</f>
        <v>0</v>
      </c>
      <c r="BU667" s="462">
        <f>IF(AND(AT667&lt;&gt;0,N667&lt;&gt;"NR"),DHRBY*W667,0)</f>
        <v>0</v>
      </c>
      <c r="BV667" s="462">
        <f>IF(AT667&lt;&gt;0,WCBY*W667,0)</f>
        <v>0</v>
      </c>
      <c r="BW667" s="462">
        <f>IF(OR(AND(AT667&lt;&gt;0,AJ667&lt;&gt;"PF",AN667&lt;&gt;"NE",AG667&lt;&gt;"A"),AND(AL667="E",OR(AT667=1,AT667=3))),SickBY*W667,0)</f>
        <v>0</v>
      </c>
      <c r="BX667" s="462">
        <f t="shared" si="177"/>
        <v>0</v>
      </c>
      <c r="BY667" s="462">
        <f t="shared" si="178"/>
        <v>0</v>
      </c>
      <c r="BZ667" s="462">
        <f t="shared" si="179"/>
        <v>0</v>
      </c>
      <c r="CA667" s="462">
        <f t="shared" si="180"/>
        <v>0</v>
      </c>
      <c r="CB667" s="462">
        <f t="shared" si="181"/>
        <v>0</v>
      </c>
      <c r="CC667" s="462">
        <f>IF(AT667&lt;&gt;0,SSHICHG*Y667,0)</f>
        <v>0</v>
      </c>
      <c r="CD667" s="462">
        <f>IF(AND(AT667&lt;&gt;0,AN667&lt;&gt;"NE"),VLOOKUP(AN667,Retirement_Rates,5,FALSE)*Y667,0)</f>
        <v>0</v>
      </c>
      <c r="CE667" s="462">
        <f>IF(AND(AT667&lt;&gt;0,AJ667&lt;&gt;"PF"),LifeCHG*Y667,0)</f>
        <v>0</v>
      </c>
      <c r="CF667" s="462">
        <f>IF(AND(AT667&lt;&gt;0,AM667="Y"),UICHG*Y667,0)</f>
        <v>0</v>
      </c>
      <c r="CG667" s="462">
        <f>IF(AND(AT667&lt;&gt;0,N667&lt;&gt;"NR"),DHRCHG*Y667,0)</f>
        <v>0</v>
      </c>
      <c r="CH667" s="462">
        <f>IF(AT667&lt;&gt;0,WCCHG*Y667,0)</f>
        <v>0</v>
      </c>
      <c r="CI667" s="462">
        <f>IF(OR(AND(AT667&lt;&gt;0,AJ667&lt;&gt;"PF",AN667&lt;&gt;"NE",AG667&lt;&gt;"A"),AND(AL667="E",OR(AT667=1,AT667=3))),SickCHG*Y667,0)</f>
        <v>0</v>
      </c>
      <c r="CJ667" s="462">
        <f t="shared" si="182"/>
        <v>0</v>
      </c>
      <c r="CK667" s="462" t="str">
        <f t="shared" si="183"/>
        <v/>
      </c>
      <c r="CL667" s="462" t="str">
        <f t="shared" si="184"/>
        <v/>
      </c>
      <c r="CM667" s="462" t="str">
        <f t="shared" si="185"/>
        <v/>
      </c>
      <c r="CN667" s="462" t="str">
        <f t="shared" si="186"/>
        <v>0348-00</v>
      </c>
    </row>
    <row r="668" spans="1:92" ht="15" thickBot="1" x14ac:dyDescent="0.35">
      <c r="A668" s="376" t="s">
        <v>161</v>
      </c>
      <c r="B668" s="376" t="s">
        <v>162</v>
      </c>
      <c r="C668" s="376" t="s">
        <v>820</v>
      </c>
      <c r="D668" s="376" t="s">
        <v>761</v>
      </c>
      <c r="E668" s="376" t="s">
        <v>759</v>
      </c>
      <c r="F668" s="377" t="s">
        <v>166</v>
      </c>
      <c r="G668" s="376" t="s">
        <v>1352</v>
      </c>
      <c r="H668" s="378"/>
      <c r="I668" s="378"/>
      <c r="J668" s="376" t="s">
        <v>168</v>
      </c>
      <c r="K668" s="376" t="s">
        <v>763</v>
      </c>
      <c r="L668" s="376" t="s">
        <v>166</v>
      </c>
      <c r="M668" s="376" t="s">
        <v>170</v>
      </c>
      <c r="N668" s="376" t="s">
        <v>291</v>
      </c>
      <c r="O668" s="379">
        <v>0</v>
      </c>
      <c r="P668" s="460">
        <v>0</v>
      </c>
      <c r="Q668" s="460">
        <v>0</v>
      </c>
      <c r="R668" s="380">
        <v>0</v>
      </c>
      <c r="S668" s="460">
        <v>0</v>
      </c>
      <c r="T668" s="380">
        <v>20111.5</v>
      </c>
      <c r="U668" s="380">
        <v>375</v>
      </c>
      <c r="V668" s="380">
        <v>2348.1999999999998</v>
      </c>
      <c r="W668" s="380">
        <v>0</v>
      </c>
      <c r="X668" s="380">
        <v>0</v>
      </c>
      <c r="Y668" s="380">
        <v>0</v>
      </c>
      <c r="Z668" s="380">
        <v>0</v>
      </c>
      <c r="AA668" s="378"/>
      <c r="AB668" s="376" t="s">
        <v>45</v>
      </c>
      <c r="AC668" s="376" t="s">
        <v>45</v>
      </c>
      <c r="AD668" s="378"/>
      <c r="AE668" s="378"/>
      <c r="AF668" s="378"/>
      <c r="AG668" s="378"/>
      <c r="AH668" s="379">
        <v>0</v>
      </c>
      <c r="AI668" s="379">
        <v>0</v>
      </c>
      <c r="AJ668" s="378"/>
      <c r="AK668" s="378"/>
      <c r="AL668" s="376" t="s">
        <v>180</v>
      </c>
      <c r="AM668" s="378"/>
      <c r="AN668" s="378"/>
      <c r="AO668" s="379">
        <v>0</v>
      </c>
      <c r="AP668" s="460">
        <v>0</v>
      </c>
      <c r="AQ668" s="460">
        <v>0</v>
      </c>
      <c r="AR668" s="459"/>
      <c r="AS668" s="462">
        <f t="shared" si="170"/>
        <v>0</v>
      </c>
      <c r="AT668">
        <f t="shared" si="171"/>
        <v>0</v>
      </c>
      <c r="AU668" s="462" t="str">
        <f>IF(AT668=0,"",IF(AND(AT668=1,M668="F",SUMIF(C2:C698,C668,AS2:AS698)&lt;=1),SUMIF(C2:C698,C668,AS2:AS698),IF(AND(AT668=1,M668="F",SUMIF(C2:C698,C668,AS2:AS698)&gt;1),1,"")))</f>
        <v/>
      </c>
      <c r="AV668" s="462" t="str">
        <f>IF(AT668=0,"",IF(AND(AT668=3,M668="F",SUMIF(C2:C698,C668,AS2:AS698)&lt;=1),SUMIF(C2:C698,C668,AS2:AS698),IF(AND(AT668=3,M668="F",SUMIF(C2:C698,C668,AS2:AS698)&gt;1),1,"")))</f>
        <v/>
      </c>
      <c r="AW668" s="462">
        <f>SUMIF(C2:C698,C668,O2:O698)</f>
        <v>0</v>
      </c>
      <c r="AX668" s="462">
        <f>IF(AND(M668="F",AS668&lt;&gt;0),SUMIF(C2:C698,C668,W2:W698),0)</f>
        <v>0</v>
      </c>
      <c r="AY668" s="462" t="str">
        <f t="shared" si="172"/>
        <v/>
      </c>
      <c r="AZ668" s="462" t="str">
        <f t="shared" si="173"/>
        <v/>
      </c>
      <c r="BA668" s="462">
        <f t="shared" si="174"/>
        <v>0</v>
      </c>
      <c r="BB668" s="462">
        <f>IF(AND(AT668=1,AK668="E",AU668&gt;=0.75,AW668=1),Health,IF(AND(AT668=1,AK668="E",AU668&gt;=0.75),Health*P668,IF(AND(AT668=1,AK668="E",AU668&gt;=0.5,AW668=1),PTHealth,IF(AND(AT668=1,AK668="E",AU668&gt;=0.5),PTHealth*P668,0))))</f>
        <v>0</v>
      </c>
      <c r="BC668" s="462">
        <f>IF(AND(AT668=3,AK668="E",AV668&gt;=0.75,AW668=1),Health,IF(AND(AT668=3,AK668="E",AV668&gt;=0.75),Health*P668,IF(AND(AT668=3,AK668="E",AV668&gt;=0.5,AW668=1),PTHealth,IF(AND(AT668=3,AK668="E",AV668&gt;=0.5),PTHealth*P668,0))))</f>
        <v>0</v>
      </c>
      <c r="BD668" s="462">
        <f>IF(AND(AT668&lt;&gt;0,AX668&gt;=MAXSSDI),SSDI*MAXSSDI*P668,IF(AT668&lt;&gt;0,SSDI*W668,0))</f>
        <v>0</v>
      </c>
      <c r="BE668" s="462">
        <f>IF(AT668&lt;&gt;0,SSHI*W668,0)</f>
        <v>0</v>
      </c>
      <c r="BF668" s="462">
        <f>IF(AND(AT668&lt;&gt;0,AN668&lt;&gt;"NE"),VLOOKUP(AN668,Retirement_Rates,3,FALSE)*W668,0)</f>
        <v>0</v>
      </c>
      <c r="BG668" s="462">
        <f>IF(AND(AT668&lt;&gt;0,AJ668&lt;&gt;"PF"),Life*W668,0)</f>
        <v>0</v>
      </c>
      <c r="BH668" s="462">
        <f>IF(AND(AT668&lt;&gt;0,AM668="Y"),UI*W668,0)</f>
        <v>0</v>
      </c>
      <c r="BI668" s="462">
        <f>IF(AND(AT668&lt;&gt;0,N668&lt;&gt;"NR"),DHR*W668,0)</f>
        <v>0</v>
      </c>
      <c r="BJ668" s="462">
        <f>IF(AT668&lt;&gt;0,WC*W668,0)</f>
        <v>0</v>
      </c>
      <c r="BK668" s="462">
        <f>IF(OR(AND(AT668&lt;&gt;0,AJ668&lt;&gt;"PF",AN668&lt;&gt;"NE",AG668&lt;&gt;"A"),AND(AL668="E",OR(AT668=1,AT668=3))),Sick*W668,0)</f>
        <v>0</v>
      </c>
      <c r="BL668" s="462">
        <f t="shared" si="175"/>
        <v>0</v>
      </c>
      <c r="BM668" s="462">
        <f t="shared" si="176"/>
        <v>0</v>
      </c>
      <c r="BN668" s="462">
        <f>IF(AND(AT668=1,AK668="E",AU668&gt;=0.75,AW668=1),HealthBY,IF(AND(AT668=1,AK668="E",AU668&gt;=0.75),HealthBY*P668,IF(AND(AT668=1,AK668="E",AU668&gt;=0.5,AW668=1),PTHealthBY,IF(AND(AT668=1,AK668="E",AU668&gt;=0.5),PTHealthBY*P668,0))))</f>
        <v>0</v>
      </c>
      <c r="BO668" s="462">
        <f>IF(AND(AT668=3,AK668="E",AV668&gt;=0.75,AW668=1),HealthBY,IF(AND(AT668=3,AK668="E",AV668&gt;=0.75),HealthBY*P668,IF(AND(AT668=3,AK668="E",AV668&gt;=0.5,AW668=1),PTHealthBY,IF(AND(AT668=3,AK668="E",AV668&gt;=0.5),PTHealthBY*P668,0))))</f>
        <v>0</v>
      </c>
      <c r="BP668" s="462">
        <f>IF(AND(AT668&lt;&gt;0,(AX668+BA668)&gt;=MAXSSDIBY),SSDIBY*MAXSSDIBY*P668,IF(AT668&lt;&gt;0,SSDIBY*W668,0))</f>
        <v>0</v>
      </c>
      <c r="BQ668" s="462">
        <f>IF(AT668&lt;&gt;0,SSHIBY*W668,0)</f>
        <v>0</v>
      </c>
      <c r="BR668" s="462">
        <f>IF(AND(AT668&lt;&gt;0,AN668&lt;&gt;"NE"),VLOOKUP(AN668,Retirement_Rates,4,FALSE)*W668,0)</f>
        <v>0</v>
      </c>
      <c r="BS668" s="462">
        <f>IF(AND(AT668&lt;&gt;0,AJ668&lt;&gt;"PF"),LifeBY*W668,0)</f>
        <v>0</v>
      </c>
      <c r="BT668" s="462">
        <f>IF(AND(AT668&lt;&gt;0,AM668="Y"),UIBY*W668,0)</f>
        <v>0</v>
      </c>
      <c r="BU668" s="462">
        <f>IF(AND(AT668&lt;&gt;0,N668&lt;&gt;"NR"),DHRBY*W668,0)</f>
        <v>0</v>
      </c>
      <c r="BV668" s="462">
        <f>IF(AT668&lt;&gt;0,WCBY*W668,0)</f>
        <v>0</v>
      </c>
      <c r="BW668" s="462">
        <f>IF(OR(AND(AT668&lt;&gt;0,AJ668&lt;&gt;"PF",AN668&lt;&gt;"NE",AG668&lt;&gt;"A"),AND(AL668="E",OR(AT668=1,AT668=3))),SickBY*W668,0)</f>
        <v>0</v>
      </c>
      <c r="BX668" s="462">
        <f t="shared" si="177"/>
        <v>0</v>
      </c>
      <c r="BY668" s="462">
        <f t="shared" si="178"/>
        <v>0</v>
      </c>
      <c r="BZ668" s="462">
        <f t="shared" si="179"/>
        <v>0</v>
      </c>
      <c r="CA668" s="462">
        <f t="shared" si="180"/>
        <v>0</v>
      </c>
      <c r="CB668" s="462">
        <f t="shared" si="181"/>
        <v>0</v>
      </c>
      <c r="CC668" s="462">
        <f>IF(AT668&lt;&gt;0,SSHICHG*Y668,0)</f>
        <v>0</v>
      </c>
      <c r="CD668" s="462">
        <f>IF(AND(AT668&lt;&gt;0,AN668&lt;&gt;"NE"),VLOOKUP(AN668,Retirement_Rates,5,FALSE)*Y668,0)</f>
        <v>0</v>
      </c>
      <c r="CE668" s="462">
        <f>IF(AND(AT668&lt;&gt;0,AJ668&lt;&gt;"PF"),LifeCHG*Y668,0)</f>
        <v>0</v>
      </c>
      <c r="CF668" s="462">
        <f>IF(AND(AT668&lt;&gt;0,AM668="Y"),UICHG*Y668,0)</f>
        <v>0</v>
      </c>
      <c r="CG668" s="462">
        <f>IF(AND(AT668&lt;&gt;0,N668&lt;&gt;"NR"),DHRCHG*Y668,0)</f>
        <v>0</v>
      </c>
      <c r="CH668" s="462">
        <f>IF(AT668&lt;&gt;0,WCCHG*Y668,0)</f>
        <v>0</v>
      </c>
      <c r="CI668" s="462">
        <f>IF(OR(AND(AT668&lt;&gt;0,AJ668&lt;&gt;"PF",AN668&lt;&gt;"NE",AG668&lt;&gt;"A"),AND(AL668="E",OR(AT668=1,AT668=3))),SickCHG*Y668,0)</f>
        <v>0</v>
      </c>
      <c r="CJ668" s="462">
        <f t="shared" si="182"/>
        <v>0</v>
      </c>
      <c r="CK668" s="462" t="str">
        <f t="shared" si="183"/>
        <v/>
      </c>
      <c r="CL668" s="462">
        <f t="shared" si="184"/>
        <v>20486.5</v>
      </c>
      <c r="CM668" s="462">
        <f t="shared" si="185"/>
        <v>2348.1999999999998</v>
      </c>
      <c r="CN668" s="462" t="str">
        <f t="shared" si="186"/>
        <v>0348-00</v>
      </c>
    </row>
    <row r="669" spans="1:92" ht="15" thickBot="1" x14ac:dyDescent="0.35">
      <c r="A669" s="376" t="s">
        <v>161</v>
      </c>
      <c r="B669" s="376" t="s">
        <v>162</v>
      </c>
      <c r="C669" s="376" t="s">
        <v>872</v>
      </c>
      <c r="D669" s="376" t="s">
        <v>362</v>
      </c>
      <c r="E669" s="376" t="s">
        <v>759</v>
      </c>
      <c r="F669" s="377" t="s">
        <v>166</v>
      </c>
      <c r="G669" s="376" t="s">
        <v>1352</v>
      </c>
      <c r="H669" s="378"/>
      <c r="I669" s="378"/>
      <c r="J669" s="376" t="s">
        <v>168</v>
      </c>
      <c r="K669" s="376" t="s">
        <v>363</v>
      </c>
      <c r="L669" s="376" t="s">
        <v>200</v>
      </c>
      <c r="M669" s="376" t="s">
        <v>201</v>
      </c>
      <c r="N669" s="376" t="s">
        <v>202</v>
      </c>
      <c r="O669" s="379">
        <v>0</v>
      </c>
      <c r="P669" s="460">
        <v>0</v>
      </c>
      <c r="Q669" s="460">
        <v>0</v>
      </c>
      <c r="R669" s="380">
        <v>80</v>
      </c>
      <c r="S669" s="460">
        <v>0</v>
      </c>
      <c r="T669" s="380">
        <v>366.36</v>
      </c>
      <c r="U669" s="380">
        <v>0</v>
      </c>
      <c r="V669" s="380">
        <v>167.92</v>
      </c>
      <c r="W669" s="380">
        <v>0</v>
      </c>
      <c r="X669" s="380">
        <v>0</v>
      </c>
      <c r="Y669" s="380">
        <v>0</v>
      </c>
      <c r="Z669" s="380">
        <v>0</v>
      </c>
      <c r="AA669" s="378"/>
      <c r="AB669" s="376" t="s">
        <v>45</v>
      </c>
      <c r="AC669" s="376" t="s">
        <v>45</v>
      </c>
      <c r="AD669" s="378"/>
      <c r="AE669" s="378"/>
      <c r="AF669" s="378"/>
      <c r="AG669" s="378"/>
      <c r="AH669" s="379">
        <v>0</v>
      </c>
      <c r="AI669" s="379">
        <v>0</v>
      </c>
      <c r="AJ669" s="378"/>
      <c r="AK669" s="378"/>
      <c r="AL669" s="376" t="s">
        <v>180</v>
      </c>
      <c r="AM669" s="378"/>
      <c r="AN669" s="378"/>
      <c r="AO669" s="379">
        <v>0</v>
      </c>
      <c r="AP669" s="460">
        <v>0</v>
      </c>
      <c r="AQ669" s="460">
        <v>0</v>
      </c>
      <c r="AR669" s="459"/>
      <c r="AS669" s="462">
        <f t="shared" si="170"/>
        <v>0</v>
      </c>
      <c r="AT669">
        <f t="shared" si="171"/>
        <v>0</v>
      </c>
      <c r="AU669" s="462" t="str">
        <f>IF(AT669=0,"",IF(AND(AT669=1,M669="F",SUMIF(C2:C698,C669,AS2:AS698)&lt;=1),SUMIF(C2:C698,C669,AS2:AS698),IF(AND(AT669=1,M669="F",SUMIF(C2:C698,C669,AS2:AS698)&gt;1),1,"")))</f>
        <v/>
      </c>
      <c r="AV669" s="462" t="str">
        <f>IF(AT669=0,"",IF(AND(AT669=3,M669="F",SUMIF(C2:C698,C669,AS2:AS698)&lt;=1),SUMIF(C2:C698,C669,AS2:AS698),IF(AND(AT669=3,M669="F",SUMIF(C2:C698,C669,AS2:AS698)&gt;1),1,"")))</f>
        <v/>
      </c>
      <c r="AW669" s="462">
        <f>SUMIF(C2:C698,C669,O2:O698)</f>
        <v>0</v>
      </c>
      <c r="AX669" s="462">
        <f>IF(AND(M669="F",AS669&lt;&gt;0),SUMIF(C2:C698,C669,W2:W698),0)</f>
        <v>0</v>
      </c>
      <c r="AY669" s="462" t="str">
        <f t="shared" si="172"/>
        <v/>
      </c>
      <c r="AZ669" s="462" t="str">
        <f t="shared" si="173"/>
        <v/>
      </c>
      <c r="BA669" s="462">
        <f t="shared" si="174"/>
        <v>0</v>
      </c>
      <c r="BB669" s="462">
        <f>IF(AND(AT669=1,AK669="E",AU669&gt;=0.75,AW669=1),Health,IF(AND(AT669=1,AK669="E",AU669&gt;=0.75),Health*P669,IF(AND(AT669=1,AK669="E",AU669&gt;=0.5,AW669=1),PTHealth,IF(AND(AT669=1,AK669="E",AU669&gt;=0.5),PTHealth*P669,0))))</f>
        <v>0</v>
      </c>
      <c r="BC669" s="462">
        <f>IF(AND(AT669=3,AK669="E",AV669&gt;=0.75,AW669=1),Health,IF(AND(AT669=3,AK669="E",AV669&gt;=0.75),Health*P669,IF(AND(AT669=3,AK669="E",AV669&gt;=0.5,AW669=1),PTHealth,IF(AND(AT669=3,AK669="E",AV669&gt;=0.5),PTHealth*P669,0))))</f>
        <v>0</v>
      </c>
      <c r="BD669" s="462">
        <f>IF(AND(AT669&lt;&gt;0,AX669&gt;=MAXSSDI),SSDI*MAXSSDI*P669,IF(AT669&lt;&gt;0,SSDI*W669,0))</f>
        <v>0</v>
      </c>
      <c r="BE669" s="462">
        <f>IF(AT669&lt;&gt;0,SSHI*W669,0)</f>
        <v>0</v>
      </c>
      <c r="BF669" s="462">
        <f>IF(AND(AT669&lt;&gt;0,AN669&lt;&gt;"NE"),VLOOKUP(AN669,Retirement_Rates,3,FALSE)*W669,0)</f>
        <v>0</v>
      </c>
      <c r="BG669" s="462">
        <f>IF(AND(AT669&lt;&gt;0,AJ669&lt;&gt;"PF"),Life*W669,0)</f>
        <v>0</v>
      </c>
      <c r="BH669" s="462">
        <f>IF(AND(AT669&lt;&gt;0,AM669="Y"),UI*W669,0)</f>
        <v>0</v>
      </c>
      <c r="BI669" s="462">
        <f>IF(AND(AT669&lt;&gt;0,N669&lt;&gt;"NR"),DHR*W669,0)</f>
        <v>0</v>
      </c>
      <c r="BJ669" s="462">
        <f>IF(AT669&lt;&gt;0,WC*W669,0)</f>
        <v>0</v>
      </c>
      <c r="BK669" s="462">
        <f>IF(OR(AND(AT669&lt;&gt;0,AJ669&lt;&gt;"PF",AN669&lt;&gt;"NE",AG669&lt;&gt;"A"),AND(AL669="E",OR(AT669=1,AT669=3))),Sick*W669,0)</f>
        <v>0</v>
      </c>
      <c r="BL669" s="462">
        <f t="shared" si="175"/>
        <v>0</v>
      </c>
      <c r="BM669" s="462">
        <f t="shared" si="176"/>
        <v>0</v>
      </c>
      <c r="BN669" s="462">
        <f>IF(AND(AT669=1,AK669="E",AU669&gt;=0.75,AW669=1),HealthBY,IF(AND(AT669=1,AK669="E",AU669&gt;=0.75),HealthBY*P669,IF(AND(AT669=1,AK669="E",AU669&gt;=0.5,AW669=1),PTHealthBY,IF(AND(AT669=1,AK669="E",AU669&gt;=0.5),PTHealthBY*P669,0))))</f>
        <v>0</v>
      </c>
      <c r="BO669" s="462">
        <f>IF(AND(AT669=3,AK669="E",AV669&gt;=0.75,AW669=1),HealthBY,IF(AND(AT669=3,AK669="E",AV669&gt;=0.75),HealthBY*P669,IF(AND(AT669=3,AK669="E",AV669&gt;=0.5,AW669=1),PTHealthBY,IF(AND(AT669=3,AK669="E",AV669&gt;=0.5),PTHealthBY*P669,0))))</f>
        <v>0</v>
      </c>
      <c r="BP669" s="462">
        <f>IF(AND(AT669&lt;&gt;0,(AX669+BA669)&gt;=MAXSSDIBY),SSDIBY*MAXSSDIBY*P669,IF(AT669&lt;&gt;0,SSDIBY*W669,0))</f>
        <v>0</v>
      </c>
      <c r="BQ669" s="462">
        <f>IF(AT669&lt;&gt;0,SSHIBY*W669,0)</f>
        <v>0</v>
      </c>
      <c r="BR669" s="462">
        <f>IF(AND(AT669&lt;&gt;0,AN669&lt;&gt;"NE"),VLOOKUP(AN669,Retirement_Rates,4,FALSE)*W669,0)</f>
        <v>0</v>
      </c>
      <c r="BS669" s="462">
        <f>IF(AND(AT669&lt;&gt;0,AJ669&lt;&gt;"PF"),LifeBY*W669,0)</f>
        <v>0</v>
      </c>
      <c r="BT669" s="462">
        <f>IF(AND(AT669&lt;&gt;0,AM669="Y"),UIBY*W669,0)</f>
        <v>0</v>
      </c>
      <c r="BU669" s="462">
        <f>IF(AND(AT669&lt;&gt;0,N669&lt;&gt;"NR"),DHRBY*W669,0)</f>
        <v>0</v>
      </c>
      <c r="BV669" s="462">
        <f>IF(AT669&lt;&gt;0,WCBY*W669,0)</f>
        <v>0</v>
      </c>
      <c r="BW669" s="462">
        <f>IF(OR(AND(AT669&lt;&gt;0,AJ669&lt;&gt;"PF",AN669&lt;&gt;"NE",AG669&lt;&gt;"A"),AND(AL669="E",OR(AT669=1,AT669=3))),SickBY*W669,0)</f>
        <v>0</v>
      </c>
      <c r="BX669" s="462">
        <f t="shared" si="177"/>
        <v>0</v>
      </c>
      <c r="BY669" s="462">
        <f t="shared" si="178"/>
        <v>0</v>
      </c>
      <c r="BZ669" s="462">
        <f t="shared" si="179"/>
        <v>0</v>
      </c>
      <c r="CA669" s="462">
        <f t="shared" si="180"/>
        <v>0</v>
      </c>
      <c r="CB669" s="462">
        <f t="shared" si="181"/>
        <v>0</v>
      </c>
      <c r="CC669" s="462">
        <f>IF(AT669&lt;&gt;0,SSHICHG*Y669,0)</f>
        <v>0</v>
      </c>
      <c r="CD669" s="462">
        <f>IF(AND(AT669&lt;&gt;0,AN669&lt;&gt;"NE"),VLOOKUP(AN669,Retirement_Rates,5,FALSE)*Y669,0)</f>
        <v>0</v>
      </c>
      <c r="CE669" s="462">
        <f>IF(AND(AT669&lt;&gt;0,AJ669&lt;&gt;"PF"),LifeCHG*Y669,0)</f>
        <v>0</v>
      </c>
      <c r="CF669" s="462">
        <f>IF(AND(AT669&lt;&gt;0,AM669="Y"),UICHG*Y669,0)</f>
        <v>0</v>
      </c>
      <c r="CG669" s="462">
        <f>IF(AND(AT669&lt;&gt;0,N669&lt;&gt;"NR"),DHRCHG*Y669,0)</f>
        <v>0</v>
      </c>
      <c r="CH669" s="462">
        <f>IF(AT669&lt;&gt;0,WCCHG*Y669,0)</f>
        <v>0</v>
      </c>
      <c r="CI669" s="462">
        <f>IF(OR(AND(AT669&lt;&gt;0,AJ669&lt;&gt;"PF",AN669&lt;&gt;"NE",AG669&lt;&gt;"A"),AND(AL669="E",OR(AT669=1,AT669=3))),SickCHG*Y669,0)</f>
        <v>0</v>
      </c>
      <c r="CJ669" s="462">
        <f t="shared" si="182"/>
        <v>0</v>
      </c>
      <c r="CK669" s="462" t="str">
        <f t="shared" si="183"/>
        <v/>
      </c>
      <c r="CL669" s="462" t="str">
        <f t="shared" si="184"/>
        <v/>
      </c>
      <c r="CM669" s="462" t="str">
        <f t="shared" si="185"/>
        <v/>
      </c>
      <c r="CN669" s="462" t="str">
        <f t="shared" si="186"/>
        <v>0348-00</v>
      </c>
    </row>
    <row r="670" spans="1:92" ht="15" thickBot="1" x14ac:dyDescent="0.35">
      <c r="A670" s="376" t="s">
        <v>161</v>
      </c>
      <c r="B670" s="376" t="s">
        <v>162</v>
      </c>
      <c r="C670" s="376" t="s">
        <v>781</v>
      </c>
      <c r="D670" s="376" t="s">
        <v>362</v>
      </c>
      <c r="E670" s="376" t="s">
        <v>759</v>
      </c>
      <c r="F670" s="377" t="s">
        <v>166</v>
      </c>
      <c r="G670" s="376" t="s">
        <v>1352</v>
      </c>
      <c r="H670" s="378"/>
      <c r="I670" s="378"/>
      <c r="J670" s="376" t="s">
        <v>782</v>
      </c>
      <c r="K670" s="376" t="s">
        <v>363</v>
      </c>
      <c r="L670" s="376" t="s">
        <v>200</v>
      </c>
      <c r="M670" s="376" t="s">
        <v>170</v>
      </c>
      <c r="N670" s="376" t="s">
        <v>202</v>
      </c>
      <c r="O670" s="379">
        <v>1</v>
      </c>
      <c r="P670" s="460">
        <v>0</v>
      </c>
      <c r="Q670" s="460">
        <v>0</v>
      </c>
      <c r="R670" s="380">
        <v>80</v>
      </c>
      <c r="S670" s="460">
        <v>0</v>
      </c>
      <c r="T670" s="380">
        <v>1533</v>
      </c>
      <c r="U670" s="380">
        <v>0</v>
      </c>
      <c r="V670" s="380">
        <v>771.69</v>
      </c>
      <c r="W670" s="380">
        <v>0</v>
      </c>
      <c r="X670" s="380">
        <v>0</v>
      </c>
      <c r="Y670" s="380">
        <v>0</v>
      </c>
      <c r="Z670" s="380">
        <v>0</v>
      </c>
      <c r="AA670" s="376" t="s">
        <v>783</v>
      </c>
      <c r="AB670" s="376" t="s">
        <v>784</v>
      </c>
      <c r="AC670" s="376" t="s">
        <v>690</v>
      </c>
      <c r="AD670" s="376" t="s">
        <v>215</v>
      </c>
      <c r="AE670" s="376" t="s">
        <v>363</v>
      </c>
      <c r="AF670" s="376" t="s">
        <v>210</v>
      </c>
      <c r="AG670" s="376" t="s">
        <v>177</v>
      </c>
      <c r="AH670" s="381">
        <v>22.5</v>
      </c>
      <c r="AI670" s="379">
        <v>3768</v>
      </c>
      <c r="AJ670" s="376" t="s">
        <v>178</v>
      </c>
      <c r="AK670" s="376" t="s">
        <v>179</v>
      </c>
      <c r="AL670" s="376" t="s">
        <v>180</v>
      </c>
      <c r="AM670" s="376" t="s">
        <v>181</v>
      </c>
      <c r="AN670" s="376" t="s">
        <v>68</v>
      </c>
      <c r="AO670" s="379">
        <v>80</v>
      </c>
      <c r="AP670" s="460">
        <v>1</v>
      </c>
      <c r="AQ670" s="460">
        <v>0</v>
      </c>
      <c r="AR670" s="458" t="s">
        <v>182</v>
      </c>
      <c r="AS670" s="462">
        <f t="shared" si="170"/>
        <v>0</v>
      </c>
      <c r="AT670">
        <f t="shared" si="171"/>
        <v>0</v>
      </c>
      <c r="AU670" s="462" t="str">
        <f>IF(AT670=0,"",IF(AND(AT670=1,M670="F",SUMIF(C2:C698,C670,AS2:AS698)&lt;=1),SUMIF(C2:C698,C670,AS2:AS698),IF(AND(AT670=1,M670="F",SUMIF(C2:C698,C670,AS2:AS698)&gt;1),1,"")))</f>
        <v/>
      </c>
      <c r="AV670" s="462" t="str">
        <f>IF(AT670=0,"",IF(AND(AT670=3,M670="F",SUMIF(C2:C698,C670,AS2:AS698)&lt;=1),SUMIF(C2:C698,C670,AS2:AS698),IF(AND(AT670=3,M670="F",SUMIF(C2:C698,C670,AS2:AS698)&gt;1),1,"")))</f>
        <v/>
      </c>
      <c r="AW670" s="462">
        <f>SUMIF(C2:C698,C670,O2:O698)</f>
        <v>7</v>
      </c>
      <c r="AX670" s="462">
        <f>IF(AND(M670="F",AS670&lt;&gt;0),SUMIF(C2:C698,C670,W2:W698),0)</f>
        <v>0</v>
      </c>
      <c r="AY670" s="462" t="str">
        <f t="shared" si="172"/>
        <v/>
      </c>
      <c r="AZ670" s="462" t="str">
        <f t="shared" si="173"/>
        <v/>
      </c>
      <c r="BA670" s="462">
        <f t="shared" si="174"/>
        <v>0</v>
      </c>
      <c r="BB670" s="462">
        <f>IF(AND(AT670=1,AK670="E",AU670&gt;=0.75,AW670=1),Health,IF(AND(AT670=1,AK670="E",AU670&gt;=0.75),Health*P670,IF(AND(AT670=1,AK670="E",AU670&gt;=0.5,AW670=1),PTHealth,IF(AND(AT670=1,AK670="E",AU670&gt;=0.5),PTHealth*P670,0))))</f>
        <v>0</v>
      </c>
      <c r="BC670" s="462">
        <f>IF(AND(AT670=3,AK670="E",AV670&gt;=0.75,AW670=1),Health,IF(AND(AT670=3,AK670="E",AV670&gt;=0.75),Health*P670,IF(AND(AT670=3,AK670="E",AV670&gt;=0.5,AW670=1),PTHealth,IF(AND(AT670=3,AK670="E",AV670&gt;=0.5),PTHealth*P670,0))))</f>
        <v>0</v>
      </c>
      <c r="BD670" s="462">
        <f>IF(AND(AT670&lt;&gt;0,AX670&gt;=MAXSSDI),SSDI*MAXSSDI*P670,IF(AT670&lt;&gt;0,SSDI*W670,0))</f>
        <v>0</v>
      </c>
      <c r="BE670" s="462">
        <f>IF(AT670&lt;&gt;0,SSHI*W670,0)</f>
        <v>0</v>
      </c>
      <c r="BF670" s="462">
        <f>IF(AND(AT670&lt;&gt;0,AN670&lt;&gt;"NE"),VLOOKUP(AN670,Retirement_Rates,3,FALSE)*W670,0)</f>
        <v>0</v>
      </c>
      <c r="BG670" s="462">
        <f>IF(AND(AT670&lt;&gt;0,AJ670&lt;&gt;"PF"),Life*W670,0)</f>
        <v>0</v>
      </c>
      <c r="BH670" s="462">
        <f>IF(AND(AT670&lt;&gt;0,AM670="Y"),UI*W670,0)</f>
        <v>0</v>
      </c>
      <c r="BI670" s="462">
        <f>IF(AND(AT670&lt;&gt;0,N670&lt;&gt;"NR"),DHR*W670,0)</f>
        <v>0</v>
      </c>
      <c r="BJ670" s="462">
        <f>IF(AT670&lt;&gt;0,WC*W670,0)</f>
        <v>0</v>
      </c>
      <c r="BK670" s="462">
        <f>IF(OR(AND(AT670&lt;&gt;0,AJ670&lt;&gt;"PF",AN670&lt;&gt;"NE",AG670&lt;&gt;"A"),AND(AL670="E",OR(AT670=1,AT670=3))),Sick*W670,0)</f>
        <v>0</v>
      </c>
      <c r="BL670" s="462">
        <f t="shared" si="175"/>
        <v>0</v>
      </c>
      <c r="BM670" s="462">
        <f t="shared" si="176"/>
        <v>0</v>
      </c>
      <c r="BN670" s="462">
        <f>IF(AND(AT670=1,AK670="E",AU670&gt;=0.75,AW670=1),HealthBY,IF(AND(AT670=1,AK670="E",AU670&gt;=0.75),HealthBY*P670,IF(AND(AT670=1,AK670="E",AU670&gt;=0.5,AW670=1),PTHealthBY,IF(AND(AT670=1,AK670="E",AU670&gt;=0.5),PTHealthBY*P670,0))))</f>
        <v>0</v>
      </c>
      <c r="BO670" s="462">
        <f>IF(AND(AT670=3,AK670="E",AV670&gt;=0.75,AW670=1),HealthBY,IF(AND(AT670=3,AK670="E",AV670&gt;=0.75),HealthBY*P670,IF(AND(AT670=3,AK670="E",AV670&gt;=0.5,AW670=1),PTHealthBY,IF(AND(AT670=3,AK670="E",AV670&gt;=0.5),PTHealthBY*P670,0))))</f>
        <v>0</v>
      </c>
      <c r="BP670" s="462">
        <f>IF(AND(AT670&lt;&gt;0,(AX670+BA670)&gt;=MAXSSDIBY),SSDIBY*MAXSSDIBY*P670,IF(AT670&lt;&gt;0,SSDIBY*W670,0))</f>
        <v>0</v>
      </c>
      <c r="BQ670" s="462">
        <f>IF(AT670&lt;&gt;0,SSHIBY*W670,0)</f>
        <v>0</v>
      </c>
      <c r="BR670" s="462">
        <f>IF(AND(AT670&lt;&gt;0,AN670&lt;&gt;"NE"),VLOOKUP(AN670,Retirement_Rates,4,FALSE)*W670,0)</f>
        <v>0</v>
      </c>
      <c r="BS670" s="462">
        <f>IF(AND(AT670&lt;&gt;0,AJ670&lt;&gt;"PF"),LifeBY*W670,0)</f>
        <v>0</v>
      </c>
      <c r="BT670" s="462">
        <f>IF(AND(AT670&lt;&gt;0,AM670="Y"),UIBY*W670,0)</f>
        <v>0</v>
      </c>
      <c r="BU670" s="462">
        <f>IF(AND(AT670&lt;&gt;0,N670&lt;&gt;"NR"),DHRBY*W670,0)</f>
        <v>0</v>
      </c>
      <c r="BV670" s="462">
        <f>IF(AT670&lt;&gt;0,WCBY*W670,0)</f>
        <v>0</v>
      </c>
      <c r="BW670" s="462">
        <f>IF(OR(AND(AT670&lt;&gt;0,AJ670&lt;&gt;"PF",AN670&lt;&gt;"NE",AG670&lt;&gt;"A"),AND(AL670="E",OR(AT670=1,AT670=3))),SickBY*W670,0)</f>
        <v>0</v>
      </c>
      <c r="BX670" s="462">
        <f t="shared" si="177"/>
        <v>0</v>
      </c>
      <c r="BY670" s="462">
        <f t="shared" si="178"/>
        <v>0</v>
      </c>
      <c r="BZ670" s="462">
        <f t="shared" si="179"/>
        <v>0</v>
      </c>
      <c r="CA670" s="462">
        <f t="shared" si="180"/>
        <v>0</v>
      </c>
      <c r="CB670" s="462">
        <f t="shared" si="181"/>
        <v>0</v>
      </c>
      <c r="CC670" s="462">
        <f>IF(AT670&lt;&gt;0,SSHICHG*Y670,0)</f>
        <v>0</v>
      </c>
      <c r="CD670" s="462">
        <f>IF(AND(AT670&lt;&gt;0,AN670&lt;&gt;"NE"),VLOOKUP(AN670,Retirement_Rates,5,FALSE)*Y670,0)</f>
        <v>0</v>
      </c>
      <c r="CE670" s="462">
        <f>IF(AND(AT670&lt;&gt;0,AJ670&lt;&gt;"PF"),LifeCHG*Y670,0)</f>
        <v>0</v>
      </c>
      <c r="CF670" s="462">
        <f>IF(AND(AT670&lt;&gt;0,AM670="Y"),UICHG*Y670,0)</f>
        <v>0</v>
      </c>
      <c r="CG670" s="462">
        <f>IF(AND(AT670&lt;&gt;0,N670&lt;&gt;"NR"),DHRCHG*Y670,0)</f>
        <v>0</v>
      </c>
      <c r="CH670" s="462">
        <f>IF(AT670&lt;&gt;0,WCCHG*Y670,0)</f>
        <v>0</v>
      </c>
      <c r="CI670" s="462">
        <f>IF(OR(AND(AT670&lt;&gt;0,AJ670&lt;&gt;"PF",AN670&lt;&gt;"NE",AG670&lt;&gt;"A"),AND(AL670="E",OR(AT670=1,AT670=3))),SickCHG*Y670,0)</f>
        <v>0</v>
      </c>
      <c r="CJ670" s="462">
        <f t="shared" si="182"/>
        <v>0</v>
      </c>
      <c r="CK670" s="462" t="str">
        <f t="shared" si="183"/>
        <v/>
      </c>
      <c r="CL670" s="462" t="str">
        <f t="shared" si="184"/>
        <v/>
      </c>
      <c r="CM670" s="462" t="str">
        <f t="shared" si="185"/>
        <v/>
      </c>
      <c r="CN670" s="462" t="str">
        <f t="shared" si="186"/>
        <v>0348-00</v>
      </c>
    </row>
    <row r="671" spans="1:92" ht="15" thickBot="1" x14ac:dyDescent="0.35">
      <c r="A671" s="376" t="s">
        <v>161</v>
      </c>
      <c r="B671" s="376" t="s">
        <v>162</v>
      </c>
      <c r="C671" s="376" t="s">
        <v>785</v>
      </c>
      <c r="D671" s="376" t="s">
        <v>250</v>
      </c>
      <c r="E671" s="376" t="s">
        <v>759</v>
      </c>
      <c r="F671" s="377" t="s">
        <v>166</v>
      </c>
      <c r="G671" s="376" t="s">
        <v>1352</v>
      </c>
      <c r="H671" s="378"/>
      <c r="I671" s="378"/>
      <c r="J671" s="376" t="s">
        <v>768</v>
      </c>
      <c r="K671" s="376" t="s">
        <v>407</v>
      </c>
      <c r="L671" s="376" t="s">
        <v>247</v>
      </c>
      <c r="M671" s="376" t="s">
        <v>170</v>
      </c>
      <c r="N671" s="376" t="s">
        <v>202</v>
      </c>
      <c r="O671" s="379">
        <v>1</v>
      </c>
      <c r="P671" s="460">
        <v>0</v>
      </c>
      <c r="Q671" s="460">
        <v>0</v>
      </c>
      <c r="R671" s="380">
        <v>80</v>
      </c>
      <c r="S671" s="460">
        <v>0</v>
      </c>
      <c r="T671" s="380">
        <v>179.64</v>
      </c>
      <c r="U671" s="380">
        <v>0</v>
      </c>
      <c r="V671" s="380">
        <v>73.16</v>
      </c>
      <c r="W671" s="380">
        <v>0</v>
      </c>
      <c r="X671" s="380">
        <v>0</v>
      </c>
      <c r="Y671" s="380">
        <v>0</v>
      </c>
      <c r="Z671" s="380">
        <v>0</v>
      </c>
      <c r="AA671" s="376" t="s">
        <v>786</v>
      </c>
      <c r="AB671" s="376" t="s">
        <v>787</v>
      </c>
      <c r="AC671" s="376" t="s">
        <v>788</v>
      </c>
      <c r="AD671" s="376" t="s">
        <v>325</v>
      </c>
      <c r="AE671" s="376" t="s">
        <v>407</v>
      </c>
      <c r="AF671" s="376" t="s">
        <v>299</v>
      </c>
      <c r="AG671" s="376" t="s">
        <v>177</v>
      </c>
      <c r="AH671" s="381">
        <v>30.18</v>
      </c>
      <c r="AI671" s="381">
        <v>73366.600000000006</v>
      </c>
      <c r="AJ671" s="376" t="s">
        <v>178</v>
      </c>
      <c r="AK671" s="376" t="s">
        <v>179</v>
      </c>
      <c r="AL671" s="376" t="s">
        <v>180</v>
      </c>
      <c r="AM671" s="376" t="s">
        <v>181</v>
      </c>
      <c r="AN671" s="376" t="s">
        <v>68</v>
      </c>
      <c r="AO671" s="379">
        <v>80</v>
      </c>
      <c r="AP671" s="460">
        <v>1</v>
      </c>
      <c r="AQ671" s="460">
        <v>0</v>
      </c>
      <c r="AR671" s="458" t="s">
        <v>182</v>
      </c>
      <c r="AS671" s="462">
        <f t="shared" si="170"/>
        <v>0</v>
      </c>
      <c r="AT671">
        <f t="shared" si="171"/>
        <v>0</v>
      </c>
      <c r="AU671" s="462" t="str">
        <f>IF(AT671=0,"",IF(AND(AT671=1,M671="F",SUMIF(C2:C698,C671,AS2:AS698)&lt;=1),SUMIF(C2:C698,C671,AS2:AS698),IF(AND(AT671=1,M671="F",SUMIF(C2:C698,C671,AS2:AS698)&gt;1),1,"")))</f>
        <v/>
      </c>
      <c r="AV671" s="462" t="str">
        <f>IF(AT671=0,"",IF(AND(AT671=3,M671="F",SUMIF(C2:C698,C671,AS2:AS698)&lt;=1),SUMIF(C2:C698,C671,AS2:AS698),IF(AND(AT671=3,M671="F",SUMIF(C2:C698,C671,AS2:AS698)&gt;1),1,"")))</f>
        <v/>
      </c>
      <c r="AW671" s="462">
        <f>SUMIF(C2:C698,C671,O2:O698)</f>
        <v>7</v>
      </c>
      <c r="AX671" s="462">
        <f>IF(AND(M671="F",AS671&lt;&gt;0),SUMIF(C2:C698,C671,W2:W698),0)</f>
        <v>0</v>
      </c>
      <c r="AY671" s="462" t="str">
        <f t="shared" si="172"/>
        <v/>
      </c>
      <c r="AZ671" s="462" t="str">
        <f t="shared" si="173"/>
        <v/>
      </c>
      <c r="BA671" s="462">
        <f t="shared" si="174"/>
        <v>0</v>
      </c>
      <c r="BB671" s="462">
        <f>IF(AND(AT671=1,AK671="E",AU671&gt;=0.75,AW671=1),Health,IF(AND(AT671=1,AK671="E",AU671&gt;=0.75),Health*P671,IF(AND(AT671=1,AK671="E",AU671&gt;=0.5,AW671=1),PTHealth,IF(AND(AT671=1,AK671="E",AU671&gt;=0.5),PTHealth*P671,0))))</f>
        <v>0</v>
      </c>
      <c r="BC671" s="462">
        <f>IF(AND(AT671=3,AK671="E",AV671&gt;=0.75,AW671=1),Health,IF(AND(AT671=3,AK671="E",AV671&gt;=0.75),Health*P671,IF(AND(AT671=3,AK671="E",AV671&gt;=0.5,AW671=1),PTHealth,IF(AND(AT671=3,AK671="E",AV671&gt;=0.5),PTHealth*P671,0))))</f>
        <v>0</v>
      </c>
      <c r="BD671" s="462">
        <f>IF(AND(AT671&lt;&gt;0,AX671&gt;=MAXSSDI),SSDI*MAXSSDI*P671,IF(AT671&lt;&gt;0,SSDI*W671,0))</f>
        <v>0</v>
      </c>
      <c r="BE671" s="462">
        <f>IF(AT671&lt;&gt;0,SSHI*W671,0)</f>
        <v>0</v>
      </c>
      <c r="BF671" s="462">
        <f>IF(AND(AT671&lt;&gt;0,AN671&lt;&gt;"NE"),VLOOKUP(AN671,Retirement_Rates,3,FALSE)*W671,0)</f>
        <v>0</v>
      </c>
      <c r="BG671" s="462">
        <f>IF(AND(AT671&lt;&gt;0,AJ671&lt;&gt;"PF"),Life*W671,0)</f>
        <v>0</v>
      </c>
      <c r="BH671" s="462">
        <f>IF(AND(AT671&lt;&gt;0,AM671="Y"),UI*W671,0)</f>
        <v>0</v>
      </c>
      <c r="BI671" s="462">
        <f>IF(AND(AT671&lt;&gt;0,N671&lt;&gt;"NR"),DHR*W671,0)</f>
        <v>0</v>
      </c>
      <c r="BJ671" s="462">
        <f>IF(AT671&lt;&gt;0,WC*W671,0)</f>
        <v>0</v>
      </c>
      <c r="BK671" s="462">
        <f>IF(OR(AND(AT671&lt;&gt;0,AJ671&lt;&gt;"PF",AN671&lt;&gt;"NE",AG671&lt;&gt;"A"),AND(AL671="E",OR(AT671=1,AT671=3))),Sick*W671,0)</f>
        <v>0</v>
      </c>
      <c r="BL671" s="462">
        <f t="shared" si="175"/>
        <v>0</v>
      </c>
      <c r="BM671" s="462">
        <f t="shared" si="176"/>
        <v>0</v>
      </c>
      <c r="BN671" s="462">
        <f>IF(AND(AT671=1,AK671="E",AU671&gt;=0.75,AW671=1),HealthBY,IF(AND(AT671=1,AK671="E",AU671&gt;=0.75),HealthBY*P671,IF(AND(AT671=1,AK671="E",AU671&gt;=0.5,AW671=1),PTHealthBY,IF(AND(AT671=1,AK671="E",AU671&gt;=0.5),PTHealthBY*P671,0))))</f>
        <v>0</v>
      </c>
      <c r="BO671" s="462">
        <f>IF(AND(AT671=3,AK671="E",AV671&gt;=0.75,AW671=1),HealthBY,IF(AND(AT671=3,AK671="E",AV671&gt;=0.75),HealthBY*P671,IF(AND(AT671=3,AK671="E",AV671&gt;=0.5,AW671=1),PTHealthBY,IF(AND(AT671=3,AK671="E",AV671&gt;=0.5),PTHealthBY*P671,0))))</f>
        <v>0</v>
      </c>
      <c r="BP671" s="462">
        <f>IF(AND(AT671&lt;&gt;0,(AX671+BA671)&gt;=MAXSSDIBY),SSDIBY*MAXSSDIBY*P671,IF(AT671&lt;&gt;0,SSDIBY*W671,0))</f>
        <v>0</v>
      </c>
      <c r="BQ671" s="462">
        <f>IF(AT671&lt;&gt;0,SSHIBY*W671,0)</f>
        <v>0</v>
      </c>
      <c r="BR671" s="462">
        <f>IF(AND(AT671&lt;&gt;0,AN671&lt;&gt;"NE"),VLOOKUP(AN671,Retirement_Rates,4,FALSE)*W671,0)</f>
        <v>0</v>
      </c>
      <c r="BS671" s="462">
        <f>IF(AND(AT671&lt;&gt;0,AJ671&lt;&gt;"PF"),LifeBY*W671,0)</f>
        <v>0</v>
      </c>
      <c r="BT671" s="462">
        <f>IF(AND(AT671&lt;&gt;0,AM671="Y"),UIBY*W671,0)</f>
        <v>0</v>
      </c>
      <c r="BU671" s="462">
        <f>IF(AND(AT671&lt;&gt;0,N671&lt;&gt;"NR"),DHRBY*W671,0)</f>
        <v>0</v>
      </c>
      <c r="BV671" s="462">
        <f>IF(AT671&lt;&gt;0,WCBY*W671,0)</f>
        <v>0</v>
      </c>
      <c r="BW671" s="462">
        <f>IF(OR(AND(AT671&lt;&gt;0,AJ671&lt;&gt;"PF",AN671&lt;&gt;"NE",AG671&lt;&gt;"A"),AND(AL671="E",OR(AT671=1,AT671=3))),SickBY*W671,0)</f>
        <v>0</v>
      </c>
      <c r="BX671" s="462">
        <f t="shared" si="177"/>
        <v>0</v>
      </c>
      <c r="BY671" s="462">
        <f t="shared" si="178"/>
        <v>0</v>
      </c>
      <c r="BZ671" s="462">
        <f t="shared" si="179"/>
        <v>0</v>
      </c>
      <c r="CA671" s="462">
        <f t="shared" si="180"/>
        <v>0</v>
      </c>
      <c r="CB671" s="462">
        <f t="shared" si="181"/>
        <v>0</v>
      </c>
      <c r="CC671" s="462">
        <f>IF(AT671&lt;&gt;0,SSHICHG*Y671,0)</f>
        <v>0</v>
      </c>
      <c r="CD671" s="462">
        <f>IF(AND(AT671&lt;&gt;0,AN671&lt;&gt;"NE"),VLOOKUP(AN671,Retirement_Rates,5,FALSE)*Y671,0)</f>
        <v>0</v>
      </c>
      <c r="CE671" s="462">
        <f>IF(AND(AT671&lt;&gt;0,AJ671&lt;&gt;"PF"),LifeCHG*Y671,0)</f>
        <v>0</v>
      </c>
      <c r="CF671" s="462">
        <f>IF(AND(AT671&lt;&gt;0,AM671="Y"),UICHG*Y671,0)</f>
        <v>0</v>
      </c>
      <c r="CG671" s="462">
        <f>IF(AND(AT671&lt;&gt;0,N671&lt;&gt;"NR"),DHRCHG*Y671,0)</f>
        <v>0</v>
      </c>
      <c r="CH671" s="462">
        <f>IF(AT671&lt;&gt;0,WCCHG*Y671,0)</f>
        <v>0</v>
      </c>
      <c r="CI671" s="462">
        <f>IF(OR(AND(AT671&lt;&gt;0,AJ671&lt;&gt;"PF",AN671&lt;&gt;"NE",AG671&lt;&gt;"A"),AND(AL671="E",OR(AT671=1,AT671=3))),SickCHG*Y671,0)</f>
        <v>0</v>
      </c>
      <c r="CJ671" s="462">
        <f t="shared" si="182"/>
        <v>0</v>
      </c>
      <c r="CK671" s="462" t="str">
        <f t="shared" si="183"/>
        <v/>
      </c>
      <c r="CL671" s="462" t="str">
        <f t="shared" si="184"/>
        <v/>
      </c>
      <c r="CM671" s="462" t="str">
        <f t="shared" si="185"/>
        <v/>
      </c>
      <c r="CN671" s="462" t="str">
        <f t="shared" si="186"/>
        <v>0348-00</v>
      </c>
    </row>
    <row r="672" spans="1:92" ht="15" thickBot="1" x14ac:dyDescent="0.35">
      <c r="A672" s="376" t="s">
        <v>161</v>
      </c>
      <c r="B672" s="376" t="s">
        <v>162</v>
      </c>
      <c r="C672" s="376" t="s">
        <v>1359</v>
      </c>
      <c r="D672" s="376" t="s">
        <v>362</v>
      </c>
      <c r="E672" s="376" t="s">
        <v>759</v>
      </c>
      <c r="F672" s="377" t="s">
        <v>166</v>
      </c>
      <c r="G672" s="376" t="s">
        <v>1352</v>
      </c>
      <c r="H672" s="378"/>
      <c r="I672" s="378"/>
      <c r="J672" s="376" t="s">
        <v>168</v>
      </c>
      <c r="K672" s="376" t="s">
        <v>363</v>
      </c>
      <c r="L672" s="376" t="s">
        <v>200</v>
      </c>
      <c r="M672" s="376" t="s">
        <v>170</v>
      </c>
      <c r="N672" s="376" t="s">
        <v>202</v>
      </c>
      <c r="O672" s="379">
        <v>1</v>
      </c>
      <c r="P672" s="460">
        <v>1</v>
      </c>
      <c r="Q672" s="460">
        <v>1</v>
      </c>
      <c r="R672" s="380">
        <v>80</v>
      </c>
      <c r="S672" s="460">
        <v>1</v>
      </c>
      <c r="T672" s="380">
        <v>35808</v>
      </c>
      <c r="U672" s="380">
        <v>0</v>
      </c>
      <c r="V672" s="380">
        <v>17061.62</v>
      </c>
      <c r="W672" s="380">
        <v>46800</v>
      </c>
      <c r="X672" s="380">
        <v>22244.1</v>
      </c>
      <c r="Y672" s="380">
        <v>46800</v>
      </c>
      <c r="Z672" s="380">
        <v>22122.42</v>
      </c>
      <c r="AA672" s="376" t="s">
        <v>1360</v>
      </c>
      <c r="AB672" s="376" t="s">
        <v>1361</v>
      </c>
      <c r="AC672" s="376" t="s">
        <v>262</v>
      </c>
      <c r="AD672" s="376" t="s">
        <v>215</v>
      </c>
      <c r="AE672" s="376" t="s">
        <v>363</v>
      </c>
      <c r="AF672" s="376" t="s">
        <v>210</v>
      </c>
      <c r="AG672" s="376" t="s">
        <v>177</v>
      </c>
      <c r="AH672" s="381">
        <v>22.5</v>
      </c>
      <c r="AI672" s="381">
        <v>6104.4</v>
      </c>
      <c r="AJ672" s="376" t="s">
        <v>178</v>
      </c>
      <c r="AK672" s="376" t="s">
        <v>179</v>
      </c>
      <c r="AL672" s="376" t="s">
        <v>180</v>
      </c>
      <c r="AM672" s="376" t="s">
        <v>181</v>
      </c>
      <c r="AN672" s="376" t="s">
        <v>68</v>
      </c>
      <c r="AO672" s="379">
        <v>80</v>
      </c>
      <c r="AP672" s="460">
        <v>1</v>
      </c>
      <c r="AQ672" s="460">
        <v>1</v>
      </c>
      <c r="AR672" s="458" t="s">
        <v>182</v>
      </c>
      <c r="AS672" s="462">
        <f t="shared" si="170"/>
        <v>1</v>
      </c>
      <c r="AT672">
        <f t="shared" si="171"/>
        <v>1</v>
      </c>
      <c r="AU672" s="462">
        <f>IF(AT672=0,"",IF(AND(AT672=1,M672="F",SUMIF(C2:C698,C672,AS2:AS698)&lt;=1),SUMIF(C2:C698,C672,AS2:AS698),IF(AND(AT672=1,M672="F",SUMIF(C2:C698,C672,AS2:AS698)&gt;1),1,"")))</f>
        <v>1</v>
      </c>
      <c r="AV672" s="462" t="str">
        <f>IF(AT672=0,"",IF(AND(AT672=3,M672="F",SUMIF(C2:C698,C672,AS2:AS698)&lt;=1),SUMIF(C2:C698,C672,AS2:AS698),IF(AND(AT672=3,M672="F",SUMIF(C2:C698,C672,AS2:AS698)&gt;1),1,"")))</f>
        <v/>
      </c>
      <c r="AW672" s="462">
        <f>SUMIF(C2:C698,C672,O2:O698)</f>
        <v>1</v>
      </c>
      <c r="AX672" s="462">
        <f>IF(AND(M672="F",AS672&lt;&gt;0),SUMIF(C2:C698,C672,W2:W698),0)</f>
        <v>46800</v>
      </c>
      <c r="AY672" s="462">
        <f t="shared" si="172"/>
        <v>46800</v>
      </c>
      <c r="AZ672" s="462" t="str">
        <f t="shared" si="173"/>
        <v/>
      </c>
      <c r="BA672" s="462">
        <f t="shared" si="174"/>
        <v>0</v>
      </c>
      <c r="BB672" s="462">
        <f>IF(AND(AT672=1,AK672="E",AU672&gt;=0.75,AW672=1),Health,IF(AND(AT672=1,AK672="E",AU672&gt;=0.75),Health*P672,IF(AND(AT672=1,AK672="E",AU672&gt;=0.5,AW672=1),PTHealth,IF(AND(AT672=1,AK672="E",AU672&gt;=0.5),PTHealth*P672,0))))</f>
        <v>11650</v>
      </c>
      <c r="BC672" s="462">
        <f>IF(AND(AT672=3,AK672="E",AV672&gt;=0.75,AW672=1),Health,IF(AND(AT672=3,AK672="E",AV672&gt;=0.75),Health*P672,IF(AND(AT672=3,AK672="E",AV672&gt;=0.5,AW672=1),PTHealth,IF(AND(AT672=3,AK672="E",AV672&gt;=0.5),PTHealth*P672,0))))</f>
        <v>0</v>
      </c>
      <c r="BD672" s="462">
        <f>IF(AND(AT672&lt;&gt;0,AX672&gt;=MAXSSDI),SSDI*MAXSSDI*P672,IF(AT672&lt;&gt;0,SSDI*W672,0))</f>
        <v>2901.6</v>
      </c>
      <c r="BE672" s="462">
        <f>IF(AT672&lt;&gt;0,SSHI*W672,0)</f>
        <v>678.6</v>
      </c>
      <c r="BF672" s="462">
        <f>IF(AND(AT672&lt;&gt;0,AN672&lt;&gt;"NE"),VLOOKUP(AN672,Retirement_Rates,3,FALSE)*W672,0)</f>
        <v>5587.92</v>
      </c>
      <c r="BG672" s="462">
        <f>IF(AND(AT672&lt;&gt;0,AJ672&lt;&gt;"PF"),Life*W672,0)</f>
        <v>337.428</v>
      </c>
      <c r="BH672" s="462">
        <f>IF(AND(AT672&lt;&gt;0,AM672="Y"),UI*W672,0)</f>
        <v>229.32</v>
      </c>
      <c r="BI672" s="462">
        <f>IF(AND(AT672&lt;&gt;0,N672&lt;&gt;"NR"),DHR*W672,0)</f>
        <v>143.208</v>
      </c>
      <c r="BJ672" s="462">
        <f>IF(AT672&lt;&gt;0,WC*W672,0)</f>
        <v>716.04</v>
      </c>
      <c r="BK672" s="462">
        <f>IF(OR(AND(AT672&lt;&gt;0,AJ672&lt;&gt;"PF",AN672&lt;&gt;"NE",AG672&lt;&gt;"A"),AND(AL672="E",OR(AT672=1,AT672=3))),Sick*W672,0)</f>
        <v>0</v>
      </c>
      <c r="BL672" s="462">
        <f t="shared" si="175"/>
        <v>10594.115999999998</v>
      </c>
      <c r="BM672" s="462">
        <f t="shared" si="176"/>
        <v>0</v>
      </c>
      <c r="BN672" s="462">
        <f>IF(AND(AT672=1,AK672="E",AU672&gt;=0.75,AW672=1),HealthBY,IF(AND(AT672=1,AK672="E",AU672&gt;=0.75),HealthBY*P672,IF(AND(AT672=1,AK672="E",AU672&gt;=0.5,AW672=1),PTHealthBY,IF(AND(AT672=1,AK672="E",AU672&gt;=0.5),PTHealthBY*P672,0))))</f>
        <v>11650</v>
      </c>
      <c r="BO672" s="462">
        <f>IF(AND(AT672=3,AK672="E",AV672&gt;=0.75,AW672=1),HealthBY,IF(AND(AT672=3,AK672="E",AV672&gt;=0.75),HealthBY*P672,IF(AND(AT672=3,AK672="E",AV672&gt;=0.5,AW672=1),PTHealthBY,IF(AND(AT672=3,AK672="E",AV672&gt;=0.5),PTHealthBY*P672,0))))</f>
        <v>0</v>
      </c>
      <c r="BP672" s="462">
        <f>IF(AND(AT672&lt;&gt;0,(AX672+BA672)&gt;=MAXSSDIBY),SSDIBY*MAXSSDIBY*P672,IF(AT672&lt;&gt;0,SSDIBY*W672,0))</f>
        <v>2901.6</v>
      </c>
      <c r="BQ672" s="462">
        <f>IF(AT672&lt;&gt;0,SSHIBY*W672,0)</f>
        <v>678.6</v>
      </c>
      <c r="BR672" s="462">
        <f>IF(AND(AT672&lt;&gt;0,AN672&lt;&gt;"NE"),VLOOKUP(AN672,Retirement_Rates,4,FALSE)*W672,0)</f>
        <v>5587.92</v>
      </c>
      <c r="BS672" s="462">
        <f>IF(AND(AT672&lt;&gt;0,AJ672&lt;&gt;"PF"),LifeBY*W672,0)</f>
        <v>337.428</v>
      </c>
      <c r="BT672" s="462">
        <f>IF(AND(AT672&lt;&gt;0,AM672="Y"),UIBY*W672,0)</f>
        <v>0</v>
      </c>
      <c r="BU672" s="462">
        <f>IF(AND(AT672&lt;&gt;0,N672&lt;&gt;"NR"),DHRBY*W672,0)</f>
        <v>143.208</v>
      </c>
      <c r="BV672" s="462">
        <f>IF(AT672&lt;&gt;0,WCBY*W672,0)</f>
        <v>823.68000000000006</v>
      </c>
      <c r="BW672" s="462">
        <f>IF(OR(AND(AT672&lt;&gt;0,AJ672&lt;&gt;"PF",AN672&lt;&gt;"NE",AG672&lt;&gt;"A"),AND(AL672="E",OR(AT672=1,AT672=3))),SickBY*W672,0)</f>
        <v>0</v>
      </c>
      <c r="BX672" s="462">
        <f t="shared" si="177"/>
        <v>10472.436</v>
      </c>
      <c r="BY672" s="462">
        <f t="shared" si="178"/>
        <v>0</v>
      </c>
      <c r="BZ672" s="462">
        <f t="shared" si="179"/>
        <v>0</v>
      </c>
      <c r="CA672" s="462">
        <f t="shared" si="180"/>
        <v>0</v>
      </c>
      <c r="CB672" s="462">
        <f t="shared" si="181"/>
        <v>0</v>
      </c>
      <c r="CC672" s="462">
        <f>IF(AT672&lt;&gt;0,SSHICHG*Y672,0)</f>
        <v>0</v>
      </c>
      <c r="CD672" s="462">
        <f>IF(AND(AT672&lt;&gt;0,AN672&lt;&gt;"NE"),VLOOKUP(AN672,Retirement_Rates,5,FALSE)*Y672,0)</f>
        <v>0</v>
      </c>
      <c r="CE672" s="462">
        <f>IF(AND(AT672&lt;&gt;0,AJ672&lt;&gt;"PF"),LifeCHG*Y672,0)</f>
        <v>0</v>
      </c>
      <c r="CF672" s="462">
        <f>IF(AND(AT672&lt;&gt;0,AM672="Y"),UICHG*Y672,0)</f>
        <v>-229.32</v>
      </c>
      <c r="CG672" s="462">
        <f>IF(AND(AT672&lt;&gt;0,N672&lt;&gt;"NR"),DHRCHG*Y672,0)</f>
        <v>0</v>
      </c>
      <c r="CH672" s="462">
        <f>IF(AT672&lt;&gt;0,WCCHG*Y672,0)</f>
        <v>107.64000000000009</v>
      </c>
      <c r="CI672" s="462">
        <f>IF(OR(AND(AT672&lt;&gt;0,AJ672&lt;&gt;"PF",AN672&lt;&gt;"NE",AG672&lt;&gt;"A"),AND(AL672="E",OR(AT672=1,AT672=3))),SickCHG*Y672,0)</f>
        <v>0</v>
      </c>
      <c r="CJ672" s="462">
        <f t="shared" si="182"/>
        <v>-121.67999999999991</v>
      </c>
      <c r="CK672" s="462" t="str">
        <f t="shared" si="183"/>
        <v/>
      </c>
      <c r="CL672" s="462" t="str">
        <f t="shared" si="184"/>
        <v/>
      </c>
      <c r="CM672" s="462" t="str">
        <f t="shared" si="185"/>
        <v/>
      </c>
      <c r="CN672" s="462" t="str">
        <f t="shared" si="186"/>
        <v>0348-00</v>
      </c>
    </row>
    <row r="673" spans="1:92" ht="15" thickBot="1" x14ac:dyDescent="0.35">
      <c r="A673" s="376" t="s">
        <v>161</v>
      </c>
      <c r="B673" s="376" t="s">
        <v>162</v>
      </c>
      <c r="C673" s="376" t="s">
        <v>845</v>
      </c>
      <c r="D673" s="376" t="s">
        <v>802</v>
      </c>
      <c r="E673" s="376" t="s">
        <v>759</v>
      </c>
      <c r="F673" s="377" t="s">
        <v>166</v>
      </c>
      <c r="G673" s="376" t="s">
        <v>1352</v>
      </c>
      <c r="H673" s="378"/>
      <c r="I673" s="378"/>
      <c r="J673" s="376" t="s">
        <v>168</v>
      </c>
      <c r="K673" s="376" t="s">
        <v>803</v>
      </c>
      <c r="L673" s="376" t="s">
        <v>243</v>
      </c>
      <c r="M673" s="376" t="s">
        <v>170</v>
      </c>
      <c r="N673" s="376" t="s">
        <v>202</v>
      </c>
      <c r="O673" s="379">
        <v>1</v>
      </c>
      <c r="P673" s="460">
        <v>0</v>
      </c>
      <c r="Q673" s="460">
        <v>0</v>
      </c>
      <c r="R673" s="380">
        <v>80</v>
      </c>
      <c r="S673" s="460">
        <v>0</v>
      </c>
      <c r="T673" s="380">
        <v>40308.92</v>
      </c>
      <c r="U673" s="380">
        <v>0</v>
      </c>
      <c r="V673" s="380">
        <v>14515.45</v>
      </c>
      <c r="W673" s="380">
        <v>0</v>
      </c>
      <c r="X673" s="380">
        <v>0</v>
      </c>
      <c r="Y673" s="380">
        <v>0</v>
      </c>
      <c r="Z673" s="380">
        <v>0</v>
      </c>
      <c r="AA673" s="376" t="s">
        <v>846</v>
      </c>
      <c r="AB673" s="376" t="s">
        <v>847</v>
      </c>
      <c r="AC673" s="376" t="s">
        <v>848</v>
      </c>
      <c r="AD673" s="376" t="s">
        <v>220</v>
      </c>
      <c r="AE673" s="376" t="s">
        <v>803</v>
      </c>
      <c r="AF673" s="376" t="s">
        <v>248</v>
      </c>
      <c r="AG673" s="376" t="s">
        <v>177</v>
      </c>
      <c r="AH673" s="381">
        <v>37.54</v>
      </c>
      <c r="AI673" s="379">
        <v>20132</v>
      </c>
      <c r="AJ673" s="376" t="s">
        <v>178</v>
      </c>
      <c r="AK673" s="376" t="s">
        <v>179</v>
      </c>
      <c r="AL673" s="376" t="s">
        <v>180</v>
      </c>
      <c r="AM673" s="376" t="s">
        <v>181</v>
      </c>
      <c r="AN673" s="376" t="s">
        <v>68</v>
      </c>
      <c r="AO673" s="379">
        <v>80</v>
      </c>
      <c r="AP673" s="460">
        <v>1</v>
      </c>
      <c r="AQ673" s="460">
        <v>0</v>
      </c>
      <c r="AR673" s="458" t="s">
        <v>182</v>
      </c>
      <c r="AS673" s="462">
        <f t="shared" si="170"/>
        <v>0</v>
      </c>
      <c r="AT673">
        <f t="shared" si="171"/>
        <v>0</v>
      </c>
      <c r="AU673" s="462" t="str">
        <f>IF(AT673=0,"",IF(AND(AT673=1,M673="F",SUMIF(C2:C698,C673,AS2:AS698)&lt;=1),SUMIF(C2:C698,C673,AS2:AS698),IF(AND(AT673=1,M673="F",SUMIF(C2:C698,C673,AS2:AS698)&gt;1),1,"")))</f>
        <v/>
      </c>
      <c r="AV673" s="462" t="str">
        <f>IF(AT673=0,"",IF(AND(AT673=3,M673="F",SUMIF(C2:C698,C673,AS2:AS698)&lt;=1),SUMIF(C2:C698,C673,AS2:AS698),IF(AND(AT673=3,M673="F",SUMIF(C2:C698,C673,AS2:AS698)&gt;1),1,"")))</f>
        <v/>
      </c>
      <c r="AW673" s="462">
        <f>SUMIF(C2:C698,C673,O2:O698)</f>
        <v>2</v>
      </c>
      <c r="AX673" s="462">
        <f>IF(AND(M673="F",AS673&lt;&gt;0),SUMIF(C2:C698,C673,W2:W698),0)</f>
        <v>0</v>
      </c>
      <c r="AY673" s="462" t="str">
        <f t="shared" si="172"/>
        <v/>
      </c>
      <c r="AZ673" s="462" t="str">
        <f t="shared" si="173"/>
        <v/>
      </c>
      <c r="BA673" s="462">
        <f t="shared" si="174"/>
        <v>0</v>
      </c>
      <c r="BB673" s="462">
        <f>IF(AND(AT673=1,AK673="E",AU673&gt;=0.75,AW673=1),Health,IF(AND(AT673=1,AK673="E",AU673&gt;=0.75),Health*P673,IF(AND(AT673=1,AK673="E",AU673&gt;=0.5,AW673=1),PTHealth,IF(AND(AT673=1,AK673="E",AU673&gt;=0.5),PTHealth*P673,0))))</f>
        <v>0</v>
      </c>
      <c r="BC673" s="462">
        <f>IF(AND(AT673=3,AK673="E",AV673&gt;=0.75,AW673=1),Health,IF(AND(AT673=3,AK673="E",AV673&gt;=0.75),Health*P673,IF(AND(AT673=3,AK673="E",AV673&gt;=0.5,AW673=1),PTHealth,IF(AND(AT673=3,AK673="E",AV673&gt;=0.5),PTHealth*P673,0))))</f>
        <v>0</v>
      </c>
      <c r="BD673" s="462">
        <f>IF(AND(AT673&lt;&gt;0,AX673&gt;=MAXSSDI),SSDI*MAXSSDI*P673,IF(AT673&lt;&gt;0,SSDI*W673,0))</f>
        <v>0</v>
      </c>
      <c r="BE673" s="462">
        <f>IF(AT673&lt;&gt;0,SSHI*W673,0)</f>
        <v>0</v>
      </c>
      <c r="BF673" s="462">
        <f>IF(AND(AT673&lt;&gt;0,AN673&lt;&gt;"NE"),VLOOKUP(AN673,Retirement_Rates,3,FALSE)*W673,0)</f>
        <v>0</v>
      </c>
      <c r="BG673" s="462">
        <f>IF(AND(AT673&lt;&gt;0,AJ673&lt;&gt;"PF"),Life*W673,0)</f>
        <v>0</v>
      </c>
      <c r="BH673" s="462">
        <f>IF(AND(AT673&lt;&gt;0,AM673="Y"),UI*W673,0)</f>
        <v>0</v>
      </c>
      <c r="BI673" s="462">
        <f>IF(AND(AT673&lt;&gt;0,N673&lt;&gt;"NR"),DHR*W673,0)</f>
        <v>0</v>
      </c>
      <c r="BJ673" s="462">
        <f>IF(AT673&lt;&gt;0,WC*W673,0)</f>
        <v>0</v>
      </c>
      <c r="BK673" s="462">
        <f>IF(OR(AND(AT673&lt;&gt;0,AJ673&lt;&gt;"PF",AN673&lt;&gt;"NE",AG673&lt;&gt;"A"),AND(AL673="E",OR(AT673=1,AT673=3))),Sick*W673,0)</f>
        <v>0</v>
      </c>
      <c r="BL673" s="462">
        <f t="shared" si="175"/>
        <v>0</v>
      </c>
      <c r="BM673" s="462">
        <f t="shared" si="176"/>
        <v>0</v>
      </c>
      <c r="BN673" s="462">
        <f>IF(AND(AT673=1,AK673="E",AU673&gt;=0.75,AW673=1),HealthBY,IF(AND(AT673=1,AK673="E",AU673&gt;=0.75),HealthBY*P673,IF(AND(AT673=1,AK673="E",AU673&gt;=0.5,AW673=1),PTHealthBY,IF(AND(AT673=1,AK673="E",AU673&gt;=0.5),PTHealthBY*P673,0))))</f>
        <v>0</v>
      </c>
      <c r="BO673" s="462">
        <f>IF(AND(AT673=3,AK673="E",AV673&gt;=0.75,AW673=1),HealthBY,IF(AND(AT673=3,AK673="E",AV673&gt;=0.75),HealthBY*P673,IF(AND(AT673=3,AK673="E",AV673&gt;=0.5,AW673=1),PTHealthBY,IF(AND(AT673=3,AK673="E",AV673&gt;=0.5),PTHealthBY*P673,0))))</f>
        <v>0</v>
      </c>
      <c r="BP673" s="462">
        <f>IF(AND(AT673&lt;&gt;0,(AX673+BA673)&gt;=MAXSSDIBY),SSDIBY*MAXSSDIBY*P673,IF(AT673&lt;&gt;0,SSDIBY*W673,0))</f>
        <v>0</v>
      </c>
      <c r="BQ673" s="462">
        <f>IF(AT673&lt;&gt;0,SSHIBY*W673,0)</f>
        <v>0</v>
      </c>
      <c r="BR673" s="462">
        <f>IF(AND(AT673&lt;&gt;0,AN673&lt;&gt;"NE"),VLOOKUP(AN673,Retirement_Rates,4,FALSE)*W673,0)</f>
        <v>0</v>
      </c>
      <c r="BS673" s="462">
        <f>IF(AND(AT673&lt;&gt;0,AJ673&lt;&gt;"PF"),LifeBY*W673,0)</f>
        <v>0</v>
      </c>
      <c r="BT673" s="462">
        <f>IF(AND(AT673&lt;&gt;0,AM673="Y"),UIBY*W673,0)</f>
        <v>0</v>
      </c>
      <c r="BU673" s="462">
        <f>IF(AND(AT673&lt;&gt;0,N673&lt;&gt;"NR"),DHRBY*W673,0)</f>
        <v>0</v>
      </c>
      <c r="BV673" s="462">
        <f>IF(AT673&lt;&gt;0,WCBY*W673,0)</f>
        <v>0</v>
      </c>
      <c r="BW673" s="462">
        <f>IF(OR(AND(AT673&lt;&gt;0,AJ673&lt;&gt;"PF",AN673&lt;&gt;"NE",AG673&lt;&gt;"A"),AND(AL673="E",OR(AT673=1,AT673=3))),SickBY*W673,0)</f>
        <v>0</v>
      </c>
      <c r="BX673" s="462">
        <f t="shared" si="177"/>
        <v>0</v>
      </c>
      <c r="BY673" s="462">
        <f t="shared" si="178"/>
        <v>0</v>
      </c>
      <c r="BZ673" s="462">
        <f t="shared" si="179"/>
        <v>0</v>
      </c>
      <c r="CA673" s="462">
        <f t="shared" si="180"/>
        <v>0</v>
      </c>
      <c r="CB673" s="462">
        <f t="shared" si="181"/>
        <v>0</v>
      </c>
      <c r="CC673" s="462">
        <f>IF(AT673&lt;&gt;0,SSHICHG*Y673,0)</f>
        <v>0</v>
      </c>
      <c r="CD673" s="462">
        <f>IF(AND(AT673&lt;&gt;0,AN673&lt;&gt;"NE"),VLOOKUP(AN673,Retirement_Rates,5,FALSE)*Y673,0)</f>
        <v>0</v>
      </c>
      <c r="CE673" s="462">
        <f>IF(AND(AT673&lt;&gt;0,AJ673&lt;&gt;"PF"),LifeCHG*Y673,0)</f>
        <v>0</v>
      </c>
      <c r="CF673" s="462">
        <f>IF(AND(AT673&lt;&gt;0,AM673="Y"),UICHG*Y673,0)</f>
        <v>0</v>
      </c>
      <c r="CG673" s="462">
        <f>IF(AND(AT673&lt;&gt;0,N673&lt;&gt;"NR"),DHRCHG*Y673,0)</f>
        <v>0</v>
      </c>
      <c r="CH673" s="462">
        <f>IF(AT673&lt;&gt;0,WCCHG*Y673,0)</f>
        <v>0</v>
      </c>
      <c r="CI673" s="462">
        <f>IF(OR(AND(AT673&lt;&gt;0,AJ673&lt;&gt;"PF",AN673&lt;&gt;"NE",AG673&lt;&gt;"A"),AND(AL673="E",OR(AT673=1,AT673=3))),SickCHG*Y673,0)</f>
        <v>0</v>
      </c>
      <c r="CJ673" s="462">
        <f t="shared" si="182"/>
        <v>0</v>
      </c>
      <c r="CK673" s="462" t="str">
        <f t="shared" si="183"/>
        <v/>
      </c>
      <c r="CL673" s="462" t="str">
        <f t="shared" si="184"/>
        <v/>
      </c>
      <c r="CM673" s="462" t="str">
        <f t="shared" si="185"/>
        <v/>
      </c>
      <c r="CN673" s="462" t="str">
        <f t="shared" si="186"/>
        <v>0348-00</v>
      </c>
    </row>
    <row r="674" spans="1:92" ht="15" thickBot="1" x14ac:dyDescent="0.35">
      <c r="A674" s="376" t="s">
        <v>161</v>
      </c>
      <c r="B674" s="376" t="s">
        <v>162</v>
      </c>
      <c r="C674" s="376" t="s">
        <v>1051</v>
      </c>
      <c r="D674" s="376" t="s">
        <v>272</v>
      </c>
      <c r="E674" s="376" t="s">
        <v>759</v>
      </c>
      <c r="F674" s="377" t="s">
        <v>166</v>
      </c>
      <c r="G674" s="376" t="s">
        <v>1352</v>
      </c>
      <c r="H674" s="378"/>
      <c r="I674" s="378"/>
      <c r="J674" s="376" t="s">
        <v>168</v>
      </c>
      <c r="K674" s="376" t="s">
        <v>273</v>
      </c>
      <c r="L674" s="376" t="s">
        <v>274</v>
      </c>
      <c r="M674" s="376" t="s">
        <v>170</v>
      </c>
      <c r="N674" s="376" t="s">
        <v>202</v>
      </c>
      <c r="O674" s="379">
        <v>1</v>
      </c>
      <c r="P674" s="460">
        <v>0</v>
      </c>
      <c r="Q674" s="460">
        <v>0</v>
      </c>
      <c r="R674" s="380">
        <v>80</v>
      </c>
      <c r="S674" s="460">
        <v>0</v>
      </c>
      <c r="T674" s="380">
        <v>13249.93</v>
      </c>
      <c r="U674" s="380">
        <v>0</v>
      </c>
      <c r="V674" s="380">
        <v>7531.51</v>
      </c>
      <c r="W674" s="380">
        <v>0</v>
      </c>
      <c r="X674" s="380">
        <v>0</v>
      </c>
      <c r="Y674" s="380">
        <v>0</v>
      </c>
      <c r="Z674" s="380">
        <v>0</v>
      </c>
      <c r="AA674" s="376" t="s">
        <v>1052</v>
      </c>
      <c r="AB674" s="376" t="s">
        <v>1053</v>
      </c>
      <c r="AC674" s="376" t="s">
        <v>1054</v>
      </c>
      <c r="AD674" s="376" t="s">
        <v>349</v>
      </c>
      <c r="AE674" s="376" t="s">
        <v>273</v>
      </c>
      <c r="AF674" s="376" t="s">
        <v>279</v>
      </c>
      <c r="AG674" s="376" t="s">
        <v>177</v>
      </c>
      <c r="AH674" s="381">
        <v>17.5</v>
      </c>
      <c r="AI674" s="379">
        <v>784</v>
      </c>
      <c r="AJ674" s="376" t="s">
        <v>178</v>
      </c>
      <c r="AK674" s="376" t="s">
        <v>179</v>
      </c>
      <c r="AL674" s="376" t="s">
        <v>180</v>
      </c>
      <c r="AM674" s="376" t="s">
        <v>181</v>
      </c>
      <c r="AN674" s="376" t="s">
        <v>68</v>
      </c>
      <c r="AO674" s="379">
        <v>80</v>
      </c>
      <c r="AP674" s="460">
        <v>1</v>
      </c>
      <c r="AQ674" s="460">
        <v>0</v>
      </c>
      <c r="AR674" s="458" t="s">
        <v>182</v>
      </c>
      <c r="AS674" s="462">
        <f t="shared" si="170"/>
        <v>0</v>
      </c>
      <c r="AT674">
        <f t="shared" si="171"/>
        <v>0</v>
      </c>
      <c r="AU674" s="462" t="str">
        <f>IF(AT674=0,"",IF(AND(AT674=1,M674="F",SUMIF(C2:C698,C674,AS2:AS698)&lt;=1),SUMIF(C2:C698,C674,AS2:AS698),IF(AND(AT674=1,M674="F",SUMIF(C2:C698,C674,AS2:AS698)&gt;1),1,"")))</f>
        <v/>
      </c>
      <c r="AV674" s="462" t="str">
        <f>IF(AT674=0,"",IF(AND(AT674=3,M674="F",SUMIF(C2:C698,C674,AS2:AS698)&lt;=1),SUMIF(C2:C698,C674,AS2:AS698),IF(AND(AT674=3,M674="F",SUMIF(C2:C698,C674,AS2:AS698)&gt;1),1,"")))</f>
        <v/>
      </c>
      <c r="AW674" s="462">
        <f>SUMIF(C2:C698,C674,O2:O698)</f>
        <v>3</v>
      </c>
      <c r="AX674" s="462">
        <f>IF(AND(M674="F",AS674&lt;&gt;0),SUMIF(C2:C698,C674,W2:W698),0)</f>
        <v>0</v>
      </c>
      <c r="AY674" s="462" t="str">
        <f t="shared" si="172"/>
        <v/>
      </c>
      <c r="AZ674" s="462" t="str">
        <f t="shared" si="173"/>
        <v/>
      </c>
      <c r="BA674" s="462">
        <f t="shared" si="174"/>
        <v>0</v>
      </c>
      <c r="BB674" s="462">
        <f>IF(AND(AT674=1,AK674="E",AU674&gt;=0.75,AW674=1),Health,IF(AND(AT674=1,AK674="E",AU674&gt;=0.75),Health*P674,IF(AND(AT674=1,AK674="E",AU674&gt;=0.5,AW674=1),PTHealth,IF(AND(AT674=1,AK674="E",AU674&gt;=0.5),PTHealth*P674,0))))</f>
        <v>0</v>
      </c>
      <c r="BC674" s="462">
        <f>IF(AND(AT674=3,AK674="E",AV674&gt;=0.75,AW674=1),Health,IF(AND(AT674=3,AK674="E",AV674&gt;=0.75),Health*P674,IF(AND(AT674=3,AK674="E",AV674&gt;=0.5,AW674=1),PTHealth,IF(AND(AT674=3,AK674="E",AV674&gt;=0.5),PTHealth*P674,0))))</f>
        <v>0</v>
      </c>
      <c r="BD674" s="462">
        <f>IF(AND(AT674&lt;&gt;0,AX674&gt;=MAXSSDI),SSDI*MAXSSDI*P674,IF(AT674&lt;&gt;0,SSDI*W674,0))</f>
        <v>0</v>
      </c>
      <c r="BE674" s="462">
        <f>IF(AT674&lt;&gt;0,SSHI*W674,0)</f>
        <v>0</v>
      </c>
      <c r="BF674" s="462">
        <f>IF(AND(AT674&lt;&gt;0,AN674&lt;&gt;"NE"),VLOOKUP(AN674,Retirement_Rates,3,FALSE)*W674,0)</f>
        <v>0</v>
      </c>
      <c r="BG674" s="462">
        <f>IF(AND(AT674&lt;&gt;0,AJ674&lt;&gt;"PF"),Life*W674,0)</f>
        <v>0</v>
      </c>
      <c r="BH674" s="462">
        <f>IF(AND(AT674&lt;&gt;0,AM674="Y"),UI*W674,0)</f>
        <v>0</v>
      </c>
      <c r="BI674" s="462">
        <f>IF(AND(AT674&lt;&gt;0,N674&lt;&gt;"NR"),DHR*W674,0)</f>
        <v>0</v>
      </c>
      <c r="BJ674" s="462">
        <f>IF(AT674&lt;&gt;0,WC*W674,0)</f>
        <v>0</v>
      </c>
      <c r="BK674" s="462">
        <f>IF(OR(AND(AT674&lt;&gt;0,AJ674&lt;&gt;"PF",AN674&lt;&gt;"NE",AG674&lt;&gt;"A"),AND(AL674="E",OR(AT674=1,AT674=3))),Sick*W674,0)</f>
        <v>0</v>
      </c>
      <c r="BL674" s="462">
        <f t="shared" si="175"/>
        <v>0</v>
      </c>
      <c r="BM674" s="462">
        <f t="shared" si="176"/>
        <v>0</v>
      </c>
      <c r="BN674" s="462">
        <f>IF(AND(AT674=1,AK674="E",AU674&gt;=0.75,AW674=1),HealthBY,IF(AND(AT674=1,AK674="E",AU674&gt;=0.75),HealthBY*P674,IF(AND(AT674=1,AK674="E",AU674&gt;=0.5,AW674=1),PTHealthBY,IF(AND(AT674=1,AK674="E",AU674&gt;=0.5),PTHealthBY*P674,0))))</f>
        <v>0</v>
      </c>
      <c r="BO674" s="462">
        <f>IF(AND(AT674=3,AK674="E",AV674&gt;=0.75,AW674=1),HealthBY,IF(AND(AT674=3,AK674="E",AV674&gt;=0.75),HealthBY*P674,IF(AND(AT674=3,AK674="E",AV674&gt;=0.5,AW674=1),PTHealthBY,IF(AND(AT674=3,AK674="E",AV674&gt;=0.5),PTHealthBY*P674,0))))</f>
        <v>0</v>
      </c>
      <c r="BP674" s="462">
        <f>IF(AND(AT674&lt;&gt;0,(AX674+BA674)&gt;=MAXSSDIBY),SSDIBY*MAXSSDIBY*P674,IF(AT674&lt;&gt;0,SSDIBY*W674,0))</f>
        <v>0</v>
      </c>
      <c r="BQ674" s="462">
        <f>IF(AT674&lt;&gt;0,SSHIBY*W674,0)</f>
        <v>0</v>
      </c>
      <c r="BR674" s="462">
        <f>IF(AND(AT674&lt;&gt;0,AN674&lt;&gt;"NE"),VLOOKUP(AN674,Retirement_Rates,4,FALSE)*W674,0)</f>
        <v>0</v>
      </c>
      <c r="BS674" s="462">
        <f>IF(AND(AT674&lt;&gt;0,AJ674&lt;&gt;"PF"),LifeBY*W674,0)</f>
        <v>0</v>
      </c>
      <c r="BT674" s="462">
        <f>IF(AND(AT674&lt;&gt;0,AM674="Y"),UIBY*W674,0)</f>
        <v>0</v>
      </c>
      <c r="BU674" s="462">
        <f>IF(AND(AT674&lt;&gt;0,N674&lt;&gt;"NR"),DHRBY*W674,0)</f>
        <v>0</v>
      </c>
      <c r="BV674" s="462">
        <f>IF(AT674&lt;&gt;0,WCBY*W674,0)</f>
        <v>0</v>
      </c>
      <c r="BW674" s="462">
        <f>IF(OR(AND(AT674&lt;&gt;0,AJ674&lt;&gt;"PF",AN674&lt;&gt;"NE",AG674&lt;&gt;"A"),AND(AL674="E",OR(AT674=1,AT674=3))),SickBY*W674,0)</f>
        <v>0</v>
      </c>
      <c r="BX674" s="462">
        <f t="shared" si="177"/>
        <v>0</v>
      </c>
      <c r="BY674" s="462">
        <f t="shared" si="178"/>
        <v>0</v>
      </c>
      <c r="BZ674" s="462">
        <f t="shared" si="179"/>
        <v>0</v>
      </c>
      <c r="CA674" s="462">
        <f t="shared" si="180"/>
        <v>0</v>
      </c>
      <c r="CB674" s="462">
        <f t="shared" si="181"/>
        <v>0</v>
      </c>
      <c r="CC674" s="462">
        <f>IF(AT674&lt;&gt;0,SSHICHG*Y674,0)</f>
        <v>0</v>
      </c>
      <c r="CD674" s="462">
        <f>IF(AND(AT674&lt;&gt;0,AN674&lt;&gt;"NE"),VLOOKUP(AN674,Retirement_Rates,5,FALSE)*Y674,0)</f>
        <v>0</v>
      </c>
      <c r="CE674" s="462">
        <f>IF(AND(AT674&lt;&gt;0,AJ674&lt;&gt;"PF"),LifeCHG*Y674,0)</f>
        <v>0</v>
      </c>
      <c r="CF674" s="462">
        <f>IF(AND(AT674&lt;&gt;0,AM674="Y"),UICHG*Y674,0)</f>
        <v>0</v>
      </c>
      <c r="CG674" s="462">
        <f>IF(AND(AT674&lt;&gt;0,N674&lt;&gt;"NR"),DHRCHG*Y674,0)</f>
        <v>0</v>
      </c>
      <c r="CH674" s="462">
        <f>IF(AT674&lt;&gt;0,WCCHG*Y674,0)</f>
        <v>0</v>
      </c>
      <c r="CI674" s="462">
        <f>IF(OR(AND(AT674&lt;&gt;0,AJ674&lt;&gt;"PF",AN674&lt;&gt;"NE",AG674&lt;&gt;"A"),AND(AL674="E",OR(AT674=1,AT674=3))),SickCHG*Y674,0)</f>
        <v>0</v>
      </c>
      <c r="CJ674" s="462">
        <f t="shared" si="182"/>
        <v>0</v>
      </c>
      <c r="CK674" s="462" t="str">
        <f t="shared" si="183"/>
        <v/>
      </c>
      <c r="CL674" s="462" t="str">
        <f t="shared" si="184"/>
        <v/>
      </c>
      <c r="CM674" s="462" t="str">
        <f t="shared" si="185"/>
        <v/>
      </c>
      <c r="CN674" s="462" t="str">
        <f t="shared" si="186"/>
        <v>0348-00</v>
      </c>
    </row>
    <row r="675" spans="1:92" ht="15" thickBot="1" x14ac:dyDescent="0.35">
      <c r="A675" s="376" t="s">
        <v>161</v>
      </c>
      <c r="B675" s="376" t="s">
        <v>162</v>
      </c>
      <c r="C675" s="376" t="s">
        <v>390</v>
      </c>
      <c r="D675" s="376" t="s">
        <v>339</v>
      </c>
      <c r="E675" s="376" t="s">
        <v>759</v>
      </c>
      <c r="F675" s="377" t="s">
        <v>166</v>
      </c>
      <c r="G675" s="376" t="s">
        <v>1352</v>
      </c>
      <c r="H675" s="378"/>
      <c r="I675" s="378"/>
      <c r="J675" s="376" t="s">
        <v>185</v>
      </c>
      <c r="K675" s="376" t="s">
        <v>340</v>
      </c>
      <c r="L675" s="376" t="s">
        <v>247</v>
      </c>
      <c r="M675" s="376" t="s">
        <v>170</v>
      </c>
      <c r="N675" s="376" t="s">
        <v>202</v>
      </c>
      <c r="O675" s="379">
        <v>1</v>
      </c>
      <c r="P675" s="460">
        <v>0</v>
      </c>
      <c r="Q675" s="460">
        <v>0</v>
      </c>
      <c r="R675" s="380">
        <v>80</v>
      </c>
      <c r="S675" s="460">
        <v>0</v>
      </c>
      <c r="T675" s="380">
        <v>9238.2800000000007</v>
      </c>
      <c r="U675" s="380">
        <v>0</v>
      </c>
      <c r="V675" s="380">
        <v>3294.44</v>
      </c>
      <c r="W675" s="380">
        <v>0</v>
      </c>
      <c r="X675" s="380">
        <v>0</v>
      </c>
      <c r="Y675" s="380">
        <v>0</v>
      </c>
      <c r="Z675" s="380">
        <v>0</v>
      </c>
      <c r="AA675" s="376" t="s">
        <v>391</v>
      </c>
      <c r="AB675" s="376" t="s">
        <v>392</v>
      </c>
      <c r="AC675" s="376" t="s">
        <v>393</v>
      </c>
      <c r="AD675" s="376" t="s">
        <v>394</v>
      </c>
      <c r="AE675" s="376" t="s">
        <v>340</v>
      </c>
      <c r="AF675" s="376" t="s">
        <v>299</v>
      </c>
      <c r="AG675" s="376" t="s">
        <v>177</v>
      </c>
      <c r="AH675" s="381">
        <v>41.15</v>
      </c>
      <c r="AI675" s="379">
        <v>33121</v>
      </c>
      <c r="AJ675" s="376" t="s">
        <v>178</v>
      </c>
      <c r="AK675" s="376" t="s">
        <v>179</v>
      </c>
      <c r="AL675" s="376" t="s">
        <v>180</v>
      </c>
      <c r="AM675" s="376" t="s">
        <v>181</v>
      </c>
      <c r="AN675" s="376" t="s">
        <v>68</v>
      </c>
      <c r="AO675" s="379">
        <v>80</v>
      </c>
      <c r="AP675" s="460">
        <v>1</v>
      </c>
      <c r="AQ675" s="460">
        <v>0</v>
      </c>
      <c r="AR675" s="458" t="s">
        <v>182</v>
      </c>
      <c r="AS675" s="462">
        <f t="shared" si="170"/>
        <v>0</v>
      </c>
      <c r="AT675">
        <f t="shared" si="171"/>
        <v>0</v>
      </c>
      <c r="AU675" s="462" t="str">
        <f>IF(AT675=0,"",IF(AND(AT675=1,M675="F",SUMIF(C2:C698,C675,AS2:AS698)&lt;=1),SUMIF(C2:C698,C675,AS2:AS698),IF(AND(AT675=1,M675="F",SUMIF(C2:C698,C675,AS2:AS698)&gt;1),1,"")))</f>
        <v/>
      </c>
      <c r="AV675" s="462" t="str">
        <f>IF(AT675=0,"",IF(AND(AT675=3,M675="F",SUMIF(C2:C698,C675,AS2:AS698)&lt;=1),SUMIF(C2:C698,C675,AS2:AS698),IF(AND(AT675=3,M675="F",SUMIF(C2:C698,C675,AS2:AS698)&gt;1),1,"")))</f>
        <v/>
      </c>
      <c r="AW675" s="462">
        <f>SUMIF(C2:C698,C675,O2:O698)</f>
        <v>6</v>
      </c>
      <c r="AX675" s="462">
        <f>IF(AND(M675="F",AS675&lt;&gt;0),SUMIF(C2:C698,C675,W2:W698),0)</f>
        <v>0</v>
      </c>
      <c r="AY675" s="462" t="str">
        <f t="shared" si="172"/>
        <v/>
      </c>
      <c r="AZ675" s="462" t="str">
        <f t="shared" si="173"/>
        <v/>
      </c>
      <c r="BA675" s="462">
        <f t="shared" si="174"/>
        <v>0</v>
      </c>
      <c r="BB675" s="462">
        <f>IF(AND(AT675=1,AK675="E",AU675&gt;=0.75,AW675=1),Health,IF(AND(AT675=1,AK675="E",AU675&gt;=0.75),Health*P675,IF(AND(AT675=1,AK675="E",AU675&gt;=0.5,AW675=1),PTHealth,IF(AND(AT675=1,AK675="E",AU675&gt;=0.5),PTHealth*P675,0))))</f>
        <v>0</v>
      </c>
      <c r="BC675" s="462">
        <f>IF(AND(AT675=3,AK675="E",AV675&gt;=0.75,AW675=1),Health,IF(AND(AT675=3,AK675="E",AV675&gt;=0.75),Health*P675,IF(AND(AT675=3,AK675="E",AV675&gt;=0.5,AW675=1),PTHealth,IF(AND(AT675=3,AK675="E",AV675&gt;=0.5),PTHealth*P675,0))))</f>
        <v>0</v>
      </c>
      <c r="BD675" s="462">
        <f>IF(AND(AT675&lt;&gt;0,AX675&gt;=MAXSSDI),SSDI*MAXSSDI*P675,IF(AT675&lt;&gt;0,SSDI*W675,0))</f>
        <v>0</v>
      </c>
      <c r="BE675" s="462">
        <f>IF(AT675&lt;&gt;0,SSHI*W675,0)</f>
        <v>0</v>
      </c>
      <c r="BF675" s="462">
        <f>IF(AND(AT675&lt;&gt;0,AN675&lt;&gt;"NE"),VLOOKUP(AN675,Retirement_Rates,3,FALSE)*W675,0)</f>
        <v>0</v>
      </c>
      <c r="BG675" s="462">
        <f>IF(AND(AT675&lt;&gt;0,AJ675&lt;&gt;"PF"),Life*W675,0)</f>
        <v>0</v>
      </c>
      <c r="BH675" s="462">
        <f>IF(AND(AT675&lt;&gt;0,AM675="Y"),UI*W675,0)</f>
        <v>0</v>
      </c>
      <c r="BI675" s="462">
        <f>IF(AND(AT675&lt;&gt;0,N675&lt;&gt;"NR"),DHR*W675,0)</f>
        <v>0</v>
      </c>
      <c r="BJ675" s="462">
        <f>IF(AT675&lt;&gt;0,WC*W675,0)</f>
        <v>0</v>
      </c>
      <c r="BK675" s="462">
        <f>IF(OR(AND(AT675&lt;&gt;0,AJ675&lt;&gt;"PF",AN675&lt;&gt;"NE",AG675&lt;&gt;"A"),AND(AL675="E",OR(AT675=1,AT675=3))),Sick*W675,0)</f>
        <v>0</v>
      </c>
      <c r="BL675" s="462">
        <f t="shared" si="175"/>
        <v>0</v>
      </c>
      <c r="BM675" s="462">
        <f t="shared" si="176"/>
        <v>0</v>
      </c>
      <c r="BN675" s="462">
        <f>IF(AND(AT675=1,AK675="E",AU675&gt;=0.75,AW675=1),HealthBY,IF(AND(AT675=1,AK675="E",AU675&gt;=0.75),HealthBY*P675,IF(AND(AT675=1,AK675="E",AU675&gt;=0.5,AW675=1),PTHealthBY,IF(AND(AT675=1,AK675="E",AU675&gt;=0.5),PTHealthBY*P675,0))))</f>
        <v>0</v>
      </c>
      <c r="BO675" s="462">
        <f>IF(AND(AT675=3,AK675="E",AV675&gt;=0.75,AW675=1),HealthBY,IF(AND(AT675=3,AK675="E",AV675&gt;=0.75),HealthBY*P675,IF(AND(AT675=3,AK675="E",AV675&gt;=0.5,AW675=1),PTHealthBY,IF(AND(AT675=3,AK675="E",AV675&gt;=0.5),PTHealthBY*P675,0))))</f>
        <v>0</v>
      </c>
      <c r="BP675" s="462">
        <f>IF(AND(AT675&lt;&gt;0,(AX675+BA675)&gt;=MAXSSDIBY),SSDIBY*MAXSSDIBY*P675,IF(AT675&lt;&gt;0,SSDIBY*W675,0))</f>
        <v>0</v>
      </c>
      <c r="BQ675" s="462">
        <f>IF(AT675&lt;&gt;0,SSHIBY*W675,0)</f>
        <v>0</v>
      </c>
      <c r="BR675" s="462">
        <f>IF(AND(AT675&lt;&gt;0,AN675&lt;&gt;"NE"),VLOOKUP(AN675,Retirement_Rates,4,FALSE)*W675,0)</f>
        <v>0</v>
      </c>
      <c r="BS675" s="462">
        <f>IF(AND(AT675&lt;&gt;0,AJ675&lt;&gt;"PF"),LifeBY*W675,0)</f>
        <v>0</v>
      </c>
      <c r="BT675" s="462">
        <f>IF(AND(AT675&lt;&gt;0,AM675="Y"),UIBY*W675,0)</f>
        <v>0</v>
      </c>
      <c r="BU675" s="462">
        <f>IF(AND(AT675&lt;&gt;0,N675&lt;&gt;"NR"),DHRBY*W675,0)</f>
        <v>0</v>
      </c>
      <c r="BV675" s="462">
        <f>IF(AT675&lt;&gt;0,WCBY*W675,0)</f>
        <v>0</v>
      </c>
      <c r="BW675" s="462">
        <f>IF(OR(AND(AT675&lt;&gt;0,AJ675&lt;&gt;"PF",AN675&lt;&gt;"NE",AG675&lt;&gt;"A"),AND(AL675="E",OR(AT675=1,AT675=3))),SickBY*W675,0)</f>
        <v>0</v>
      </c>
      <c r="BX675" s="462">
        <f t="shared" si="177"/>
        <v>0</v>
      </c>
      <c r="BY675" s="462">
        <f t="shared" si="178"/>
        <v>0</v>
      </c>
      <c r="BZ675" s="462">
        <f t="shared" si="179"/>
        <v>0</v>
      </c>
      <c r="CA675" s="462">
        <f t="shared" si="180"/>
        <v>0</v>
      </c>
      <c r="CB675" s="462">
        <f t="shared" si="181"/>
        <v>0</v>
      </c>
      <c r="CC675" s="462">
        <f>IF(AT675&lt;&gt;0,SSHICHG*Y675,0)</f>
        <v>0</v>
      </c>
      <c r="CD675" s="462">
        <f>IF(AND(AT675&lt;&gt;0,AN675&lt;&gt;"NE"),VLOOKUP(AN675,Retirement_Rates,5,FALSE)*Y675,0)</f>
        <v>0</v>
      </c>
      <c r="CE675" s="462">
        <f>IF(AND(AT675&lt;&gt;0,AJ675&lt;&gt;"PF"),LifeCHG*Y675,0)</f>
        <v>0</v>
      </c>
      <c r="CF675" s="462">
        <f>IF(AND(AT675&lt;&gt;0,AM675="Y"),UICHG*Y675,0)</f>
        <v>0</v>
      </c>
      <c r="CG675" s="462">
        <f>IF(AND(AT675&lt;&gt;0,N675&lt;&gt;"NR"),DHRCHG*Y675,0)</f>
        <v>0</v>
      </c>
      <c r="CH675" s="462">
        <f>IF(AT675&lt;&gt;0,WCCHG*Y675,0)</f>
        <v>0</v>
      </c>
      <c r="CI675" s="462">
        <f>IF(OR(AND(AT675&lt;&gt;0,AJ675&lt;&gt;"PF",AN675&lt;&gt;"NE",AG675&lt;&gt;"A"),AND(AL675="E",OR(AT675=1,AT675=3))),SickCHG*Y675,0)</f>
        <v>0</v>
      </c>
      <c r="CJ675" s="462">
        <f t="shared" si="182"/>
        <v>0</v>
      </c>
      <c r="CK675" s="462" t="str">
        <f t="shared" si="183"/>
        <v/>
      </c>
      <c r="CL675" s="462" t="str">
        <f t="shared" si="184"/>
        <v/>
      </c>
      <c r="CM675" s="462" t="str">
        <f t="shared" si="185"/>
        <v/>
      </c>
      <c r="CN675" s="462" t="str">
        <f t="shared" si="186"/>
        <v>0348-00</v>
      </c>
    </row>
    <row r="676" spans="1:92" ht="15" thickBot="1" x14ac:dyDescent="0.35">
      <c r="A676" s="376" t="s">
        <v>161</v>
      </c>
      <c r="B676" s="376" t="s">
        <v>162</v>
      </c>
      <c r="C676" s="376" t="s">
        <v>1362</v>
      </c>
      <c r="D676" s="376" t="s">
        <v>716</v>
      </c>
      <c r="E676" s="376" t="s">
        <v>759</v>
      </c>
      <c r="F676" s="377" t="s">
        <v>166</v>
      </c>
      <c r="G676" s="376" t="s">
        <v>1352</v>
      </c>
      <c r="H676" s="378"/>
      <c r="I676" s="378"/>
      <c r="J676" s="376" t="s">
        <v>168</v>
      </c>
      <c r="K676" s="376" t="s">
        <v>717</v>
      </c>
      <c r="L676" s="376" t="s">
        <v>349</v>
      </c>
      <c r="M676" s="376" t="s">
        <v>201</v>
      </c>
      <c r="N676" s="376" t="s">
        <v>291</v>
      </c>
      <c r="O676" s="379">
        <v>0</v>
      </c>
      <c r="P676" s="460">
        <v>1</v>
      </c>
      <c r="Q676" s="460">
        <v>0</v>
      </c>
      <c r="R676" s="380">
        <v>0</v>
      </c>
      <c r="S676" s="460">
        <v>0</v>
      </c>
      <c r="T676" s="380">
        <v>0</v>
      </c>
      <c r="U676" s="380">
        <v>0</v>
      </c>
      <c r="V676" s="380">
        <v>0</v>
      </c>
      <c r="W676" s="380">
        <v>0</v>
      </c>
      <c r="X676" s="380">
        <v>0</v>
      </c>
      <c r="Y676" s="380">
        <v>0</v>
      </c>
      <c r="Z676" s="380">
        <v>0</v>
      </c>
      <c r="AA676" s="378"/>
      <c r="AB676" s="376" t="s">
        <v>45</v>
      </c>
      <c r="AC676" s="376" t="s">
        <v>45</v>
      </c>
      <c r="AD676" s="378"/>
      <c r="AE676" s="378"/>
      <c r="AF676" s="378"/>
      <c r="AG676" s="378"/>
      <c r="AH676" s="379">
        <v>0</v>
      </c>
      <c r="AI676" s="379">
        <v>0</v>
      </c>
      <c r="AJ676" s="378"/>
      <c r="AK676" s="378"/>
      <c r="AL676" s="376" t="s">
        <v>180</v>
      </c>
      <c r="AM676" s="378"/>
      <c r="AN676" s="378"/>
      <c r="AO676" s="379">
        <v>0</v>
      </c>
      <c r="AP676" s="460">
        <v>0</v>
      </c>
      <c r="AQ676" s="460">
        <v>0</v>
      </c>
      <c r="AR676" s="459"/>
      <c r="AS676" s="462">
        <f t="shared" si="170"/>
        <v>0</v>
      </c>
      <c r="AT676">
        <f t="shared" si="171"/>
        <v>0</v>
      </c>
      <c r="AU676" s="462" t="str">
        <f>IF(AT676=0,"",IF(AND(AT676=1,M676="F",SUMIF(C2:C698,C676,AS2:AS698)&lt;=1),SUMIF(C2:C698,C676,AS2:AS698),IF(AND(AT676=1,M676="F",SUMIF(C2:C698,C676,AS2:AS698)&gt;1),1,"")))</f>
        <v/>
      </c>
      <c r="AV676" s="462" t="str">
        <f>IF(AT676=0,"",IF(AND(AT676=3,M676="F",SUMIF(C2:C698,C676,AS2:AS698)&lt;=1),SUMIF(C2:C698,C676,AS2:AS698),IF(AND(AT676=3,M676="F",SUMIF(C2:C698,C676,AS2:AS698)&gt;1),1,"")))</f>
        <v/>
      </c>
      <c r="AW676" s="462">
        <f>SUMIF(C2:C698,C676,O2:O698)</f>
        <v>0</v>
      </c>
      <c r="AX676" s="462">
        <f>IF(AND(M676="F",AS676&lt;&gt;0),SUMIF(C2:C698,C676,W2:W698),0)</f>
        <v>0</v>
      </c>
      <c r="AY676" s="462" t="str">
        <f t="shared" si="172"/>
        <v/>
      </c>
      <c r="AZ676" s="462" t="str">
        <f t="shared" si="173"/>
        <v/>
      </c>
      <c r="BA676" s="462">
        <f t="shared" si="174"/>
        <v>0</v>
      </c>
      <c r="BB676" s="462">
        <f>IF(AND(AT676=1,AK676="E",AU676&gt;=0.75,AW676=1),Health,IF(AND(AT676=1,AK676="E",AU676&gt;=0.75),Health*P676,IF(AND(AT676=1,AK676="E",AU676&gt;=0.5,AW676=1),PTHealth,IF(AND(AT676=1,AK676="E",AU676&gt;=0.5),PTHealth*P676,0))))</f>
        <v>0</v>
      </c>
      <c r="BC676" s="462">
        <f>IF(AND(AT676=3,AK676="E",AV676&gt;=0.75,AW676=1),Health,IF(AND(AT676=3,AK676="E",AV676&gt;=0.75),Health*P676,IF(AND(AT676=3,AK676="E",AV676&gt;=0.5,AW676=1),PTHealth,IF(AND(AT676=3,AK676="E",AV676&gt;=0.5),PTHealth*P676,0))))</f>
        <v>0</v>
      </c>
      <c r="BD676" s="462">
        <f>IF(AND(AT676&lt;&gt;0,AX676&gt;=MAXSSDI),SSDI*MAXSSDI*P676,IF(AT676&lt;&gt;0,SSDI*W676,0))</f>
        <v>0</v>
      </c>
      <c r="BE676" s="462">
        <f>IF(AT676&lt;&gt;0,SSHI*W676,0)</f>
        <v>0</v>
      </c>
      <c r="BF676" s="462">
        <f>IF(AND(AT676&lt;&gt;0,AN676&lt;&gt;"NE"),VLOOKUP(AN676,Retirement_Rates,3,FALSE)*W676,0)</f>
        <v>0</v>
      </c>
      <c r="BG676" s="462">
        <f>IF(AND(AT676&lt;&gt;0,AJ676&lt;&gt;"PF"),Life*W676,0)</f>
        <v>0</v>
      </c>
      <c r="BH676" s="462">
        <f>IF(AND(AT676&lt;&gt;0,AM676="Y"),UI*W676,0)</f>
        <v>0</v>
      </c>
      <c r="BI676" s="462">
        <f>IF(AND(AT676&lt;&gt;0,N676&lt;&gt;"NR"),DHR*W676,0)</f>
        <v>0</v>
      </c>
      <c r="BJ676" s="462">
        <f>IF(AT676&lt;&gt;0,WC*W676,0)</f>
        <v>0</v>
      </c>
      <c r="BK676" s="462">
        <f>IF(OR(AND(AT676&lt;&gt;0,AJ676&lt;&gt;"PF",AN676&lt;&gt;"NE",AG676&lt;&gt;"A"),AND(AL676="E",OR(AT676=1,AT676=3))),Sick*W676,0)</f>
        <v>0</v>
      </c>
      <c r="BL676" s="462">
        <f t="shared" si="175"/>
        <v>0</v>
      </c>
      <c r="BM676" s="462">
        <f t="shared" si="176"/>
        <v>0</v>
      </c>
      <c r="BN676" s="462">
        <f>IF(AND(AT676=1,AK676="E",AU676&gt;=0.75,AW676=1),HealthBY,IF(AND(AT676=1,AK676="E",AU676&gt;=0.75),HealthBY*P676,IF(AND(AT676=1,AK676="E",AU676&gt;=0.5,AW676=1),PTHealthBY,IF(AND(AT676=1,AK676="E",AU676&gt;=0.5),PTHealthBY*P676,0))))</f>
        <v>0</v>
      </c>
      <c r="BO676" s="462">
        <f>IF(AND(AT676=3,AK676="E",AV676&gt;=0.75,AW676=1),HealthBY,IF(AND(AT676=3,AK676="E",AV676&gt;=0.75),HealthBY*P676,IF(AND(AT676=3,AK676="E",AV676&gt;=0.5,AW676=1),PTHealthBY,IF(AND(AT676=3,AK676="E",AV676&gt;=0.5),PTHealthBY*P676,0))))</f>
        <v>0</v>
      </c>
      <c r="BP676" s="462">
        <f>IF(AND(AT676&lt;&gt;0,(AX676+BA676)&gt;=MAXSSDIBY),SSDIBY*MAXSSDIBY*P676,IF(AT676&lt;&gt;0,SSDIBY*W676,0))</f>
        <v>0</v>
      </c>
      <c r="BQ676" s="462">
        <f>IF(AT676&lt;&gt;0,SSHIBY*W676,0)</f>
        <v>0</v>
      </c>
      <c r="BR676" s="462">
        <f>IF(AND(AT676&lt;&gt;0,AN676&lt;&gt;"NE"),VLOOKUP(AN676,Retirement_Rates,4,FALSE)*W676,0)</f>
        <v>0</v>
      </c>
      <c r="BS676" s="462">
        <f>IF(AND(AT676&lt;&gt;0,AJ676&lt;&gt;"PF"),LifeBY*W676,0)</f>
        <v>0</v>
      </c>
      <c r="BT676" s="462">
        <f>IF(AND(AT676&lt;&gt;0,AM676="Y"),UIBY*W676,0)</f>
        <v>0</v>
      </c>
      <c r="BU676" s="462">
        <f>IF(AND(AT676&lt;&gt;0,N676&lt;&gt;"NR"),DHRBY*W676,0)</f>
        <v>0</v>
      </c>
      <c r="BV676" s="462">
        <f>IF(AT676&lt;&gt;0,WCBY*W676,0)</f>
        <v>0</v>
      </c>
      <c r="BW676" s="462">
        <f>IF(OR(AND(AT676&lt;&gt;0,AJ676&lt;&gt;"PF",AN676&lt;&gt;"NE",AG676&lt;&gt;"A"),AND(AL676="E",OR(AT676=1,AT676=3))),SickBY*W676,0)</f>
        <v>0</v>
      </c>
      <c r="BX676" s="462">
        <f t="shared" si="177"/>
        <v>0</v>
      </c>
      <c r="BY676" s="462">
        <f t="shared" si="178"/>
        <v>0</v>
      </c>
      <c r="BZ676" s="462">
        <f t="shared" si="179"/>
        <v>0</v>
      </c>
      <c r="CA676" s="462">
        <f t="shared" si="180"/>
        <v>0</v>
      </c>
      <c r="CB676" s="462">
        <f t="shared" si="181"/>
        <v>0</v>
      </c>
      <c r="CC676" s="462">
        <f>IF(AT676&lt;&gt;0,SSHICHG*Y676,0)</f>
        <v>0</v>
      </c>
      <c r="CD676" s="462">
        <f>IF(AND(AT676&lt;&gt;0,AN676&lt;&gt;"NE"),VLOOKUP(AN676,Retirement_Rates,5,FALSE)*Y676,0)</f>
        <v>0</v>
      </c>
      <c r="CE676" s="462">
        <f>IF(AND(AT676&lt;&gt;0,AJ676&lt;&gt;"PF"),LifeCHG*Y676,0)</f>
        <v>0</v>
      </c>
      <c r="CF676" s="462">
        <f>IF(AND(AT676&lt;&gt;0,AM676="Y"),UICHG*Y676,0)</f>
        <v>0</v>
      </c>
      <c r="CG676" s="462">
        <f>IF(AND(AT676&lt;&gt;0,N676&lt;&gt;"NR"),DHRCHG*Y676,0)</f>
        <v>0</v>
      </c>
      <c r="CH676" s="462">
        <f>IF(AT676&lt;&gt;0,WCCHG*Y676,0)</f>
        <v>0</v>
      </c>
      <c r="CI676" s="462">
        <f>IF(OR(AND(AT676&lt;&gt;0,AJ676&lt;&gt;"PF",AN676&lt;&gt;"NE",AG676&lt;&gt;"A"),AND(AL676="E",OR(AT676=1,AT676=3))),SickCHG*Y676,0)</f>
        <v>0</v>
      </c>
      <c r="CJ676" s="462">
        <f t="shared" si="182"/>
        <v>0</v>
      </c>
      <c r="CK676" s="462" t="str">
        <f t="shared" si="183"/>
        <v/>
      </c>
      <c r="CL676" s="462">
        <f t="shared" si="184"/>
        <v>0</v>
      </c>
      <c r="CM676" s="462">
        <f t="shared" si="185"/>
        <v>0</v>
      </c>
      <c r="CN676" s="462" t="str">
        <f t="shared" si="186"/>
        <v>0348-00</v>
      </c>
    </row>
    <row r="677" spans="1:92" ht="15" thickBot="1" x14ac:dyDescent="0.35">
      <c r="A677" s="376" t="s">
        <v>161</v>
      </c>
      <c r="B677" s="376" t="s">
        <v>162</v>
      </c>
      <c r="C677" s="376" t="s">
        <v>1363</v>
      </c>
      <c r="D677" s="376" t="s">
        <v>765</v>
      </c>
      <c r="E677" s="376" t="s">
        <v>759</v>
      </c>
      <c r="F677" s="377" t="s">
        <v>166</v>
      </c>
      <c r="G677" s="376" t="s">
        <v>1352</v>
      </c>
      <c r="H677" s="378"/>
      <c r="I677" s="378"/>
      <c r="J677" s="376" t="s">
        <v>168</v>
      </c>
      <c r="K677" s="376" t="s">
        <v>766</v>
      </c>
      <c r="L677" s="376" t="s">
        <v>166</v>
      </c>
      <c r="M677" s="376" t="s">
        <v>201</v>
      </c>
      <c r="N677" s="376" t="s">
        <v>291</v>
      </c>
      <c r="O677" s="379">
        <v>0</v>
      </c>
      <c r="P677" s="460">
        <v>1</v>
      </c>
      <c r="Q677" s="460">
        <v>0</v>
      </c>
      <c r="R677" s="380">
        <v>0</v>
      </c>
      <c r="S677" s="460">
        <v>0</v>
      </c>
      <c r="T677" s="380">
        <v>0</v>
      </c>
      <c r="U677" s="380">
        <v>0</v>
      </c>
      <c r="V677" s="380">
        <v>0</v>
      </c>
      <c r="W677" s="380">
        <v>0</v>
      </c>
      <c r="X677" s="380">
        <v>0</v>
      </c>
      <c r="Y677" s="380">
        <v>0</v>
      </c>
      <c r="Z677" s="380">
        <v>0</v>
      </c>
      <c r="AA677" s="378"/>
      <c r="AB677" s="376" t="s">
        <v>45</v>
      </c>
      <c r="AC677" s="376" t="s">
        <v>45</v>
      </c>
      <c r="AD677" s="378"/>
      <c r="AE677" s="378"/>
      <c r="AF677" s="378"/>
      <c r="AG677" s="378"/>
      <c r="AH677" s="379">
        <v>0</v>
      </c>
      <c r="AI677" s="379">
        <v>0</v>
      </c>
      <c r="AJ677" s="378"/>
      <c r="AK677" s="378"/>
      <c r="AL677" s="376" t="s">
        <v>180</v>
      </c>
      <c r="AM677" s="378"/>
      <c r="AN677" s="378"/>
      <c r="AO677" s="379">
        <v>0</v>
      </c>
      <c r="AP677" s="460">
        <v>0</v>
      </c>
      <c r="AQ677" s="460">
        <v>0</v>
      </c>
      <c r="AR677" s="459"/>
      <c r="AS677" s="462">
        <f t="shared" si="170"/>
        <v>0</v>
      </c>
      <c r="AT677">
        <f t="shared" si="171"/>
        <v>0</v>
      </c>
      <c r="AU677" s="462" t="str">
        <f>IF(AT677=0,"",IF(AND(AT677=1,M677="F",SUMIF(C2:C698,C677,AS2:AS698)&lt;=1),SUMIF(C2:C698,C677,AS2:AS698),IF(AND(AT677=1,M677="F",SUMIF(C2:C698,C677,AS2:AS698)&gt;1),1,"")))</f>
        <v/>
      </c>
      <c r="AV677" s="462" t="str">
        <f>IF(AT677=0,"",IF(AND(AT677=3,M677="F",SUMIF(C2:C698,C677,AS2:AS698)&lt;=1),SUMIF(C2:C698,C677,AS2:AS698),IF(AND(AT677=3,M677="F",SUMIF(C2:C698,C677,AS2:AS698)&gt;1),1,"")))</f>
        <v/>
      </c>
      <c r="AW677" s="462">
        <f>SUMIF(C2:C698,C677,O2:O698)</f>
        <v>0</v>
      </c>
      <c r="AX677" s="462">
        <f>IF(AND(M677="F",AS677&lt;&gt;0),SUMIF(C2:C698,C677,W2:W698),0)</f>
        <v>0</v>
      </c>
      <c r="AY677" s="462" t="str">
        <f t="shared" si="172"/>
        <v/>
      </c>
      <c r="AZ677" s="462" t="str">
        <f t="shared" si="173"/>
        <v/>
      </c>
      <c r="BA677" s="462">
        <f t="shared" si="174"/>
        <v>0</v>
      </c>
      <c r="BB677" s="462">
        <f>IF(AND(AT677=1,AK677="E",AU677&gt;=0.75,AW677=1),Health,IF(AND(AT677=1,AK677="E",AU677&gt;=0.75),Health*P677,IF(AND(AT677=1,AK677="E",AU677&gt;=0.5,AW677=1),PTHealth,IF(AND(AT677=1,AK677="E",AU677&gt;=0.5),PTHealth*P677,0))))</f>
        <v>0</v>
      </c>
      <c r="BC677" s="462">
        <f>IF(AND(AT677=3,AK677="E",AV677&gt;=0.75,AW677=1),Health,IF(AND(AT677=3,AK677="E",AV677&gt;=0.75),Health*P677,IF(AND(AT677=3,AK677="E",AV677&gt;=0.5,AW677=1),PTHealth,IF(AND(AT677=3,AK677="E",AV677&gt;=0.5),PTHealth*P677,0))))</f>
        <v>0</v>
      </c>
      <c r="BD677" s="462">
        <f>IF(AND(AT677&lt;&gt;0,AX677&gt;=MAXSSDI),SSDI*MAXSSDI*P677,IF(AT677&lt;&gt;0,SSDI*W677,0))</f>
        <v>0</v>
      </c>
      <c r="BE677" s="462">
        <f>IF(AT677&lt;&gt;0,SSHI*W677,0)</f>
        <v>0</v>
      </c>
      <c r="BF677" s="462">
        <f>IF(AND(AT677&lt;&gt;0,AN677&lt;&gt;"NE"),VLOOKUP(AN677,Retirement_Rates,3,FALSE)*W677,0)</f>
        <v>0</v>
      </c>
      <c r="BG677" s="462">
        <f>IF(AND(AT677&lt;&gt;0,AJ677&lt;&gt;"PF"),Life*W677,0)</f>
        <v>0</v>
      </c>
      <c r="BH677" s="462">
        <f>IF(AND(AT677&lt;&gt;0,AM677="Y"),UI*W677,0)</f>
        <v>0</v>
      </c>
      <c r="BI677" s="462">
        <f>IF(AND(AT677&lt;&gt;0,N677&lt;&gt;"NR"),DHR*W677,0)</f>
        <v>0</v>
      </c>
      <c r="BJ677" s="462">
        <f>IF(AT677&lt;&gt;0,WC*W677,0)</f>
        <v>0</v>
      </c>
      <c r="BK677" s="462">
        <f>IF(OR(AND(AT677&lt;&gt;0,AJ677&lt;&gt;"PF",AN677&lt;&gt;"NE",AG677&lt;&gt;"A"),AND(AL677="E",OR(AT677=1,AT677=3))),Sick*W677,0)</f>
        <v>0</v>
      </c>
      <c r="BL677" s="462">
        <f t="shared" si="175"/>
        <v>0</v>
      </c>
      <c r="BM677" s="462">
        <f t="shared" si="176"/>
        <v>0</v>
      </c>
      <c r="BN677" s="462">
        <f>IF(AND(AT677=1,AK677="E",AU677&gt;=0.75,AW677=1),HealthBY,IF(AND(AT677=1,AK677="E",AU677&gt;=0.75),HealthBY*P677,IF(AND(AT677=1,AK677="E",AU677&gt;=0.5,AW677=1),PTHealthBY,IF(AND(AT677=1,AK677="E",AU677&gt;=0.5),PTHealthBY*P677,0))))</f>
        <v>0</v>
      </c>
      <c r="BO677" s="462">
        <f>IF(AND(AT677=3,AK677="E",AV677&gt;=0.75,AW677=1),HealthBY,IF(AND(AT677=3,AK677="E",AV677&gt;=0.75),HealthBY*P677,IF(AND(AT677=3,AK677="E",AV677&gt;=0.5,AW677=1),PTHealthBY,IF(AND(AT677=3,AK677="E",AV677&gt;=0.5),PTHealthBY*P677,0))))</f>
        <v>0</v>
      </c>
      <c r="BP677" s="462">
        <f>IF(AND(AT677&lt;&gt;0,(AX677+BA677)&gt;=MAXSSDIBY),SSDIBY*MAXSSDIBY*P677,IF(AT677&lt;&gt;0,SSDIBY*W677,0))</f>
        <v>0</v>
      </c>
      <c r="BQ677" s="462">
        <f>IF(AT677&lt;&gt;0,SSHIBY*W677,0)</f>
        <v>0</v>
      </c>
      <c r="BR677" s="462">
        <f>IF(AND(AT677&lt;&gt;0,AN677&lt;&gt;"NE"),VLOOKUP(AN677,Retirement_Rates,4,FALSE)*W677,0)</f>
        <v>0</v>
      </c>
      <c r="BS677" s="462">
        <f>IF(AND(AT677&lt;&gt;0,AJ677&lt;&gt;"PF"),LifeBY*W677,0)</f>
        <v>0</v>
      </c>
      <c r="BT677" s="462">
        <f>IF(AND(AT677&lt;&gt;0,AM677="Y"),UIBY*W677,0)</f>
        <v>0</v>
      </c>
      <c r="BU677" s="462">
        <f>IF(AND(AT677&lt;&gt;0,N677&lt;&gt;"NR"),DHRBY*W677,0)</f>
        <v>0</v>
      </c>
      <c r="BV677" s="462">
        <f>IF(AT677&lt;&gt;0,WCBY*W677,0)</f>
        <v>0</v>
      </c>
      <c r="BW677" s="462">
        <f>IF(OR(AND(AT677&lt;&gt;0,AJ677&lt;&gt;"PF",AN677&lt;&gt;"NE",AG677&lt;&gt;"A"),AND(AL677="E",OR(AT677=1,AT677=3))),SickBY*W677,0)</f>
        <v>0</v>
      </c>
      <c r="BX677" s="462">
        <f t="shared" si="177"/>
        <v>0</v>
      </c>
      <c r="BY677" s="462">
        <f t="shared" si="178"/>
        <v>0</v>
      </c>
      <c r="BZ677" s="462">
        <f t="shared" si="179"/>
        <v>0</v>
      </c>
      <c r="CA677" s="462">
        <f t="shared" si="180"/>
        <v>0</v>
      </c>
      <c r="CB677" s="462">
        <f t="shared" si="181"/>
        <v>0</v>
      </c>
      <c r="CC677" s="462">
        <f>IF(AT677&lt;&gt;0,SSHICHG*Y677,0)</f>
        <v>0</v>
      </c>
      <c r="CD677" s="462">
        <f>IF(AND(AT677&lt;&gt;0,AN677&lt;&gt;"NE"),VLOOKUP(AN677,Retirement_Rates,5,FALSE)*Y677,0)</f>
        <v>0</v>
      </c>
      <c r="CE677" s="462">
        <f>IF(AND(AT677&lt;&gt;0,AJ677&lt;&gt;"PF"),LifeCHG*Y677,0)</f>
        <v>0</v>
      </c>
      <c r="CF677" s="462">
        <f>IF(AND(AT677&lt;&gt;0,AM677="Y"),UICHG*Y677,0)</f>
        <v>0</v>
      </c>
      <c r="CG677" s="462">
        <f>IF(AND(AT677&lt;&gt;0,N677&lt;&gt;"NR"),DHRCHG*Y677,0)</f>
        <v>0</v>
      </c>
      <c r="CH677" s="462">
        <f>IF(AT677&lt;&gt;0,WCCHG*Y677,0)</f>
        <v>0</v>
      </c>
      <c r="CI677" s="462">
        <f>IF(OR(AND(AT677&lt;&gt;0,AJ677&lt;&gt;"PF",AN677&lt;&gt;"NE",AG677&lt;&gt;"A"),AND(AL677="E",OR(AT677=1,AT677=3))),SickCHG*Y677,0)</f>
        <v>0</v>
      </c>
      <c r="CJ677" s="462">
        <f t="shared" si="182"/>
        <v>0</v>
      </c>
      <c r="CK677" s="462" t="str">
        <f t="shared" si="183"/>
        <v/>
      </c>
      <c r="CL677" s="462">
        <f t="shared" si="184"/>
        <v>0</v>
      </c>
      <c r="CM677" s="462">
        <f t="shared" si="185"/>
        <v>0</v>
      </c>
      <c r="CN677" s="462" t="str">
        <f t="shared" si="186"/>
        <v>0348-00</v>
      </c>
    </row>
    <row r="678" spans="1:92" ht="15" thickBot="1" x14ac:dyDescent="0.35">
      <c r="A678" s="376" t="s">
        <v>161</v>
      </c>
      <c r="B678" s="376" t="s">
        <v>162</v>
      </c>
      <c r="C678" s="376" t="s">
        <v>338</v>
      </c>
      <c r="D678" s="376" t="s">
        <v>339</v>
      </c>
      <c r="E678" s="376" t="s">
        <v>759</v>
      </c>
      <c r="F678" s="377" t="s">
        <v>166</v>
      </c>
      <c r="G678" s="376" t="s">
        <v>1352</v>
      </c>
      <c r="H678" s="378"/>
      <c r="I678" s="378"/>
      <c r="J678" s="376" t="s">
        <v>168</v>
      </c>
      <c r="K678" s="376" t="s">
        <v>340</v>
      </c>
      <c r="L678" s="376" t="s">
        <v>247</v>
      </c>
      <c r="M678" s="376" t="s">
        <v>201</v>
      </c>
      <c r="N678" s="376" t="s">
        <v>202</v>
      </c>
      <c r="O678" s="379">
        <v>0</v>
      </c>
      <c r="P678" s="460">
        <v>0</v>
      </c>
      <c r="Q678" s="460">
        <v>0</v>
      </c>
      <c r="R678" s="380">
        <v>80</v>
      </c>
      <c r="S678" s="460">
        <v>0</v>
      </c>
      <c r="T678" s="380">
        <v>10155.6</v>
      </c>
      <c r="U678" s="380">
        <v>0</v>
      </c>
      <c r="V678" s="380">
        <v>3391.01</v>
      </c>
      <c r="W678" s="380">
        <v>0</v>
      </c>
      <c r="X678" s="380">
        <v>0</v>
      </c>
      <c r="Y678" s="380">
        <v>0</v>
      </c>
      <c r="Z678" s="380">
        <v>0</v>
      </c>
      <c r="AA678" s="378"/>
      <c r="AB678" s="376" t="s">
        <v>45</v>
      </c>
      <c r="AC678" s="376" t="s">
        <v>45</v>
      </c>
      <c r="AD678" s="378"/>
      <c r="AE678" s="378"/>
      <c r="AF678" s="378"/>
      <c r="AG678" s="378"/>
      <c r="AH678" s="379">
        <v>0</v>
      </c>
      <c r="AI678" s="379">
        <v>0</v>
      </c>
      <c r="AJ678" s="378"/>
      <c r="AK678" s="378"/>
      <c r="AL678" s="376" t="s">
        <v>180</v>
      </c>
      <c r="AM678" s="378"/>
      <c r="AN678" s="378"/>
      <c r="AO678" s="379">
        <v>0</v>
      </c>
      <c r="AP678" s="460">
        <v>0</v>
      </c>
      <c r="AQ678" s="460">
        <v>0</v>
      </c>
      <c r="AR678" s="459"/>
      <c r="AS678" s="462">
        <f t="shared" si="170"/>
        <v>0</v>
      </c>
      <c r="AT678">
        <f t="shared" si="171"/>
        <v>0</v>
      </c>
      <c r="AU678" s="462" t="str">
        <f>IF(AT678=0,"",IF(AND(AT678=1,M678="F",SUMIF(C2:C698,C678,AS2:AS698)&lt;=1),SUMIF(C2:C698,C678,AS2:AS698),IF(AND(AT678=1,M678="F",SUMIF(C2:C698,C678,AS2:AS698)&gt;1),1,"")))</f>
        <v/>
      </c>
      <c r="AV678" s="462" t="str">
        <f>IF(AT678=0,"",IF(AND(AT678=3,M678="F",SUMIF(C2:C698,C678,AS2:AS698)&lt;=1),SUMIF(C2:C698,C678,AS2:AS698),IF(AND(AT678=3,M678="F",SUMIF(C2:C698,C678,AS2:AS698)&gt;1),1,"")))</f>
        <v/>
      </c>
      <c r="AW678" s="462">
        <f>SUMIF(C2:C698,C678,O2:O698)</f>
        <v>0</v>
      </c>
      <c r="AX678" s="462">
        <f>IF(AND(M678="F",AS678&lt;&gt;0),SUMIF(C2:C698,C678,W2:W698),0)</f>
        <v>0</v>
      </c>
      <c r="AY678" s="462" t="str">
        <f t="shared" si="172"/>
        <v/>
      </c>
      <c r="AZ678" s="462" t="str">
        <f t="shared" si="173"/>
        <v/>
      </c>
      <c r="BA678" s="462">
        <f t="shared" si="174"/>
        <v>0</v>
      </c>
      <c r="BB678" s="462">
        <f>IF(AND(AT678=1,AK678="E",AU678&gt;=0.75,AW678=1),Health,IF(AND(AT678=1,AK678="E",AU678&gt;=0.75),Health*P678,IF(AND(AT678=1,AK678="E",AU678&gt;=0.5,AW678=1),PTHealth,IF(AND(AT678=1,AK678="E",AU678&gt;=0.5),PTHealth*P678,0))))</f>
        <v>0</v>
      </c>
      <c r="BC678" s="462">
        <f>IF(AND(AT678=3,AK678="E",AV678&gt;=0.75,AW678=1),Health,IF(AND(AT678=3,AK678="E",AV678&gt;=0.75),Health*P678,IF(AND(AT678=3,AK678="E",AV678&gt;=0.5,AW678=1),PTHealth,IF(AND(AT678=3,AK678="E",AV678&gt;=0.5),PTHealth*P678,0))))</f>
        <v>0</v>
      </c>
      <c r="BD678" s="462">
        <f>IF(AND(AT678&lt;&gt;0,AX678&gt;=MAXSSDI),SSDI*MAXSSDI*P678,IF(AT678&lt;&gt;0,SSDI*W678,0))</f>
        <v>0</v>
      </c>
      <c r="BE678" s="462">
        <f>IF(AT678&lt;&gt;0,SSHI*W678,0)</f>
        <v>0</v>
      </c>
      <c r="BF678" s="462">
        <f>IF(AND(AT678&lt;&gt;0,AN678&lt;&gt;"NE"),VLOOKUP(AN678,Retirement_Rates,3,FALSE)*W678,0)</f>
        <v>0</v>
      </c>
      <c r="BG678" s="462">
        <f>IF(AND(AT678&lt;&gt;0,AJ678&lt;&gt;"PF"),Life*W678,0)</f>
        <v>0</v>
      </c>
      <c r="BH678" s="462">
        <f>IF(AND(AT678&lt;&gt;0,AM678="Y"),UI*W678,0)</f>
        <v>0</v>
      </c>
      <c r="BI678" s="462">
        <f>IF(AND(AT678&lt;&gt;0,N678&lt;&gt;"NR"),DHR*W678,0)</f>
        <v>0</v>
      </c>
      <c r="BJ678" s="462">
        <f>IF(AT678&lt;&gt;0,WC*W678,0)</f>
        <v>0</v>
      </c>
      <c r="BK678" s="462">
        <f>IF(OR(AND(AT678&lt;&gt;0,AJ678&lt;&gt;"PF",AN678&lt;&gt;"NE",AG678&lt;&gt;"A"),AND(AL678="E",OR(AT678=1,AT678=3))),Sick*W678,0)</f>
        <v>0</v>
      </c>
      <c r="BL678" s="462">
        <f t="shared" si="175"/>
        <v>0</v>
      </c>
      <c r="BM678" s="462">
        <f t="shared" si="176"/>
        <v>0</v>
      </c>
      <c r="BN678" s="462">
        <f>IF(AND(AT678=1,AK678="E",AU678&gt;=0.75,AW678=1),HealthBY,IF(AND(AT678=1,AK678="E",AU678&gt;=0.75),HealthBY*P678,IF(AND(AT678=1,AK678="E",AU678&gt;=0.5,AW678=1),PTHealthBY,IF(AND(AT678=1,AK678="E",AU678&gt;=0.5),PTHealthBY*P678,0))))</f>
        <v>0</v>
      </c>
      <c r="BO678" s="462">
        <f>IF(AND(AT678=3,AK678="E",AV678&gt;=0.75,AW678=1),HealthBY,IF(AND(AT678=3,AK678="E",AV678&gt;=0.75),HealthBY*P678,IF(AND(AT678=3,AK678="E",AV678&gt;=0.5,AW678=1),PTHealthBY,IF(AND(AT678=3,AK678="E",AV678&gt;=0.5),PTHealthBY*P678,0))))</f>
        <v>0</v>
      </c>
      <c r="BP678" s="462">
        <f>IF(AND(AT678&lt;&gt;0,(AX678+BA678)&gt;=MAXSSDIBY),SSDIBY*MAXSSDIBY*P678,IF(AT678&lt;&gt;0,SSDIBY*W678,0))</f>
        <v>0</v>
      </c>
      <c r="BQ678" s="462">
        <f>IF(AT678&lt;&gt;0,SSHIBY*W678,0)</f>
        <v>0</v>
      </c>
      <c r="BR678" s="462">
        <f>IF(AND(AT678&lt;&gt;0,AN678&lt;&gt;"NE"),VLOOKUP(AN678,Retirement_Rates,4,FALSE)*W678,0)</f>
        <v>0</v>
      </c>
      <c r="BS678" s="462">
        <f>IF(AND(AT678&lt;&gt;0,AJ678&lt;&gt;"PF"),LifeBY*W678,0)</f>
        <v>0</v>
      </c>
      <c r="BT678" s="462">
        <f>IF(AND(AT678&lt;&gt;0,AM678="Y"),UIBY*W678,0)</f>
        <v>0</v>
      </c>
      <c r="BU678" s="462">
        <f>IF(AND(AT678&lt;&gt;0,N678&lt;&gt;"NR"),DHRBY*W678,0)</f>
        <v>0</v>
      </c>
      <c r="BV678" s="462">
        <f>IF(AT678&lt;&gt;0,WCBY*W678,0)</f>
        <v>0</v>
      </c>
      <c r="BW678" s="462">
        <f>IF(OR(AND(AT678&lt;&gt;0,AJ678&lt;&gt;"PF",AN678&lt;&gt;"NE",AG678&lt;&gt;"A"),AND(AL678="E",OR(AT678=1,AT678=3))),SickBY*W678,0)</f>
        <v>0</v>
      </c>
      <c r="BX678" s="462">
        <f t="shared" si="177"/>
        <v>0</v>
      </c>
      <c r="BY678" s="462">
        <f t="shared" si="178"/>
        <v>0</v>
      </c>
      <c r="BZ678" s="462">
        <f t="shared" si="179"/>
        <v>0</v>
      </c>
      <c r="CA678" s="462">
        <f t="shared" si="180"/>
        <v>0</v>
      </c>
      <c r="CB678" s="462">
        <f t="shared" si="181"/>
        <v>0</v>
      </c>
      <c r="CC678" s="462">
        <f>IF(AT678&lt;&gt;0,SSHICHG*Y678,0)</f>
        <v>0</v>
      </c>
      <c r="CD678" s="462">
        <f>IF(AND(AT678&lt;&gt;0,AN678&lt;&gt;"NE"),VLOOKUP(AN678,Retirement_Rates,5,FALSE)*Y678,0)</f>
        <v>0</v>
      </c>
      <c r="CE678" s="462">
        <f>IF(AND(AT678&lt;&gt;0,AJ678&lt;&gt;"PF"),LifeCHG*Y678,0)</f>
        <v>0</v>
      </c>
      <c r="CF678" s="462">
        <f>IF(AND(AT678&lt;&gt;0,AM678="Y"),UICHG*Y678,0)</f>
        <v>0</v>
      </c>
      <c r="CG678" s="462">
        <f>IF(AND(AT678&lt;&gt;0,N678&lt;&gt;"NR"),DHRCHG*Y678,0)</f>
        <v>0</v>
      </c>
      <c r="CH678" s="462">
        <f>IF(AT678&lt;&gt;0,WCCHG*Y678,0)</f>
        <v>0</v>
      </c>
      <c r="CI678" s="462">
        <f>IF(OR(AND(AT678&lt;&gt;0,AJ678&lt;&gt;"PF",AN678&lt;&gt;"NE",AG678&lt;&gt;"A"),AND(AL678="E",OR(AT678=1,AT678=3))),SickCHG*Y678,0)</f>
        <v>0</v>
      </c>
      <c r="CJ678" s="462">
        <f t="shared" si="182"/>
        <v>0</v>
      </c>
      <c r="CK678" s="462" t="str">
        <f t="shared" si="183"/>
        <v/>
      </c>
      <c r="CL678" s="462" t="str">
        <f t="shared" si="184"/>
        <v/>
      </c>
      <c r="CM678" s="462" t="str">
        <f t="shared" si="185"/>
        <v/>
      </c>
      <c r="CN678" s="462" t="str">
        <f t="shared" si="186"/>
        <v>0348-00</v>
      </c>
    </row>
    <row r="679" spans="1:92" ht="15" thickBot="1" x14ac:dyDescent="0.35">
      <c r="A679" s="376" t="s">
        <v>161</v>
      </c>
      <c r="B679" s="376" t="s">
        <v>162</v>
      </c>
      <c r="C679" s="376" t="s">
        <v>1364</v>
      </c>
      <c r="D679" s="376" t="s">
        <v>287</v>
      </c>
      <c r="E679" s="376" t="s">
        <v>759</v>
      </c>
      <c r="F679" s="377" t="s">
        <v>166</v>
      </c>
      <c r="G679" s="376" t="s">
        <v>1352</v>
      </c>
      <c r="H679" s="378"/>
      <c r="I679" s="378"/>
      <c r="J679" s="376" t="s">
        <v>168</v>
      </c>
      <c r="K679" s="376" t="s">
        <v>290</v>
      </c>
      <c r="L679" s="376" t="s">
        <v>166</v>
      </c>
      <c r="M679" s="376" t="s">
        <v>201</v>
      </c>
      <c r="N679" s="376" t="s">
        <v>291</v>
      </c>
      <c r="O679" s="379">
        <v>0</v>
      </c>
      <c r="P679" s="460">
        <v>1</v>
      </c>
      <c r="Q679" s="460">
        <v>0</v>
      </c>
      <c r="R679" s="380">
        <v>0</v>
      </c>
      <c r="S679" s="460">
        <v>0</v>
      </c>
      <c r="T679" s="380">
        <v>0</v>
      </c>
      <c r="U679" s="380">
        <v>0</v>
      </c>
      <c r="V679" s="380">
        <v>0</v>
      </c>
      <c r="W679" s="380">
        <v>0</v>
      </c>
      <c r="X679" s="380">
        <v>0</v>
      </c>
      <c r="Y679" s="380">
        <v>0</v>
      </c>
      <c r="Z679" s="380">
        <v>0</v>
      </c>
      <c r="AA679" s="378"/>
      <c r="AB679" s="376" t="s">
        <v>45</v>
      </c>
      <c r="AC679" s="376" t="s">
        <v>45</v>
      </c>
      <c r="AD679" s="378"/>
      <c r="AE679" s="378"/>
      <c r="AF679" s="378"/>
      <c r="AG679" s="378"/>
      <c r="AH679" s="379">
        <v>0</v>
      </c>
      <c r="AI679" s="379">
        <v>0</v>
      </c>
      <c r="AJ679" s="378"/>
      <c r="AK679" s="378"/>
      <c r="AL679" s="376" t="s">
        <v>180</v>
      </c>
      <c r="AM679" s="378"/>
      <c r="AN679" s="378"/>
      <c r="AO679" s="379">
        <v>0</v>
      </c>
      <c r="AP679" s="460">
        <v>0</v>
      </c>
      <c r="AQ679" s="460">
        <v>0</v>
      </c>
      <c r="AR679" s="459"/>
      <c r="AS679" s="462">
        <f t="shared" si="170"/>
        <v>0</v>
      </c>
      <c r="AT679">
        <f t="shared" si="171"/>
        <v>0</v>
      </c>
      <c r="AU679" s="462" t="str">
        <f>IF(AT679=0,"",IF(AND(AT679=1,M679="F",SUMIF(C2:C698,C679,AS2:AS698)&lt;=1),SUMIF(C2:C698,C679,AS2:AS698),IF(AND(AT679=1,M679="F",SUMIF(C2:C698,C679,AS2:AS698)&gt;1),1,"")))</f>
        <v/>
      </c>
      <c r="AV679" s="462" t="str">
        <f>IF(AT679=0,"",IF(AND(AT679=3,M679="F",SUMIF(C2:C698,C679,AS2:AS698)&lt;=1),SUMIF(C2:C698,C679,AS2:AS698),IF(AND(AT679=3,M679="F",SUMIF(C2:C698,C679,AS2:AS698)&gt;1),1,"")))</f>
        <v/>
      </c>
      <c r="AW679" s="462">
        <f>SUMIF(C2:C698,C679,O2:O698)</f>
        <v>0</v>
      </c>
      <c r="AX679" s="462">
        <f>IF(AND(M679="F",AS679&lt;&gt;0),SUMIF(C2:C698,C679,W2:W698),0)</f>
        <v>0</v>
      </c>
      <c r="AY679" s="462" t="str">
        <f t="shared" si="172"/>
        <v/>
      </c>
      <c r="AZ679" s="462" t="str">
        <f t="shared" si="173"/>
        <v/>
      </c>
      <c r="BA679" s="462">
        <f t="shared" si="174"/>
        <v>0</v>
      </c>
      <c r="BB679" s="462">
        <f>IF(AND(AT679=1,AK679="E",AU679&gt;=0.75,AW679=1),Health,IF(AND(AT679=1,AK679="E",AU679&gt;=0.75),Health*P679,IF(AND(AT679=1,AK679="E",AU679&gt;=0.5,AW679=1),PTHealth,IF(AND(AT679=1,AK679="E",AU679&gt;=0.5),PTHealth*P679,0))))</f>
        <v>0</v>
      </c>
      <c r="BC679" s="462">
        <f>IF(AND(AT679=3,AK679="E",AV679&gt;=0.75,AW679=1),Health,IF(AND(AT679=3,AK679="E",AV679&gt;=0.75),Health*P679,IF(AND(AT679=3,AK679="E",AV679&gt;=0.5,AW679=1),PTHealth,IF(AND(AT679=3,AK679="E",AV679&gt;=0.5),PTHealth*P679,0))))</f>
        <v>0</v>
      </c>
      <c r="BD679" s="462">
        <f>IF(AND(AT679&lt;&gt;0,AX679&gt;=MAXSSDI),SSDI*MAXSSDI*P679,IF(AT679&lt;&gt;0,SSDI*W679,0))</f>
        <v>0</v>
      </c>
      <c r="BE679" s="462">
        <f>IF(AT679&lt;&gt;0,SSHI*W679,0)</f>
        <v>0</v>
      </c>
      <c r="BF679" s="462">
        <f>IF(AND(AT679&lt;&gt;0,AN679&lt;&gt;"NE"),VLOOKUP(AN679,Retirement_Rates,3,FALSE)*W679,0)</f>
        <v>0</v>
      </c>
      <c r="BG679" s="462">
        <f>IF(AND(AT679&lt;&gt;0,AJ679&lt;&gt;"PF"),Life*W679,0)</f>
        <v>0</v>
      </c>
      <c r="BH679" s="462">
        <f>IF(AND(AT679&lt;&gt;0,AM679="Y"),UI*W679,0)</f>
        <v>0</v>
      </c>
      <c r="BI679" s="462">
        <f>IF(AND(AT679&lt;&gt;0,N679&lt;&gt;"NR"),DHR*W679,0)</f>
        <v>0</v>
      </c>
      <c r="BJ679" s="462">
        <f>IF(AT679&lt;&gt;0,WC*W679,0)</f>
        <v>0</v>
      </c>
      <c r="BK679" s="462">
        <f>IF(OR(AND(AT679&lt;&gt;0,AJ679&lt;&gt;"PF",AN679&lt;&gt;"NE",AG679&lt;&gt;"A"),AND(AL679="E",OR(AT679=1,AT679=3))),Sick*W679,0)</f>
        <v>0</v>
      </c>
      <c r="BL679" s="462">
        <f t="shared" si="175"/>
        <v>0</v>
      </c>
      <c r="BM679" s="462">
        <f t="shared" si="176"/>
        <v>0</v>
      </c>
      <c r="BN679" s="462">
        <f>IF(AND(AT679=1,AK679="E",AU679&gt;=0.75,AW679=1),HealthBY,IF(AND(AT679=1,AK679="E",AU679&gt;=0.75),HealthBY*P679,IF(AND(AT679=1,AK679="E",AU679&gt;=0.5,AW679=1),PTHealthBY,IF(AND(AT679=1,AK679="E",AU679&gt;=0.5),PTHealthBY*P679,0))))</f>
        <v>0</v>
      </c>
      <c r="BO679" s="462">
        <f>IF(AND(AT679=3,AK679="E",AV679&gt;=0.75,AW679=1),HealthBY,IF(AND(AT679=3,AK679="E",AV679&gt;=0.75),HealthBY*P679,IF(AND(AT679=3,AK679="E",AV679&gt;=0.5,AW679=1),PTHealthBY,IF(AND(AT679=3,AK679="E",AV679&gt;=0.5),PTHealthBY*P679,0))))</f>
        <v>0</v>
      </c>
      <c r="BP679" s="462">
        <f>IF(AND(AT679&lt;&gt;0,(AX679+BA679)&gt;=MAXSSDIBY),SSDIBY*MAXSSDIBY*P679,IF(AT679&lt;&gt;0,SSDIBY*W679,0))</f>
        <v>0</v>
      </c>
      <c r="BQ679" s="462">
        <f>IF(AT679&lt;&gt;0,SSHIBY*W679,0)</f>
        <v>0</v>
      </c>
      <c r="BR679" s="462">
        <f>IF(AND(AT679&lt;&gt;0,AN679&lt;&gt;"NE"),VLOOKUP(AN679,Retirement_Rates,4,FALSE)*W679,0)</f>
        <v>0</v>
      </c>
      <c r="BS679" s="462">
        <f>IF(AND(AT679&lt;&gt;0,AJ679&lt;&gt;"PF"),LifeBY*W679,0)</f>
        <v>0</v>
      </c>
      <c r="BT679" s="462">
        <f>IF(AND(AT679&lt;&gt;0,AM679="Y"),UIBY*W679,0)</f>
        <v>0</v>
      </c>
      <c r="BU679" s="462">
        <f>IF(AND(AT679&lt;&gt;0,N679&lt;&gt;"NR"),DHRBY*W679,0)</f>
        <v>0</v>
      </c>
      <c r="BV679" s="462">
        <f>IF(AT679&lt;&gt;0,WCBY*W679,0)</f>
        <v>0</v>
      </c>
      <c r="BW679" s="462">
        <f>IF(OR(AND(AT679&lt;&gt;0,AJ679&lt;&gt;"PF",AN679&lt;&gt;"NE",AG679&lt;&gt;"A"),AND(AL679="E",OR(AT679=1,AT679=3))),SickBY*W679,0)</f>
        <v>0</v>
      </c>
      <c r="BX679" s="462">
        <f t="shared" si="177"/>
        <v>0</v>
      </c>
      <c r="BY679" s="462">
        <f t="shared" si="178"/>
        <v>0</v>
      </c>
      <c r="BZ679" s="462">
        <f t="shared" si="179"/>
        <v>0</v>
      </c>
      <c r="CA679" s="462">
        <f t="shared" si="180"/>
        <v>0</v>
      </c>
      <c r="CB679" s="462">
        <f t="shared" si="181"/>
        <v>0</v>
      </c>
      <c r="CC679" s="462">
        <f>IF(AT679&lt;&gt;0,SSHICHG*Y679,0)</f>
        <v>0</v>
      </c>
      <c r="CD679" s="462">
        <f>IF(AND(AT679&lt;&gt;0,AN679&lt;&gt;"NE"),VLOOKUP(AN679,Retirement_Rates,5,FALSE)*Y679,0)</f>
        <v>0</v>
      </c>
      <c r="CE679" s="462">
        <f>IF(AND(AT679&lt;&gt;0,AJ679&lt;&gt;"PF"),LifeCHG*Y679,0)</f>
        <v>0</v>
      </c>
      <c r="CF679" s="462">
        <f>IF(AND(AT679&lt;&gt;0,AM679="Y"),UICHG*Y679,0)</f>
        <v>0</v>
      </c>
      <c r="CG679" s="462">
        <f>IF(AND(AT679&lt;&gt;0,N679&lt;&gt;"NR"),DHRCHG*Y679,0)</f>
        <v>0</v>
      </c>
      <c r="CH679" s="462">
        <f>IF(AT679&lt;&gt;0,WCCHG*Y679,0)</f>
        <v>0</v>
      </c>
      <c r="CI679" s="462">
        <f>IF(OR(AND(AT679&lt;&gt;0,AJ679&lt;&gt;"PF",AN679&lt;&gt;"NE",AG679&lt;&gt;"A"),AND(AL679="E",OR(AT679=1,AT679=3))),SickCHG*Y679,0)</f>
        <v>0</v>
      </c>
      <c r="CJ679" s="462">
        <f t="shared" si="182"/>
        <v>0</v>
      </c>
      <c r="CK679" s="462" t="str">
        <f t="shared" si="183"/>
        <v/>
      </c>
      <c r="CL679" s="462">
        <f t="shared" si="184"/>
        <v>0</v>
      </c>
      <c r="CM679" s="462">
        <f t="shared" si="185"/>
        <v>0</v>
      </c>
      <c r="CN679" s="462" t="str">
        <f t="shared" si="186"/>
        <v>0348-00</v>
      </c>
    </row>
    <row r="680" spans="1:92" ht="15" thickBot="1" x14ac:dyDescent="0.35">
      <c r="A680" s="376" t="s">
        <v>161</v>
      </c>
      <c r="B680" s="376" t="s">
        <v>162</v>
      </c>
      <c r="C680" s="376" t="s">
        <v>1365</v>
      </c>
      <c r="D680" s="376" t="s">
        <v>362</v>
      </c>
      <c r="E680" s="376" t="s">
        <v>759</v>
      </c>
      <c r="F680" s="377" t="s">
        <v>166</v>
      </c>
      <c r="G680" s="376" t="s">
        <v>1352</v>
      </c>
      <c r="H680" s="378"/>
      <c r="I680" s="378"/>
      <c r="J680" s="376" t="s">
        <v>168</v>
      </c>
      <c r="K680" s="376" t="s">
        <v>363</v>
      </c>
      <c r="L680" s="376" t="s">
        <v>200</v>
      </c>
      <c r="M680" s="376" t="s">
        <v>170</v>
      </c>
      <c r="N680" s="376" t="s">
        <v>202</v>
      </c>
      <c r="O680" s="379">
        <v>1</v>
      </c>
      <c r="P680" s="460">
        <v>1</v>
      </c>
      <c r="Q680" s="460">
        <v>1</v>
      </c>
      <c r="R680" s="380">
        <v>80</v>
      </c>
      <c r="S680" s="460">
        <v>1</v>
      </c>
      <c r="T680" s="380">
        <v>34092.699999999997</v>
      </c>
      <c r="U680" s="380">
        <v>0</v>
      </c>
      <c r="V680" s="380">
        <v>16041.39</v>
      </c>
      <c r="W680" s="380">
        <v>46800</v>
      </c>
      <c r="X680" s="380">
        <v>22244.1</v>
      </c>
      <c r="Y680" s="380">
        <v>46800</v>
      </c>
      <c r="Z680" s="380">
        <v>22122.42</v>
      </c>
      <c r="AA680" s="376" t="s">
        <v>1366</v>
      </c>
      <c r="AB680" s="376" t="s">
        <v>1367</v>
      </c>
      <c r="AC680" s="376" t="s">
        <v>1368</v>
      </c>
      <c r="AD680" s="376" t="s">
        <v>220</v>
      </c>
      <c r="AE680" s="376" t="s">
        <v>363</v>
      </c>
      <c r="AF680" s="376" t="s">
        <v>210</v>
      </c>
      <c r="AG680" s="376" t="s">
        <v>177</v>
      </c>
      <c r="AH680" s="381">
        <v>22.5</v>
      </c>
      <c r="AI680" s="381">
        <v>2920.2</v>
      </c>
      <c r="AJ680" s="376" t="s">
        <v>178</v>
      </c>
      <c r="AK680" s="376" t="s">
        <v>179</v>
      </c>
      <c r="AL680" s="376" t="s">
        <v>180</v>
      </c>
      <c r="AM680" s="376" t="s">
        <v>181</v>
      </c>
      <c r="AN680" s="376" t="s">
        <v>68</v>
      </c>
      <c r="AO680" s="379">
        <v>80</v>
      </c>
      <c r="AP680" s="460">
        <v>1</v>
      </c>
      <c r="AQ680" s="460">
        <v>1</v>
      </c>
      <c r="AR680" s="458" t="s">
        <v>182</v>
      </c>
      <c r="AS680" s="462">
        <f t="shared" si="170"/>
        <v>1</v>
      </c>
      <c r="AT680">
        <f t="shared" si="171"/>
        <v>1</v>
      </c>
      <c r="AU680" s="462">
        <f>IF(AT680=0,"",IF(AND(AT680=1,M680="F",SUMIF(C2:C698,C680,AS2:AS698)&lt;=1),SUMIF(C2:C698,C680,AS2:AS698),IF(AND(AT680=1,M680="F",SUMIF(C2:C698,C680,AS2:AS698)&gt;1),1,"")))</f>
        <v>1</v>
      </c>
      <c r="AV680" s="462" t="str">
        <f>IF(AT680=0,"",IF(AND(AT680=3,M680="F",SUMIF(C2:C698,C680,AS2:AS698)&lt;=1),SUMIF(C2:C698,C680,AS2:AS698),IF(AND(AT680=3,M680="F",SUMIF(C2:C698,C680,AS2:AS698)&gt;1),1,"")))</f>
        <v/>
      </c>
      <c r="AW680" s="462">
        <f>SUMIF(C2:C698,C680,O2:O698)</f>
        <v>1</v>
      </c>
      <c r="AX680" s="462">
        <f>IF(AND(M680="F",AS680&lt;&gt;0),SUMIF(C2:C698,C680,W2:W698),0)</f>
        <v>46800</v>
      </c>
      <c r="AY680" s="462">
        <f t="shared" si="172"/>
        <v>46800</v>
      </c>
      <c r="AZ680" s="462" t="str">
        <f t="shared" si="173"/>
        <v/>
      </c>
      <c r="BA680" s="462">
        <f t="shared" si="174"/>
        <v>0</v>
      </c>
      <c r="BB680" s="462">
        <f>IF(AND(AT680=1,AK680="E",AU680&gt;=0.75,AW680=1),Health,IF(AND(AT680=1,AK680="E",AU680&gt;=0.75),Health*P680,IF(AND(AT680=1,AK680="E",AU680&gt;=0.5,AW680=1),PTHealth,IF(AND(AT680=1,AK680="E",AU680&gt;=0.5),PTHealth*P680,0))))</f>
        <v>11650</v>
      </c>
      <c r="BC680" s="462">
        <f>IF(AND(AT680=3,AK680="E",AV680&gt;=0.75,AW680=1),Health,IF(AND(AT680=3,AK680="E",AV680&gt;=0.75),Health*P680,IF(AND(AT680=3,AK680="E",AV680&gt;=0.5,AW680=1),PTHealth,IF(AND(AT680=3,AK680="E",AV680&gt;=0.5),PTHealth*P680,0))))</f>
        <v>0</v>
      </c>
      <c r="BD680" s="462">
        <f>IF(AND(AT680&lt;&gt;0,AX680&gt;=MAXSSDI),SSDI*MAXSSDI*P680,IF(AT680&lt;&gt;0,SSDI*W680,0))</f>
        <v>2901.6</v>
      </c>
      <c r="BE680" s="462">
        <f>IF(AT680&lt;&gt;0,SSHI*W680,0)</f>
        <v>678.6</v>
      </c>
      <c r="BF680" s="462">
        <f>IF(AND(AT680&lt;&gt;0,AN680&lt;&gt;"NE"),VLOOKUP(AN680,Retirement_Rates,3,FALSE)*W680,0)</f>
        <v>5587.92</v>
      </c>
      <c r="BG680" s="462">
        <f>IF(AND(AT680&lt;&gt;0,AJ680&lt;&gt;"PF"),Life*W680,0)</f>
        <v>337.428</v>
      </c>
      <c r="BH680" s="462">
        <f>IF(AND(AT680&lt;&gt;0,AM680="Y"),UI*W680,0)</f>
        <v>229.32</v>
      </c>
      <c r="BI680" s="462">
        <f>IF(AND(AT680&lt;&gt;0,N680&lt;&gt;"NR"),DHR*W680,0)</f>
        <v>143.208</v>
      </c>
      <c r="BJ680" s="462">
        <f>IF(AT680&lt;&gt;0,WC*W680,0)</f>
        <v>716.04</v>
      </c>
      <c r="BK680" s="462">
        <f>IF(OR(AND(AT680&lt;&gt;0,AJ680&lt;&gt;"PF",AN680&lt;&gt;"NE",AG680&lt;&gt;"A"),AND(AL680="E",OR(AT680=1,AT680=3))),Sick*W680,0)</f>
        <v>0</v>
      </c>
      <c r="BL680" s="462">
        <f t="shared" si="175"/>
        <v>10594.115999999998</v>
      </c>
      <c r="BM680" s="462">
        <f t="shared" si="176"/>
        <v>0</v>
      </c>
      <c r="BN680" s="462">
        <f>IF(AND(AT680=1,AK680="E",AU680&gt;=0.75,AW680=1),HealthBY,IF(AND(AT680=1,AK680="E",AU680&gt;=0.75),HealthBY*P680,IF(AND(AT680=1,AK680="E",AU680&gt;=0.5,AW680=1),PTHealthBY,IF(AND(AT680=1,AK680="E",AU680&gt;=0.5),PTHealthBY*P680,0))))</f>
        <v>11650</v>
      </c>
      <c r="BO680" s="462">
        <f>IF(AND(AT680=3,AK680="E",AV680&gt;=0.75,AW680=1),HealthBY,IF(AND(AT680=3,AK680="E",AV680&gt;=0.75),HealthBY*P680,IF(AND(AT680=3,AK680="E",AV680&gt;=0.5,AW680=1),PTHealthBY,IF(AND(AT680=3,AK680="E",AV680&gt;=0.5),PTHealthBY*P680,0))))</f>
        <v>0</v>
      </c>
      <c r="BP680" s="462">
        <f>IF(AND(AT680&lt;&gt;0,(AX680+BA680)&gt;=MAXSSDIBY),SSDIBY*MAXSSDIBY*P680,IF(AT680&lt;&gt;0,SSDIBY*W680,0))</f>
        <v>2901.6</v>
      </c>
      <c r="BQ680" s="462">
        <f>IF(AT680&lt;&gt;0,SSHIBY*W680,0)</f>
        <v>678.6</v>
      </c>
      <c r="BR680" s="462">
        <f>IF(AND(AT680&lt;&gt;0,AN680&lt;&gt;"NE"),VLOOKUP(AN680,Retirement_Rates,4,FALSE)*W680,0)</f>
        <v>5587.92</v>
      </c>
      <c r="BS680" s="462">
        <f>IF(AND(AT680&lt;&gt;0,AJ680&lt;&gt;"PF"),LifeBY*W680,0)</f>
        <v>337.428</v>
      </c>
      <c r="BT680" s="462">
        <f>IF(AND(AT680&lt;&gt;0,AM680="Y"),UIBY*W680,0)</f>
        <v>0</v>
      </c>
      <c r="BU680" s="462">
        <f>IF(AND(AT680&lt;&gt;0,N680&lt;&gt;"NR"),DHRBY*W680,0)</f>
        <v>143.208</v>
      </c>
      <c r="BV680" s="462">
        <f>IF(AT680&lt;&gt;0,WCBY*W680,0)</f>
        <v>823.68000000000006</v>
      </c>
      <c r="BW680" s="462">
        <f>IF(OR(AND(AT680&lt;&gt;0,AJ680&lt;&gt;"PF",AN680&lt;&gt;"NE",AG680&lt;&gt;"A"),AND(AL680="E",OR(AT680=1,AT680=3))),SickBY*W680,0)</f>
        <v>0</v>
      </c>
      <c r="BX680" s="462">
        <f t="shared" si="177"/>
        <v>10472.436</v>
      </c>
      <c r="BY680" s="462">
        <f t="shared" si="178"/>
        <v>0</v>
      </c>
      <c r="BZ680" s="462">
        <f t="shared" si="179"/>
        <v>0</v>
      </c>
      <c r="CA680" s="462">
        <f t="shared" si="180"/>
        <v>0</v>
      </c>
      <c r="CB680" s="462">
        <f t="shared" si="181"/>
        <v>0</v>
      </c>
      <c r="CC680" s="462">
        <f>IF(AT680&lt;&gt;0,SSHICHG*Y680,0)</f>
        <v>0</v>
      </c>
      <c r="CD680" s="462">
        <f>IF(AND(AT680&lt;&gt;0,AN680&lt;&gt;"NE"),VLOOKUP(AN680,Retirement_Rates,5,FALSE)*Y680,0)</f>
        <v>0</v>
      </c>
      <c r="CE680" s="462">
        <f>IF(AND(AT680&lt;&gt;0,AJ680&lt;&gt;"PF"),LifeCHG*Y680,0)</f>
        <v>0</v>
      </c>
      <c r="CF680" s="462">
        <f>IF(AND(AT680&lt;&gt;0,AM680="Y"),UICHG*Y680,0)</f>
        <v>-229.32</v>
      </c>
      <c r="CG680" s="462">
        <f>IF(AND(AT680&lt;&gt;0,N680&lt;&gt;"NR"),DHRCHG*Y680,0)</f>
        <v>0</v>
      </c>
      <c r="CH680" s="462">
        <f>IF(AT680&lt;&gt;0,WCCHG*Y680,0)</f>
        <v>107.64000000000009</v>
      </c>
      <c r="CI680" s="462">
        <f>IF(OR(AND(AT680&lt;&gt;0,AJ680&lt;&gt;"PF",AN680&lt;&gt;"NE",AG680&lt;&gt;"A"),AND(AL680="E",OR(AT680=1,AT680=3))),SickCHG*Y680,0)</f>
        <v>0</v>
      </c>
      <c r="CJ680" s="462">
        <f t="shared" si="182"/>
        <v>-121.67999999999991</v>
      </c>
      <c r="CK680" s="462" t="str">
        <f t="shared" si="183"/>
        <v/>
      </c>
      <c r="CL680" s="462" t="str">
        <f t="shared" si="184"/>
        <v/>
      </c>
      <c r="CM680" s="462" t="str">
        <f t="shared" si="185"/>
        <v/>
      </c>
      <c r="CN680" s="462" t="str">
        <f t="shared" si="186"/>
        <v>0348-00</v>
      </c>
    </row>
    <row r="681" spans="1:92" ht="15" thickBot="1" x14ac:dyDescent="0.35">
      <c r="A681" s="376" t="s">
        <v>161</v>
      </c>
      <c r="B681" s="376" t="s">
        <v>162</v>
      </c>
      <c r="C681" s="376" t="s">
        <v>849</v>
      </c>
      <c r="D681" s="376" t="s">
        <v>362</v>
      </c>
      <c r="E681" s="376" t="s">
        <v>759</v>
      </c>
      <c r="F681" s="377" t="s">
        <v>166</v>
      </c>
      <c r="G681" s="376" t="s">
        <v>1352</v>
      </c>
      <c r="H681" s="378"/>
      <c r="I681" s="378"/>
      <c r="J681" s="376" t="s">
        <v>782</v>
      </c>
      <c r="K681" s="376" t="s">
        <v>363</v>
      </c>
      <c r="L681" s="376" t="s">
        <v>200</v>
      </c>
      <c r="M681" s="376" t="s">
        <v>170</v>
      </c>
      <c r="N681" s="376" t="s">
        <v>202</v>
      </c>
      <c r="O681" s="379">
        <v>1</v>
      </c>
      <c r="P681" s="460">
        <v>0</v>
      </c>
      <c r="Q681" s="460">
        <v>0</v>
      </c>
      <c r="R681" s="380">
        <v>80</v>
      </c>
      <c r="S681" s="460">
        <v>0</v>
      </c>
      <c r="T681" s="380">
        <v>2247.25</v>
      </c>
      <c r="U681" s="380">
        <v>0</v>
      </c>
      <c r="V681" s="380">
        <v>1118.68</v>
      </c>
      <c r="W681" s="380">
        <v>0</v>
      </c>
      <c r="X681" s="380">
        <v>0</v>
      </c>
      <c r="Y681" s="380">
        <v>0</v>
      </c>
      <c r="Z681" s="380">
        <v>0</v>
      </c>
      <c r="AA681" s="376" t="s">
        <v>850</v>
      </c>
      <c r="AB681" s="376" t="s">
        <v>851</v>
      </c>
      <c r="AC681" s="376" t="s">
        <v>529</v>
      </c>
      <c r="AD681" s="376" t="s">
        <v>278</v>
      </c>
      <c r="AE681" s="376" t="s">
        <v>363</v>
      </c>
      <c r="AF681" s="376" t="s">
        <v>210</v>
      </c>
      <c r="AG681" s="376" t="s">
        <v>177</v>
      </c>
      <c r="AH681" s="381">
        <v>22.5</v>
      </c>
      <c r="AI681" s="381">
        <v>13789.6</v>
      </c>
      <c r="AJ681" s="376" t="s">
        <v>178</v>
      </c>
      <c r="AK681" s="376" t="s">
        <v>179</v>
      </c>
      <c r="AL681" s="376" t="s">
        <v>180</v>
      </c>
      <c r="AM681" s="376" t="s">
        <v>181</v>
      </c>
      <c r="AN681" s="376" t="s">
        <v>68</v>
      </c>
      <c r="AO681" s="379">
        <v>80</v>
      </c>
      <c r="AP681" s="460">
        <v>1</v>
      </c>
      <c r="AQ681" s="460">
        <v>0</v>
      </c>
      <c r="AR681" s="458" t="s">
        <v>182</v>
      </c>
      <c r="AS681" s="462">
        <f t="shared" si="170"/>
        <v>0</v>
      </c>
      <c r="AT681">
        <f t="shared" si="171"/>
        <v>0</v>
      </c>
      <c r="AU681" s="462" t="str">
        <f>IF(AT681=0,"",IF(AND(AT681=1,M681="F",SUMIF(C2:C698,C681,AS2:AS698)&lt;=1),SUMIF(C2:C698,C681,AS2:AS698),IF(AND(AT681=1,M681="F",SUMIF(C2:C698,C681,AS2:AS698)&gt;1),1,"")))</f>
        <v/>
      </c>
      <c r="AV681" s="462" t="str">
        <f>IF(AT681=0,"",IF(AND(AT681=3,M681="F",SUMIF(C2:C698,C681,AS2:AS698)&lt;=1),SUMIF(C2:C698,C681,AS2:AS698),IF(AND(AT681=3,M681="F",SUMIF(C2:C698,C681,AS2:AS698)&gt;1),1,"")))</f>
        <v/>
      </c>
      <c r="AW681" s="462">
        <f>SUMIF(C2:C698,C681,O2:O698)</f>
        <v>7</v>
      </c>
      <c r="AX681" s="462">
        <f>IF(AND(M681="F",AS681&lt;&gt;0),SUMIF(C2:C698,C681,W2:W698),0)</f>
        <v>0</v>
      </c>
      <c r="AY681" s="462" t="str">
        <f t="shared" si="172"/>
        <v/>
      </c>
      <c r="AZ681" s="462" t="str">
        <f t="shared" si="173"/>
        <v/>
      </c>
      <c r="BA681" s="462">
        <f t="shared" si="174"/>
        <v>0</v>
      </c>
      <c r="BB681" s="462">
        <f>IF(AND(AT681=1,AK681="E",AU681&gt;=0.75,AW681=1),Health,IF(AND(AT681=1,AK681="E",AU681&gt;=0.75),Health*P681,IF(AND(AT681=1,AK681="E",AU681&gt;=0.5,AW681=1),PTHealth,IF(AND(AT681=1,AK681="E",AU681&gt;=0.5),PTHealth*P681,0))))</f>
        <v>0</v>
      </c>
      <c r="BC681" s="462">
        <f>IF(AND(AT681=3,AK681="E",AV681&gt;=0.75,AW681=1),Health,IF(AND(AT681=3,AK681="E",AV681&gt;=0.75),Health*P681,IF(AND(AT681=3,AK681="E",AV681&gt;=0.5,AW681=1),PTHealth,IF(AND(AT681=3,AK681="E",AV681&gt;=0.5),PTHealth*P681,0))))</f>
        <v>0</v>
      </c>
      <c r="BD681" s="462">
        <f>IF(AND(AT681&lt;&gt;0,AX681&gt;=MAXSSDI),SSDI*MAXSSDI*P681,IF(AT681&lt;&gt;0,SSDI*W681,0))</f>
        <v>0</v>
      </c>
      <c r="BE681" s="462">
        <f>IF(AT681&lt;&gt;0,SSHI*W681,0)</f>
        <v>0</v>
      </c>
      <c r="BF681" s="462">
        <f>IF(AND(AT681&lt;&gt;0,AN681&lt;&gt;"NE"),VLOOKUP(AN681,Retirement_Rates,3,FALSE)*W681,0)</f>
        <v>0</v>
      </c>
      <c r="BG681" s="462">
        <f>IF(AND(AT681&lt;&gt;0,AJ681&lt;&gt;"PF"),Life*W681,0)</f>
        <v>0</v>
      </c>
      <c r="BH681" s="462">
        <f>IF(AND(AT681&lt;&gt;0,AM681="Y"),UI*W681,0)</f>
        <v>0</v>
      </c>
      <c r="BI681" s="462">
        <f>IF(AND(AT681&lt;&gt;0,N681&lt;&gt;"NR"),DHR*W681,0)</f>
        <v>0</v>
      </c>
      <c r="BJ681" s="462">
        <f>IF(AT681&lt;&gt;0,WC*W681,0)</f>
        <v>0</v>
      </c>
      <c r="BK681" s="462">
        <f>IF(OR(AND(AT681&lt;&gt;0,AJ681&lt;&gt;"PF",AN681&lt;&gt;"NE",AG681&lt;&gt;"A"),AND(AL681="E",OR(AT681=1,AT681=3))),Sick*W681,0)</f>
        <v>0</v>
      </c>
      <c r="BL681" s="462">
        <f t="shared" si="175"/>
        <v>0</v>
      </c>
      <c r="BM681" s="462">
        <f t="shared" si="176"/>
        <v>0</v>
      </c>
      <c r="BN681" s="462">
        <f>IF(AND(AT681=1,AK681="E",AU681&gt;=0.75,AW681=1),HealthBY,IF(AND(AT681=1,AK681="E",AU681&gt;=0.75),HealthBY*P681,IF(AND(AT681=1,AK681="E",AU681&gt;=0.5,AW681=1),PTHealthBY,IF(AND(AT681=1,AK681="E",AU681&gt;=0.5),PTHealthBY*P681,0))))</f>
        <v>0</v>
      </c>
      <c r="BO681" s="462">
        <f>IF(AND(AT681=3,AK681="E",AV681&gt;=0.75,AW681=1),HealthBY,IF(AND(AT681=3,AK681="E",AV681&gt;=0.75),HealthBY*P681,IF(AND(AT681=3,AK681="E",AV681&gt;=0.5,AW681=1),PTHealthBY,IF(AND(AT681=3,AK681="E",AV681&gt;=0.5),PTHealthBY*P681,0))))</f>
        <v>0</v>
      </c>
      <c r="BP681" s="462">
        <f>IF(AND(AT681&lt;&gt;0,(AX681+BA681)&gt;=MAXSSDIBY),SSDIBY*MAXSSDIBY*P681,IF(AT681&lt;&gt;0,SSDIBY*W681,0))</f>
        <v>0</v>
      </c>
      <c r="BQ681" s="462">
        <f>IF(AT681&lt;&gt;0,SSHIBY*W681,0)</f>
        <v>0</v>
      </c>
      <c r="BR681" s="462">
        <f>IF(AND(AT681&lt;&gt;0,AN681&lt;&gt;"NE"),VLOOKUP(AN681,Retirement_Rates,4,FALSE)*W681,0)</f>
        <v>0</v>
      </c>
      <c r="BS681" s="462">
        <f>IF(AND(AT681&lt;&gt;0,AJ681&lt;&gt;"PF"),LifeBY*W681,0)</f>
        <v>0</v>
      </c>
      <c r="BT681" s="462">
        <f>IF(AND(AT681&lt;&gt;0,AM681="Y"),UIBY*W681,0)</f>
        <v>0</v>
      </c>
      <c r="BU681" s="462">
        <f>IF(AND(AT681&lt;&gt;0,N681&lt;&gt;"NR"),DHRBY*W681,0)</f>
        <v>0</v>
      </c>
      <c r="BV681" s="462">
        <f>IF(AT681&lt;&gt;0,WCBY*W681,0)</f>
        <v>0</v>
      </c>
      <c r="BW681" s="462">
        <f>IF(OR(AND(AT681&lt;&gt;0,AJ681&lt;&gt;"PF",AN681&lt;&gt;"NE",AG681&lt;&gt;"A"),AND(AL681="E",OR(AT681=1,AT681=3))),SickBY*W681,0)</f>
        <v>0</v>
      </c>
      <c r="BX681" s="462">
        <f t="shared" si="177"/>
        <v>0</v>
      </c>
      <c r="BY681" s="462">
        <f t="shared" si="178"/>
        <v>0</v>
      </c>
      <c r="BZ681" s="462">
        <f t="shared" si="179"/>
        <v>0</v>
      </c>
      <c r="CA681" s="462">
        <f t="shared" si="180"/>
        <v>0</v>
      </c>
      <c r="CB681" s="462">
        <f t="shared" si="181"/>
        <v>0</v>
      </c>
      <c r="CC681" s="462">
        <f>IF(AT681&lt;&gt;0,SSHICHG*Y681,0)</f>
        <v>0</v>
      </c>
      <c r="CD681" s="462">
        <f>IF(AND(AT681&lt;&gt;0,AN681&lt;&gt;"NE"),VLOOKUP(AN681,Retirement_Rates,5,FALSE)*Y681,0)</f>
        <v>0</v>
      </c>
      <c r="CE681" s="462">
        <f>IF(AND(AT681&lt;&gt;0,AJ681&lt;&gt;"PF"),LifeCHG*Y681,0)</f>
        <v>0</v>
      </c>
      <c r="CF681" s="462">
        <f>IF(AND(AT681&lt;&gt;0,AM681="Y"),UICHG*Y681,0)</f>
        <v>0</v>
      </c>
      <c r="CG681" s="462">
        <f>IF(AND(AT681&lt;&gt;0,N681&lt;&gt;"NR"),DHRCHG*Y681,0)</f>
        <v>0</v>
      </c>
      <c r="CH681" s="462">
        <f>IF(AT681&lt;&gt;0,WCCHG*Y681,0)</f>
        <v>0</v>
      </c>
      <c r="CI681" s="462">
        <f>IF(OR(AND(AT681&lt;&gt;0,AJ681&lt;&gt;"PF",AN681&lt;&gt;"NE",AG681&lt;&gt;"A"),AND(AL681="E",OR(AT681=1,AT681=3))),SickCHG*Y681,0)</f>
        <v>0</v>
      </c>
      <c r="CJ681" s="462">
        <f t="shared" si="182"/>
        <v>0</v>
      </c>
      <c r="CK681" s="462" t="str">
        <f t="shared" si="183"/>
        <v/>
      </c>
      <c r="CL681" s="462" t="str">
        <f t="shared" si="184"/>
        <v/>
      </c>
      <c r="CM681" s="462" t="str">
        <f t="shared" si="185"/>
        <v/>
      </c>
      <c r="CN681" s="462" t="str">
        <f t="shared" si="186"/>
        <v>0348-00</v>
      </c>
    </row>
    <row r="682" spans="1:92" ht="15" thickBot="1" x14ac:dyDescent="0.35">
      <c r="A682" s="376" t="s">
        <v>161</v>
      </c>
      <c r="B682" s="376" t="s">
        <v>162</v>
      </c>
      <c r="C682" s="376" t="s">
        <v>927</v>
      </c>
      <c r="D682" s="376" t="s">
        <v>761</v>
      </c>
      <c r="E682" s="376" t="s">
        <v>759</v>
      </c>
      <c r="F682" s="377" t="s">
        <v>166</v>
      </c>
      <c r="G682" s="376" t="s">
        <v>1352</v>
      </c>
      <c r="H682" s="378"/>
      <c r="I682" s="378"/>
      <c r="J682" s="376" t="s">
        <v>168</v>
      </c>
      <c r="K682" s="376" t="s">
        <v>763</v>
      </c>
      <c r="L682" s="376" t="s">
        <v>166</v>
      </c>
      <c r="M682" s="376" t="s">
        <v>170</v>
      </c>
      <c r="N682" s="376" t="s">
        <v>291</v>
      </c>
      <c r="O682" s="379">
        <v>0</v>
      </c>
      <c r="P682" s="460">
        <v>0</v>
      </c>
      <c r="Q682" s="460">
        <v>0</v>
      </c>
      <c r="R682" s="380">
        <v>0</v>
      </c>
      <c r="S682" s="460">
        <v>0</v>
      </c>
      <c r="T682" s="380">
        <v>345.37</v>
      </c>
      <c r="U682" s="380">
        <v>0</v>
      </c>
      <c r="V682" s="380">
        <v>234.22</v>
      </c>
      <c r="W682" s="380">
        <v>0</v>
      </c>
      <c r="X682" s="380">
        <v>0</v>
      </c>
      <c r="Y682" s="380">
        <v>0</v>
      </c>
      <c r="Z682" s="380">
        <v>0</v>
      </c>
      <c r="AA682" s="378"/>
      <c r="AB682" s="376" t="s">
        <v>45</v>
      </c>
      <c r="AC682" s="376" t="s">
        <v>45</v>
      </c>
      <c r="AD682" s="378"/>
      <c r="AE682" s="378"/>
      <c r="AF682" s="378"/>
      <c r="AG682" s="378"/>
      <c r="AH682" s="379">
        <v>0</v>
      </c>
      <c r="AI682" s="379">
        <v>0</v>
      </c>
      <c r="AJ682" s="378"/>
      <c r="AK682" s="378"/>
      <c r="AL682" s="376" t="s">
        <v>180</v>
      </c>
      <c r="AM682" s="378"/>
      <c r="AN682" s="378"/>
      <c r="AO682" s="379">
        <v>0</v>
      </c>
      <c r="AP682" s="460">
        <v>0</v>
      </c>
      <c r="AQ682" s="460">
        <v>0</v>
      </c>
      <c r="AR682" s="459"/>
      <c r="AS682" s="462">
        <f t="shared" si="170"/>
        <v>0</v>
      </c>
      <c r="AT682">
        <f t="shared" si="171"/>
        <v>0</v>
      </c>
      <c r="AU682" s="462" t="str">
        <f>IF(AT682=0,"",IF(AND(AT682=1,M682="F",SUMIF(C2:C698,C682,AS2:AS698)&lt;=1),SUMIF(C2:C698,C682,AS2:AS698),IF(AND(AT682=1,M682="F",SUMIF(C2:C698,C682,AS2:AS698)&gt;1),1,"")))</f>
        <v/>
      </c>
      <c r="AV682" s="462" t="str">
        <f>IF(AT682=0,"",IF(AND(AT682=3,M682="F",SUMIF(C2:C698,C682,AS2:AS698)&lt;=1),SUMIF(C2:C698,C682,AS2:AS698),IF(AND(AT682=3,M682="F",SUMIF(C2:C698,C682,AS2:AS698)&gt;1),1,"")))</f>
        <v/>
      </c>
      <c r="AW682" s="462">
        <f>SUMIF(C2:C698,C682,O2:O698)</f>
        <v>0</v>
      </c>
      <c r="AX682" s="462">
        <f>IF(AND(M682="F",AS682&lt;&gt;0),SUMIF(C2:C698,C682,W2:W698),0)</f>
        <v>0</v>
      </c>
      <c r="AY682" s="462" t="str">
        <f t="shared" si="172"/>
        <v/>
      </c>
      <c r="AZ682" s="462" t="str">
        <f t="shared" si="173"/>
        <v/>
      </c>
      <c r="BA682" s="462">
        <f t="shared" si="174"/>
        <v>0</v>
      </c>
      <c r="BB682" s="462">
        <f>IF(AND(AT682=1,AK682="E",AU682&gt;=0.75,AW682=1),Health,IF(AND(AT682=1,AK682="E",AU682&gt;=0.75),Health*P682,IF(AND(AT682=1,AK682="E",AU682&gt;=0.5,AW682=1),PTHealth,IF(AND(AT682=1,AK682="E",AU682&gt;=0.5),PTHealth*P682,0))))</f>
        <v>0</v>
      </c>
      <c r="BC682" s="462">
        <f>IF(AND(AT682=3,AK682="E",AV682&gt;=0.75,AW682=1),Health,IF(AND(AT682=3,AK682="E",AV682&gt;=0.75),Health*P682,IF(AND(AT682=3,AK682="E",AV682&gt;=0.5,AW682=1),PTHealth,IF(AND(AT682=3,AK682="E",AV682&gt;=0.5),PTHealth*P682,0))))</f>
        <v>0</v>
      </c>
      <c r="BD682" s="462">
        <f>IF(AND(AT682&lt;&gt;0,AX682&gt;=MAXSSDI),SSDI*MAXSSDI*P682,IF(AT682&lt;&gt;0,SSDI*W682,0))</f>
        <v>0</v>
      </c>
      <c r="BE682" s="462">
        <f>IF(AT682&lt;&gt;0,SSHI*W682,0)</f>
        <v>0</v>
      </c>
      <c r="BF682" s="462">
        <f>IF(AND(AT682&lt;&gt;0,AN682&lt;&gt;"NE"),VLOOKUP(AN682,Retirement_Rates,3,FALSE)*W682,0)</f>
        <v>0</v>
      </c>
      <c r="BG682" s="462">
        <f>IF(AND(AT682&lt;&gt;0,AJ682&lt;&gt;"PF"),Life*W682,0)</f>
        <v>0</v>
      </c>
      <c r="BH682" s="462">
        <f>IF(AND(AT682&lt;&gt;0,AM682="Y"),UI*W682,0)</f>
        <v>0</v>
      </c>
      <c r="BI682" s="462">
        <f>IF(AND(AT682&lt;&gt;0,N682&lt;&gt;"NR"),DHR*W682,0)</f>
        <v>0</v>
      </c>
      <c r="BJ682" s="462">
        <f>IF(AT682&lt;&gt;0,WC*W682,0)</f>
        <v>0</v>
      </c>
      <c r="BK682" s="462">
        <f>IF(OR(AND(AT682&lt;&gt;0,AJ682&lt;&gt;"PF",AN682&lt;&gt;"NE",AG682&lt;&gt;"A"),AND(AL682="E",OR(AT682=1,AT682=3))),Sick*W682,0)</f>
        <v>0</v>
      </c>
      <c r="BL682" s="462">
        <f t="shared" si="175"/>
        <v>0</v>
      </c>
      <c r="BM682" s="462">
        <f t="shared" si="176"/>
        <v>0</v>
      </c>
      <c r="BN682" s="462">
        <f>IF(AND(AT682=1,AK682="E",AU682&gt;=0.75,AW682=1),HealthBY,IF(AND(AT682=1,AK682="E",AU682&gt;=0.75),HealthBY*P682,IF(AND(AT682=1,AK682="E",AU682&gt;=0.5,AW682=1),PTHealthBY,IF(AND(AT682=1,AK682="E",AU682&gt;=0.5),PTHealthBY*P682,0))))</f>
        <v>0</v>
      </c>
      <c r="BO682" s="462">
        <f>IF(AND(AT682=3,AK682="E",AV682&gt;=0.75,AW682=1),HealthBY,IF(AND(AT682=3,AK682="E",AV682&gt;=0.75),HealthBY*P682,IF(AND(AT682=3,AK682="E",AV682&gt;=0.5,AW682=1),PTHealthBY,IF(AND(AT682=3,AK682="E",AV682&gt;=0.5),PTHealthBY*P682,0))))</f>
        <v>0</v>
      </c>
      <c r="BP682" s="462">
        <f>IF(AND(AT682&lt;&gt;0,(AX682+BA682)&gt;=MAXSSDIBY),SSDIBY*MAXSSDIBY*P682,IF(AT682&lt;&gt;0,SSDIBY*W682,0))</f>
        <v>0</v>
      </c>
      <c r="BQ682" s="462">
        <f>IF(AT682&lt;&gt;0,SSHIBY*W682,0)</f>
        <v>0</v>
      </c>
      <c r="BR682" s="462">
        <f>IF(AND(AT682&lt;&gt;0,AN682&lt;&gt;"NE"),VLOOKUP(AN682,Retirement_Rates,4,FALSE)*W682,0)</f>
        <v>0</v>
      </c>
      <c r="BS682" s="462">
        <f>IF(AND(AT682&lt;&gt;0,AJ682&lt;&gt;"PF"),LifeBY*W682,0)</f>
        <v>0</v>
      </c>
      <c r="BT682" s="462">
        <f>IF(AND(AT682&lt;&gt;0,AM682="Y"),UIBY*W682,0)</f>
        <v>0</v>
      </c>
      <c r="BU682" s="462">
        <f>IF(AND(AT682&lt;&gt;0,N682&lt;&gt;"NR"),DHRBY*W682,0)</f>
        <v>0</v>
      </c>
      <c r="BV682" s="462">
        <f>IF(AT682&lt;&gt;0,WCBY*W682,0)</f>
        <v>0</v>
      </c>
      <c r="BW682" s="462">
        <f>IF(OR(AND(AT682&lt;&gt;0,AJ682&lt;&gt;"PF",AN682&lt;&gt;"NE",AG682&lt;&gt;"A"),AND(AL682="E",OR(AT682=1,AT682=3))),SickBY*W682,0)</f>
        <v>0</v>
      </c>
      <c r="BX682" s="462">
        <f t="shared" si="177"/>
        <v>0</v>
      </c>
      <c r="BY682" s="462">
        <f t="shared" si="178"/>
        <v>0</v>
      </c>
      <c r="BZ682" s="462">
        <f t="shared" si="179"/>
        <v>0</v>
      </c>
      <c r="CA682" s="462">
        <f t="shared" si="180"/>
        <v>0</v>
      </c>
      <c r="CB682" s="462">
        <f t="shared" si="181"/>
        <v>0</v>
      </c>
      <c r="CC682" s="462">
        <f>IF(AT682&lt;&gt;0,SSHICHG*Y682,0)</f>
        <v>0</v>
      </c>
      <c r="CD682" s="462">
        <f>IF(AND(AT682&lt;&gt;0,AN682&lt;&gt;"NE"),VLOOKUP(AN682,Retirement_Rates,5,FALSE)*Y682,0)</f>
        <v>0</v>
      </c>
      <c r="CE682" s="462">
        <f>IF(AND(AT682&lt;&gt;0,AJ682&lt;&gt;"PF"),LifeCHG*Y682,0)</f>
        <v>0</v>
      </c>
      <c r="CF682" s="462">
        <f>IF(AND(AT682&lt;&gt;0,AM682="Y"),UICHG*Y682,0)</f>
        <v>0</v>
      </c>
      <c r="CG682" s="462">
        <f>IF(AND(AT682&lt;&gt;0,N682&lt;&gt;"NR"),DHRCHG*Y682,0)</f>
        <v>0</v>
      </c>
      <c r="CH682" s="462">
        <f>IF(AT682&lt;&gt;0,WCCHG*Y682,0)</f>
        <v>0</v>
      </c>
      <c r="CI682" s="462">
        <f>IF(OR(AND(AT682&lt;&gt;0,AJ682&lt;&gt;"PF",AN682&lt;&gt;"NE",AG682&lt;&gt;"A"),AND(AL682="E",OR(AT682=1,AT682=3))),SickCHG*Y682,0)</f>
        <v>0</v>
      </c>
      <c r="CJ682" s="462">
        <f t="shared" si="182"/>
        <v>0</v>
      </c>
      <c r="CK682" s="462" t="str">
        <f t="shared" si="183"/>
        <v/>
      </c>
      <c r="CL682" s="462">
        <f t="shared" si="184"/>
        <v>345.37</v>
      </c>
      <c r="CM682" s="462">
        <f t="shared" si="185"/>
        <v>234.22</v>
      </c>
      <c r="CN682" s="462" t="str">
        <f t="shared" si="186"/>
        <v>0348-00</v>
      </c>
    </row>
    <row r="683" spans="1:92" ht="15" thickBot="1" x14ac:dyDescent="0.35">
      <c r="A683" s="376" t="s">
        <v>161</v>
      </c>
      <c r="B683" s="376" t="s">
        <v>162</v>
      </c>
      <c r="C683" s="376" t="s">
        <v>406</v>
      </c>
      <c r="D683" s="376" t="s">
        <v>250</v>
      </c>
      <c r="E683" s="376" t="s">
        <v>759</v>
      </c>
      <c r="F683" s="377" t="s">
        <v>166</v>
      </c>
      <c r="G683" s="376" t="s">
        <v>1352</v>
      </c>
      <c r="H683" s="378"/>
      <c r="I683" s="378"/>
      <c r="J683" s="376" t="s">
        <v>168</v>
      </c>
      <c r="K683" s="376" t="s">
        <v>407</v>
      </c>
      <c r="L683" s="376" t="s">
        <v>247</v>
      </c>
      <c r="M683" s="376" t="s">
        <v>170</v>
      </c>
      <c r="N683" s="376" t="s">
        <v>202</v>
      </c>
      <c r="O683" s="379">
        <v>1</v>
      </c>
      <c r="P683" s="460">
        <v>0</v>
      </c>
      <c r="Q683" s="460">
        <v>0</v>
      </c>
      <c r="R683" s="380">
        <v>80</v>
      </c>
      <c r="S683" s="460">
        <v>0</v>
      </c>
      <c r="T683" s="380">
        <v>158.44999999999999</v>
      </c>
      <c r="U683" s="380">
        <v>0</v>
      </c>
      <c r="V683" s="380">
        <v>65.319999999999993</v>
      </c>
      <c r="W683" s="380">
        <v>0</v>
      </c>
      <c r="X683" s="380">
        <v>0</v>
      </c>
      <c r="Y683" s="380">
        <v>0</v>
      </c>
      <c r="Z683" s="380">
        <v>0</v>
      </c>
      <c r="AA683" s="376" t="s">
        <v>408</v>
      </c>
      <c r="AB683" s="376" t="s">
        <v>409</v>
      </c>
      <c r="AC683" s="376" t="s">
        <v>410</v>
      </c>
      <c r="AD683" s="376" t="s">
        <v>411</v>
      </c>
      <c r="AE683" s="376" t="s">
        <v>407</v>
      </c>
      <c r="AF683" s="376" t="s">
        <v>299</v>
      </c>
      <c r="AG683" s="376" t="s">
        <v>177</v>
      </c>
      <c r="AH683" s="379">
        <v>28</v>
      </c>
      <c r="AI683" s="381">
        <v>6915.2</v>
      </c>
      <c r="AJ683" s="376" t="s">
        <v>178</v>
      </c>
      <c r="AK683" s="376" t="s">
        <v>179</v>
      </c>
      <c r="AL683" s="376" t="s">
        <v>180</v>
      </c>
      <c r="AM683" s="376" t="s">
        <v>181</v>
      </c>
      <c r="AN683" s="376" t="s">
        <v>68</v>
      </c>
      <c r="AO683" s="379">
        <v>80</v>
      </c>
      <c r="AP683" s="460">
        <v>1</v>
      </c>
      <c r="AQ683" s="460">
        <v>0</v>
      </c>
      <c r="AR683" s="458" t="s">
        <v>182</v>
      </c>
      <c r="AS683" s="462">
        <f t="shared" si="170"/>
        <v>0</v>
      </c>
      <c r="AT683">
        <f t="shared" si="171"/>
        <v>0</v>
      </c>
      <c r="AU683" s="462" t="str">
        <f>IF(AT683=0,"",IF(AND(AT683=1,M683="F",SUMIF(C2:C698,C683,AS2:AS698)&lt;=1),SUMIF(C2:C698,C683,AS2:AS698),IF(AND(AT683=1,M683="F",SUMIF(C2:C698,C683,AS2:AS698)&gt;1),1,"")))</f>
        <v/>
      </c>
      <c r="AV683" s="462" t="str">
        <f>IF(AT683=0,"",IF(AND(AT683=3,M683="F",SUMIF(C2:C698,C683,AS2:AS698)&lt;=1),SUMIF(C2:C698,C683,AS2:AS698),IF(AND(AT683=3,M683="F",SUMIF(C2:C698,C683,AS2:AS698)&gt;1),1,"")))</f>
        <v/>
      </c>
      <c r="AW683" s="462">
        <f>SUMIF(C2:C698,C683,O2:O698)</f>
        <v>5</v>
      </c>
      <c r="AX683" s="462">
        <f>IF(AND(M683="F",AS683&lt;&gt;0),SUMIF(C2:C698,C683,W2:W698),0)</f>
        <v>0</v>
      </c>
      <c r="AY683" s="462" t="str">
        <f t="shared" si="172"/>
        <v/>
      </c>
      <c r="AZ683" s="462" t="str">
        <f t="shared" si="173"/>
        <v/>
      </c>
      <c r="BA683" s="462">
        <f t="shared" si="174"/>
        <v>0</v>
      </c>
      <c r="BB683" s="462">
        <f>IF(AND(AT683=1,AK683="E",AU683&gt;=0.75,AW683=1),Health,IF(AND(AT683=1,AK683="E",AU683&gt;=0.75),Health*P683,IF(AND(AT683=1,AK683="E",AU683&gt;=0.5,AW683=1),PTHealth,IF(AND(AT683=1,AK683="E",AU683&gt;=0.5),PTHealth*P683,0))))</f>
        <v>0</v>
      </c>
      <c r="BC683" s="462">
        <f>IF(AND(AT683=3,AK683="E",AV683&gt;=0.75,AW683=1),Health,IF(AND(AT683=3,AK683="E",AV683&gt;=0.75),Health*P683,IF(AND(AT683=3,AK683="E",AV683&gt;=0.5,AW683=1),PTHealth,IF(AND(AT683=3,AK683="E",AV683&gt;=0.5),PTHealth*P683,0))))</f>
        <v>0</v>
      </c>
      <c r="BD683" s="462">
        <f>IF(AND(AT683&lt;&gt;0,AX683&gt;=MAXSSDI),SSDI*MAXSSDI*P683,IF(AT683&lt;&gt;0,SSDI*W683,0))</f>
        <v>0</v>
      </c>
      <c r="BE683" s="462">
        <f>IF(AT683&lt;&gt;0,SSHI*W683,0)</f>
        <v>0</v>
      </c>
      <c r="BF683" s="462">
        <f>IF(AND(AT683&lt;&gt;0,AN683&lt;&gt;"NE"),VLOOKUP(AN683,Retirement_Rates,3,FALSE)*W683,0)</f>
        <v>0</v>
      </c>
      <c r="BG683" s="462">
        <f>IF(AND(AT683&lt;&gt;0,AJ683&lt;&gt;"PF"),Life*W683,0)</f>
        <v>0</v>
      </c>
      <c r="BH683" s="462">
        <f>IF(AND(AT683&lt;&gt;0,AM683="Y"),UI*W683,0)</f>
        <v>0</v>
      </c>
      <c r="BI683" s="462">
        <f>IF(AND(AT683&lt;&gt;0,N683&lt;&gt;"NR"),DHR*W683,0)</f>
        <v>0</v>
      </c>
      <c r="BJ683" s="462">
        <f>IF(AT683&lt;&gt;0,WC*W683,0)</f>
        <v>0</v>
      </c>
      <c r="BK683" s="462">
        <f>IF(OR(AND(AT683&lt;&gt;0,AJ683&lt;&gt;"PF",AN683&lt;&gt;"NE",AG683&lt;&gt;"A"),AND(AL683="E",OR(AT683=1,AT683=3))),Sick*W683,0)</f>
        <v>0</v>
      </c>
      <c r="BL683" s="462">
        <f t="shared" si="175"/>
        <v>0</v>
      </c>
      <c r="BM683" s="462">
        <f t="shared" si="176"/>
        <v>0</v>
      </c>
      <c r="BN683" s="462">
        <f>IF(AND(AT683=1,AK683="E",AU683&gt;=0.75,AW683=1),HealthBY,IF(AND(AT683=1,AK683="E",AU683&gt;=0.75),HealthBY*P683,IF(AND(AT683=1,AK683="E",AU683&gt;=0.5,AW683=1),PTHealthBY,IF(AND(AT683=1,AK683="E",AU683&gt;=0.5),PTHealthBY*P683,0))))</f>
        <v>0</v>
      </c>
      <c r="BO683" s="462">
        <f>IF(AND(AT683=3,AK683="E",AV683&gt;=0.75,AW683=1),HealthBY,IF(AND(AT683=3,AK683="E",AV683&gt;=0.75),HealthBY*P683,IF(AND(AT683=3,AK683="E",AV683&gt;=0.5,AW683=1),PTHealthBY,IF(AND(AT683=3,AK683="E",AV683&gt;=0.5),PTHealthBY*P683,0))))</f>
        <v>0</v>
      </c>
      <c r="BP683" s="462">
        <f>IF(AND(AT683&lt;&gt;0,(AX683+BA683)&gt;=MAXSSDIBY),SSDIBY*MAXSSDIBY*P683,IF(AT683&lt;&gt;0,SSDIBY*W683,0))</f>
        <v>0</v>
      </c>
      <c r="BQ683" s="462">
        <f>IF(AT683&lt;&gt;0,SSHIBY*W683,0)</f>
        <v>0</v>
      </c>
      <c r="BR683" s="462">
        <f>IF(AND(AT683&lt;&gt;0,AN683&lt;&gt;"NE"),VLOOKUP(AN683,Retirement_Rates,4,FALSE)*W683,0)</f>
        <v>0</v>
      </c>
      <c r="BS683" s="462">
        <f>IF(AND(AT683&lt;&gt;0,AJ683&lt;&gt;"PF"),LifeBY*W683,0)</f>
        <v>0</v>
      </c>
      <c r="BT683" s="462">
        <f>IF(AND(AT683&lt;&gt;0,AM683="Y"),UIBY*W683,0)</f>
        <v>0</v>
      </c>
      <c r="BU683" s="462">
        <f>IF(AND(AT683&lt;&gt;0,N683&lt;&gt;"NR"),DHRBY*W683,0)</f>
        <v>0</v>
      </c>
      <c r="BV683" s="462">
        <f>IF(AT683&lt;&gt;0,WCBY*W683,0)</f>
        <v>0</v>
      </c>
      <c r="BW683" s="462">
        <f>IF(OR(AND(AT683&lt;&gt;0,AJ683&lt;&gt;"PF",AN683&lt;&gt;"NE",AG683&lt;&gt;"A"),AND(AL683="E",OR(AT683=1,AT683=3))),SickBY*W683,0)</f>
        <v>0</v>
      </c>
      <c r="BX683" s="462">
        <f t="shared" si="177"/>
        <v>0</v>
      </c>
      <c r="BY683" s="462">
        <f t="shared" si="178"/>
        <v>0</v>
      </c>
      <c r="BZ683" s="462">
        <f t="shared" si="179"/>
        <v>0</v>
      </c>
      <c r="CA683" s="462">
        <f t="shared" si="180"/>
        <v>0</v>
      </c>
      <c r="CB683" s="462">
        <f t="shared" si="181"/>
        <v>0</v>
      </c>
      <c r="CC683" s="462">
        <f>IF(AT683&lt;&gt;0,SSHICHG*Y683,0)</f>
        <v>0</v>
      </c>
      <c r="CD683" s="462">
        <f>IF(AND(AT683&lt;&gt;0,AN683&lt;&gt;"NE"),VLOOKUP(AN683,Retirement_Rates,5,FALSE)*Y683,0)</f>
        <v>0</v>
      </c>
      <c r="CE683" s="462">
        <f>IF(AND(AT683&lt;&gt;0,AJ683&lt;&gt;"PF"),LifeCHG*Y683,0)</f>
        <v>0</v>
      </c>
      <c r="CF683" s="462">
        <f>IF(AND(AT683&lt;&gt;0,AM683="Y"),UICHG*Y683,0)</f>
        <v>0</v>
      </c>
      <c r="CG683" s="462">
        <f>IF(AND(AT683&lt;&gt;0,N683&lt;&gt;"NR"),DHRCHG*Y683,0)</f>
        <v>0</v>
      </c>
      <c r="CH683" s="462">
        <f>IF(AT683&lt;&gt;0,WCCHG*Y683,0)</f>
        <v>0</v>
      </c>
      <c r="CI683" s="462">
        <f>IF(OR(AND(AT683&lt;&gt;0,AJ683&lt;&gt;"PF",AN683&lt;&gt;"NE",AG683&lt;&gt;"A"),AND(AL683="E",OR(AT683=1,AT683=3))),SickCHG*Y683,0)</f>
        <v>0</v>
      </c>
      <c r="CJ683" s="462">
        <f t="shared" si="182"/>
        <v>0</v>
      </c>
      <c r="CK683" s="462" t="str">
        <f t="shared" si="183"/>
        <v/>
      </c>
      <c r="CL683" s="462" t="str">
        <f t="shared" si="184"/>
        <v/>
      </c>
      <c r="CM683" s="462" t="str">
        <f t="shared" si="185"/>
        <v/>
      </c>
      <c r="CN683" s="462" t="str">
        <f t="shared" si="186"/>
        <v>0348-00</v>
      </c>
    </row>
    <row r="684" spans="1:92" ht="15" thickBot="1" x14ac:dyDescent="0.35">
      <c r="A684" s="376" t="s">
        <v>161</v>
      </c>
      <c r="B684" s="376" t="s">
        <v>162</v>
      </c>
      <c r="C684" s="376" t="s">
        <v>958</v>
      </c>
      <c r="D684" s="376" t="s">
        <v>858</v>
      </c>
      <c r="E684" s="376" t="s">
        <v>759</v>
      </c>
      <c r="F684" s="377" t="s">
        <v>166</v>
      </c>
      <c r="G684" s="376" t="s">
        <v>1352</v>
      </c>
      <c r="H684" s="378"/>
      <c r="I684" s="378"/>
      <c r="J684" s="376" t="s">
        <v>168</v>
      </c>
      <c r="K684" s="376" t="s">
        <v>859</v>
      </c>
      <c r="L684" s="376" t="s">
        <v>166</v>
      </c>
      <c r="M684" s="376" t="s">
        <v>170</v>
      </c>
      <c r="N684" s="376" t="s">
        <v>291</v>
      </c>
      <c r="O684" s="379">
        <v>0</v>
      </c>
      <c r="P684" s="460">
        <v>0</v>
      </c>
      <c r="Q684" s="460">
        <v>0</v>
      </c>
      <c r="R684" s="380">
        <v>0</v>
      </c>
      <c r="S684" s="460">
        <v>0</v>
      </c>
      <c r="T684" s="380">
        <v>49.5</v>
      </c>
      <c r="U684" s="380">
        <v>0</v>
      </c>
      <c r="V684" s="380">
        <v>17.03</v>
      </c>
      <c r="W684" s="380">
        <v>0</v>
      </c>
      <c r="X684" s="380">
        <v>0</v>
      </c>
      <c r="Y684" s="380">
        <v>0</v>
      </c>
      <c r="Z684" s="380">
        <v>0</v>
      </c>
      <c r="AA684" s="378"/>
      <c r="AB684" s="376" t="s">
        <v>45</v>
      </c>
      <c r="AC684" s="376" t="s">
        <v>45</v>
      </c>
      <c r="AD684" s="378"/>
      <c r="AE684" s="378"/>
      <c r="AF684" s="378"/>
      <c r="AG684" s="378"/>
      <c r="AH684" s="379">
        <v>0</v>
      </c>
      <c r="AI684" s="379">
        <v>0</v>
      </c>
      <c r="AJ684" s="378"/>
      <c r="AK684" s="378"/>
      <c r="AL684" s="376" t="s">
        <v>180</v>
      </c>
      <c r="AM684" s="378"/>
      <c r="AN684" s="378"/>
      <c r="AO684" s="379">
        <v>0</v>
      </c>
      <c r="AP684" s="460">
        <v>0</v>
      </c>
      <c r="AQ684" s="460">
        <v>0</v>
      </c>
      <c r="AR684" s="459"/>
      <c r="AS684" s="462">
        <f t="shared" si="170"/>
        <v>0</v>
      </c>
      <c r="AT684">
        <f t="shared" si="171"/>
        <v>0</v>
      </c>
      <c r="AU684" s="462" t="str">
        <f>IF(AT684=0,"",IF(AND(AT684=1,M684="F",SUMIF(C2:C698,C684,AS2:AS698)&lt;=1),SUMIF(C2:C698,C684,AS2:AS698),IF(AND(AT684=1,M684="F",SUMIF(C2:C698,C684,AS2:AS698)&gt;1),1,"")))</f>
        <v/>
      </c>
      <c r="AV684" s="462" t="str">
        <f>IF(AT684=0,"",IF(AND(AT684=3,M684="F",SUMIF(C2:C698,C684,AS2:AS698)&lt;=1),SUMIF(C2:C698,C684,AS2:AS698),IF(AND(AT684=3,M684="F",SUMIF(C2:C698,C684,AS2:AS698)&gt;1),1,"")))</f>
        <v/>
      </c>
      <c r="AW684" s="462">
        <f>SUMIF(C2:C698,C684,O2:O698)</f>
        <v>0</v>
      </c>
      <c r="AX684" s="462">
        <f>IF(AND(M684="F",AS684&lt;&gt;0),SUMIF(C2:C698,C684,W2:W698),0)</f>
        <v>0</v>
      </c>
      <c r="AY684" s="462" t="str">
        <f t="shared" si="172"/>
        <v/>
      </c>
      <c r="AZ684" s="462" t="str">
        <f t="shared" si="173"/>
        <v/>
      </c>
      <c r="BA684" s="462">
        <f t="shared" si="174"/>
        <v>0</v>
      </c>
      <c r="BB684" s="462">
        <f>IF(AND(AT684=1,AK684="E",AU684&gt;=0.75,AW684=1),Health,IF(AND(AT684=1,AK684="E",AU684&gt;=0.75),Health*P684,IF(AND(AT684=1,AK684="E",AU684&gt;=0.5,AW684=1),PTHealth,IF(AND(AT684=1,AK684="E",AU684&gt;=0.5),PTHealth*P684,0))))</f>
        <v>0</v>
      </c>
      <c r="BC684" s="462">
        <f>IF(AND(AT684=3,AK684="E",AV684&gt;=0.75,AW684=1),Health,IF(AND(AT684=3,AK684="E",AV684&gt;=0.75),Health*P684,IF(AND(AT684=3,AK684="E",AV684&gt;=0.5,AW684=1),PTHealth,IF(AND(AT684=3,AK684="E",AV684&gt;=0.5),PTHealth*P684,0))))</f>
        <v>0</v>
      </c>
      <c r="BD684" s="462">
        <f>IF(AND(AT684&lt;&gt;0,AX684&gt;=MAXSSDI),SSDI*MAXSSDI*P684,IF(AT684&lt;&gt;0,SSDI*W684,0))</f>
        <v>0</v>
      </c>
      <c r="BE684" s="462">
        <f>IF(AT684&lt;&gt;0,SSHI*W684,0)</f>
        <v>0</v>
      </c>
      <c r="BF684" s="462">
        <f>IF(AND(AT684&lt;&gt;0,AN684&lt;&gt;"NE"),VLOOKUP(AN684,Retirement_Rates,3,FALSE)*W684,0)</f>
        <v>0</v>
      </c>
      <c r="BG684" s="462">
        <f>IF(AND(AT684&lt;&gt;0,AJ684&lt;&gt;"PF"),Life*W684,0)</f>
        <v>0</v>
      </c>
      <c r="BH684" s="462">
        <f>IF(AND(AT684&lt;&gt;0,AM684="Y"),UI*W684,0)</f>
        <v>0</v>
      </c>
      <c r="BI684" s="462">
        <f>IF(AND(AT684&lt;&gt;0,N684&lt;&gt;"NR"),DHR*W684,0)</f>
        <v>0</v>
      </c>
      <c r="BJ684" s="462">
        <f>IF(AT684&lt;&gt;0,WC*W684,0)</f>
        <v>0</v>
      </c>
      <c r="BK684" s="462">
        <f>IF(OR(AND(AT684&lt;&gt;0,AJ684&lt;&gt;"PF",AN684&lt;&gt;"NE",AG684&lt;&gt;"A"),AND(AL684="E",OR(AT684=1,AT684=3))),Sick*W684,0)</f>
        <v>0</v>
      </c>
      <c r="BL684" s="462">
        <f t="shared" si="175"/>
        <v>0</v>
      </c>
      <c r="BM684" s="462">
        <f t="shared" si="176"/>
        <v>0</v>
      </c>
      <c r="BN684" s="462">
        <f>IF(AND(AT684=1,AK684="E",AU684&gt;=0.75,AW684=1),HealthBY,IF(AND(AT684=1,AK684="E",AU684&gt;=0.75),HealthBY*P684,IF(AND(AT684=1,AK684="E",AU684&gt;=0.5,AW684=1),PTHealthBY,IF(AND(AT684=1,AK684="E",AU684&gt;=0.5),PTHealthBY*P684,0))))</f>
        <v>0</v>
      </c>
      <c r="BO684" s="462">
        <f>IF(AND(AT684=3,AK684="E",AV684&gt;=0.75,AW684=1),HealthBY,IF(AND(AT684=3,AK684="E",AV684&gt;=0.75),HealthBY*P684,IF(AND(AT684=3,AK684="E",AV684&gt;=0.5,AW684=1),PTHealthBY,IF(AND(AT684=3,AK684="E",AV684&gt;=0.5),PTHealthBY*P684,0))))</f>
        <v>0</v>
      </c>
      <c r="BP684" s="462">
        <f>IF(AND(AT684&lt;&gt;0,(AX684+BA684)&gt;=MAXSSDIBY),SSDIBY*MAXSSDIBY*P684,IF(AT684&lt;&gt;0,SSDIBY*W684,0))</f>
        <v>0</v>
      </c>
      <c r="BQ684" s="462">
        <f>IF(AT684&lt;&gt;0,SSHIBY*W684,0)</f>
        <v>0</v>
      </c>
      <c r="BR684" s="462">
        <f>IF(AND(AT684&lt;&gt;0,AN684&lt;&gt;"NE"),VLOOKUP(AN684,Retirement_Rates,4,FALSE)*W684,0)</f>
        <v>0</v>
      </c>
      <c r="BS684" s="462">
        <f>IF(AND(AT684&lt;&gt;0,AJ684&lt;&gt;"PF"),LifeBY*W684,0)</f>
        <v>0</v>
      </c>
      <c r="BT684" s="462">
        <f>IF(AND(AT684&lt;&gt;0,AM684="Y"),UIBY*W684,0)</f>
        <v>0</v>
      </c>
      <c r="BU684" s="462">
        <f>IF(AND(AT684&lt;&gt;0,N684&lt;&gt;"NR"),DHRBY*W684,0)</f>
        <v>0</v>
      </c>
      <c r="BV684" s="462">
        <f>IF(AT684&lt;&gt;0,WCBY*W684,0)</f>
        <v>0</v>
      </c>
      <c r="BW684" s="462">
        <f>IF(OR(AND(AT684&lt;&gt;0,AJ684&lt;&gt;"PF",AN684&lt;&gt;"NE",AG684&lt;&gt;"A"),AND(AL684="E",OR(AT684=1,AT684=3))),SickBY*W684,0)</f>
        <v>0</v>
      </c>
      <c r="BX684" s="462">
        <f t="shared" si="177"/>
        <v>0</v>
      </c>
      <c r="BY684" s="462">
        <f t="shared" si="178"/>
        <v>0</v>
      </c>
      <c r="BZ684" s="462">
        <f t="shared" si="179"/>
        <v>0</v>
      </c>
      <c r="CA684" s="462">
        <f t="shared" si="180"/>
        <v>0</v>
      </c>
      <c r="CB684" s="462">
        <f t="shared" si="181"/>
        <v>0</v>
      </c>
      <c r="CC684" s="462">
        <f>IF(AT684&lt;&gt;0,SSHICHG*Y684,0)</f>
        <v>0</v>
      </c>
      <c r="CD684" s="462">
        <f>IF(AND(AT684&lt;&gt;0,AN684&lt;&gt;"NE"),VLOOKUP(AN684,Retirement_Rates,5,FALSE)*Y684,0)</f>
        <v>0</v>
      </c>
      <c r="CE684" s="462">
        <f>IF(AND(AT684&lt;&gt;0,AJ684&lt;&gt;"PF"),LifeCHG*Y684,0)</f>
        <v>0</v>
      </c>
      <c r="CF684" s="462">
        <f>IF(AND(AT684&lt;&gt;0,AM684="Y"),UICHG*Y684,0)</f>
        <v>0</v>
      </c>
      <c r="CG684" s="462">
        <f>IF(AND(AT684&lt;&gt;0,N684&lt;&gt;"NR"),DHRCHG*Y684,0)</f>
        <v>0</v>
      </c>
      <c r="CH684" s="462">
        <f>IF(AT684&lt;&gt;0,WCCHG*Y684,0)</f>
        <v>0</v>
      </c>
      <c r="CI684" s="462">
        <f>IF(OR(AND(AT684&lt;&gt;0,AJ684&lt;&gt;"PF",AN684&lt;&gt;"NE",AG684&lt;&gt;"A"),AND(AL684="E",OR(AT684=1,AT684=3))),SickCHG*Y684,0)</f>
        <v>0</v>
      </c>
      <c r="CJ684" s="462">
        <f t="shared" si="182"/>
        <v>0</v>
      </c>
      <c r="CK684" s="462" t="str">
        <f t="shared" si="183"/>
        <v/>
      </c>
      <c r="CL684" s="462">
        <f t="shared" si="184"/>
        <v>49.5</v>
      </c>
      <c r="CM684" s="462">
        <f t="shared" si="185"/>
        <v>17.03</v>
      </c>
      <c r="CN684" s="462" t="str">
        <f t="shared" si="186"/>
        <v>0348-00</v>
      </c>
    </row>
    <row r="685" spans="1:92" ht="15" thickBot="1" x14ac:dyDescent="0.35">
      <c r="A685" s="376" t="s">
        <v>161</v>
      </c>
      <c r="B685" s="376" t="s">
        <v>162</v>
      </c>
      <c r="C685" s="376" t="s">
        <v>876</v>
      </c>
      <c r="D685" s="376" t="s">
        <v>362</v>
      </c>
      <c r="E685" s="376" t="s">
        <v>759</v>
      </c>
      <c r="F685" s="377" t="s">
        <v>166</v>
      </c>
      <c r="G685" s="376" t="s">
        <v>1352</v>
      </c>
      <c r="H685" s="378"/>
      <c r="I685" s="378"/>
      <c r="J685" s="376" t="s">
        <v>877</v>
      </c>
      <c r="K685" s="376" t="s">
        <v>363</v>
      </c>
      <c r="L685" s="376" t="s">
        <v>200</v>
      </c>
      <c r="M685" s="376" t="s">
        <v>170</v>
      </c>
      <c r="N685" s="376" t="s">
        <v>202</v>
      </c>
      <c r="O685" s="379">
        <v>1</v>
      </c>
      <c r="P685" s="460">
        <v>0</v>
      </c>
      <c r="Q685" s="460">
        <v>0</v>
      </c>
      <c r="R685" s="380">
        <v>80</v>
      </c>
      <c r="S685" s="460">
        <v>0</v>
      </c>
      <c r="T685" s="380">
        <v>237.54</v>
      </c>
      <c r="U685" s="380">
        <v>0</v>
      </c>
      <c r="V685" s="380">
        <v>111.08</v>
      </c>
      <c r="W685" s="380">
        <v>0</v>
      </c>
      <c r="X685" s="380">
        <v>0</v>
      </c>
      <c r="Y685" s="380">
        <v>0</v>
      </c>
      <c r="Z685" s="380">
        <v>0</v>
      </c>
      <c r="AA685" s="376" t="s">
        <v>878</v>
      </c>
      <c r="AB685" s="376" t="s">
        <v>879</v>
      </c>
      <c r="AC685" s="376" t="s">
        <v>880</v>
      </c>
      <c r="AD685" s="376" t="s">
        <v>881</v>
      </c>
      <c r="AE685" s="376" t="s">
        <v>363</v>
      </c>
      <c r="AF685" s="376" t="s">
        <v>210</v>
      </c>
      <c r="AG685" s="376" t="s">
        <v>177</v>
      </c>
      <c r="AH685" s="381">
        <v>24.41</v>
      </c>
      <c r="AI685" s="379">
        <v>38438</v>
      </c>
      <c r="AJ685" s="376" t="s">
        <v>178</v>
      </c>
      <c r="AK685" s="376" t="s">
        <v>179</v>
      </c>
      <c r="AL685" s="376" t="s">
        <v>180</v>
      </c>
      <c r="AM685" s="376" t="s">
        <v>181</v>
      </c>
      <c r="AN685" s="376" t="s">
        <v>68</v>
      </c>
      <c r="AO685" s="379">
        <v>80</v>
      </c>
      <c r="AP685" s="460">
        <v>1</v>
      </c>
      <c r="AQ685" s="460">
        <v>0</v>
      </c>
      <c r="AR685" s="458" t="s">
        <v>182</v>
      </c>
      <c r="AS685" s="462">
        <f t="shared" si="170"/>
        <v>0</v>
      </c>
      <c r="AT685">
        <f t="shared" si="171"/>
        <v>0</v>
      </c>
      <c r="AU685" s="462" t="str">
        <f>IF(AT685=0,"",IF(AND(AT685=1,M685="F",SUMIF(C2:C698,C685,AS2:AS698)&lt;=1),SUMIF(C2:C698,C685,AS2:AS698),IF(AND(AT685=1,M685="F",SUMIF(C2:C698,C685,AS2:AS698)&gt;1),1,"")))</f>
        <v/>
      </c>
      <c r="AV685" s="462" t="str">
        <f>IF(AT685=0,"",IF(AND(AT685=3,M685="F",SUMIF(C2:C698,C685,AS2:AS698)&lt;=1),SUMIF(C2:C698,C685,AS2:AS698),IF(AND(AT685=3,M685="F",SUMIF(C2:C698,C685,AS2:AS698)&gt;1),1,"")))</f>
        <v/>
      </c>
      <c r="AW685" s="462">
        <f>SUMIF(C2:C698,C685,O2:O698)</f>
        <v>8</v>
      </c>
      <c r="AX685" s="462">
        <f>IF(AND(M685="F",AS685&lt;&gt;0),SUMIF(C2:C698,C685,W2:W698),0)</f>
        <v>0</v>
      </c>
      <c r="AY685" s="462" t="str">
        <f t="shared" si="172"/>
        <v/>
      </c>
      <c r="AZ685" s="462" t="str">
        <f t="shared" si="173"/>
        <v/>
      </c>
      <c r="BA685" s="462">
        <f t="shared" si="174"/>
        <v>0</v>
      </c>
      <c r="BB685" s="462">
        <f>IF(AND(AT685=1,AK685="E",AU685&gt;=0.75,AW685=1),Health,IF(AND(AT685=1,AK685="E",AU685&gt;=0.75),Health*P685,IF(AND(AT685=1,AK685="E",AU685&gt;=0.5,AW685=1),PTHealth,IF(AND(AT685=1,AK685="E",AU685&gt;=0.5),PTHealth*P685,0))))</f>
        <v>0</v>
      </c>
      <c r="BC685" s="462">
        <f>IF(AND(AT685=3,AK685="E",AV685&gt;=0.75,AW685=1),Health,IF(AND(AT685=3,AK685="E",AV685&gt;=0.75),Health*P685,IF(AND(AT685=3,AK685="E",AV685&gt;=0.5,AW685=1),PTHealth,IF(AND(AT685=3,AK685="E",AV685&gt;=0.5),PTHealth*P685,0))))</f>
        <v>0</v>
      </c>
      <c r="BD685" s="462">
        <f>IF(AND(AT685&lt;&gt;0,AX685&gt;=MAXSSDI),SSDI*MAXSSDI*P685,IF(AT685&lt;&gt;0,SSDI*W685,0))</f>
        <v>0</v>
      </c>
      <c r="BE685" s="462">
        <f>IF(AT685&lt;&gt;0,SSHI*W685,0)</f>
        <v>0</v>
      </c>
      <c r="BF685" s="462">
        <f>IF(AND(AT685&lt;&gt;0,AN685&lt;&gt;"NE"),VLOOKUP(AN685,Retirement_Rates,3,FALSE)*W685,0)</f>
        <v>0</v>
      </c>
      <c r="BG685" s="462">
        <f>IF(AND(AT685&lt;&gt;0,AJ685&lt;&gt;"PF"),Life*W685,0)</f>
        <v>0</v>
      </c>
      <c r="BH685" s="462">
        <f>IF(AND(AT685&lt;&gt;0,AM685="Y"),UI*W685,0)</f>
        <v>0</v>
      </c>
      <c r="BI685" s="462">
        <f>IF(AND(AT685&lt;&gt;0,N685&lt;&gt;"NR"),DHR*W685,0)</f>
        <v>0</v>
      </c>
      <c r="BJ685" s="462">
        <f>IF(AT685&lt;&gt;0,WC*W685,0)</f>
        <v>0</v>
      </c>
      <c r="BK685" s="462">
        <f>IF(OR(AND(AT685&lt;&gt;0,AJ685&lt;&gt;"PF",AN685&lt;&gt;"NE",AG685&lt;&gt;"A"),AND(AL685="E",OR(AT685=1,AT685=3))),Sick*W685,0)</f>
        <v>0</v>
      </c>
      <c r="BL685" s="462">
        <f t="shared" si="175"/>
        <v>0</v>
      </c>
      <c r="BM685" s="462">
        <f t="shared" si="176"/>
        <v>0</v>
      </c>
      <c r="BN685" s="462">
        <f>IF(AND(AT685=1,AK685="E",AU685&gt;=0.75,AW685=1),HealthBY,IF(AND(AT685=1,AK685="E",AU685&gt;=0.75),HealthBY*P685,IF(AND(AT685=1,AK685="E",AU685&gt;=0.5,AW685=1),PTHealthBY,IF(AND(AT685=1,AK685="E",AU685&gt;=0.5),PTHealthBY*P685,0))))</f>
        <v>0</v>
      </c>
      <c r="BO685" s="462">
        <f>IF(AND(AT685=3,AK685="E",AV685&gt;=0.75,AW685=1),HealthBY,IF(AND(AT685=3,AK685="E",AV685&gt;=0.75),HealthBY*P685,IF(AND(AT685=3,AK685="E",AV685&gt;=0.5,AW685=1),PTHealthBY,IF(AND(AT685=3,AK685="E",AV685&gt;=0.5),PTHealthBY*P685,0))))</f>
        <v>0</v>
      </c>
      <c r="BP685" s="462">
        <f>IF(AND(AT685&lt;&gt;0,(AX685+BA685)&gt;=MAXSSDIBY),SSDIBY*MAXSSDIBY*P685,IF(AT685&lt;&gt;0,SSDIBY*W685,0))</f>
        <v>0</v>
      </c>
      <c r="BQ685" s="462">
        <f>IF(AT685&lt;&gt;0,SSHIBY*W685,0)</f>
        <v>0</v>
      </c>
      <c r="BR685" s="462">
        <f>IF(AND(AT685&lt;&gt;0,AN685&lt;&gt;"NE"),VLOOKUP(AN685,Retirement_Rates,4,FALSE)*W685,0)</f>
        <v>0</v>
      </c>
      <c r="BS685" s="462">
        <f>IF(AND(AT685&lt;&gt;0,AJ685&lt;&gt;"PF"),LifeBY*W685,0)</f>
        <v>0</v>
      </c>
      <c r="BT685" s="462">
        <f>IF(AND(AT685&lt;&gt;0,AM685="Y"),UIBY*W685,0)</f>
        <v>0</v>
      </c>
      <c r="BU685" s="462">
        <f>IF(AND(AT685&lt;&gt;0,N685&lt;&gt;"NR"),DHRBY*W685,0)</f>
        <v>0</v>
      </c>
      <c r="BV685" s="462">
        <f>IF(AT685&lt;&gt;0,WCBY*W685,0)</f>
        <v>0</v>
      </c>
      <c r="BW685" s="462">
        <f>IF(OR(AND(AT685&lt;&gt;0,AJ685&lt;&gt;"PF",AN685&lt;&gt;"NE",AG685&lt;&gt;"A"),AND(AL685="E",OR(AT685=1,AT685=3))),SickBY*W685,0)</f>
        <v>0</v>
      </c>
      <c r="BX685" s="462">
        <f t="shared" si="177"/>
        <v>0</v>
      </c>
      <c r="BY685" s="462">
        <f t="shared" si="178"/>
        <v>0</v>
      </c>
      <c r="BZ685" s="462">
        <f t="shared" si="179"/>
        <v>0</v>
      </c>
      <c r="CA685" s="462">
        <f t="shared" si="180"/>
        <v>0</v>
      </c>
      <c r="CB685" s="462">
        <f t="shared" si="181"/>
        <v>0</v>
      </c>
      <c r="CC685" s="462">
        <f>IF(AT685&lt;&gt;0,SSHICHG*Y685,0)</f>
        <v>0</v>
      </c>
      <c r="CD685" s="462">
        <f>IF(AND(AT685&lt;&gt;0,AN685&lt;&gt;"NE"),VLOOKUP(AN685,Retirement_Rates,5,FALSE)*Y685,0)</f>
        <v>0</v>
      </c>
      <c r="CE685" s="462">
        <f>IF(AND(AT685&lt;&gt;0,AJ685&lt;&gt;"PF"),LifeCHG*Y685,0)</f>
        <v>0</v>
      </c>
      <c r="CF685" s="462">
        <f>IF(AND(AT685&lt;&gt;0,AM685="Y"),UICHG*Y685,0)</f>
        <v>0</v>
      </c>
      <c r="CG685" s="462">
        <f>IF(AND(AT685&lt;&gt;0,N685&lt;&gt;"NR"),DHRCHG*Y685,0)</f>
        <v>0</v>
      </c>
      <c r="CH685" s="462">
        <f>IF(AT685&lt;&gt;0,WCCHG*Y685,0)</f>
        <v>0</v>
      </c>
      <c r="CI685" s="462">
        <f>IF(OR(AND(AT685&lt;&gt;0,AJ685&lt;&gt;"PF",AN685&lt;&gt;"NE",AG685&lt;&gt;"A"),AND(AL685="E",OR(AT685=1,AT685=3))),SickCHG*Y685,0)</f>
        <v>0</v>
      </c>
      <c r="CJ685" s="462">
        <f t="shared" si="182"/>
        <v>0</v>
      </c>
      <c r="CK685" s="462" t="str">
        <f t="shared" si="183"/>
        <v/>
      </c>
      <c r="CL685" s="462" t="str">
        <f t="shared" si="184"/>
        <v/>
      </c>
      <c r="CM685" s="462" t="str">
        <f t="shared" si="185"/>
        <v/>
      </c>
      <c r="CN685" s="462" t="str">
        <f t="shared" si="186"/>
        <v>0348-00</v>
      </c>
    </row>
    <row r="686" spans="1:92" ht="15" thickBot="1" x14ac:dyDescent="0.35">
      <c r="A686" s="376" t="s">
        <v>161</v>
      </c>
      <c r="B686" s="376" t="s">
        <v>162</v>
      </c>
      <c r="C686" s="376" t="s">
        <v>454</v>
      </c>
      <c r="D686" s="376" t="s">
        <v>287</v>
      </c>
      <c r="E686" s="376" t="s">
        <v>1369</v>
      </c>
      <c r="F686" s="377" t="s">
        <v>166</v>
      </c>
      <c r="G686" s="376" t="s">
        <v>1352</v>
      </c>
      <c r="H686" s="378"/>
      <c r="I686" s="378"/>
      <c r="J686" s="376" t="s">
        <v>455</v>
      </c>
      <c r="K686" s="376" t="s">
        <v>290</v>
      </c>
      <c r="L686" s="376" t="s">
        <v>166</v>
      </c>
      <c r="M686" s="376" t="s">
        <v>201</v>
      </c>
      <c r="N686" s="376" t="s">
        <v>291</v>
      </c>
      <c r="O686" s="379">
        <v>0</v>
      </c>
      <c r="P686" s="460">
        <v>0.27</v>
      </c>
      <c r="Q686" s="460">
        <v>0</v>
      </c>
      <c r="R686" s="380">
        <v>0</v>
      </c>
      <c r="S686" s="460">
        <v>0</v>
      </c>
      <c r="T686" s="380">
        <v>0</v>
      </c>
      <c r="U686" s="380">
        <v>0</v>
      </c>
      <c r="V686" s="380">
        <v>0</v>
      </c>
      <c r="W686" s="380">
        <v>0</v>
      </c>
      <c r="X686" s="380">
        <v>0</v>
      </c>
      <c r="Y686" s="380">
        <v>0</v>
      </c>
      <c r="Z686" s="380">
        <v>0</v>
      </c>
      <c r="AA686" s="378"/>
      <c r="AB686" s="376" t="s">
        <v>45</v>
      </c>
      <c r="AC686" s="376" t="s">
        <v>45</v>
      </c>
      <c r="AD686" s="378"/>
      <c r="AE686" s="378"/>
      <c r="AF686" s="378"/>
      <c r="AG686" s="378"/>
      <c r="AH686" s="379">
        <v>0</v>
      </c>
      <c r="AI686" s="379">
        <v>0</v>
      </c>
      <c r="AJ686" s="378"/>
      <c r="AK686" s="378"/>
      <c r="AL686" s="376" t="s">
        <v>180</v>
      </c>
      <c r="AM686" s="378"/>
      <c r="AN686" s="378"/>
      <c r="AO686" s="379">
        <v>0</v>
      </c>
      <c r="AP686" s="460">
        <v>0</v>
      </c>
      <c r="AQ686" s="460">
        <v>0</v>
      </c>
      <c r="AR686" s="459"/>
      <c r="AS686" s="462">
        <f t="shared" si="170"/>
        <v>0</v>
      </c>
      <c r="AT686">
        <f t="shared" si="171"/>
        <v>0</v>
      </c>
      <c r="AU686" s="462" t="str">
        <f>IF(AT686=0,"",IF(AND(AT686=1,M686="F",SUMIF(C2:C698,C686,AS2:AS698)&lt;=1),SUMIF(C2:C698,C686,AS2:AS698),IF(AND(AT686=1,M686="F",SUMIF(C2:C698,C686,AS2:AS698)&gt;1),1,"")))</f>
        <v/>
      </c>
      <c r="AV686" s="462" t="str">
        <f>IF(AT686=0,"",IF(AND(AT686=3,M686="F",SUMIF(C2:C698,C686,AS2:AS698)&lt;=1),SUMIF(C2:C698,C686,AS2:AS698),IF(AND(AT686=3,M686="F",SUMIF(C2:C698,C686,AS2:AS698)&gt;1),1,"")))</f>
        <v/>
      </c>
      <c r="AW686" s="462">
        <f>SUMIF(C2:C698,C686,O2:O698)</f>
        <v>0</v>
      </c>
      <c r="AX686" s="462">
        <f>IF(AND(M686="F",AS686&lt;&gt;0),SUMIF(C2:C698,C686,W2:W698),0)</f>
        <v>0</v>
      </c>
      <c r="AY686" s="462" t="str">
        <f t="shared" si="172"/>
        <v/>
      </c>
      <c r="AZ686" s="462" t="str">
        <f t="shared" si="173"/>
        <v/>
      </c>
      <c r="BA686" s="462">
        <f t="shared" si="174"/>
        <v>0</v>
      </c>
      <c r="BB686" s="462">
        <f>IF(AND(AT686=1,AK686="E",AU686&gt;=0.75,AW686=1),Health,IF(AND(AT686=1,AK686="E",AU686&gt;=0.75),Health*P686,IF(AND(AT686=1,AK686="E",AU686&gt;=0.5,AW686=1),PTHealth,IF(AND(AT686=1,AK686="E",AU686&gt;=0.5),PTHealth*P686,0))))</f>
        <v>0</v>
      </c>
      <c r="BC686" s="462">
        <f>IF(AND(AT686=3,AK686="E",AV686&gt;=0.75,AW686=1),Health,IF(AND(AT686=3,AK686="E",AV686&gt;=0.75),Health*P686,IF(AND(AT686=3,AK686="E",AV686&gt;=0.5,AW686=1),PTHealth,IF(AND(AT686=3,AK686="E",AV686&gt;=0.5),PTHealth*P686,0))))</f>
        <v>0</v>
      </c>
      <c r="BD686" s="462">
        <f>IF(AND(AT686&lt;&gt;0,AX686&gt;=MAXSSDI),SSDI*MAXSSDI*P686,IF(AT686&lt;&gt;0,SSDI*W686,0))</f>
        <v>0</v>
      </c>
      <c r="BE686" s="462">
        <f>IF(AT686&lt;&gt;0,SSHI*W686,0)</f>
        <v>0</v>
      </c>
      <c r="BF686" s="462">
        <f>IF(AND(AT686&lt;&gt;0,AN686&lt;&gt;"NE"),VLOOKUP(AN686,Retirement_Rates,3,FALSE)*W686,0)</f>
        <v>0</v>
      </c>
      <c r="BG686" s="462">
        <f>IF(AND(AT686&lt;&gt;0,AJ686&lt;&gt;"PF"),Life*W686,0)</f>
        <v>0</v>
      </c>
      <c r="BH686" s="462">
        <f>IF(AND(AT686&lt;&gt;0,AM686="Y"),UI*W686,0)</f>
        <v>0</v>
      </c>
      <c r="BI686" s="462">
        <f>IF(AND(AT686&lt;&gt;0,N686&lt;&gt;"NR"),DHR*W686,0)</f>
        <v>0</v>
      </c>
      <c r="BJ686" s="462">
        <f>IF(AT686&lt;&gt;0,WC*W686,0)</f>
        <v>0</v>
      </c>
      <c r="BK686" s="462">
        <f>IF(OR(AND(AT686&lt;&gt;0,AJ686&lt;&gt;"PF",AN686&lt;&gt;"NE",AG686&lt;&gt;"A"),AND(AL686="E",OR(AT686=1,AT686=3))),Sick*W686,0)</f>
        <v>0</v>
      </c>
      <c r="BL686" s="462">
        <f t="shared" si="175"/>
        <v>0</v>
      </c>
      <c r="BM686" s="462">
        <f t="shared" si="176"/>
        <v>0</v>
      </c>
      <c r="BN686" s="462">
        <f>IF(AND(AT686=1,AK686="E",AU686&gt;=0.75,AW686=1),HealthBY,IF(AND(AT686=1,AK686="E",AU686&gt;=0.75),HealthBY*P686,IF(AND(AT686=1,AK686="E",AU686&gt;=0.5,AW686=1),PTHealthBY,IF(AND(AT686=1,AK686="E",AU686&gt;=0.5),PTHealthBY*P686,0))))</f>
        <v>0</v>
      </c>
      <c r="BO686" s="462">
        <f>IF(AND(AT686=3,AK686="E",AV686&gt;=0.75,AW686=1),HealthBY,IF(AND(AT686=3,AK686="E",AV686&gt;=0.75),HealthBY*P686,IF(AND(AT686=3,AK686="E",AV686&gt;=0.5,AW686=1),PTHealthBY,IF(AND(AT686=3,AK686="E",AV686&gt;=0.5),PTHealthBY*P686,0))))</f>
        <v>0</v>
      </c>
      <c r="BP686" s="462">
        <f>IF(AND(AT686&lt;&gt;0,(AX686+BA686)&gt;=MAXSSDIBY),SSDIBY*MAXSSDIBY*P686,IF(AT686&lt;&gt;0,SSDIBY*W686,0))</f>
        <v>0</v>
      </c>
      <c r="BQ686" s="462">
        <f>IF(AT686&lt;&gt;0,SSHIBY*W686,0)</f>
        <v>0</v>
      </c>
      <c r="BR686" s="462">
        <f>IF(AND(AT686&lt;&gt;0,AN686&lt;&gt;"NE"),VLOOKUP(AN686,Retirement_Rates,4,FALSE)*W686,0)</f>
        <v>0</v>
      </c>
      <c r="BS686" s="462">
        <f>IF(AND(AT686&lt;&gt;0,AJ686&lt;&gt;"PF"),LifeBY*W686,0)</f>
        <v>0</v>
      </c>
      <c r="BT686" s="462">
        <f>IF(AND(AT686&lt;&gt;0,AM686="Y"),UIBY*W686,0)</f>
        <v>0</v>
      </c>
      <c r="BU686" s="462">
        <f>IF(AND(AT686&lt;&gt;0,N686&lt;&gt;"NR"),DHRBY*W686,0)</f>
        <v>0</v>
      </c>
      <c r="BV686" s="462">
        <f>IF(AT686&lt;&gt;0,WCBY*W686,0)</f>
        <v>0</v>
      </c>
      <c r="BW686" s="462">
        <f>IF(OR(AND(AT686&lt;&gt;0,AJ686&lt;&gt;"PF",AN686&lt;&gt;"NE",AG686&lt;&gt;"A"),AND(AL686="E",OR(AT686=1,AT686=3))),SickBY*W686,0)</f>
        <v>0</v>
      </c>
      <c r="BX686" s="462">
        <f t="shared" si="177"/>
        <v>0</v>
      </c>
      <c r="BY686" s="462">
        <f t="shared" si="178"/>
        <v>0</v>
      </c>
      <c r="BZ686" s="462">
        <f t="shared" si="179"/>
        <v>0</v>
      </c>
      <c r="CA686" s="462">
        <f t="shared" si="180"/>
        <v>0</v>
      </c>
      <c r="CB686" s="462">
        <f t="shared" si="181"/>
        <v>0</v>
      </c>
      <c r="CC686" s="462">
        <f>IF(AT686&lt;&gt;0,SSHICHG*Y686,0)</f>
        <v>0</v>
      </c>
      <c r="CD686" s="462">
        <f>IF(AND(AT686&lt;&gt;0,AN686&lt;&gt;"NE"),VLOOKUP(AN686,Retirement_Rates,5,FALSE)*Y686,0)</f>
        <v>0</v>
      </c>
      <c r="CE686" s="462">
        <f>IF(AND(AT686&lt;&gt;0,AJ686&lt;&gt;"PF"),LifeCHG*Y686,0)</f>
        <v>0</v>
      </c>
      <c r="CF686" s="462">
        <f>IF(AND(AT686&lt;&gt;0,AM686="Y"),UICHG*Y686,0)</f>
        <v>0</v>
      </c>
      <c r="CG686" s="462">
        <f>IF(AND(AT686&lt;&gt;0,N686&lt;&gt;"NR"),DHRCHG*Y686,0)</f>
        <v>0</v>
      </c>
      <c r="CH686" s="462">
        <f>IF(AT686&lt;&gt;0,WCCHG*Y686,0)</f>
        <v>0</v>
      </c>
      <c r="CI686" s="462">
        <f>IF(OR(AND(AT686&lt;&gt;0,AJ686&lt;&gt;"PF",AN686&lt;&gt;"NE",AG686&lt;&gt;"A"),AND(AL686="E",OR(AT686=1,AT686=3))),SickCHG*Y686,0)</f>
        <v>0</v>
      </c>
      <c r="CJ686" s="462">
        <f t="shared" si="182"/>
        <v>0</v>
      </c>
      <c r="CK686" s="462" t="str">
        <f t="shared" si="183"/>
        <v/>
      </c>
      <c r="CL686" s="462">
        <f t="shared" si="184"/>
        <v>0</v>
      </c>
      <c r="CM686" s="462">
        <f t="shared" si="185"/>
        <v>0</v>
      </c>
      <c r="CN686" s="462" t="str">
        <f t="shared" si="186"/>
        <v>0402-00</v>
      </c>
    </row>
    <row r="687" spans="1:92" ht="15" thickBot="1" x14ac:dyDescent="0.35">
      <c r="A687" s="376" t="s">
        <v>161</v>
      </c>
      <c r="B687" s="376" t="s">
        <v>162</v>
      </c>
      <c r="C687" s="376" t="s">
        <v>1370</v>
      </c>
      <c r="D687" s="376" t="s">
        <v>287</v>
      </c>
      <c r="E687" s="376" t="s">
        <v>1369</v>
      </c>
      <c r="F687" s="377" t="s">
        <v>166</v>
      </c>
      <c r="G687" s="376" t="s">
        <v>1352</v>
      </c>
      <c r="H687" s="378"/>
      <c r="I687" s="378"/>
      <c r="J687" s="376" t="s">
        <v>168</v>
      </c>
      <c r="K687" s="376" t="s">
        <v>290</v>
      </c>
      <c r="L687" s="376" t="s">
        <v>166</v>
      </c>
      <c r="M687" s="376" t="s">
        <v>170</v>
      </c>
      <c r="N687" s="376" t="s">
        <v>291</v>
      </c>
      <c r="O687" s="379">
        <v>0</v>
      </c>
      <c r="P687" s="460">
        <v>1</v>
      </c>
      <c r="Q687" s="460">
        <v>0</v>
      </c>
      <c r="R687" s="380">
        <v>0</v>
      </c>
      <c r="S687" s="460">
        <v>0</v>
      </c>
      <c r="T687" s="380">
        <v>6149.25</v>
      </c>
      <c r="U687" s="380">
        <v>0</v>
      </c>
      <c r="V687" s="380">
        <v>723.41</v>
      </c>
      <c r="W687" s="380">
        <v>6149.25</v>
      </c>
      <c r="X687" s="380">
        <v>723.41</v>
      </c>
      <c r="Y687" s="380">
        <v>6149.25</v>
      </c>
      <c r="Z687" s="380">
        <v>723.41</v>
      </c>
      <c r="AA687" s="378"/>
      <c r="AB687" s="376" t="s">
        <v>45</v>
      </c>
      <c r="AC687" s="376" t="s">
        <v>45</v>
      </c>
      <c r="AD687" s="378"/>
      <c r="AE687" s="378"/>
      <c r="AF687" s="378"/>
      <c r="AG687" s="378"/>
      <c r="AH687" s="379">
        <v>0</v>
      </c>
      <c r="AI687" s="379">
        <v>0</v>
      </c>
      <c r="AJ687" s="378"/>
      <c r="AK687" s="378"/>
      <c r="AL687" s="376" t="s">
        <v>180</v>
      </c>
      <c r="AM687" s="378"/>
      <c r="AN687" s="378"/>
      <c r="AO687" s="379">
        <v>0</v>
      </c>
      <c r="AP687" s="460">
        <v>0</v>
      </c>
      <c r="AQ687" s="460">
        <v>0</v>
      </c>
      <c r="AR687" s="459"/>
      <c r="AS687" s="462">
        <f t="shared" si="170"/>
        <v>0</v>
      </c>
      <c r="AT687">
        <f t="shared" si="171"/>
        <v>0</v>
      </c>
      <c r="AU687" s="462" t="str">
        <f>IF(AT687=0,"",IF(AND(AT687=1,M687="F",SUMIF(C2:C698,C687,AS2:AS698)&lt;=1),SUMIF(C2:C698,C687,AS2:AS698),IF(AND(AT687=1,M687="F",SUMIF(C2:C698,C687,AS2:AS698)&gt;1),1,"")))</f>
        <v/>
      </c>
      <c r="AV687" s="462" t="str">
        <f>IF(AT687=0,"",IF(AND(AT687=3,M687="F",SUMIF(C2:C698,C687,AS2:AS698)&lt;=1),SUMIF(C2:C698,C687,AS2:AS698),IF(AND(AT687=3,M687="F",SUMIF(C2:C698,C687,AS2:AS698)&gt;1),1,"")))</f>
        <v/>
      </c>
      <c r="AW687" s="462">
        <f>SUMIF(C2:C698,C687,O2:O698)</f>
        <v>0</v>
      </c>
      <c r="AX687" s="462">
        <f>IF(AND(M687="F",AS687&lt;&gt;0),SUMIF(C2:C698,C687,W2:W698),0)</f>
        <v>0</v>
      </c>
      <c r="AY687" s="462" t="str">
        <f t="shared" si="172"/>
        <v/>
      </c>
      <c r="AZ687" s="462" t="str">
        <f t="shared" si="173"/>
        <v/>
      </c>
      <c r="BA687" s="462">
        <f t="shared" si="174"/>
        <v>0</v>
      </c>
      <c r="BB687" s="462">
        <f>IF(AND(AT687=1,AK687="E",AU687&gt;=0.75,AW687=1),Health,IF(AND(AT687=1,AK687="E",AU687&gt;=0.75),Health*P687,IF(AND(AT687=1,AK687="E",AU687&gt;=0.5,AW687=1),PTHealth,IF(AND(AT687=1,AK687="E",AU687&gt;=0.5),PTHealth*P687,0))))</f>
        <v>0</v>
      </c>
      <c r="BC687" s="462">
        <f>IF(AND(AT687=3,AK687="E",AV687&gt;=0.75,AW687=1),Health,IF(AND(AT687=3,AK687="E",AV687&gt;=0.75),Health*P687,IF(AND(AT687=3,AK687="E",AV687&gt;=0.5,AW687=1),PTHealth,IF(AND(AT687=3,AK687="E",AV687&gt;=0.5),PTHealth*P687,0))))</f>
        <v>0</v>
      </c>
      <c r="BD687" s="462">
        <f>IF(AND(AT687&lt;&gt;0,AX687&gt;=MAXSSDI),SSDI*MAXSSDI*P687,IF(AT687&lt;&gt;0,SSDI*W687,0))</f>
        <v>0</v>
      </c>
      <c r="BE687" s="462">
        <f>IF(AT687&lt;&gt;0,SSHI*W687,0)</f>
        <v>0</v>
      </c>
      <c r="BF687" s="462">
        <f>IF(AND(AT687&lt;&gt;0,AN687&lt;&gt;"NE"),VLOOKUP(AN687,Retirement_Rates,3,FALSE)*W687,0)</f>
        <v>0</v>
      </c>
      <c r="BG687" s="462">
        <f>IF(AND(AT687&lt;&gt;0,AJ687&lt;&gt;"PF"),Life*W687,0)</f>
        <v>0</v>
      </c>
      <c r="BH687" s="462">
        <f>IF(AND(AT687&lt;&gt;0,AM687="Y"),UI*W687,0)</f>
        <v>0</v>
      </c>
      <c r="BI687" s="462">
        <f>IF(AND(AT687&lt;&gt;0,N687&lt;&gt;"NR"),DHR*W687,0)</f>
        <v>0</v>
      </c>
      <c r="BJ687" s="462">
        <f>IF(AT687&lt;&gt;0,WC*W687,0)</f>
        <v>0</v>
      </c>
      <c r="BK687" s="462">
        <f>IF(OR(AND(AT687&lt;&gt;0,AJ687&lt;&gt;"PF",AN687&lt;&gt;"NE",AG687&lt;&gt;"A"),AND(AL687="E",OR(AT687=1,AT687=3))),Sick*W687,0)</f>
        <v>0</v>
      </c>
      <c r="BL687" s="462">
        <f t="shared" si="175"/>
        <v>0</v>
      </c>
      <c r="BM687" s="462">
        <f t="shared" si="176"/>
        <v>0</v>
      </c>
      <c r="BN687" s="462">
        <f>IF(AND(AT687=1,AK687="E",AU687&gt;=0.75,AW687=1),HealthBY,IF(AND(AT687=1,AK687="E",AU687&gt;=0.75),HealthBY*P687,IF(AND(AT687=1,AK687="E",AU687&gt;=0.5,AW687=1),PTHealthBY,IF(AND(AT687=1,AK687="E",AU687&gt;=0.5),PTHealthBY*P687,0))))</f>
        <v>0</v>
      </c>
      <c r="BO687" s="462">
        <f>IF(AND(AT687=3,AK687="E",AV687&gt;=0.75,AW687=1),HealthBY,IF(AND(AT687=3,AK687="E",AV687&gt;=0.75),HealthBY*P687,IF(AND(AT687=3,AK687="E",AV687&gt;=0.5,AW687=1),PTHealthBY,IF(AND(AT687=3,AK687="E",AV687&gt;=0.5),PTHealthBY*P687,0))))</f>
        <v>0</v>
      </c>
      <c r="BP687" s="462">
        <f>IF(AND(AT687&lt;&gt;0,(AX687+BA687)&gt;=MAXSSDIBY),SSDIBY*MAXSSDIBY*P687,IF(AT687&lt;&gt;0,SSDIBY*W687,0))</f>
        <v>0</v>
      </c>
      <c r="BQ687" s="462">
        <f>IF(AT687&lt;&gt;0,SSHIBY*W687,0)</f>
        <v>0</v>
      </c>
      <c r="BR687" s="462">
        <f>IF(AND(AT687&lt;&gt;0,AN687&lt;&gt;"NE"),VLOOKUP(AN687,Retirement_Rates,4,FALSE)*W687,0)</f>
        <v>0</v>
      </c>
      <c r="BS687" s="462">
        <f>IF(AND(AT687&lt;&gt;0,AJ687&lt;&gt;"PF"),LifeBY*W687,0)</f>
        <v>0</v>
      </c>
      <c r="BT687" s="462">
        <f>IF(AND(AT687&lt;&gt;0,AM687="Y"),UIBY*W687,0)</f>
        <v>0</v>
      </c>
      <c r="BU687" s="462">
        <f>IF(AND(AT687&lt;&gt;0,N687&lt;&gt;"NR"),DHRBY*W687,0)</f>
        <v>0</v>
      </c>
      <c r="BV687" s="462">
        <f>IF(AT687&lt;&gt;0,WCBY*W687,0)</f>
        <v>0</v>
      </c>
      <c r="BW687" s="462">
        <f>IF(OR(AND(AT687&lt;&gt;0,AJ687&lt;&gt;"PF",AN687&lt;&gt;"NE",AG687&lt;&gt;"A"),AND(AL687="E",OR(AT687=1,AT687=3))),SickBY*W687,0)</f>
        <v>0</v>
      </c>
      <c r="BX687" s="462">
        <f t="shared" si="177"/>
        <v>0</v>
      </c>
      <c r="BY687" s="462">
        <f t="shared" si="178"/>
        <v>0</v>
      </c>
      <c r="BZ687" s="462">
        <f t="shared" si="179"/>
        <v>0</v>
      </c>
      <c r="CA687" s="462">
        <f t="shared" si="180"/>
        <v>0</v>
      </c>
      <c r="CB687" s="462">
        <f t="shared" si="181"/>
        <v>0</v>
      </c>
      <c r="CC687" s="462">
        <f>IF(AT687&lt;&gt;0,SSHICHG*Y687,0)</f>
        <v>0</v>
      </c>
      <c r="CD687" s="462">
        <f>IF(AND(AT687&lt;&gt;0,AN687&lt;&gt;"NE"),VLOOKUP(AN687,Retirement_Rates,5,FALSE)*Y687,0)</f>
        <v>0</v>
      </c>
      <c r="CE687" s="462">
        <f>IF(AND(AT687&lt;&gt;0,AJ687&lt;&gt;"PF"),LifeCHG*Y687,0)</f>
        <v>0</v>
      </c>
      <c r="CF687" s="462">
        <f>IF(AND(AT687&lt;&gt;0,AM687="Y"),UICHG*Y687,0)</f>
        <v>0</v>
      </c>
      <c r="CG687" s="462">
        <f>IF(AND(AT687&lt;&gt;0,N687&lt;&gt;"NR"),DHRCHG*Y687,0)</f>
        <v>0</v>
      </c>
      <c r="CH687" s="462">
        <f>IF(AT687&lt;&gt;0,WCCHG*Y687,0)</f>
        <v>0</v>
      </c>
      <c r="CI687" s="462">
        <f>IF(OR(AND(AT687&lt;&gt;0,AJ687&lt;&gt;"PF",AN687&lt;&gt;"NE",AG687&lt;&gt;"A"),AND(AL687="E",OR(AT687=1,AT687=3))),SickCHG*Y687,0)</f>
        <v>0</v>
      </c>
      <c r="CJ687" s="462">
        <f t="shared" si="182"/>
        <v>0</v>
      </c>
      <c r="CK687" s="462" t="str">
        <f t="shared" si="183"/>
        <v/>
      </c>
      <c r="CL687" s="462">
        <f t="shared" si="184"/>
        <v>6149.25</v>
      </c>
      <c r="CM687" s="462">
        <f t="shared" si="185"/>
        <v>723.41</v>
      </c>
      <c r="CN687" s="462" t="str">
        <f t="shared" si="186"/>
        <v>0402-00</v>
      </c>
    </row>
    <row r="688" spans="1:92" ht="15" thickBot="1" x14ac:dyDescent="0.35">
      <c r="A688" s="376" t="s">
        <v>161</v>
      </c>
      <c r="B688" s="376" t="s">
        <v>162</v>
      </c>
      <c r="C688" s="376" t="s">
        <v>1371</v>
      </c>
      <c r="D688" s="376" t="s">
        <v>716</v>
      </c>
      <c r="E688" s="376" t="s">
        <v>1369</v>
      </c>
      <c r="F688" s="377" t="s">
        <v>166</v>
      </c>
      <c r="G688" s="376" t="s">
        <v>1352</v>
      </c>
      <c r="H688" s="378"/>
      <c r="I688" s="378"/>
      <c r="J688" s="376" t="s">
        <v>168</v>
      </c>
      <c r="K688" s="376" t="s">
        <v>717</v>
      </c>
      <c r="L688" s="376" t="s">
        <v>349</v>
      </c>
      <c r="M688" s="376" t="s">
        <v>201</v>
      </c>
      <c r="N688" s="376" t="s">
        <v>291</v>
      </c>
      <c r="O688" s="379">
        <v>0</v>
      </c>
      <c r="P688" s="460">
        <v>1</v>
      </c>
      <c r="Q688" s="460">
        <v>0</v>
      </c>
      <c r="R688" s="380">
        <v>0</v>
      </c>
      <c r="S688" s="460">
        <v>0</v>
      </c>
      <c r="T688" s="380">
        <v>0</v>
      </c>
      <c r="U688" s="380">
        <v>0</v>
      </c>
      <c r="V688" s="380">
        <v>0</v>
      </c>
      <c r="W688" s="380">
        <v>0</v>
      </c>
      <c r="X688" s="380">
        <v>0</v>
      </c>
      <c r="Y688" s="380">
        <v>0</v>
      </c>
      <c r="Z688" s="380">
        <v>0</v>
      </c>
      <c r="AA688" s="378"/>
      <c r="AB688" s="376" t="s">
        <v>45</v>
      </c>
      <c r="AC688" s="376" t="s">
        <v>45</v>
      </c>
      <c r="AD688" s="378"/>
      <c r="AE688" s="378"/>
      <c r="AF688" s="378"/>
      <c r="AG688" s="378"/>
      <c r="AH688" s="379">
        <v>0</v>
      </c>
      <c r="AI688" s="379">
        <v>0</v>
      </c>
      <c r="AJ688" s="378"/>
      <c r="AK688" s="378"/>
      <c r="AL688" s="376" t="s">
        <v>180</v>
      </c>
      <c r="AM688" s="378"/>
      <c r="AN688" s="378"/>
      <c r="AO688" s="379">
        <v>0</v>
      </c>
      <c r="AP688" s="460">
        <v>0</v>
      </c>
      <c r="AQ688" s="460">
        <v>0</v>
      </c>
      <c r="AR688" s="459"/>
      <c r="AS688" s="462">
        <f t="shared" si="170"/>
        <v>0</v>
      </c>
      <c r="AT688">
        <f t="shared" si="171"/>
        <v>0</v>
      </c>
      <c r="AU688" s="462" t="str">
        <f>IF(AT688=0,"",IF(AND(AT688=1,M688="F",SUMIF(C2:C698,C688,AS2:AS698)&lt;=1),SUMIF(C2:C698,C688,AS2:AS698),IF(AND(AT688=1,M688="F",SUMIF(C2:C698,C688,AS2:AS698)&gt;1),1,"")))</f>
        <v/>
      </c>
      <c r="AV688" s="462" t="str">
        <f>IF(AT688=0,"",IF(AND(AT688=3,M688="F",SUMIF(C2:C698,C688,AS2:AS698)&lt;=1),SUMIF(C2:C698,C688,AS2:AS698),IF(AND(AT688=3,M688="F",SUMIF(C2:C698,C688,AS2:AS698)&gt;1),1,"")))</f>
        <v/>
      </c>
      <c r="AW688" s="462">
        <f>SUMIF(C2:C698,C688,O2:O698)</f>
        <v>0</v>
      </c>
      <c r="AX688" s="462">
        <f>IF(AND(M688="F",AS688&lt;&gt;0),SUMIF(C2:C698,C688,W2:W698),0)</f>
        <v>0</v>
      </c>
      <c r="AY688" s="462" t="str">
        <f t="shared" si="172"/>
        <v/>
      </c>
      <c r="AZ688" s="462" t="str">
        <f t="shared" si="173"/>
        <v/>
      </c>
      <c r="BA688" s="462">
        <f t="shared" si="174"/>
        <v>0</v>
      </c>
      <c r="BB688" s="462">
        <f>IF(AND(AT688=1,AK688="E",AU688&gt;=0.75,AW688=1),Health,IF(AND(AT688=1,AK688="E",AU688&gt;=0.75),Health*P688,IF(AND(AT688=1,AK688="E",AU688&gt;=0.5,AW688=1),PTHealth,IF(AND(AT688=1,AK688="E",AU688&gt;=0.5),PTHealth*P688,0))))</f>
        <v>0</v>
      </c>
      <c r="BC688" s="462">
        <f>IF(AND(AT688=3,AK688="E",AV688&gt;=0.75,AW688=1),Health,IF(AND(AT688=3,AK688="E",AV688&gt;=0.75),Health*P688,IF(AND(AT688=3,AK688="E",AV688&gt;=0.5,AW688=1),PTHealth,IF(AND(AT688=3,AK688="E",AV688&gt;=0.5),PTHealth*P688,0))))</f>
        <v>0</v>
      </c>
      <c r="BD688" s="462">
        <f>IF(AND(AT688&lt;&gt;0,AX688&gt;=MAXSSDI),SSDI*MAXSSDI*P688,IF(AT688&lt;&gt;0,SSDI*W688,0))</f>
        <v>0</v>
      </c>
      <c r="BE688" s="462">
        <f>IF(AT688&lt;&gt;0,SSHI*W688,0)</f>
        <v>0</v>
      </c>
      <c r="BF688" s="462">
        <f>IF(AND(AT688&lt;&gt;0,AN688&lt;&gt;"NE"),VLOOKUP(AN688,Retirement_Rates,3,FALSE)*W688,0)</f>
        <v>0</v>
      </c>
      <c r="BG688" s="462">
        <f>IF(AND(AT688&lt;&gt;0,AJ688&lt;&gt;"PF"),Life*W688,0)</f>
        <v>0</v>
      </c>
      <c r="BH688" s="462">
        <f>IF(AND(AT688&lt;&gt;0,AM688="Y"),UI*W688,0)</f>
        <v>0</v>
      </c>
      <c r="BI688" s="462">
        <f>IF(AND(AT688&lt;&gt;0,N688&lt;&gt;"NR"),DHR*W688,0)</f>
        <v>0</v>
      </c>
      <c r="BJ688" s="462">
        <f>IF(AT688&lt;&gt;0,WC*W688,0)</f>
        <v>0</v>
      </c>
      <c r="BK688" s="462">
        <f>IF(OR(AND(AT688&lt;&gt;0,AJ688&lt;&gt;"PF",AN688&lt;&gt;"NE",AG688&lt;&gt;"A"),AND(AL688="E",OR(AT688=1,AT688=3))),Sick*W688,0)</f>
        <v>0</v>
      </c>
      <c r="BL688" s="462">
        <f t="shared" si="175"/>
        <v>0</v>
      </c>
      <c r="BM688" s="462">
        <f t="shared" si="176"/>
        <v>0</v>
      </c>
      <c r="BN688" s="462">
        <f>IF(AND(AT688=1,AK688="E",AU688&gt;=0.75,AW688=1),HealthBY,IF(AND(AT688=1,AK688="E",AU688&gt;=0.75),HealthBY*P688,IF(AND(AT688=1,AK688="E",AU688&gt;=0.5,AW688=1),PTHealthBY,IF(AND(AT688=1,AK688="E",AU688&gt;=0.5),PTHealthBY*P688,0))))</f>
        <v>0</v>
      </c>
      <c r="BO688" s="462">
        <f>IF(AND(AT688=3,AK688="E",AV688&gt;=0.75,AW688=1),HealthBY,IF(AND(AT688=3,AK688="E",AV688&gt;=0.75),HealthBY*P688,IF(AND(AT688=3,AK688="E",AV688&gt;=0.5,AW688=1),PTHealthBY,IF(AND(AT688=3,AK688="E",AV688&gt;=0.5),PTHealthBY*P688,0))))</f>
        <v>0</v>
      </c>
      <c r="BP688" s="462">
        <f>IF(AND(AT688&lt;&gt;0,(AX688+BA688)&gt;=MAXSSDIBY),SSDIBY*MAXSSDIBY*P688,IF(AT688&lt;&gt;0,SSDIBY*W688,0))</f>
        <v>0</v>
      </c>
      <c r="BQ688" s="462">
        <f>IF(AT688&lt;&gt;0,SSHIBY*W688,0)</f>
        <v>0</v>
      </c>
      <c r="BR688" s="462">
        <f>IF(AND(AT688&lt;&gt;0,AN688&lt;&gt;"NE"),VLOOKUP(AN688,Retirement_Rates,4,FALSE)*W688,0)</f>
        <v>0</v>
      </c>
      <c r="BS688" s="462">
        <f>IF(AND(AT688&lt;&gt;0,AJ688&lt;&gt;"PF"),LifeBY*W688,0)</f>
        <v>0</v>
      </c>
      <c r="BT688" s="462">
        <f>IF(AND(AT688&lt;&gt;0,AM688="Y"),UIBY*W688,0)</f>
        <v>0</v>
      </c>
      <c r="BU688" s="462">
        <f>IF(AND(AT688&lt;&gt;0,N688&lt;&gt;"NR"),DHRBY*W688,0)</f>
        <v>0</v>
      </c>
      <c r="BV688" s="462">
        <f>IF(AT688&lt;&gt;0,WCBY*W688,0)</f>
        <v>0</v>
      </c>
      <c r="BW688" s="462">
        <f>IF(OR(AND(AT688&lt;&gt;0,AJ688&lt;&gt;"PF",AN688&lt;&gt;"NE",AG688&lt;&gt;"A"),AND(AL688="E",OR(AT688=1,AT688=3))),SickBY*W688,0)</f>
        <v>0</v>
      </c>
      <c r="BX688" s="462">
        <f t="shared" si="177"/>
        <v>0</v>
      </c>
      <c r="BY688" s="462">
        <f t="shared" si="178"/>
        <v>0</v>
      </c>
      <c r="BZ688" s="462">
        <f t="shared" si="179"/>
        <v>0</v>
      </c>
      <c r="CA688" s="462">
        <f t="shared" si="180"/>
        <v>0</v>
      </c>
      <c r="CB688" s="462">
        <f t="shared" si="181"/>
        <v>0</v>
      </c>
      <c r="CC688" s="462">
        <f>IF(AT688&lt;&gt;0,SSHICHG*Y688,0)</f>
        <v>0</v>
      </c>
      <c r="CD688" s="462">
        <f>IF(AND(AT688&lt;&gt;0,AN688&lt;&gt;"NE"),VLOOKUP(AN688,Retirement_Rates,5,FALSE)*Y688,0)</f>
        <v>0</v>
      </c>
      <c r="CE688" s="462">
        <f>IF(AND(AT688&lt;&gt;0,AJ688&lt;&gt;"PF"),LifeCHG*Y688,0)</f>
        <v>0</v>
      </c>
      <c r="CF688" s="462">
        <f>IF(AND(AT688&lt;&gt;0,AM688="Y"),UICHG*Y688,0)</f>
        <v>0</v>
      </c>
      <c r="CG688" s="462">
        <f>IF(AND(AT688&lt;&gt;0,N688&lt;&gt;"NR"),DHRCHG*Y688,0)</f>
        <v>0</v>
      </c>
      <c r="CH688" s="462">
        <f>IF(AT688&lt;&gt;0,WCCHG*Y688,0)</f>
        <v>0</v>
      </c>
      <c r="CI688" s="462">
        <f>IF(OR(AND(AT688&lt;&gt;0,AJ688&lt;&gt;"PF",AN688&lt;&gt;"NE",AG688&lt;&gt;"A"),AND(AL688="E",OR(AT688=1,AT688=3))),SickCHG*Y688,0)</f>
        <v>0</v>
      </c>
      <c r="CJ688" s="462">
        <f t="shared" si="182"/>
        <v>0</v>
      </c>
      <c r="CK688" s="462" t="str">
        <f t="shared" si="183"/>
        <v/>
      </c>
      <c r="CL688" s="462">
        <f t="shared" si="184"/>
        <v>0</v>
      </c>
      <c r="CM688" s="462">
        <f t="shared" si="185"/>
        <v>0</v>
      </c>
      <c r="CN688" s="462" t="str">
        <f t="shared" si="186"/>
        <v>0402-00</v>
      </c>
    </row>
    <row r="689" spans="1:92" ht="15" thickBot="1" x14ac:dyDescent="0.35">
      <c r="A689" s="376" t="s">
        <v>161</v>
      </c>
      <c r="B689" s="376" t="s">
        <v>162</v>
      </c>
      <c r="C689" s="376" t="s">
        <v>1372</v>
      </c>
      <c r="D689" s="376" t="s">
        <v>418</v>
      </c>
      <c r="E689" s="376" t="s">
        <v>1369</v>
      </c>
      <c r="F689" s="377" t="s">
        <v>166</v>
      </c>
      <c r="G689" s="376" t="s">
        <v>1352</v>
      </c>
      <c r="H689" s="378"/>
      <c r="I689" s="378"/>
      <c r="J689" s="376" t="s">
        <v>168</v>
      </c>
      <c r="K689" s="376" t="s">
        <v>419</v>
      </c>
      <c r="L689" s="376" t="s">
        <v>177</v>
      </c>
      <c r="M689" s="376" t="s">
        <v>201</v>
      </c>
      <c r="N689" s="376" t="s">
        <v>202</v>
      </c>
      <c r="O689" s="379">
        <v>0</v>
      </c>
      <c r="P689" s="460">
        <v>1</v>
      </c>
      <c r="Q689" s="460">
        <v>1</v>
      </c>
      <c r="R689" s="380">
        <v>80</v>
      </c>
      <c r="S689" s="460">
        <v>1</v>
      </c>
      <c r="T689" s="380">
        <v>14007.85</v>
      </c>
      <c r="U689" s="380">
        <v>0</v>
      </c>
      <c r="V689" s="380">
        <v>7283.55</v>
      </c>
      <c r="W689" s="380">
        <v>32094.400000000001</v>
      </c>
      <c r="X689" s="380">
        <v>14057.34</v>
      </c>
      <c r="Y689" s="380">
        <v>32094.400000000001</v>
      </c>
      <c r="Z689" s="380">
        <v>13896.87</v>
      </c>
      <c r="AA689" s="378"/>
      <c r="AB689" s="376" t="s">
        <v>45</v>
      </c>
      <c r="AC689" s="376" t="s">
        <v>45</v>
      </c>
      <c r="AD689" s="378"/>
      <c r="AE689" s="378"/>
      <c r="AF689" s="378"/>
      <c r="AG689" s="378"/>
      <c r="AH689" s="379">
        <v>0</v>
      </c>
      <c r="AI689" s="379">
        <v>0</v>
      </c>
      <c r="AJ689" s="378"/>
      <c r="AK689" s="378"/>
      <c r="AL689" s="376" t="s">
        <v>180</v>
      </c>
      <c r="AM689" s="378"/>
      <c r="AN689" s="378"/>
      <c r="AO689" s="379">
        <v>0</v>
      </c>
      <c r="AP689" s="460">
        <v>0</v>
      </c>
      <c r="AQ689" s="460">
        <v>0</v>
      </c>
      <c r="AR689" s="459"/>
      <c r="AS689" s="462">
        <f t="shared" si="170"/>
        <v>0</v>
      </c>
      <c r="AT689">
        <f t="shared" si="171"/>
        <v>0</v>
      </c>
      <c r="AU689" s="462" t="str">
        <f>IF(AT689=0,"",IF(AND(AT689=1,M689="F",SUMIF(C2:C698,C689,AS2:AS698)&lt;=1),SUMIF(C2:C698,C689,AS2:AS698),IF(AND(AT689=1,M689="F",SUMIF(C2:C698,C689,AS2:AS698)&gt;1),1,"")))</f>
        <v/>
      </c>
      <c r="AV689" s="462" t="str">
        <f>IF(AT689=0,"",IF(AND(AT689=3,M689="F",SUMIF(C2:C698,C689,AS2:AS698)&lt;=1),SUMIF(C2:C698,C689,AS2:AS698),IF(AND(AT689=3,M689="F",SUMIF(C2:C698,C689,AS2:AS698)&gt;1),1,"")))</f>
        <v/>
      </c>
      <c r="AW689" s="462">
        <f>SUMIF(C2:C698,C689,O2:O698)</f>
        <v>0</v>
      </c>
      <c r="AX689" s="462">
        <f>IF(AND(M689="F",AS689&lt;&gt;0),SUMIF(C2:C698,C689,W2:W698),0)</f>
        <v>0</v>
      </c>
      <c r="AY689" s="462" t="str">
        <f t="shared" si="172"/>
        <v/>
      </c>
      <c r="AZ689" s="462" t="str">
        <f t="shared" si="173"/>
        <v/>
      </c>
      <c r="BA689" s="462">
        <f t="shared" si="174"/>
        <v>0</v>
      </c>
      <c r="BB689" s="462">
        <f>IF(AND(AT689=1,AK689="E",AU689&gt;=0.75,AW689=1),Health,IF(AND(AT689=1,AK689="E",AU689&gt;=0.75),Health*P689,IF(AND(AT689=1,AK689="E",AU689&gt;=0.5,AW689=1),PTHealth,IF(AND(AT689=1,AK689="E",AU689&gt;=0.5),PTHealth*P689,0))))</f>
        <v>0</v>
      </c>
      <c r="BC689" s="462">
        <f>IF(AND(AT689=3,AK689="E",AV689&gt;=0.75,AW689=1),Health,IF(AND(AT689=3,AK689="E",AV689&gt;=0.75),Health*P689,IF(AND(AT689=3,AK689="E",AV689&gt;=0.5,AW689=1),PTHealth,IF(AND(AT689=3,AK689="E",AV689&gt;=0.5),PTHealth*P689,0))))</f>
        <v>0</v>
      </c>
      <c r="BD689" s="462">
        <f>IF(AND(AT689&lt;&gt;0,AX689&gt;=MAXSSDI),SSDI*MAXSSDI*P689,IF(AT689&lt;&gt;0,SSDI*W689,0))</f>
        <v>0</v>
      </c>
      <c r="BE689" s="462">
        <f>IF(AT689&lt;&gt;0,SSHI*W689,0)</f>
        <v>0</v>
      </c>
      <c r="BF689" s="462">
        <f>IF(AND(AT689&lt;&gt;0,AN689&lt;&gt;"NE"),VLOOKUP(AN689,Retirement_Rates,3,FALSE)*W689,0)</f>
        <v>0</v>
      </c>
      <c r="BG689" s="462">
        <f>IF(AND(AT689&lt;&gt;0,AJ689&lt;&gt;"PF"),Life*W689,0)</f>
        <v>0</v>
      </c>
      <c r="BH689" s="462">
        <f>IF(AND(AT689&lt;&gt;0,AM689="Y"),UI*W689,0)</f>
        <v>0</v>
      </c>
      <c r="BI689" s="462">
        <f>IF(AND(AT689&lt;&gt;0,N689&lt;&gt;"NR"),DHR*W689,0)</f>
        <v>0</v>
      </c>
      <c r="BJ689" s="462">
        <f>IF(AT689&lt;&gt;0,WC*W689,0)</f>
        <v>0</v>
      </c>
      <c r="BK689" s="462">
        <f>IF(OR(AND(AT689&lt;&gt;0,AJ689&lt;&gt;"PF",AN689&lt;&gt;"NE",AG689&lt;&gt;"A"),AND(AL689="E",OR(AT689=1,AT689=3))),Sick*W689,0)</f>
        <v>0</v>
      </c>
      <c r="BL689" s="462">
        <f t="shared" si="175"/>
        <v>0</v>
      </c>
      <c r="BM689" s="462">
        <f t="shared" si="176"/>
        <v>0</v>
      </c>
      <c r="BN689" s="462">
        <f>IF(AND(AT689=1,AK689="E",AU689&gt;=0.75,AW689=1),HealthBY,IF(AND(AT689=1,AK689="E",AU689&gt;=0.75),HealthBY*P689,IF(AND(AT689=1,AK689="E",AU689&gt;=0.5,AW689=1),PTHealthBY,IF(AND(AT689=1,AK689="E",AU689&gt;=0.5),PTHealthBY*P689,0))))</f>
        <v>0</v>
      </c>
      <c r="BO689" s="462">
        <f>IF(AND(AT689=3,AK689="E",AV689&gt;=0.75,AW689=1),HealthBY,IF(AND(AT689=3,AK689="E",AV689&gt;=0.75),HealthBY*P689,IF(AND(AT689=3,AK689="E",AV689&gt;=0.5,AW689=1),PTHealthBY,IF(AND(AT689=3,AK689="E",AV689&gt;=0.5),PTHealthBY*P689,0))))</f>
        <v>0</v>
      </c>
      <c r="BP689" s="462">
        <f>IF(AND(AT689&lt;&gt;0,(AX689+BA689)&gt;=MAXSSDIBY),SSDIBY*MAXSSDIBY*P689,IF(AT689&lt;&gt;0,SSDIBY*W689,0))</f>
        <v>0</v>
      </c>
      <c r="BQ689" s="462">
        <f>IF(AT689&lt;&gt;0,SSHIBY*W689,0)</f>
        <v>0</v>
      </c>
      <c r="BR689" s="462">
        <f>IF(AND(AT689&lt;&gt;0,AN689&lt;&gt;"NE"),VLOOKUP(AN689,Retirement_Rates,4,FALSE)*W689,0)</f>
        <v>0</v>
      </c>
      <c r="BS689" s="462">
        <f>IF(AND(AT689&lt;&gt;0,AJ689&lt;&gt;"PF"),LifeBY*W689,0)</f>
        <v>0</v>
      </c>
      <c r="BT689" s="462">
        <f>IF(AND(AT689&lt;&gt;0,AM689="Y"),UIBY*W689,0)</f>
        <v>0</v>
      </c>
      <c r="BU689" s="462">
        <f>IF(AND(AT689&lt;&gt;0,N689&lt;&gt;"NR"),DHRBY*W689,0)</f>
        <v>0</v>
      </c>
      <c r="BV689" s="462">
        <f>IF(AT689&lt;&gt;0,WCBY*W689,0)</f>
        <v>0</v>
      </c>
      <c r="BW689" s="462">
        <f>IF(OR(AND(AT689&lt;&gt;0,AJ689&lt;&gt;"PF",AN689&lt;&gt;"NE",AG689&lt;&gt;"A"),AND(AL689="E",OR(AT689=1,AT689=3))),SickBY*W689,0)</f>
        <v>0</v>
      </c>
      <c r="BX689" s="462">
        <f t="shared" si="177"/>
        <v>0</v>
      </c>
      <c r="BY689" s="462">
        <f t="shared" si="178"/>
        <v>0</v>
      </c>
      <c r="BZ689" s="462">
        <f t="shared" si="179"/>
        <v>0</v>
      </c>
      <c r="CA689" s="462">
        <f t="shared" si="180"/>
        <v>0</v>
      </c>
      <c r="CB689" s="462">
        <f t="shared" si="181"/>
        <v>0</v>
      </c>
      <c r="CC689" s="462">
        <f>IF(AT689&lt;&gt;0,SSHICHG*Y689,0)</f>
        <v>0</v>
      </c>
      <c r="CD689" s="462">
        <f>IF(AND(AT689&lt;&gt;0,AN689&lt;&gt;"NE"),VLOOKUP(AN689,Retirement_Rates,5,FALSE)*Y689,0)</f>
        <v>0</v>
      </c>
      <c r="CE689" s="462">
        <f>IF(AND(AT689&lt;&gt;0,AJ689&lt;&gt;"PF"),LifeCHG*Y689,0)</f>
        <v>0</v>
      </c>
      <c r="CF689" s="462">
        <f>IF(AND(AT689&lt;&gt;0,AM689="Y"),UICHG*Y689,0)</f>
        <v>0</v>
      </c>
      <c r="CG689" s="462">
        <f>IF(AND(AT689&lt;&gt;0,N689&lt;&gt;"NR"),DHRCHG*Y689,0)</f>
        <v>0</v>
      </c>
      <c r="CH689" s="462">
        <f>IF(AT689&lt;&gt;0,WCCHG*Y689,0)</f>
        <v>0</v>
      </c>
      <c r="CI689" s="462">
        <f>IF(OR(AND(AT689&lt;&gt;0,AJ689&lt;&gt;"PF",AN689&lt;&gt;"NE",AG689&lt;&gt;"A"),AND(AL689="E",OR(AT689=1,AT689=3))),SickCHG*Y689,0)</f>
        <v>0</v>
      </c>
      <c r="CJ689" s="462">
        <f t="shared" si="182"/>
        <v>0</v>
      </c>
      <c r="CK689" s="462" t="str">
        <f t="shared" si="183"/>
        <v/>
      </c>
      <c r="CL689" s="462" t="str">
        <f t="shared" si="184"/>
        <v/>
      </c>
      <c r="CM689" s="462" t="str">
        <f t="shared" si="185"/>
        <v/>
      </c>
      <c r="CN689" s="462" t="str">
        <f t="shared" si="186"/>
        <v>0402-00</v>
      </c>
    </row>
    <row r="690" spans="1:92" ht="15" thickBot="1" x14ac:dyDescent="0.35">
      <c r="A690" s="376" t="s">
        <v>161</v>
      </c>
      <c r="B690" s="376" t="s">
        <v>162</v>
      </c>
      <c r="C690" s="376" t="s">
        <v>1373</v>
      </c>
      <c r="D690" s="376" t="s">
        <v>1374</v>
      </c>
      <c r="E690" s="376" t="s">
        <v>1369</v>
      </c>
      <c r="F690" s="377" t="s">
        <v>166</v>
      </c>
      <c r="G690" s="376" t="s">
        <v>1352</v>
      </c>
      <c r="H690" s="378"/>
      <c r="I690" s="378"/>
      <c r="J690" s="376" t="s">
        <v>168</v>
      </c>
      <c r="K690" s="376" t="s">
        <v>1000</v>
      </c>
      <c r="L690" s="376" t="s">
        <v>224</v>
      </c>
      <c r="M690" s="376" t="s">
        <v>170</v>
      </c>
      <c r="N690" s="376" t="s">
        <v>202</v>
      </c>
      <c r="O690" s="379">
        <v>1</v>
      </c>
      <c r="P690" s="460">
        <v>1</v>
      </c>
      <c r="Q690" s="460">
        <v>1</v>
      </c>
      <c r="R690" s="380">
        <v>80</v>
      </c>
      <c r="S690" s="460">
        <v>1</v>
      </c>
      <c r="T690" s="380">
        <v>43958.15</v>
      </c>
      <c r="U690" s="380">
        <v>0</v>
      </c>
      <c r="V690" s="380">
        <v>20901.939999999999</v>
      </c>
      <c r="W690" s="380">
        <v>44101.2</v>
      </c>
      <c r="X690" s="380">
        <v>21633.14</v>
      </c>
      <c r="Y690" s="380">
        <v>44101.2</v>
      </c>
      <c r="Z690" s="380">
        <v>21518.49</v>
      </c>
      <c r="AA690" s="376" t="s">
        <v>1375</v>
      </c>
      <c r="AB690" s="376" t="s">
        <v>1376</v>
      </c>
      <c r="AC690" s="376" t="s">
        <v>319</v>
      </c>
      <c r="AD690" s="376" t="s">
        <v>190</v>
      </c>
      <c r="AE690" s="376" t="s">
        <v>1000</v>
      </c>
      <c r="AF690" s="376" t="s">
        <v>232</v>
      </c>
      <c r="AG690" s="376" t="s">
        <v>177</v>
      </c>
      <c r="AH690" s="381">
        <v>28.27</v>
      </c>
      <c r="AI690" s="381">
        <v>33047.9</v>
      </c>
      <c r="AJ690" s="376" t="s">
        <v>313</v>
      </c>
      <c r="AK690" s="376" t="s">
        <v>179</v>
      </c>
      <c r="AL690" s="376" t="s">
        <v>180</v>
      </c>
      <c r="AM690" s="376" t="s">
        <v>181</v>
      </c>
      <c r="AN690" s="376" t="s">
        <v>68</v>
      </c>
      <c r="AO690" s="379">
        <v>60</v>
      </c>
      <c r="AP690" s="460">
        <v>1</v>
      </c>
      <c r="AQ690" s="460">
        <v>0.75</v>
      </c>
      <c r="AR690" s="458" t="s">
        <v>182</v>
      </c>
      <c r="AS690" s="462">
        <f t="shared" si="170"/>
        <v>0.75</v>
      </c>
      <c r="AT690">
        <f t="shared" si="171"/>
        <v>1</v>
      </c>
      <c r="AU690" s="462">
        <f>IF(AT690=0,"",IF(AND(AT690=1,M690="F",SUMIF(C2:C698,C690,AS2:AS698)&lt;=1),SUMIF(C2:C698,C690,AS2:AS698),IF(AND(AT690=1,M690="F",SUMIF(C2:C698,C690,AS2:AS698)&gt;1),1,"")))</f>
        <v>0.75</v>
      </c>
      <c r="AV690" s="462" t="str">
        <f>IF(AT690=0,"",IF(AND(AT690=3,M690="F",SUMIF(C2:C698,C690,AS2:AS698)&lt;=1),SUMIF(C2:C698,C690,AS2:AS698),IF(AND(AT690=3,M690="F",SUMIF(C2:C698,C690,AS2:AS698)&gt;1),1,"")))</f>
        <v/>
      </c>
      <c r="AW690" s="462">
        <f>SUMIF(C2:C698,C690,O2:O698)</f>
        <v>1</v>
      </c>
      <c r="AX690" s="462">
        <f>IF(AND(M690="F",AS690&lt;&gt;0),SUMIF(C2:C698,C690,W2:W698),0)</f>
        <v>44101.2</v>
      </c>
      <c r="AY690" s="462">
        <f t="shared" si="172"/>
        <v>44101.2</v>
      </c>
      <c r="AZ690" s="462" t="str">
        <f t="shared" si="173"/>
        <v/>
      </c>
      <c r="BA690" s="462">
        <f t="shared" si="174"/>
        <v>0</v>
      </c>
      <c r="BB690" s="462">
        <f>IF(AND(AT690=1,AK690="E",AU690&gt;=0.75,AW690=1),Health,IF(AND(AT690=1,AK690="E",AU690&gt;=0.75),Health*P690,IF(AND(AT690=1,AK690="E",AU690&gt;=0.5,AW690=1),PTHealth,IF(AND(AT690=1,AK690="E",AU690&gt;=0.5),PTHealth*P690,0))))</f>
        <v>11650</v>
      </c>
      <c r="BC690" s="462">
        <f>IF(AND(AT690=3,AK690="E",AV690&gt;=0.75,AW690=1),Health,IF(AND(AT690=3,AK690="E",AV690&gt;=0.75),Health*P690,IF(AND(AT690=3,AK690="E",AV690&gt;=0.5,AW690=1),PTHealth,IF(AND(AT690=3,AK690="E",AV690&gt;=0.5),PTHealth*P690,0))))</f>
        <v>0</v>
      </c>
      <c r="BD690" s="462">
        <f>IF(AND(AT690&lt;&gt;0,AX690&gt;=MAXSSDI),SSDI*MAXSSDI*P690,IF(AT690&lt;&gt;0,SSDI*W690,0))</f>
        <v>2734.2743999999998</v>
      </c>
      <c r="BE690" s="462">
        <f>IF(AT690&lt;&gt;0,SSHI*W690,0)</f>
        <v>639.4674</v>
      </c>
      <c r="BF690" s="462">
        <f>IF(AND(AT690&lt;&gt;0,AN690&lt;&gt;"NE"),VLOOKUP(AN690,Retirement_Rates,3,FALSE)*W690,0)</f>
        <v>5265.6832800000002</v>
      </c>
      <c r="BG690" s="462">
        <f>IF(AND(AT690&lt;&gt;0,AJ690&lt;&gt;"PF"),Life*W690,0)</f>
        <v>317.969652</v>
      </c>
      <c r="BH690" s="462">
        <f>IF(AND(AT690&lt;&gt;0,AM690="Y"),UI*W690,0)</f>
        <v>216.09587999999997</v>
      </c>
      <c r="BI690" s="462">
        <f>IF(AND(AT690&lt;&gt;0,N690&lt;&gt;"NR"),DHR*W690,0)</f>
        <v>134.94967199999999</v>
      </c>
      <c r="BJ690" s="462">
        <f>IF(AT690&lt;&gt;0,WC*W690,0)</f>
        <v>674.74835999999993</v>
      </c>
      <c r="BK690" s="462">
        <f>IF(OR(AND(AT690&lt;&gt;0,AJ690&lt;&gt;"PF",AN690&lt;&gt;"NE",AG690&lt;&gt;"A"),AND(AL690="E",OR(AT690=1,AT690=3))),Sick*W690,0)</f>
        <v>0</v>
      </c>
      <c r="BL690" s="462">
        <f t="shared" si="175"/>
        <v>9983.1886440000017</v>
      </c>
      <c r="BM690" s="462">
        <f t="shared" si="176"/>
        <v>0</v>
      </c>
      <c r="BN690" s="462">
        <f>IF(AND(AT690=1,AK690="E",AU690&gt;=0.75,AW690=1),HealthBY,IF(AND(AT690=1,AK690="E",AU690&gt;=0.75),HealthBY*P690,IF(AND(AT690=1,AK690="E",AU690&gt;=0.5,AW690=1),PTHealthBY,IF(AND(AT690=1,AK690="E",AU690&gt;=0.5),PTHealthBY*P690,0))))</f>
        <v>11650</v>
      </c>
      <c r="BO690" s="462">
        <f>IF(AND(AT690=3,AK690="E",AV690&gt;=0.75,AW690=1),HealthBY,IF(AND(AT690=3,AK690="E",AV690&gt;=0.75),HealthBY*P690,IF(AND(AT690=3,AK690="E",AV690&gt;=0.5,AW690=1),PTHealthBY,IF(AND(AT690=3,AK690="E",AV690&gt;=0.5),PTHealthBY*P690,0))))</f>
        <v>0</v>
      </c>
      <c r="BP690" s="462">
        <f>IF(AND(AT690&lt;&gt;0,(AX690+BA690)&gt;=MAXSSDIBY),SSDIBY*MAXSSDIBY*P690,IF(AT690&lt;&gt;0,SSDIBY*W690,0))</f>
        <v>2734.2743999999998</v>
      </c>
      <c r="BQ690" s="462">
        <f>IF(AT690&lt;&gt;0,SSHIBY*W690,0)</f>
        <v>639.4674</v>
      </c>
      <c r="BR690" s="462">
        <f>IF(AND(AT690&lt;&gt;0,AN690&lt;&gt;"NE"),VLOOKUP(AN690,Retirement_Rates,4,FALSE)*W690,0)</f>
        <v>5265.6832800000002</v>
      </c>
      <c r="BS690" s="462">
        <f>IF(AND(AT690&lt;&gt;0,AJ690&lt;&gt;"PF"),LifeBY*W690,0)</f>
        <v>317.969652</v>
      </c>
      <c r="BT690" s="462">
        <f>IF(AND(AT690&lt;&gt;0,AM690="Y"),UIBY*W690,0)</f>
        <v>0</v>
      </c>
      <c r="BU690" s="462">
        <f>IF(AND(AT690&lt;&gt;0,N690&lt;&gt;"NR"),DHRBY*W690,0)</f>
        <v>134.94967199999999</v>
      </c>
      <c r="BV690" s="462">
        <f>IF(AT690&lt;&gt;0,WCBY*W690,0)</f>
        <v>776.18111999999996</v>
      </c>
      <c r="BW690" s="462">
        <f>IF(OR(AND(AT690&lt;&gt;0,AJ690&lt;&gt;"PF",AN690&lt;&gt;"NE",AG690&lt;&gt;"A"),AND(AL690="E",OR(AT690=1,AT690=3))),SickBY*W690,0)</f>
        <v>0</v>
      </c>
      <c r="BX690" s="462">
        <f t="shared" si="177"/>
        <v>9868.5255240000006</v>
      </c>
      <c r="BY690" s="462">
        <f t="shared" si="178"/>
        <v>0</v>
      </c>
      <c r="BZ690" s="462">
        <f t="shared" si="179"/>
        <v>0</v>
      </c>
      <c r="CA690" s="462">
        <f t="shared" si="180"/>
        <v>0</v>
      </c>
      <c r="CB690" s="462">
        <f t="shared" si="181"/>
        <v>0</v>
      </c>
      <c r="CC690" s="462">
        <f>IF(AT690&lt;&gt;0,SSHICHG*Y690,0)</f>
        <v>0</v>
      </c>
      <c r="CD690" s="462">
        <f>IF(AND(AT690&lt;&gt;0,AN690&lt;&gt;"NE"),VLOOKUP(AN690,Retirement_Rates,5,FALSE)*Y690,0)</f>
        <v>0</v>
      </c>
      <c r="CE690" s="462">
        <f>IF(AND(AT690&lt;&gt;0,AJ690&lt;&gt;"PF"),LifeCHG*Y690,0)</f>
        <v>0</v>
      </c>
      <c r="CF690" s="462">
        <f>IF(AND(AT690&lt;&gt;0,AM690="Y"),UICHG*Y690,0)</f>
        <v>-216.09587999999997</v>
      </c>
      <c r="CG690" s="462">
        <f>IF(AND(AT690&lt;&gt;0,N690&lt;&gt;"NR"),DHRCHG*Y690,0)</f>
        <v>0</v>
      </c>
      <c r="CH690" s="462">
        <f>IF(AT690&lt;&gt;0,WCCHG*Y690,0)</f>
        <v>101.43276000000007</v>
      </c>
      <c r="CI690" s="462">
        <f>IF(OR(AND(AT690&lt;&gt;0,AJ690&lt;&gt;"PF",AN690&lt;&gt;"NE",AG690&lt;&gt;"A"),AND(AL690="E",OR(AT690=1,AT690=3))),SickCHG*Y690,0)</f>
        <v>0</v>
      </c>
      <c r="CJ690" s="462">
        <f t="shared" si="182"/>
        <v>-114.66311999999989</v>
      </c>
      <c r="CK690" s="462" t="str">
        <f t="shared" si="183"/>
        <v/>
      </c>
      <c r="CL690" s="462" t="str">
        <f t="shared" si="184"/>
        <v/>
      </c>
      <c r="CM690" s="462" t="str">
        <f t="shared" si="185"/>
        <v/>
      </c>
      <c r="CN690" s="462" t="str">
        <f t="shared" si="186"/>
        <v>0402-00</v>
      </c>
    </row>
    <row r="691" spans="1:92" ht="15" thickBot="1" x14ac:dyDescent="0.35">
      <c r="A691" s="376" t="s">
        <v>161</v>
      </c>
      <c r="B691" s="376" t="s">
        <v>162</v>
      </c>
      <c r="C691" s="376" t="s">
        <v>1377</v>
      </c>
      <c r="D691" s="376" t="s">
        <v>991</v>
      </c>
      <c r="E691" s="376" t="s">
        <v>1369</v>
      </c>
      <c r="F691" s="377" t="s">
        <v>166</v>
      </c>
      <c r="G691" s="376" t="s">
        <v>1352</v>
      </c>
      <c r="H691" s="378"/>
      <c r="I691" s="378"/>
      <c r="J691" s="376" t="s">
        <v>168</v>
      </c>
      <c r="K691" s="376" t="s">
        <v>992</v>
      </c>
      <c r="L691" s="376" t="s">
        <v>220</v>
      </c>
      <c r="M691" s="376" t="s">
        <v>170</v>
      </c>
      <c r="N691" s="376" t="s">
        <v>202</v>
      </c>
      <c r="O691" s="379">
        <v>1</v>
      </c>
      <c r="P691" s="460">
        <v>1</v>
      </c>
      <c r="Q691" s="460">
        <v>1</v>
      </c>
      <c r="R691" s="380">
        <v>80</v>
      </c>
      <c r="S691" s="460">
        <v>1</v>
      </c>
      <c r="T691" s="380">
        <v>38550.120000000003</v>
      </c>
      <c r="U691" s="380">
        <v>0</v>
      </c>
      <c r="V691" s="380">
        <v>20500.759999999998</v>
      </c>
      <c r="W691" s="380">
        <v>41600</v>
      </c>
      <c r="X691" s="380">
        <v>21066.98</v>
      </c>
      <c r="Y691" s="380">
        <v>41600</v>
      </c>
      <c r="Z691" s="380">
        <v>20958.82</v>
      </c>
      <c r="AA691" s="376" t="s">
        <v>1378</v>
      </c>
      <c r="AB691" s="376" t="s">
        <v>1379</v>
      </c>
      <c r="AC691" s="376" t="s">
        <v>1380</v>
      </c>
      <c r="AD691" s="376" t="s">
        <v>189</v>
      </c>
      <c r="AE691" s="376" t="s">
        <v>992</v>
      </c>
      <c r="AF691" s="376" t="s">
        <v>264</v>
      </c>
      <c r="AG691" s="376" t="s">
        <v>177</v>
      </c>
      <c r="AH691" s="379">
        <v>20</v>
      </c>
      <c r="AI691" s="381">
        <v>18006.900000000001</v>
      </c>
      <c r="AJ691" s="376" t="s">
        <v>178</v>
      </c>
      <c r="AK691" s="376" t="s">
        <v>179</v>
      </c>
      <c r="AL691" s="376" t="s">
        <v>180</v>
      </c>
      <c r="AM691" s="376" t="s">
        <v>181</v>
      </c>
      <c r="AN691" s="376" t="s">
        <v>68</v>
      </c>
      <c r="AO691" s="379">
        <v>80</v>
      </c>
      <c r="AP691" s="460">
        <v>1</v>
      </c>
      <c r="AQ691" s="460">
        <v>1</v>
      </c>
      <c r="AR691" s="458" t="s">
        <v>182</v>
      </c>
      <c r="AS691" s="462">
        <f t="shared" si="170"/>
        <v>1</v>
      </c>
      <c r="AT691">
        <f t="shared" si="171"/>
        <v>1</v>
      </c>
      <c r="AU691" s="462">
        <f>IF(AT691=0,"",IF(AND(AT691=1,M691="F",SUMIF(C2:C698,C691,AS2:AS698)&lt;=1),SUMIF(C2:C698,C691,AS2:AS698),IF(AND(AT691=1,M691="F",SUMIF(C2:C698,C691,AS2:AS698)&gt;1),1,"")))</f>
        <v>1</v>
      </c>
      <c r="AV691" s="462" t="str">
        <f>IF(AT691=0,"",IF(AND(AT691=3,M691="F",SUMIF(C2:C698,C691,AS2:AS698)&lt;=1),SUMIF(C2:C698,C691,AS2:AS698),IF(AND(AT691=3,M691="F",SUMIF(C2:C698,C691,AS2:AS698)&gt;1),1,"")))</f>
        <v/>
      </c>
      <c r="AW691" s="462">
        <f>SUMIF(C2:C698,C691,O2:O698)</f>
        <v>1</v>
      </c>
      <c r="AX691" s="462">
        <f>IF(AND(M691="F",AS691&lt;&gt;0),SUMIF(C2:C698,C691,W2:W698),0)</f>
        <v>41600</v>
      </c>
      <c r="AY691" s="462">
        <f t="shared" si="172"/>
        <v>41600</v>
      </c>
      <c r="AZ691" s="462" t="str">
        <f t="shared" si="173"/>
        <v/>
      </c>
      <c r="BA691" s="462">
        <f t="shared" si="174"/>
        <v>0</v>
      </c>
      <c r="BB691" s="462">
        <f>IF(AND(AT691=1,AK691="E",AU691&gt;=0.75,AW691=1),Health,IF(AND(AT691=1,AK691="E",AU691&gt;=0.75),Health*P691,IF(AND(AT691=1,AK691="E",AU691&gt;=0.5,AW691=1),PTHealth,IF(AND(AT691=1,AK691="E",AU691&gt;=0.5),PTHealth*P691,0))))</f>
        <v>11650</v>
      </c>
      <c r="BC691" s="462">
        <f>IF(AND(AT691=3,AK691="E",AV691&gt;=0.75,AW691=1),Health,IF(AND(AT691=3,AK691="E",AV691&gt;=0.75),Health*P691,IF(AND(AT691=3,AK691="E",AV691&gt;=0.5,AW691=1),PTHealth,IF(AND(AT691=3,AK691="E",AV691&gt;=0.5),PTHealth*P691,0))))</f>
        <v>0</v>
      </c>
      <c r="BD691" s="462">
        <f>IF(AND(AT691&lt;&gt;0,AX691&gt;=MAXSSDI),SSDI*MAXSSDI*P691,IF(AT691&lt;&gt;0,SSDI*W691,0))</f>
        <v>2579.1999999999998</v>
      </c>
      <c r="BE691" s="462">
        <f>IF(AT691&lt;&gt;0,SSHI*W691,0)</f>
        <v>603.20000000000005</v>
      </c>
      <c r="BF691" s="462">
        <f>IF(AND(AT691&lt;&gt;0,AN691&lt;&gt;"NE"),VLOOKUP(AN691,Retirement_Rates,3,FALSE)*W691,0)</f>
        <v>4967.04</v>
      </c>
      <c r="BG691" s="462">
        <f>IF(AND(AT691&lt;&gt;0,AJ691&lt;&gt;"PF"),Life*W691,0)</f>
        <v>299.93600000000004</v>
      </c>
      <c r="BH691" s="462">
        <f>IF(AND(AT691&lt;&gt;0,AM691="Y"),UI*W691,0)</f>
        <v>203.84</v>
      </c>
      <c r="BI691" s="462">
        <f>IF(AND(AT691&lt;&gt;0,N691&lt;&gt;"NR"),DHR*W691,0)</f>
        <v>127.29599999999999</v>
      </c>
      <c r="BJ691" s="462">
        <f>IF(AT691&lt;&gt;0,WC*W691,0)</f>
        <v>636.48</v>
      </c>
      <c r="BK691" s="462">
        <f>IF(OR(AND(AT691&lt;&gt;0,AJ691&lt;&gt;"PF",AN691&lt;&gt;"NE",AG691&lt;&gt;"A"),AND(AL691="E",OR(AT691=1,AT691=3))),Sick*W691,0)</f>
        <v>0</v>
      </c>
      <c r="BL691" s="462">
        <f t="shared" si="175"/>
        <v>9416.9920000000002</v>
      </c>
      <c r="BM691" s="462">
        <f t="shared" si="176"/>
        <v>0</v>
      </c>
      <c r="BN691" s="462">
        <f>IF(AND(AT691=1,AK691="E",AU691&gt;=0.75,AW691=1),HealthBY,IF(AND(AT691=1,AK691="E",AU691&gt;=0.75),HealthBY*P691,IF(AND(AT691=1,AK691="E",AU691&gt;=0.5,AW691=1),PTHealthBY,IF(AND(AT691=1,AK691="E",AU691&gt;=0.5),PTHealthBY*P691,0))))</f>
        <v>11650</v>
      </c>
      <c r="BO691" s="462">
        <f>IF(AND(AT691=3,AK691="E",AV691&gt;=0.75,AW691=1),HealthBY,IF(AND(AT691=3,AK691="E",AV691&gt;=0.75),HealthBY*P691,IF(AND(AT691=3,AK691="E",AV691&gt;=0.5,AW691=1),PTHealthBY,IF(AND(AT691=3,AK691="E",AV691&gt;=0.5),PTHealthBY*P691,0))))</f>
        <v>0</v>
      </c>
      <c r="BP691" s="462">
        <f>IF(AND(AT691&lt;&gt;0,(AX691+BA691)&gt;=MAXSSDIBY),SSDIBY*MAXSSDIBY*P691,IF(AT691&lt;&gt;0,SSDIBY*W691,0))</f>
        <v>2579.1999999999998</v>
      </c>
      <c r="BQ691" s="462">
        <f>IF(AT691&lt;&gt;0,SSHIBY*W691,0)</f>
        <v>603.20000000000005</v>
      </c>
      <c r="BR691" s="462">
        <f>IF(AND(AT691&lt;&gt;0,AN691&lt;&gt;"NE"),VLOOKUP(AN691,Retirement_Rates,4,FALSE)*W691,0)</f>
        <v>4967.04</v>
      </c>
      <c r="BS691" s="462">
        <f>IF(AND(AT691&lt;&gt;0,AJ691&lt;&gt;"PF"),LifeBY*W691,0)</f>
        <v>299.93600000000004</v>
      </c>
      <c r="BT691" s="462">
        <f>IF(AND(AT691&lt;&gt;0,AM691="Y"),UIBY*W691,0)</f>
        <v>0</v>
      </c>
      <c r="BU691" s="462">
        <f>IF(AND(AT691&lt;&gt;0,N691&lt;&gt;"NR"),DHRBY*W691,0)</f>
        <v>127.29599999999999</v>
      </c>
      <c r="BV691" s="462">
        <f>IF(AT691&lt;&gt;0,WCBY*W691,0)</f>
        <v>732.16000000000008</v>
      </c>
      <c r="BW691" s="462">
        <f>IF(OR(AND(AT691&lt;&gt;0,AJ691&lt;&gt;"PF",AN691&lt;&gt;"NE",AG691&lt;&gt;"A"),AND(AL691="E",OR(AT691=1,AT691=3))),SickBY*W691,0)</f>
        <v>0</v>
      </c>
      <c r="BX691" s="462">
        <f t="shared" si="177"/>
        <v>9308.8320000000003</v>
      </c>
      <c r="BY691" s="462">
        <f t="shared" si="178"/>
        <v>0</v>
      </c>
      <c r="BZ691" s="462">
        <f t="shared" si="179"/>
        <v>0</v>
      </c>
      <c r="CA691" s="462">
        <f t="shared" si="180"/>
        <v>0</v>
      </c>
      <c r="CB691" s="462">
        <f t="shared" si="181"/>
        <v>0</v>
      </c>
      <c r="CC691" s="462">
        <f>IF(AT691&lt;&gt;0,SSHICHG*Y691,0)</f>
        <v>0</v>
      </c>
      <c r="CD691" s="462">
        <f>IF(AND(AT691&lt;&gt;0,AN691&lt;&gt;"NE"),VLOOKUP(AN691,Retirement_Rates,5,FALSE)*Y691,0)</f>
        <v>0</v>
      </c>
      <c r="CE691" s="462">
        <f>IF(AND(AT691&lt;&gt;0,AJ691&lt;&gt;"PF"),LifeCHG*Y691,0)</f>
        <v>0</v>
      </c>
      <c r="CF691" s="462">
        <f>IF(AND(AT691&lt;&gt;0,AM691="Y"),UICHG*Y691,0)</f>
        <v>-203.84</v>
      </c>
      <c r="CG691" s="462">
        <f>IF(AND(AT691&lt;&gt;0,N691&lt;&gt;"NR"),DHRCHG*Y691,0)</f>
        <v>0</v>
      </c>
      <c r="CH691" s="462">
        <f>IF(AT691&lt;&gt;0,WCCHG*Y691,0)</f>
        <v>95.680000000000064</v>
      </c>
      <c r="CI691" s="462">
        <f>IF(OR(AND(AT691&lt;&gt;0,AJ691&lt;&gt;"PF",AN691&lt;&gt;"NE",AG691&lt;&gt;"A"),AND(AL691="E",OR(AT691=1,AT691=3))),SickCHG*Y691,0)</f>
        <v>0</v>
      </c>
      <c r="CJ691" s="462">
        <f t="shared" si="182"/>
        <v>-108.15999999999994</v>
      </c>
      <c r="CK691" s="462" t="str">
        <f t="shared" si="183"/>
        <v/>
      </c>
      <c r="CL691" s="462" t="str">
        <f t="shared" si="184"/>
        <v/>
      </c>
      <c r="CM691" s="462" t="str">
        <f t="shared" si="185"/>
        <v/>
      </c>
      <c r="CN691" s="462" t="str">
        <f t="shared" si="186"/>
        <v>0402-00</v>
      </c>
    </row>
    <row r="692" spans="1:92" ht="15" thickBot="1" x14ac:dyDescent="0.35">
      <c r="A692" s="376" t="s">
        <v>161</v>
      </c>
      <c r="B692" s="376" t="s">
        <v>162</v>
      </c>
      <c r="C692" s="376" t="s">
        <v>1381</v>
      </c>
      <c r="D692" s="376" t="s">
        <v>991</v>
      </c>
      <c r="E692" s="376" t="s">
        <v>1369</v>
      </c>
      <c r="F692" s="377" t="s">
        <v>166</v>
      </c>
      <c r="G692" s="376" t="s">
        <v>1352</v>
      </c>
      <c r="H692" s="378"/>
      <c r="I692" s="378"/>
      <c r="J692" s="376" t="s">
        <v>185</v>
      </c>
      <c r="K692" s="376" t="s">
        <v>992</v>
      </c>
      <c r="L692" s="376" t="s">
        <v>220</v>
      </c>
      <c r="M692" s="376" t="s">
        <v>170</v>
      </c>
      <c r="N692" s="376" t="s">
        <v>202</v>
      </c>
      <c r="O692" s="379">
        <v>1</v>
      </c>
      <c r="P692" s="460">
        <v>1</v>
      </c>
      <c r="Q692" s="460">
        <v>1</v>
      </c>
      <c r="R692" s="380">
        <v>80</v>
      </c>
      <c r="S692" s="460">
        <v>1</v>
      </c>
      <c r="T692" s="380">
        <v>39852.080000000002</v>
      </c>
      <c r="U692" s="380">
        <v>0</v>
      </c>
      <c r="V692" s="380">
        <v>20223.11</v>
      </c>
      <c r="W692" s="380">
        <v>41600</v>
      </c>
      <c r="X692" s="380">
        <v>21066.98</v>
      </c>
      <c r="Y692" s="380">
        <v>41600</v>
      </c>
      <c r="Z692" s="380">
        <v>20958.82</v>
      </c>
      <c r="AA692" s="376" t="s">
        <v>1382</v>
      </c>
      <c r="AB692" s="376" t="s">
        <v>1383</v>
      </c>
      <c r="AC692" s="376" t="s">
        <v>1384</v>
      </c>
      <c r="AD692" s="376" t="s">
        <v>220</v>
      </c>
      <c r="AE692" s="376" t="s">
        <v>992</v>
      </c>
      <c r="AF692" s="376" t="s">
        <v>264</v>
      </c>
      <c r="AG692" s="376" t="s">
        <v>177</v>
      </c>
      <c r="AH692" s="379">
        <v>20</v>
      </c>
      <c r="AI692" s="379">
        <v>7032</v>
      </c>
      <c r="AJ692" s="376" t="s">
        <v>178</v>
      </c>
      <c r="AK692" s="376" t="s">
        <v>179</v>
      </c>
      <c r="AL692" s="376" t="s">
        <v>180</v>
      </c>
      <c r="AM692" s="376" t="s">
        <v>181</v>
      </c>
      <c r="AN692" s="376" t="s">
        <v>68</v>
      </c>
      <c r="AO692" s="379">
        <v>80</v>
      </c>
      <c r="AP692" s="460">
        <v>1</v>
      </c>
      <c r="AQ692" s="460">
        <v>1</v>
      </c>
      <c r="AR692" s="458" t="s">
        <v>182</v>
      </c>
      <c r="AS692" s="462">
        <f t="shared" si="170"/>
        <v>1</v>
      </c>
      <c r="AT692">
        <f t="shared" si="171"/>
        <v>1</v>
      </c>
      <c r="AU692" s="462">
        <f>IF(AT692=0,"",IF(AND(AT692=1,M692="F",SUMIF(C2:C698,C692,AS2:AS698)&lt;=1),SUMIF(C2:C698,C692,AS2:AS698),IF(AND(AT692=1,M692="F",SUMIF(C2:C698,C692,AS2:AS698)&gt;1),1,"")))</f>
        <v>1</v>
      </c>
      <c r="AV692" s="462" t="str">
        <f>IF(AT692=0,"",IF(AND(AT692=3,M692="F",SUMIF(C2:C698,C692,AS2:AS698)&lt;=1),SUMIF(C2:C698,C692,AS2:AS698),IF(AND(AT692=3,M692="F",SUMIF(C2:C698,C692,AS2:AS698)&gt;1),1,"")))</f>
        <v/>
      </c>
      <c r="AW692" s="462">
        <f>SUMIF(C2:C698,C692,O2:O698)</f>
        <v>1</v>
      </c>
      <c r="AX692" s="462">
        <f>IF(AND(M692="F",AS692&lt;&gt;0),SUMIF(C2:C698,C692,W2:W698),0)</f>
        <v>41600</v>
      </c>
      <c r="AY692" s="462">
        <f t="shared" si="172"/>
        <v>41600</v>
      </c>
      <c r="AZ692" s="462" t="str">
        <f t="shared" si="173"/>
        <v/>
      </c>
      <c r="BA692" s="462">
        <f t="shared" si="174"/>
        <v>0</v>
      </c>
      <c r="BB692" s="462">
        <f>IF(AND(AT692=1,AK692="E",AU692&gt;=0.75,AW692=1),Health,IF(AND(AT692=1,AK692="E",AU692&gt;=0.75),Health*P692,IF(AND(AT692=1,AK692="E",AU692&gt;=0.5,AW692=1),PTHealth,IF(AND(AT692=1,AK692="E",AU692&gt;=0.5),PTHealth*P692,0))))</f>
        <v>11650</v>
      </c>
      <c r="BC692" s="462">
        <f>IF(AND(AT692=3,AK692="E",AV692&gt;=0.75,AW692=1),Health,IF(AND(AT692=3,AK692="E",AV692&gt;=0.75),Health*P692,IF(AND(AT692=3,AK692="E",AV692&gt;=0.5,AW692=1),PTHealth,IF(AND(AT692=3,AK692="E",AV692&gt;=0.5),PTHealth*P692,0))))</f>
        <v>0</v>
      </c>
      <c r="BD692" s="462">
        <f>IF(AND(AT692&lt;&gt;0,AX692&gt;=MAXSSDI),SSDI*MAXSSDI*P692,IF(AT692&lt;&gt;0,SSDI*W692,0))</f>
        <v>2579.1999999999998</v>
      </c>
      <c r="BE692" s="462">
        <f>IF(AT692&lt;&gt;0,SSHI*W692,0)</f>
        <v>603.20000000000005</v>
      </c>
      <c r="BF692" s="462">
        <f>IF(AND(AT692&lt;&gt;0,AN692&lt;&gt;"NE"),VLOOKUP(AN692,Retirement_Rates,3,FALSE)*W692,0)</f>
        <v>4967.04</v>
      </c>
      <c r="BG692" s="462">
        <f>IF(AND(AT692&lt;&gt;0,AJ692&lt;&gt;"PF"),Life*W692,0)</f>
        <v>299.93600000000004</v>
      </c>
      <c r="BH692" s="462">
        <f>IF(AND(AT692&lt;&gt;0,AM692="Y"),UI*W692,0)</f>
        <v>203.84</v>
      </c>
      <c r="BI692" s="462">
        <f>IF(AND(AT692&lt;&gt;0,N692&lt;&gt;"NR"),DHR*W692,0)</f>
        <v>127.29599999999999</v>
      </c>
      <c r="BJ692" s="462">
        <f>IF(AT692&lt;&gt;0,WC*W692,0)</f>
        <v>636.48</v>
      </c>
      <c r="BK692" s="462">
        <f>IF(OR(AND(AT692&lt;&gt;0,AJ692&lt;&gt;"PF",AN692&lt;&gt;"NE",AG692&lt;&gt;"A"),AND(AL692="E",OR(AT692=1,AT692=3))),Sick*W692,0)</f>
        <v>0</v>
      </c>
      <c r="BL692" s="462">
        <f t="shared" si="175"/>
        <v>9416.9920000000002</v>
      </c>
      <c r="BM692" s="462">
        <f t="shared" si="176"/>
        <v>0</v>
      </c>
      <c r="BN692" s="462">
        <f>IF(AND(AT692=1,AK692="E",AU692&gt;=0.75,AW692=1),HealthBY,IF(AND(AT692=1,AK692="E",AU692&gt;=0.75),HealthBY*P692,IF(AND(AT692=1,AK692="E",AU692&gt;=0.5,AW692=1),PTHealthBY,IF(AND(AT692=1,AK692="E",AU692&gt;=0.5),PTHealthBY*P692,0))))</f>
        <v>11650</v>
      </c>
      <c r="BO692" s="462">
        <f>IF(AND(AT692=3,AK692="E",AV692&gt;=0.75,AW692=1),HealthBY,IF(AND(AT692=3,AK692="E",AV692&gt;=0.75),HealthBY*P692,IF(AND(AT692=3,AK692="E",AV692&gt;=0.5,AW692=1),PTHealthBY,IF(AND(AT692=3,AK692="E",AV692&gt;=0.5),PTHealthBY*P692,0))))</f>
        <v>0</v>
      </c>
      <c r="BP692" s="462">
        <f>IF(AND(AT692&lt;&gt;0,(AX692+BA692)&gt;=MAXSSDIBY),SSDIBY*MAXSSDIBY*P692,IF(AT692&lt;&gt;0,SSDIBY*W692,0))</f>
        <v>2579.1999999999998</v>
      </c>
      <c r="BQ692" s="462">
        <f>IF(AT692&lt;&gt;0,SSHIBY*W692,0)</f>
        <v>603.20000000000005</v>
      </c>
      <c r="BR692" s="462">
        <f>IF(AND(AT692&lt;&gt;0,AN692&lt;&gt;"NE"),VLOOKUP(AN692,Retirement_Rates,4,FALSE)*W692,0)</f>
        <v>4967.04</v>
      </c>
      <c r="BS692" s="462">
        <f>IF(AND(AT692&lt;&gt;0,AJ692&lt;&gt;"PF"),LifeBY*W692,0)</f>
        <v>299.93600000000004</v>
      </c>
      <c r="BT692" s="462">
        <f>IF(AND(AT692&lt;&gt;0,AM692="Y"),UIBY*W692,0)</f>
        <v>0</v>
      </c>
      <c r="BU692" s="462">
        <f>IF(AND(AT692&lt;&gt;0,N692&lt;&gt;"NR"),DHRBY*W692,0)</f>
        <v>127.29599999999999</v>
      </c>
      <c r="BV692" s="462">
        <f>IF(AT692&lt;&gt;0,WCBY*W692,0)</f>
        <v>732.16000000000008</v>
      </c>
      <c r="BW692" s="462">
        <f>IF(OR(AND(AT692&lt;&gt;0,AJ692&lt;&gt;"PF",AN692&lt;&gt;"NE",AG692&lt;&gt;"A"),AND(AL692="E",OR(AT692=1,AT692=3))),SickBY*W692,0)</f>
        <v>0</v>
      </c>
      <c r="BX692" s="462">
        <f t="shared" si="177"/>
        <v>9308.8320000000003</v>
      </c>
      <c r="BY692" s="462">
        <f t="shared" si="178"/>
        <v>0</v>
      </c>
      <c r="BZ692" s="462">
        <f t="shared" si="179"/>
        <v>0</v>
      </c>
      <c r="CA692" s="462">
        <f t="shared" si="180"/>
        <v>0</v>
      </c>
      <c r="CB692" s="462">
        <f t="shared" si="181"/>
        <v>0</v>
      </c>
      <c r="CC692" s="462">
        <f>IF(AT692&lt;&gt;0,SSHICHG*Y692,0)</f>
        <v>0</v>
      </c>
      <c r="CD692" s="462">
        <f>IF(AND(AT692&lt;&gt;0,AN692&lt;&gt;"NE"),VLOOKUP(AN692,Retirement_Rates,5,FALSE)*Y692,0)</f>
        <v>0</v>
      </c>
      <c r="CE692" s="462">
        <f>IF(AND(AT692&lt;&gt;0,AJ692&lt;&gt;"PF"),LifeCHG*Y692,0)</f>
        <v>0</v>
      </c>
      <c r="CF692" s="462">
        <f>IF(AND(AT692&lt;&gt;0,AM692="Y"),UICHG*Y692,0)</f>
        <v>-203.84</v>
      </c>
      <c r="CG692" s="462">
        <f>IF(AND(AT692&lt;&gt;0,N692&lt;&gt;"NR"),DHRCHG*Y692,0)</f>
        <v>0</v>
      </c>
      <c r="CH692" s="462">
        <f>IF(AT692&lt;&gt;0,WCCHG*Y692,0)</f>
        <v>95.680000000000064</v>
      </c>
      <c r="CI692" s="462">
        <f>IF(OR(AND(AT692&lt;&gt;0,AJ692&lt;&gt;"PF",AN692&lt;&gt;"NE",AG692&lt;&gt;"A"),AND(AL692="E",OR(AT692=1,AT692=3))),SickCHG*Y692,0)</f>
        <v>0</v>
      </c>
      <c r="CJ692" s="462">
        <f t="shared" si="182"/>
        <v>-108.15999999999994</v>
      </c>
      <c r="CK692" s="462" t="str">
        <f t="shared" si="183"/>
        <v/>
      </c>
      <c r="CL692" s="462" t="str">
        <f t="shared" si="184"/>
        <v/>
      </c>
      <c r="CM692" s="462" t="str">
        <f t="shared" si="185"/>
        <v/>
      </c>
      <c r="CN692" s="462" t="str">
        <f t="shared" si="186"/>
        <v>0402-00</v>
      </c>
    </row>
    <row r="693" spans="1:92" ht="15" thickBot="1" x14ac:dyDescent="0.35">
      <c r="A693" s="376" t="s">
        <v>161</v>
      </c>
      <c r="B693" s="376" t="s">
        <v>162</v>
      </c>
      <c r="C693" s="376" t="s">
        <v>542</v>
      </c>
      <c r="D693" s="376" t="s">
        <v>372</v>
      </c>
      <c r="E693" s="376" t="s">
        <v>1369</v>
      </c>
      <c r="F693" s="377" t="s">
        <v>166</v>
      </c>
      <c r="G693" s="376" t="s">
        <v>1352</v>
      </c>
      <c r="H693" s="378"/>
      <c r="I693" s="378"/>
      <c r="J693" s="376" t="s">
        <v>168</v>
      </c>
      <c r="K693" s="376" t="s">
        <v>373</v>
      </c>
      <c r="L693" s="376" t="s">
        <v>374</v>
      </c>
      <c r="M693" s="376" t="s">
        <v>170</v>
      </c>
      <c r="N693" s="376" t="s">
        <v>202</v>
      </c>
      <c r="O693" s="379">
        <v>1</v>
      </c>
      <c r="P693" s="460">
        <v>0</v>
      </c>
      <c r="Q693" s="460">
        <v>0</v>
      </c>
      <c r="R693" s="380">
        <v>80</v>
      </c>
      <c r="S693" s="460">
        <v>0</v>
      </c>
      <c r="T693" s="380">
        <v>8028.88</v>
      </c>
      <c r="U693" s="380">
        <v>0</v>
      </c>
      <c r="V693" s="380">
        <v>2809.75</v>
      </c>
      <c r="W693" s="380">
        <v>0</v>
      </c>
      <c r="X693" s="380">
        <v>0</v>
      </c>
      <c r="Y693" s="380">
        <v>0</v>
      </c>
      <c r="Z693" s="380">
        <v>0</v>
      </c>
      <c r="AA693" s="376" t="s">
        <v>543</v>
      </c>
      <c r="AB693" s="376" t="s">
        <v>544</v>
      </c>
      <c r="AC693" s="376" t="s">
        <v>231</v>
      </c>
      <c r="AD693" s="376" t="s">
        <v>545</v>
      </c>
      <c r="AE693" s="376" t="s">
        <v>373</v>
      </c>
      <c r="AF693" s="376" t="s">
        <v>378</v>
      </c>
      <c r="AG693" s="376" t="s">
        <v>177</v>
      </c>
      <c r="AH693" s="381">
        <v>41.69</v>
      </c>
      <c r="AI693" s="381">
        <v>50266.5</v>
      </c>
      <c r="AJ693" s="376" t="s">
        <v>178</v>
      </c>
      <c r="AK693" s="376" t="s">
        <v>179</v>
      </c>
      <c r="AL693" s="376" t="s">
        <v>180</v>
      </c>
      <c r="AM693" s="376" t="s">
        <v>181</v>
      </c>
      <c r="AN693" s="376" t="s">
        <v>68</v>
      </c>
      <c r="AO693" s="379">
        <v>80</v>
      </c>
      <c r="AP693" s="460">
        <v>1</v>
      </c>
      <c r="AQ693" s="460">
        <v>0</v>
      </c>
      <c r="AR693" s="458" t="s">
        <v>182</v>
      </c>
      <c r="AS693" s="462">
        <f t="shared" si="170"/>
        <v>0</v>
      </c>
      <c r="AT693">
        <f t="shared" si="171"/>
        <v>0</v>
      </c>
      <c r="AU693" s="462" t="str">
        <f>IF(AT693=0,"",IF(AND(AT693=1,M693="F",SUMIF(C2:C698,C693,AS2:AS698)&lt;=1),SUMIF(C2:C698,C693,AS2:AS698),IF(AND(AT693=1,M693="F",SUMIF(C2:C698,C693,AS2:AS698)&gt;1),1,"")))</f>
        <v/>
      </c>
      <c r="AV693" s="462" t="str">
        <f>IF(AT693=0,"",IF(AND(AT693=3,M693="F",SUMIF(C2:C698,C693,AS2:AS698)&lt;=1),SUMIF(C2:C698,C693,AS2:AS698),IF(AND(AT693=3,M693="F",SUMIF(C2:C698,C693,AS2:AS698)&gt;1),1,"")))</f>
        <v/>
      </c>
      <c r="AW693" s="462">
        <f>SUMIF(C2:C698,C693,O2:O698)</f>
        <v>6</v>
      </c>
      <c r="AX693" s="462">
        <f>IF(AND(M693="F",AS693&lt;&gt;0),SUMIF(C2:C698,C693,W2:W698),0)</f>
        <v>0</v>
      </c>
      <c r="AY693" s="462" t="str">
        <f t="shared" si="172"/>
        <v/>
      </c>
      <c r="AZ693" s="462" t="str">
        <f t="shared" si="173"/>
        <v/>
      </c>
      <c r="BA693" s="462">
        <f t="shared" si="174"/>
        <v>0</v>
      </c>
      <c r="BB693" s="462">
        <f>IF(AND(AT693=1,AK693="E",AU693&gt;=0.75,AW693=1),Health,IF(AND(AT693=1,AK693="E",AU693&gt;=0.75),Health*P693,IF(AND(AT693=1,AK693="E",AU693&gt;=0.5,AW693=1),PTHealth,IF(AND(AT693=1,AK693="E",AU693&gt;=0.5),PTHealth*P693,0))))</f>
        <v>0</v>
      </c>
      <c r="BC693" s="462">
        <f>IF(AND(AT693=3,AK693="E",AV693&gt;=0.75,AW693=1),Health,IF(AND(AT693=3,AK693="E",AV693&gt;=0.75),Health*P693,IF(AND(AT693=3,AK693="E",AV693&gt;=0.5,AW693=1),PTHealth,IF(AND(AT693=3,AK693="E",AV693&gt;=0.5),PTHealth*P693,0))))</f>
        <v>0</v>
      </c>
      <c r="BD693" s="462">
        <f>IF(AND(AT693&lt;&gt;0,AX693&gt;=MAXSSDI),SSDI*MAXSSDI*P693,IF(AT693&lt;&gt;0,SSDI*W693,0))</f>
        <v>0</v>
      </c>
      <c r="BE693" s="462">
        <f>IF(AT693&lt;&gt;0,SSHI*W693,0)</f>
        <v>0</v>
      </c>
      <c r="BF693" s="462">
        <f>IF(AND(AT693&lt;&gt;0,AN693&lt;&gt;"NE"),VLOOKUP(AN693,Retirement_Rates,3,FALSE)*W693,0)</f>
        <v>0</v>
      </c>
      <c r="BG693" s="462">
        <f>IF(AND(AT693&lt;&gt;0,AJ693&lt;&gt;"PF"),Life*W693,0)</f>
        <v>0</v>
      </c>
      <c r="BH693" s="462">
        <f>IF(AND(AT693&lt;&gt;0,AM693="Y"),UI*W693,0)</f>
        <v>0</v>
      </c>
      <c r="BI693" s="462">
        <f>IF(AND(AT693&lt;&gt;0,N693&lt;&gt;"NR"),DHR*W693,0)</f>
        <v>0</v>
      </c>
      <c r="BJ693" s="462">
        <f>IF(AT693&lt;&gt;0,WC*W693,0)</f>
        <v>0</v>
      </c>
      <c r="BK693" s="462">
        <f>IF(OR(AND(AT693&lt;&gt;0,AJ693&lt;&gt;"PF",AN693&lt;&gt;"NE",AG693&lt;&gt;"A"),AND(AL693="E",OR(AT693=1,AT693=3))),Sick*W693,0)</f>
        <v>0</v>
      </c>
      <c r="BL693" s="462">
        <f t="shared" si="175"/>
        <v>0</v>
      </c>
      <c r="BM693" s="462">
        <f t="shared" si="176"/>
        <v>0</v>
      </c>
      <c r="BN693" s="462">
        <f>IF(AND(AT693=1,AK693="E",AU693&gt;=0.75,AW693=1),HealthBY,IF(AND(AT693=1,AK693="E",AU693&gt;=0.75),HealthBY*P693,IF(AND(AT693=1,AK693="E",AU693&gt;=0.5,AW693=1),PTHealthBY,IF(AND(AT693=1,AK693="E",AU693&gt;=0.5),PTHealthBY*P693,0))))</f>
        <v>0</v>
      </c>
      <c r="BO693" s="462">
        <f>IF(AND(AT693=3,AK693="E",AV693&gt;=0.75,AW693=1),HealthBY,IF(AND(AT693=3,AK693="E",AV693&gt;=0.75),HealthBY*P693,IF(AND(AT693=3,AK693="E",AV693&gt;=0.5,AW693=1),PTHealthBY,IF(AND(AT693=3,AK693="E",AV693&gt;=0.5),PTHealthBY*P693,0))))</f>
        <v>0</v>
      </c>
      <c r="BP693" s="462">
        <f>IF(AND(AT693&lt;&gt;0,(AX693+BA693)&gt;=MAXSSDIBY),SSDIBY*MAXSSDIBY*P693,IF(AT693&lt;&gt;0,SSDIBY*W693,0))</f>
        <v>0</v>
      </c>
      <c r="BQ693" s="462">
        <f>IF(AT693&lt;&gt;0,SSHIBY*W693,0)</f>
        <v>0</v>
      </c>
      <c r="BR693" s="462">
        <f>IF(AND(AT693&lt;&gt;0,AN693&lt;&gt;"NE"),VLOOKUP(AN693,Retirement_Rates,4,FALSE)*W693,0)</f>
        <v>0</v>
      </c>
      <c r="BS693" s="462">
        <f>IF(AND(AT693&lt;&gt;0,AJ693&lt;&gt;"PF"),LifeBY*W693,0)</f>
        <v>0</v>
      </c>
      <c r="BT693" s="462">
        <f>IF(AND(AT693&lt;&gt;0,AM693="Y"),UIBY*W693,0)</f>
        <v>0</v>
      </c>
      <c r="BU693" s="462">
        <f>IF(AND(AT693&lt;&gt;0,N693&lt;&gt;"NR"),DHRBY*W693,0)</f>
        <v>0</v>
      </c>
      <c r="BV693" s="462">
        <f>IF(AT693&lt;&gt;0,WCBY*W693,0)</f>
        <v>0</v>
      </c>
      <c r="BW693" s="462">
        <f>IF(OR(AND(AT693&lt;&gt;0,AJ693&lt;&gt;"PF",AN693&lt;&gt;"NE",AG693&lt;&gt;"A"),AND(AL693="E",OR(AT693=1,AT693=3))),SickBY*W693,0)</f>
        <v>0</v>
      </c>
      <c r="BX693" s="462">
        <f t="shared" si="177"/>
        <v>0</v>
      </c>
      <c r="BY693" s="462">
        <f t="shared" si="178"/>
        <v>0</v>
      </c>
      <c r="BZ693" s="462">
        <f t="shared" si="179"/>
        <v>0</v>
      </c>
      <c r="CA693" s="462">
        <f t="shared" si="180"/>
        <v>0</v>
      </c>
      <c r="CB693" s="462">
        <f t="shared" si="181"/>
        <v>0</v>
      </c>
      <c r="CC693" s="462">
        <f>IF(AT693&lt;&gt;0,SSHICHG*Y693,0)</f>
        <v>0</v>
      </c>
      <c r="CD693" s="462">
        <f>IF(AND(AT693&lt;&gt;0,AN693&lt;&gt;"NE"),VLOOKUP(AN693,Retirement_Rates,5,FALSE)*Y693,0)</f>
        <v>0</v>
      </c>
      <c r="CE693" s="462">
        <f>IF(AND(AT693&lt;&gt;0,AJ693&lt;&gt;"PF"),LifeCHG*Y693,0)</f>
        <v>0</v>
      </c>
      <c r="CF693" s="462">
        <f>IF(AND(AT693&lt;&gt;0,AM693="Y"),UICHG*Y693,0)</f>
        <v>0</v>
      </c>
      <c r="CG693" s="462">
        <f>IF(AND(AT693&lt;&gt;0,N693&lt;&gt;"NR"),DHRCHG*Y693,0)</f>
        <v>0</v>
      </c>
      <c r="CH693" s="462">
        <f>IF(AT693&lt;&gt;0,WCCHG*Y693,0)</f>
        <v>0</v>
      </c>
      <c r="CI693" s="462">
        <f>IF(OR(AND(AT693&lt;&gt;0,AJ693&lt;&gt;"PF",AN693&lt;&gt;"NE",AG693&lt;&gt;"A"),AND(AL693="E",OR(AT693=1,AT693=3))),SickCHG*Y693,0)</f>
        <v>0</v>
      </c>
      <c r="CJ693" s="462">
        <f t="shared" si="182"/>
        <v>0</v>
      </c>
      <c r="CK693" s="462" t="str">
        <f t="shared" si="183"/>
        <v/>
      </c>
      <c r="CL693" s="462" t="str">
        <f t="shared" si="184"/>
        <v/>
      </c>
      <c r="CM693" s="462" t="str">
        <f t="shared" si="185"/>
        <v/>
      </c>
      <c r="CN693" s="462" t="str">
        <f t="shared" si="186"/>
        <v>0402-00</v>
      </c>
    </row>
    <row r="694" spans="1:92" ht="15" thickBot="1" x14ac:dyDescent="0.35">
      <c r="A694" s="376" t="s">
        <v>161</v>
      </c>
      <c r="B694" s="376" t="s">
        <v>162</v>
      </c>
      <c r="C694" s="376" t="s">
        <v>975</v>
      </c>
      <c r="D694" s="376" t="s">
        <v>418</v>
      </c>
      <c r="E694" s="376" t="s">
        <v>1369</v>
      </c>
      <c r="F694" s="377" t="s">
        <v>166</v>
      </c>
      <c r="G694" s="376" t="s">
        <v>1352</v>
      </c>
      <c r="H694" s="378"/>
      <c r="I694" s="378"/>
      <c r="J694" s="376" t="s">
        <v>547</v>
      </c>
      <c r="K694" s="376" t="s">
        <v>419</v>
      </c>
      <c r="L694" s="376" t="s">
        <v>177</v>
      </c>
      <c r="M694" s="376" t="s">
        <v>170</v>
      </c>
      <c r="N694" s="376" t="s">
        <v>202</v>
      </c>
      <c r="O694" s="379">
        <v>1</v>
      </c>
      <c r="P694" s="460">
        <v>0.5</v>
      </c>
      <c r="Q694" s="460">
        <v>0.5</v>
      </c>
      <c r="R694" s="380">
        <v>80</v>
      </c>
      <c r="S694" s="460">
        <v>0.5</v>
      </c>
      <c r="T694" s="380">
        <v>7476.07</v>
      </c>
      <c r="U694" s="380">
        <v>0</v>
      </c>
      <c r="V694" s="380">
        <v>3814.63</v>
      </c>
      <c r="W694" s="380">
        <v>16192.8</v>
      </c>
      <c r="X694" s="380">
        <v>9490.5400000000009</v>
      </c>
      <c r="Y694" s="380">
        <v>16192.8</v>
      </c>
      <c r="Z694" s="380">
        <v>9448.4500000000007</v>
      </c>
      <c r="AA694" s="376" t="s">
        <v>976</v>
      </c>
      <c r="AB694" s="376" t="s">
        <v>977</v>
      </c>
      <c r="AC694" s="376" t="s">
        <v>978</v>
      </c>
      <c r="AD694" s="376" t="s">
        <v>278</v>
      </c>
      <c r="AE694" s="376" t="s">
        <v>419</v>
      </c>
      <c r="AF694" s="376" t="s">
        <v>436</v>
      </c>
      <c r="AG694" s="376" t="s">
        <v>177</v>
      </c>
      <c r="AH694" s="381">
        <v>15.57</v>
      </c>
      <c r="AI694" s="379">
        <v>1640</v>
      </c>
      <c r="AJ694" s="376" t="s">
        <v>178</v>
      </c>
      <c r="AK694" s="376" t="s">
        <v>179</v>
      </c>
      <c r="AL694" s="376" t="s">
        <v>180</v>
      </c>
      <c r="AM694" s="376" t="s">
        <v>181</v>
      </c>
      <c r="AN694" s="376" t="s">
        <v>68</v>
      </c>
      <c r="AO694" s="379">
        <v>80</v>
      </c>
      <c r="AP694" s="460">
        <v>1</v>
      </c>
      <c r="AQ694" s="460">
        <v>0.5</v>
      </c>
      <c r="AR694" s="458" t="s">
        <v>182</v>
      </c>
      <c r="AS694" s="462">
        <f t="shared" si="170"/>
        <v>0.5</v>
      </c>
      <c r="AT694">
        <f t="shared" si="171"/>
        <v>1</v>
      </c>
      <c r="AU694" s="462">
        <f>IF(AT694=0,"",IF(AND(AT694=1,M694="F",SUMIF(C2:C698,C694,AS2:AS698)&lt;=1),SUMIF(C2:C698,C694,AS2:AS698),IF(AND(AT694=1,M694="F",SUMIF(C2:C698,C694,AS2:AS698)&gt;1),1,"")))</f>
        <v>1</v>
      </c>
      <c r="AV694" s="462" t="str">
        <f>IF(AT694=0,"",IF(AND(AT694=3,M694="F",SUMIF(C2:C698,C694,AS2:AS698)&lt;=1),SUMIF(C2:C698,C694,AS2:AS698),IF(AND(AT694=3,M694="F",SUMIF(C2:C698,C694,AS2:AS698)&gt;1),1,"")))</f>
        <v/>
      </c>
      <c r="AW694" s="462">
        <f>SUMIF(C2:C698,C694,O2:O698)</f>
        <v>2</v>
      </c>
      <c r="AX694" s="462">
        <f>IF(AND(M694="F",AS694&lt;&gt;0),SUMIF(C2:C698,C694,W2:W698),0)</f>
        <v>32385.599999999999</v>
      </c>
      <c r="AY694" s="462">
        <f t="shared" si="172"/>
        <v>16192.8</v>
      </c>
      <c r="AZ694" s="462" t="str">
        <f t="shared" si="173"/>
        <v/>
      </c>
      <c r="BA694" s="462">
        <f t="shared" si="174"/>
        <v>0</v>
      </c>
      <c r="BB694" s="462">
        <f>IF(AND(AT694=1,AK694="E",AU694&gt;=0.75,AW694=1),Health,IF(AND(AT694=1,AK694="E",AU694&gt;=0.75),Health*P694,IF(AND(AT694=1,AK694="E",AU694&gt;=0.5,AW694=1),PTHealth,IF(AND(AT694=1,AK694="E",AU694&gt;=0.5),PTHealth*P694,0))))</f>
        <v>5825</v>
      </c>
      <c r="BC694" s="462">
        <f>IF(AND(AT694=3,AK694="E",AV694&gt;=0.75,AW694=1),Health,IF(AND(AT694=3,AK694="E",AV694&gt;=0.75),Health*P694,IF(AND(AT694=3,AK694="E",AV694&gt;=0.5,AW694=1),PTHealth,IF(AND(AT694=3,AK694="E",AV694&gt;=0.5),PTHealth*P694,0))))</f>
        <v>0</v>
      </c>
      <c r="BD694" s="462">
        <f>IF(AND(AT694&lt;&gt;0,AX694&gt;=MAXSSDI),SSDI*MAXSSDI*P694,IF(AT694&lt;&gt;0,SSDI*W694,0))</f>
        <v>1003.9535999999999</v>
      </c>
      <c r="BE694" s="462">
        <f>IF(AT694&lt;&gt;0,SSHI*W694,0)</f>
        <v>234.79560000000001</v>
      </c>
      <c r="BF694" s="462">
        <f>IF(AND(AT694&lt;&gt;0,AN694&lt;&gt;"NE"),VLOOKUP(AN694,Retirement_Rates,3,FALSE)*W694,0)</f>
        <v>1933.4203199999999</v>
      </c>
      <c r="BG694" s="462">
        <f>IF(AND(AT694&lt;&gt;0,AJ694&lt;&gt;"PF"),Life*W694,0)</f>
        <v>116.75008800000001</v>
      </c>
      <c r="BH694" s="462">
        <f>IF(AND(AT694&lt;&gt;0,AM694="Y"),UI*W694,0)</f>
        <v>79.344719999999995</v>
      </c>
      <c r="BI694" s="462">
        <f>IF(AND(AT694&lt;&gt;0,N694&lt;&gt;"NR"),DHR*W694,0)</f>
        <v>49.549967999999993</v>
      </c>
      <c r="BJ694" s="462">
        <f>IF(AT694&lt;&gt;0,WC*W694,0)</f>
        <v>247.74983999999998</v>
      </c>
      <c r="BK694" s="462">
        <f>IF(OR(AND(AT694&lt;&gt;0,AJ694&lt;&gt;"PF",AN694&lt;&gt;"NE",AG694&lt;&gt;"A"),AND(AL694="E",OR(AT694=1,AT694=3))),Sick*W694,0)</f>
        <v>0</v>
      </c>
      <c r="BL694" s="462">
        <f t="shared" si="175"/>
        <v>3665.564136</v>
      </c>
      <c r="BM694" s="462">
        <f t="shared" si="176"/>
        <v>0</v>
      </c>
      <c r="BN694" s="462">
        <f>IF(AND(AT694=1,AK694="E",AU694&gt;=0.75,AW694=1),HealthBY,IF(AND(AT694=1,AK694="E",AU694&gt;=0.75),HealthBY*P694,IF(AND(AT694=1,AK694="E",AU694&gt;=0.5,AW694=1),PTHealthBY,IF(AND(AT694=1,AK694="E",AU694&gt;=0.5),PTHealthBY*P694,0))))</f>
        <v>5825</v>
      </c>
      <c r="BO694" s="462">
        <f>IF(AND(AT694=3,AK694="E",AV694&gt;=0.75,AW694=1),HealthBY,IF(AND(AT694=3,AK694="E",AV694&gt;=0.75),HealthBY*P694,IF(AND(AT694=3,AK694="E",AV694&gt;=0.5,AW694=1),PTHealthBY,IF(AND(AT694=3,AK694="E",AV694&gt;=0.5),PTHealthBY*P694,0))))</f>
        <v>0</v>
      </c>
      <c r="BP694" s="462">
        <f>IF(AND(AT694&lt;&gt;0,(AX694+BA694)&gt;=MAXSSDIBY),SSDIBY*MAXSSDIBY*P694,IF(AT694&lt;&gt;0,SSDIBY*W694,0))</f>
        <v>1003.9535999999999</v>
      </c>
      <c r="BQ694" s="462">
        <f>IF(AT694&lt;&gt;0,SSHIBY*W694,0)</f>
        <v>234.79560000000001</v>
      </c>
      <c r="BR694" s="462">
        <f>IF(AND(AT694&lt;&gt;0,AN694&lt;&gt;"NE"),VLOOKUP(AN694,Retirement_Rates,4,FALSE)*W694,0)</f>
        <v>1933.4203199999999</v>
      </c>
      <c r="BS694" s="462">
        <f>IF(AND(AT694&lt;&gt;0,AJ694&lt;&gt;"PF"),LifeBY*W694,0)</f>
        <v>116.75008800000001</v>
      </c>
      <c r="BT694" s="462">
        <f>IF(AND(AT694&lt;&gt;0,AM694="Y"),UIBY*W694,0)</f>
        <v>0</v>
      </c>
      <c r="BU694" s="462">
        <f>IF(AND(AT694&lt;&gt;0,N694&lt;&gt;"NR"),DHRBY*W694,0)</f>
        <v>49.549967999999993</v>
      </c>
      <c r="BV694" s="462">
        <f>IF(AT694&lt;&gt;0,WCBY*W694,0)</f>
        <v>284.99328000000003</v>
      </c>
      <c r="BW694" s="462">
        <f>IF(OR(AND(AT694&lt;&gt;0,AJ694&lt;&gt;"PF",AN694&lt;&gt;"NE",AG694&lt;&gt;"A"),AND(AL694="E",OR(AT694=1,AT694=3))),SickBY*W694,0)</f>
        <v>0</v>
      </c>
      <c r="BX694" s="462">
        <f t="shared" si="177"/>
        <v>3623.4628560000001</v>
      </c>
      <c r="BY694" s="462">
        <f t="shared" si="178"/>
        <v>0</v>
      </c>
      <c r="BZ694" s="462">
        <f t="shared" si="179"/>
        <v>0</v>
      </c>
      <c r="CA694" s="462">
        <f t="shared" si="180"/>
        <v>0</v>
      </c>
      <c r="CB694" s="462">
        <f t="shared" si="181"/>
        <v>0</v>
      </c>
      <c r="CC694" s="462">
        <f>IF(AT694&lt;&gt;0,SSHICHG*Y694,0)</f>
        <v>0</v>
      </c>
      <c r="CD694" s="462">
        <f>IF(AND(AT694&lt;&gt;0,AN694&lt;&gt;"NE"),VLOOKUP(AN694,Retirement_Rates,5,FALSE)*Y694,0)</f>
        <v>0</v>
      </c>
      <c r="CE694" s="462">
        <f>IF(AND(AT694&lt;&gt;0,AJ694&lt;&gt;"PF"),LifeCHG*Y694,0)</f>
        <v>0</v>
      </c>
      <c r="CF694" s="462">
        <f>IF(AND(AT694&lt;&gt;0,AM694="Y"),UICHG*Y694,0)</f>
        <v>-79.344719999999995</v>
      </c>
      <c r="CG694" s="462">
        <f>IF(AND(AT694&lt;&gt;0,N694&lt;&gt;"NR"),DHRCHG*Y694,0)</f>
        <v>0</v>
      </c>
      <c r="CH694" s="462">
        <f>IF(AT694&lt;&gt;0,WCCHG*Y694,0)</f>
        <v>37.243440000000028</v>
      </c>
      <c r="CI694" s="462">
        <f>IF(OR(AND(AT694&lt;&gt;0,AJ694&lt;&gt;"PF",AN694&lt;&gt;"NE",AG694&lt;&gt;"A"),AND(AL694="E",OR(AT694=1,AT694=3))),SickCHG*Y694,0)</f>
        <v>0</v>
      </c>
      <c r="CJ694" s="462">
        <f t="shared" si="182"/>
        <v>-42.101279999999967</v>
      </c>
      <c r="CK694" s="462" t="str">
        <f t="shared" si="183"/>
        <v/>
      </c>
      <c r="CL694" s="462" t="str">
        <f t="shared" si="184"/>
        <v/>
      </c>
      <c r="CM694" s="462" t="str">
        <f t="shared" si="185"/>
        <v/>
      </c>
      <c r="CN694" s="462" t="str">
        <f t="shared" si="186"/>
        <v>0402-00</v>
      </c>
    </row>
    <row r="695" spans="1:92" ht="15" thickBot="1" x14ac:dyDescent="0.35">
      <c r="A695" s="376" t="s">
        <v>161</v>
      </c>
      <c r="B695" s="376" t="s">
        <v>162</v>
      </c>
      <c r="C695" s="376" t="s">
        <v>1385</v>
      </c>
      <c r="D695" s="376" t="s">
        <v>418</v>
      </c>
      <c r="E695" s="376" t="s">
        <v>1369</v>
      </c>
      <c r="F695" s="377" t="s">
        <v>166</v>
      </c>
      <c r="G695" s="376" t="s">
        <v>1352</v>
      </c>
      <c r="H695" s="378"/>
      <c r="I695" s="378"/>
      <c r="J695" s="376" t="s">
        <v>168</v>
      </c>
      <c r="K695" s="376" t="s">
        <v>419</v>
      </c>
      <c r="L695" s="376" t="s">
        <v>177</v>
      </c>
      <c r="M695" s="376" t="s">
        <v>201</v>
      </c>
      <c r="N695" s="376" t="s">
        <v>291</v>
      </c>
      <c r="O695" s="379">
        <v>0</v>
      </c>
      <c r="P695" s="460">
        <v>1</v>
      </c>
      <c r="Q695" s="460">
        <v>0</v>
      </c>
      <c r="R695" s="380">
        <v>0</v>
      </c>
      <c r="S695" s="460">
        <v>0</v>
      </c>
      <c r="T695" s="380">
        <v>0</v>
      </c>
      <c r="U695" s="380">
        <v>0</v>
      </c>
      <c r="V695" s="380">
        <v>0</v>
      </c>
      <c r="W695" s="380">
        <v>0</v>
      </c>
      <c r="X695" s="380">
        <v>0</v>
      </c>
      <c r="Y695" s="380">
        <v>0</v>
      </c>
      <c r="Z695" s="380">
        <v>0</v>
      </c>
      <c r="AA695" s="378"/>
      <c r="AB695" s="376" t="s">
        <v>45</v>
      </c>
      <c r="AC695" s="376" t="s">
        <v>45</v>
      </c>
      <c r="AD695" s="378"/>
      <c r="AE695" s="378"/>
      <c r="AF695" s="378"/>
      <c r="AG695" s="378"/>
      <c r="AH695" s="379">
        <v>0</v>
      </c>
      <c r="AI695" s="379">
        <v>0</v>
      </c>
      <c r="AJ695" s="378"/>
      <c r="AK695" s="378"/>
      <c r="AL695" s="376" t="s">
        <v>180</v>
      </c>
      <c r="AM695" s="378"/>
      <c r="AN695" s="378"/>
      <c r="AO695" s="379">
        <v>0</v>
      </c>
      <c r="AP695" s="460">
        <v>0</v>
      </c>
      <c r="AQ695" s="460">
        <v>0</v>
      </c>
      <c r="AR695" s="459"/>
      <c r="AS695" s="462">
        <f t="shared" si="170"/>
        <v>0</v>
      </c>
      <c r="AT695">
        <f t="shared" si="171"/>
        <v>0</v>
      </c>
      <c r="AU695" s="462" t="str">
        <f>IF(AT695=0,"",IF(AND(AT695=1,M695="F",SUMIF(C2:C698,C695,AS2:AS698)&lt;=1),SUMIF(C2:C698,C695,AS2:AS698),IF(AND(AT695=1,M695="F",SUMIF(C2:C698,C695,AS2:AS698)&gt;1),1,"")))</f>
        <v/>
      </c>
      <c r="AV695" s="462" t="str">
        <f>IF(AT695=0,"",IF(AND(AT695=3,M695="F",SUMIF(C2:C698,C695,AS2:AS698)&lt;=1),SUMIF(C2:C698,C695,AS2:AS698),IF(AND(AT695=3,M695="F",SUMIF(C2:C698,C695,AS2:AS698)&gt;1),1,"")))</f>
        <v/>
      </c>
      <c r="AW695" s="462">
        <f>SUMIF(C2:C698,C695,O2:O698)</f>
        <v>0</v>
      </c>
      <c r="AX695" s="462">
        <f>IF(AND(M695="F",AS695&lt;&gt;0),SUMIF(C2:C698,C695,W2:W698),0)</f>
        <v>0</v>
      </c>
      <c r="AY695" s="462" t="str">
        <f t="shared" si="172"/>
        <v/>
      </c>
      <c r="AZ695" s="462" t="str">
        <f t="shared" si="173"/>
        <v/>
      </c>
      <c r="BA695" s="462">
        <f t="shared" si="174"/>
        <v>0</v>
      </c>
      <c r="BB695" s="462">
        <f>IF(AND(AT695=1,AK695="E",AU695&gt;=0.75,AW695=1),Health,IF(AND(AT695=1,AK695="E",AU695&gt;=0.75),Health*P695,IF(AND(AT695=1,AK695="E",AU695&gt;=0.5,AW695=1),PTHealth,IF(AND(AT695=1,AK695="E",AU695&gt;=0.5),PTHealth*P695,0))))</f>
        <v>0</v>
      </c>
      <c r="BC695" s="462">
        <f>IF(AND(AT695=3,AK695="E",AV695&gt;=0.75,AW695=1),Health,IF(AND(AT695=3,AK695="E",AV695&gt;=0.75),Health*P695,IF(AND(AT695=3,AK695="E",AV695&gt;=0.5,AW695=1),PTHealth,IF(AND(AT695=3,AK695="E",AV695&gt;=0.5),PTHealth*P695,0))))</f>
        <v>0</v>
      </c>
      <c r="BD695" s="462">
        <f>IF(AND(AT695&lt;&gt;0,AX695&gt;=MAXSSDI),SSDI*MAXSSDI*P695,IF(AT695&lt;&gt;0,SSDI*W695,0))</f>
        <v>0</v>
      </c>
      <c r="BE695" s="462">
        <f>IF(AT695&lt;&gt;0,SSHI*W695,0)</f>
        <v>0</v>
      </c>
      <c r="BF695" s="462">
        <f>IF(AND(AT695&lt;&gt;0,AN695&lt;&gt;"NE"),VLOOKUP(AN695,Retirement_Rates,3,FALSE)*W695,0)</f>
        <v>0</v>
      </c>
      <c r="BG695" s="462">
        <f>IF(AND(AT695&lt;&gt;0,AJ695&lt;&gt;"PF"),Life*W695,0)</f>
        <v>0</v>
      </c>
      <c r="BH695" s="462">
        <f>IF(AND(AT695&lt;&gt;0,AM695="Y"),UI*W695,0)</f>
        <v>0</v>
      </c>
      <c r="BI695" s="462">
        <f>IF(AND(AT695&lt;&gt;0,N695&lt;&gt;"NR"),DHR*W695,0)</f>
        <v>0</v>
      </c>
      <c r="BJ695" s="462">
        <f>IF(AT695&lt;&gt;0,WC*W695,0)</f>
        <v>0</v>
      </c>
      <c r="BK695" s="462">
        <f>IF(OR(AND(AT695&lt;&gt;0,AJ695&lt;&gt;"PF",AN695&lt;&gt;"NE",AG695&lt;&gt;"A"),AND(AL695="E",OR(AT695=1,AT695=3))),Sick*W695,0)</f>
        <v>0</v>
      </c>
      <c r="BL695" s="462">
        <f t="shared" si="175"/>
        <v>0</v>
      </c>
      <c r="BM695" s="462">
        <f t="shared" si="176"/>
        <v>0</v>
      </c>
      <c r="BN695" s="462">
        <f>IF(AND(AT695=1,AK695="E",AU695&gt;=0.75,AW695=1),HealthBY,IF(AND(AT695=1,AK695="E",AU695&gt;=0.75),HealthBY*P695,IF(AND(AT695=1,AK695="E",AU695&gt;=0.5,AW695=1),PTHealthBY,IF(AND(AT695=1,AK695="E",AU695&gt;=0.5),PTHealthBY*P695,0))))</f>
        <v>0</v>
      </c>
      <c r="BO695" s="462">
        <f>IF(AND(AT695=3,AK695="E",AV695&gt;=0.75,AW695=1),HealthBY,IF(AND(AT695=3,AK695="E",AV695&gt;=0.75),HealthBY*P695,IF(AND(AT695=3,AK695="E",AV695&gt;=0.5,AW695=1),PTHealthBY,IF(AND(AT695=3,AK695="E",AV695&gt;=0.5),PTHealthBY*P695,0))))</f>
        <v>0</v>
      </c>
      <c r="BP695" s="462">
        <f>IF(AND(AT695&lt;&gt;0,(AX695+BA695)&gt;=MAXSSDIBY),SSDIBY*MAXSSDIBY*P695,IF(AT695&lt;&gt;0,SSDIBY*W695,0))</f>
        <v>0</v>
      </c>
      <c r="BQ695" s="462">
        <f>IF(AT695&lt;&gt;0,SSHIBY*W695,0)</f>
        <v>0</v>
      </c>
      <c r="BR695" s="462">
        <f>IF(AND(AT695&lt;&gt;0,AN695&lt;&gt;"NE"),VLOOKUP(AN695,Retirement_Rates,4,FALSE)*W695,0)</f>
        <v>0</v>
      </c>
      <c r="BS695" s="462">
        <f>IF(AND(AT695&lt;&gt;0,AJ695&lt;&gt;"PF"),LifeBY*W695,0)</f>
        <v>0</v>
      </c>
      <c r="BT695" s="462">
        <f>IF(AND(AT695&lt;&gt;0,AM695="Y"),UIBY*W695,0)</f>
        <v>0</v>
      </c>
      <c r="BU695" s="462">
        <f>IF(AND(AT695&lt;&gt;0,N695&lt;&gt;"NR"),DHRBY*W695,0)</f>
        <v>0</v>
      </c>
      <c r="BV695" s="462">
        <f>IF(AT695&lt;&gt;0,WCBY*W695,0)</f>
        <v>0</v>
      </c>
      <c r="BW695" s="462">
        <f>IF(OR(AND(AT695&lt;&gt;0,AJ695&lt;&gt;"PF",AN695&lt;&gt;"NE",AG695&lt;&gt;"A"),AND(AL695="E",OR(AT695=1,AT695=3))),SickBY*W695,0)</f>
        <v>0</v>
      </c>
      <c r="BX695" s="462">
        <f t="shared" si="177"/>
        <v>0</v>
      </c>
      <c r="BY695" s="462">
        <f t="shared" si="178"/>
        <v>0</v>
      </c>
      <c r="BZ695" s="462">
        <f t="shared" si="179"/>
        <v>0</v>
      </c>
      <c r="CA695" s="462">
        <f t="shared" si="180"/>
        <v>0</v>
      </c>
      <c r="CB695" s="462">
        <f t="shared" si="181"/>
        <v>0</v>
      </c>
      <c r="CC695" s="462">
        <f>IF(AT695&lt;&gt;0,SSHICHG*Y695,0)</f>
        <v>0</v>
      </c>
      <c r="CD695" s="462">
        <f>IF(AND(AT695&lt;&gt;0,AN695&lt;&gt;"NE"),VLOOKUP(AN695,Retirement_Rates,5,FALSE)*Y695,0)</f>
        <v>0</v>
      </c>
      <c r="CE695" s="462">
        <f>IF(AND(AT695&lt;&gt;0,AJ695&lt;&gt;"PF"),LifeCHG*Y695,0)</f>
        <v>0</v>
      </c>
      <c r="CF695" s="462">
        <f>IF(AND(AT695&lt;&gt;0,AM695="Y"),UICHG*Y695,0)</f>
        <v>0</v>
      </c>
      <c r="CG695" s="462">
        <f>IF(AND(AT695&lt;&gt;0,N695&lt;&gt;"NR"),DHRCHG*Y695,0)</f>
        <v>0</v>
      </c>
      <c r="CH695" s="462">
        <f>IF(AT695&lt;&gt;0,WCCHG*Y695,0)</f>
        <v>0</v>
      </c>
      <c r="CI695" s="462">
        <f>IF(OR(AND(AT695&lt;&gt;0,AJ695&lt;&gt;"PF",AN695&lt;&gt;"NE",AG695&lt;&gt;"A"),AND(AL695="E",OR(AT695=1,AT695=3))),SickCHG*Y695,0)</f>
        <v>0</v>
      </c>
      <c r="CJ695" s="462">
        <f t="shared" si="182"/>
        <v>0</v>
      </c>
      <c r="CK695" s="462" t="str">
        <f t="shared" si="183"/>
        <v/>
      </c>
      <c r="CL695" s="462">
        <f t="shared" si="184"/>
        <v>0</v>
      </c>
      <c r="CM695" s="462">
        <f t="shared" si="185"/>
        <v>0</v>
      </c>
      <c r="CN695" s="462" t="str">
        <f t="shared" si="186"/>
        <v>0402-00</v>
      </c>
    </row>
    <row r="696" spans="1:92" ht="15" thickBot="1" x14ac:dyDescent="0.35">
      <c r="A696" s="376" t="s">
        <v>161</v>
      </c>
      <c r="B696" s="376" t="s">
        <v>162</v>
      </c>
      <c r="C696" s="376" t="s">
        <v>522</v>
      </c>
      <c r="D696" s="376" t="s">
        <v>457</v>
      </c>
      <c r="E696" s="376" t="s">
        <v>1369</v>
      </c>
      <c r="F696" s="377" t="s">
        <v>166</v>
      </c>
      <c r="G696" s="376" t="s">
        <v>1352</v>
      </c>
      <c r="H696" s="378"/>
      <c r="I696" s="378"/>
      <c r="J696" s="376" t="s">
        <v>455</v>
      </c>
      <c r="K696" s="376" t="s">
        <v>458</v>
      </c>
      <c r="L696" s="376" t="s">
        <v>177</v>
      </c>
      <c r="M696" s="376" t="s">
        <v>170</v>
      </c>
      <c r="N696" s="376" t="s">
        <v>202</v>
      </c>
      <c r="O696" s="379">
        <v>1</v>
      </c>
      <c r="P696" s="460">
        <v>0.1</v>
      </c>
      <c r="Q696" s="460">
        <v>0.1</v>
      </c>
      <c r="R696" s="380">
        <v>80</v>
      </c>
      <c r="S696" s="460">
        <v>0.1</v>
      </c>
      <c r="T696" s="380">
        <v>2601.0100000000002</v>
      </c>
      <c r="U696" s="380">
        <v>0</v>
      </c>
      <c r="V696" s="380">
        <v>1601.58</v>
      </c>
      <c r="W696" s="380">
        <v>3224</v>
      </c>
      <c r="X696" s="380">
        <v>1894.81</v>
      </c>
      <c r="Y696" s="380">
        <v>3224</v>
      </c>
      <c r="Z696" s="380">
        <v>1886.43</v>
      </c>
      <c r="AA696" s="376" t="s">
        <v>523</v>
      </c>
      <c r="AB696" s="376" t="s">
        <v>524</v>
      </c>
      <c r="AC696" s="376" t="s">
        <v>525</v>
      </c>
      <c r="AD696" s="376" t="s">
        <v>247</v>
      </c>
      <c r="AE696" s="376" t="s">
        <v>458</v>
      </c>
      <c r="AF696" s="376" t="s">
        <v>436</v>
      </c>
      <c r="AG696" s="376" t="s">
        <v>177</v>
      </c>
      <c r="AH696" s="381">
        <v>15.5</v>
      </c>
      <c r="AI696" s="381">
        <v>600.29999999999995</v>
      </c>
      <c r="AJ696" s="376" t="s">
        <v>178</v>
      </c>
      <c r="AK696" s="376" t="s">
        <v>179</v>
      </c>
      <c r="AL696" s="376" t="s">
        <v>180</v>
      </c>
      <c r="AM696" s="376" t="s">
        <v>181</v>
      </c>
      <c r="AN696" s="376" t="s">
        <v>68</v>
      </c>
      <c r="AO696" s="379">
        <v>80</v>
      </c>
      <c r="AP696" s="460">
        <v>1</v>
      </c>
      <c r="AQ696" s="460">
        <v>0.1</v>
      </c>
      <c r="AR696" s="458" t="s">
        <v>182</v>
      </c>
      <c r="AS696" s="462">
        <f t="shared" si="170"/>
        <v>0.1</v>
      </c>
      <c r="AT696">
        <f t="shared" si="171"/>
        <v>1</v>
      </c>
      <c r="AU696" s="462">
        <f>IF(AT696=0,"",IF(AND(AT696=1,M696="F",SUMIF(C2:C698,C696,AS2:AS698)&lt;=1),SUMIF(C2:C698,C696,AS2:AS698),IF(AND(AT696=1,M696="F",SUMIF(C2:C698,C696,AS2:AS698)&gt;1),1,"")))</f>
        <v>1</v>
      </c>
      <c r="AV696" s="462" t="str">
        <f>IF(AT696=0,"",IF(AND(AT696=3,M696="F",SUMIF(C2:C698,C696,AS2:AS698)&lt;=1),SUMIF(C2:C698,C696,AS2:AS698),IF(AND(AT696=3,M696="F",SUMIF(C2:C698,C696,AS2:AS698)&gt;1),1,"")))</f>
        <v/>
      </c>
      <c r="AW696" s="462">
        <f>SUMIF(C2:C698,C696,O2:O698)</f>
        <v>7</v>
      </c>
      <c r="AX696" s="462">
        <f>IF(AND(M696="F",AS696&lt;&gt;0),SUMIF(C2:C698,C696,W2:W698),0)</f>
        <v>32240</v>
      </c>
      <c r="AY696" s="462">
        <f t="shared" si="172"/>
        <v>3224</v>
      </c>
      <c r="AZ696" s="462" t="str">
        <f t="shared" si="173"/>
        <v/>
      </c>
      <c r="BA696" s="462">
        <f t="shared" si="174"/>
        <v>0</v>
      </c>
      <c r="BB696" s="462">
        <f>IF(AND(AT696=1,AK696="E",AU696&gt;=0.75,AW696=1),Health,IF(AND(AT696=1,AK696="E",AU696&gt;=0.75),Health*P696,IF(AND(AT696=1,AK696="E",AU696&gt;=0.5,AW696=1),PTHealth,IF(AND(AT696=1,AK696="E",AU696&gt;=0.5),PTHealth*P696,0))))</f>
        <v>1165</v>
      </c>
      <c r="BC696" s="462">
        <f>IF(AND(AT696=3,AK696="E",AV696&gt;=0.75,AW696=1),Health,IF(AND(AT696=3,AK696="E",AV696&gt;=0.75),Health*P696,IF(AND(AT696=3,AK696="E",AV696&gt;=0.5,AW696=1),PTHealth,IF(AND(AT696=3,AK696="E",AV696&gt;=0.5),PTHealth*P696,0))))</f>
        <v>0</v>
      </c>
      <c r="BD696" s="462">
        <f>IF(AND(AT696&lt;&gt;0,AX696&gt;=MAXSSDI),SSDI*MAXSSDI*P696,IF(AT696&lt;&gt;0,SSDI*W696,0))</f>
        <v>199.88800000000001</v>
      </c>
      <c r="BE696" s="462">
        <f>IF(AT696&lt;&gt;0,SSHI*W696,0)</f>
        <v>46.748000000000005</v>
      </c>
      <c r="BF696" s="462">
        <f>IF(AND(AT696&lt;&gt;0,AN696&lt;&gt;"NE"),VLOOKUP(AN696,Retirement_Rates,3,FALSE)*W696,0)</f>
        <v>384.94560000000001</v>
      </c>
      <c r="BG696" s="462">
        <f>IF(AND(AT696&lt;&gt;0,AJ696&lt;&gt;"PF"),Life*W696,0)</f>
        <v>23.245039999999999</v>
      </c>
      <c r="BH696" s="462">
        <f>IF(AND(AT696&lt;&gt;0,AM696="Y"),UI*W696,0)</f>
        <v>15.797599999999999</v>
      </c>
      <c r="BI696" s="462">
        <f>IF(AND(AT696&lt;&gt;0,N696&lt;&gt;"NR"),DHR*W696,0)</f>
        <v>9.8654399999999995</v>
      </c>
      <c r="BJ696" s="462">
        <f>IF(AT696&lt;&gt;0,WC*W696,0)</f>
        <v>49.327199999999998</v>
      </c>
      <c r="BK696" s="462">
        <f>IF(OR(AND(AT696&lt;&gt;0,AJ696&lt;&gt;"PF",AN696&lt;&gt;"NE",AG696&lt;&gt;"A"),AND(AL696="E",OR(AT696=1,AT696=3))),Sick*W696,0)</f>
        <v>0</v>
      </c>
      <c r="BL696" s="462">
        <f t="shared" si="175"/>
        <v>729.81687999999997</v>
      </c>
      <c r="BM696" s="462">
        <f t="shared" si="176"/>
        <v>0</v>
      </c>
      <c r="BN696" s="462">
        <f>IF(AND(AT696=1,AK696="E",AU696&gt;=0.75,AW696=1),HealthBY,IF(AND(AT696=1,AK696="E",AU696&gt;=0.75),HealthBY*P696,IF(AND(AT696=1,AK696="E",AU696&gt;=0.5,AW696=1),PTHealthBY,IF(AND(AT696=1,AK696="E",AU696&gt;=0.5),PTHealthBY*P696,0))))</f>
        <v>1165</v>
      </c>
      <c r="BO696" s="462">
        <f>IF(AND(AT696=3,AK696="E",AV696&gt;=0.75,AW696=1),HealthBY,IF(AND(AT696=3,AK696="E",AV696&gt;=0.75),HealthBY*P696,IF(AND(AT696=3,AK696="E",AV696&gt;=0.5,AW696=1),PTHealthBY,IF(AND(AT696=3,AK696="E",AV696&gt;=0.5),PTHealthBY*P696,0))))</f>
        <v>0</v>
      </c>
      <c r="BP696" s="462">
        <f>IF(AND(AT696&lt;&gt;0,(AX696+BA696)&gt;=MAXSSDIBY),SSDIBY*MAXSSDIBY*P696,IF(AT696&lt;&gt;0,SSDIBY*W696,0))</f>
        <v>199.88800000000001</v>
      </c>
      <c r="BQ696" s="462">
        <f>IF(AT696&lt;&gt;0,SSHIBY*W696,0)</f>
        <v>46.748000000000005</v>
      </c>
      <c r="BR696" s="462">
        <f>IF(AND(AT696&lt;&gt;0,AN696&lt;&gt;"NE"),VLOOKUP(AN696,Retirement_Rates,4,FALSE)*W696,0)</f>
        <v>384.94560000000001</v>
      </c>
      <c r="BS696" s="462">
        <f>IF(AND(AT696&lt;&gt;0,AJ696&lt;&gt;"PF"),LifeBY*W696,0)</f>
        <v>23.245039999999999</v>
      </c>
      <c r="BT696" s="462">
        <f>IF(AND(AT696&lt;&gt;0,AM696="Y"),UIBY*W696,0)</f>
        <v>0</v>
      </c>
      <c r="BU696" s="462">
        <f>IF(AND(AT696&lt;&gt;0,N696&lt;&gt;"NR"),DHRBY*W696,0)</f>
        <v>9.8654399999999995</v>
      </c>
      <c r="BV696" s="462">
        <f>IF(AT696&lt;&gt;0,WCBY*W696,0)</f>
        <v>56.742400000000004</v>
      </c>
      <c r="BW696" s="462">
        <f>IF(OR(AND(AT696&lt;&gt;0,AJ696&lt;&gt;"PF",AN696&lt;&gt;"NE",AG696&lt;&gt;"A"),AND(AL696="E",OR(AT696=1,AT696=3))),SickBY*W696,0)</f>
        <v>0</v>
      </c>
      <c r="BX696" s="462">
        <f t="shared" si="177"/>
        <v>721.43448000000001</v>
      </c>
      <c r="BY696" s="462">
        <f t="shared" si="178"/>
        <v>0</v>
      </c>
      <c r="BZ696" s="462">
        <f t="shared" si="179"/>
        <v>0</v>
      </c>
      <c r="CA696" s="462">
        <f t="shared" si="180"/>
        <v>0</v>
      </c>
      <c r="CB696" s="462">
        <f t="shared" si="181"/>
        <v>0</v>
      </c>
      <c r="CC696" s="462">
        <f>IF(AT696&lt;&gt;0,SSHICHG*Y696,0)</f>
        <v>0</v>
      </c>
      <c r="CD696" s="462">
        <f>IF(AND(AT696&lt;&gt;0,AN696&lt;&gt;"NE"),VLOOKUP(AN696,Retirement_Rates,5,FALSE)*Y696,0)</f>
        <v>0</v>
      </c>
      <c r="CE696" s="462">
        <f>IF(AND(AT696&lt;&gt;0,AJ696&lt;&gt;"PF"),LifeCHG*Y696,0)</f>
        <v>0</v>
      </c>
      <c r="CF696" s="462">
        <f>IF(AND(AT696&lt;&gt;0,AM696="Y"),UICHG*Y696,0)</f>
        <v>-15.797599999999999</v>
      </c>
      <c r="CG696" s="462">
        <f>IF(AND(AT696&lt;&gt;0,N696&lt;&gt;"NR"),DHRCHG*Y696,0)</f>
        <v>0</v>
      </c>
      <c r="CH696" s="462">
        <f>IF(AT696&lt;&gt;0,WCCHG*Y696,0)</f>
        <v>7.4152000000000058</v>
      </c>
      <c r="CI696" s="462">
        <f>IF(OR(AND(AT696&lt;&gt;0,AJ696&lt;&gt;"PF",AN696&lt;&gt;"NE",AG696&lt;&gt;"A"),AND(AL696="E",OR(AT696=1,AT696=3))),SickCHG*Y696,0)</f>
        <v>0</v>
      </c>
      <c r="CJ696" s="462">
        <f t="shared" si="182"/>
        <v>-8.3823999999999934</v>
      </c>
      <c r="CK696" s="462" t="str">
        <f t="shared" si="183"/>
        <v/>
      </c>
      <c r="CL696" s="462" t="str">
        <f t="shared" si="184"/>
        <v/>
      </c>
      <c r="CM696" s="462" t="str">
        <f t="shared" si="185"/>
        <v/>
      </c>
      <c r="CN696" s="462" t="str">
        <f t="shared" si="186"/>
        <v>0402-00</v>
      </c>
    </row>
    <row r="697" spans="1:92" ht="15" thickBot="1" x14ac:dyDescent="0.35">
      <c r="A697" s="376" t="s">
        <v>161</v>
      </c>
      <c r="B697" s="376" t="s">
        <v>162</v>
      </c>
      <c r="C697" s="376" t="s">
        <v>1386</v>
      </c>
      <c r="D697" s="376" t="s">
        <v>287</v>
      </c>
      <c r="E697" s="376" t="s">
        <v>1387</v>
      </c>
      <c r="F697" s="382" t="s">
        <v>1388</v>
      </c>
      <c r="G697" s="376" t="s">
        <v>1387</v>
      </c>
      <c r="H697" s="378"/>
      <c r="I697" s="378"/>
      <c r="J697" s="376" t="s">
        <v>168</v>
      </c>
      <c r="K697" s="376" t="s">
        <v>290</v>
      </c>
      <c r="L697" s="376" t="s">
        <v>166</v>
      </c>
      <c r="M697" s="376" t="s">
        <v>201</v>
      </c>
      <c r="N697" s="376" t="s">
        <v>291</v>
      </c>
      <c r="O697" s="379">
        <v>0</v>
      </c>
      <c r="P697" s="460">
        <v>1</v>
      </c>
      <c r="Q697" s="460">
        <v>0</v>
      </c>
      <c r="R697" s="380">
        <v>0</v>
      </c>
      <c r="S697" s="460">
        <v>0</v>
      </c>
      <c r="T697" s="380">
        <v>0</v>
      </c>
      <c r="U697" s="380">
        <v>0</v>
      </c>
      <c r="V697" s="380">
        <v>0</v>
      </c>
      <c r="W697" s="380">
        <v>0</v>
      </c>
      <c r="X697" s="380">
        <v>0</v>
      </c>
      <c r="Y697" s="380">
        <v>0</v>
      </c>
      <c r="Z697" s="380">
        <v>0</v>
      </c>
      <c r="AA697" s="378"/>
      <c r="AB697" s="376" t="s">
        <v>45</v>
      </c>
      <c r="AC697" s="376" t="s">
        <v>45</v>
      </c>
      <c r="AD697" s="378"/>
      <c r="AE697" s="378"/>
      <c r="AF697" s="378"/>
      <c r="AG697" s="378"/>
      <c r="AH697" s="379">
        <v>0</v>
      </c>
      <c r="AI697" s="379">
        <v>0</v>
      </c>
      <c r="AJ697" s="378"/>
      <c r="AK697" s="378"/>
      <c r="AL697" s="376" t="s">
        <v>180</v>
      </c>
      <c r="AM697" s="378"/>
      <c r="AN697" s="378"/>
      <c r="AO697" s="379">
        <v>0</v>
      </c>
      <c r="AP697" s="460">
        <v>0</v>
      </c>
      <c r="AQ697" s="460">
        <v>0</v>
      </c>
      <c r="AR697" s="459"/>
      <c r="AS697" s="462">
        <f t="shared" si="170"/>
        <v>0</v>
      </c>
      <c r="AT697">
        <f t="shared" si="171"/>
        <v>0</v>
      </c>
      <c r="AU697" s="462" t="str">
        <f>IF(AT697=0,"",IF(AND(AT697=1,M697="F",SUMIF(C2:C698,C697,AS2:AS698)&lt;=1),SUMIF(C2:C698,C697,AS2:AS698),IF(AND(AT697=1,M697="F",SUMIF(C2:C698,C697,AS2:AS698)&gt;1),1,"")))</f>
        <v/>
      </c>
      <c r="AV697" s="462" t="str">
        <f>IF(AT697=0,"",IF(AND(AT697=3,M697="F",SUMIF(C2:C698,C697,AS2:AS698)&lt;=1),SUMIF(C2:C698,C697,AS2:AS698),IF(AND(AT697=3,M697="F",SUMIF(C2:C698,C697,AS2:AS698)&gt;1),1,"")))</f>
        <v/>
      </c>
      <c r="AW697" s="462">
        <f>SUMIF(C2:C698,C697,O2:O698)</f>
        <v>0</v>
      </c>
      <c r="AX697" s="462">
        <f>IF(AND(M697="F",AS697&lt;&gt;0),SUMIF(C2:C698,C697,W2:W698),0)</f>
        <v>0</v>
      </c>
      <c r="AY697" s="462" t="str">
        <f t="shared" si="172"/>
        <v/>
      </c>
      <c r="AZ697" s="462" t="str">
        <f t="shared" si="173"/>
        <v/>
      </c>
      <c r="BA697" s="462">
        <f t="shared" si="174"/>
        <v>0</v>
      </c>
      <c r="BB697" s="462">
        <f>IF(AND(AT697=1,AK697="E",AU697&gt;=0.75,AW697=1),Health,IF(AND(AT697=1,AK697="E",AU697&gt;=0.75),Health*P697,IF(AND(AT697=1,AK697="E",AU697&gt;=0.5,AW697=1),PTHealth,IF(AND(AT697=1,AK697="E",AU697&gt;=0.5),PTHealth*P697,0))))</f>
        <v>0</v>
      </c>
      <c r="BC697" s="462">
        <f>IF(AND(AT697=3,AK697="E",AV697&gt;=0.75,AW697=1),Health,IF(AND(AT697=3,AK697="E",AV697&gt;=0.75),Health*P697,IF(AND(AT697=3,AK697="E",AV697&gt;=0.5,AW697=1),PTHealth,IF(AND(AT697=3,AK697="E",AV697&gt;=0.5),PTHealth*P697,0))))</f>
        <v>0</v>
      </c>
      <c r="BD697" s="462">
        <f>IF(AND(AT697&lt;&gt;0,AX697&gt;=MAXSSDI),SSDI*MAXSSDI*P697,IF(AT697&lt;&gt;0,SSDI*W697,0))</f>
        <v>0</v>
      </c>
      <c r="BE697" s="462">
        <f>IF(AT697&lt;&gt;0,SSHI*W697,0)</f>
        <v>0</v>
      </c>
      <c r="BF697" s="462">
        <f>IF(AND(AT697&lt;&gt;0,AN697&lt;&gt;"NE"),VLOOKUP(AN697,Retirement_Rates,3,FALSE)*W697,0)</f>
        <v>0</v>
      </c>
      <c r="BG697" s="462">
        <f>IF(AND(AT697&lt;&gt;0,AJ697&lt;&gt;"PF"),Life*W697,0)</f>
        <v>0</v>
      </c>
      <c r="BH697" s="462">
        <f>IF(AND(AT697&lt;&gt;0,AM697="Y"),UI*W697,0)</f>
        <v>0</v>
      </c>
      <c r="BI697" s="462">
        <f>IF(AND(AT697&lt;&gt;0,N697&lt;&gt;"NR"),DHR*W697,0)</f>
        <v>0</v>
      </c>
      <c r="BJ697" s="462">
        <f>IF(AT697&lt;&gt;0,WC*W697,0)</f>
        <v>0</v>
      </c>
      <c r="BK697" s="462">
        <f>IF(OR(AND(AT697&lt;&gt;0,AJ697&lt;&gt;"PF",AN697&lt;&gt;"NE",AG697&lt;&gt;"A"),AND(AL697="E",OR(AT697=1,AT697=3))),Sick*W697,0)</f>
        <v>0</v>
      </c>
      <c r="BL697" s="462">
        <f t="shared" si="175"/>
        <v>0</v>
      </c>
      <c r="BM697" s="462">
        <f t="shared" si="176"/>
        <v>0</v>
      </c>
      <c r="BN697" s="462">
        <f>IF(AND(AT697=1,AK697="E",AU697&gt;=0.75,AW697=1),HealthBY,IF(AND(AT697=1,AK697="E",AU697&gt;=0.75),HealthBY*P697,IF(AND(AT697=1,AK697="E",AU697&gt;=0.5,AW697=1),PTHealthBY,IF(AND(AT697=1,AK697="E",AU697&gt;=0.5),PTHealthBY*P697,0))))</f>
        <v>0</v>
      </c>
      <c r="BO697" s="462">
        <f>IF(AND(AT697=3,AK697="E",AV697&gt;=0.75,AW697=1),HealthBY,IF(AND(AT697=3,AK697="E",AV697&gt;=0.75),HealthBY*P697,IF(AND(AT697=3,AK697="E",AV697&gt;=0.5,AW697=1),PTHealthBY,IF(AND(AT697=3,AK697="E",AV697&gt;=0.5),PTHealthBY*P697,0))))</f>
        <v>0</v>
      </c>
      <c r="BP697" s="462">
        <f>IF(AND(AT697&lt;&gt;0,(AX697+BA697)&gt;=MAXSSDIBY),SSDIBY*MAXSSDIBY*P697,IF(AT697&lt;&gt;0,SSDIBY*W697,0))</f>
        <v>0</v>
      </c>
      <c r="BQ697" s="462">
        <f>IF(AT697&lt;&gt;0,SSHIBY*W697,0)</f>
        <v>0</v>
      </c>
      <c r="BR697" s="462">
        <f>IF(AND(AT697&lt;&gt;0,AN697&lt;&gt;"NE"),VLOOKUP(AN697,Retirement_Rates,4,FALSE)*W697,0)</f>
        <v>0</v>
      </c>
      <c r="BS697" s="462">
        <f>IF(AND(AT697&lt;&gt;0,AJ697&lt;&gt;"PF"),LifeBY*W697,0)</f>
        <v>0</v>
      </c>
      <c r="BT697" s="462">
        <f>IF(AND(AT697&lt;&gt;0,AM697="Y"),UIBY*W697,0)</f>
        <v>0</v>
      </c>
      <c r="BU697" s="462">
        <f>IF(AND(AT697&lt;&gt;0,N697&lt;&gt;"NR"),DHRBY*W697,0)</f>
        <v>0</v>
      </c>
      <c r="BV697" s="462">
        <f>IF(AT697&lt;&gt;0,WCBY*W697,0)</f>
        <v>0</v>
      </c>
      <c r="BW697" s="462">
        <f>IF(OR(AND(AT697&lt;&gt;0,AJ697&lt;&gt;"PF",AN697&lt;&gt;"NE",AG697&lt;&gt;"A"),AND(AL697="E",OR(AT697=1,AT697=3))),SickBY*W697,0)</f>
        <v>0</v>
      </c>
      <c r="BX697" s="462">
        <f t="shared" si="177"/>
        <v>0</v>
      </c>
      <c r="BY697" s="462">
        <f t="shared" si="178"/>
        <v>0</v>
      </c>
      <c r="BZ697" s="462">
        <f t="shared" si="179"/>
        <v>0</v>
      </c>
      <c r="CA697" s="462">
        <f t="shared" si="180"/>
        <v>0</v>
      </c>
      <c r="CB697" s="462">
        <f t="shared" si="181"/>
        <v>0</v>
      </c>
      <c r="CC697" s="462">
        <f>IF(AT697&lt;&gt;0,SSHICHG*Y697,0)</f>
        <v>0</v>
      </c>
      <c r="CD697" s="462">
        <f>IF(AND(AT697&lt;&gt;0,AN697&lt;&gt;"NE"),VLOOKUP(AN697,Retirement_Rates,5,FALSE)*Y697,0)</f>
        <v>0</v>
      </c>
      <c r="CE697" s="462">
        <f>IF(AND(AT697&lt;&gt;0,AJ697&lt;&gt;"PF"),LifeCHG*Y697,0)</f>
        <v>0</v>
      </c>
      <c r="CF697" s="462">
        <f>IF(AND(AT697&lt;&gt;0,AM697="Y"),UICHG*Y697,0)</f>
        <v>0</v>
      </c>
      <c r="CG697" s="462">
        <f>IF(AND(AT697&lt;&gt;0,N697&lt;&gt;"NR"),DHRCHG*Y697,0)</f>
        <v>0</v>
      </c>
      <c r="CH697" s="462">
        <f>IF(AT697&lt;&gt;0,WCCHG*Y697,0)</f>
        <v>0</v>
      </c>
      <c r="CI697" s="462">
        <f>IF(OR(AND(AT697&lt;&gt;0,AJ697&lt;&gt;"PF",AN697&lt;&gt;"NE",AG697&lt;&gt;"A"),AND(AL697="E",OR(AT697=1,AT697=3))),SickCHG*Y697,0)</f>
        <v>0</v>
      </c>
      <c r="CJ697" s="462">
        <f t="shared" si="182"/>
        <v>0</v>
      </c>
      <c r="CK697" s="462" t="str">
        <f t="shared" si="183"/>
        <v/>
      </c>
      <c r="CL697" s="462">
        <f t="shared" si="184"/>
        <v>0</v>
      </c>
      <c r="CM697" s="462">
        <f t="shared" si="185"/>
        <v>0</v>
      </c>
      <c r="CN697" s="462" t="str">
        <f t="shared" si="186"/>
        <v>ÿÿÿÿ-ÿÿ</v>
      </c>
    </row>
    <row r="698" spans="1:92" ht="15" thickBot="1" x14ac:dyDescent="0.35">
      <c r="A698" s="376" t="s">
        <v>161</v>
      </c>
      <c r="B698" s="376" t="s">
        <v>162</v>
      </c>
      <c r="C698" s="376" t="s">
        <v>1389</v>
      </c>
      <c r="D698" s="376" t="s">
        <v>287</v>
      </c>
      <c r="E698" s="376" t="s">
        <v>1387</v>
      </c>
      <c r="F698" s="382" t="s">
        <v>1388</v>
      </c>
      <c r="G698" s="376" t="s">
        <v>1387</v>
      </c>
      <c r="H698" s="378"/>
      <c r="I698" s="378"/>
      <c r="J698" s="376" t="s">
        <v>168</v>
      </c>
      <c r="K698" s="376" t="s">
        <v>290</v>
      </c>
      <c r="L698" s="376" t="s">
        <v>166</v>
      </c>
      <c r="M698" s="376" t="s">
        <v>201</v>
      </c>
      <c r="N698" s="376" t="s">
        <v>291</v>
      </c>
      <c r="O698" s="379">
        <v>0</v>
      </c>
      <c r="P698" s="460">
        <v>1</v>
      </c>
      <c r="Q698" s="460">
        <v>0</v>
      </c>
      <c r="R698" s="380">
        <v>0</v>
      </c>
      <c r="S698" s="460">
        <v>0</v>
      </c>
      <c r="T698" s="380">
        <v>0</v>
      </c>
      <c r="U698" s="380">
        <v>0</v>
      </c>
      <c r="V698" s="380">
        <v>0</v>
      </c>
      <c r="W698" s="380">
        <v>0</v>
      </c>
      <c r="X698" s="380">
        <v>0</v>
      </c>
      <c r="Y698" s="380">
        <v>0</v>
      </c>
      <c r="Z698" s="380">
        <v>0</v>
      </c>
      <c r="AA698" s="378"/>
      <c r="AB698" s="376" t="s">
        <v>45</v>
      </c>
      <c r="AC698" s="376" t="s">
        <v>45</v>
      </c>
      <c r="AD698" s="378"/>
      <c r="AE698" s="378"/>
      <c r="AF698" s="378"/>
      <c r="AG698" s="378"/>
      <c r="AH698" s="379">
        <v>0</v>
      </c>
      <c r="AI698" s="379">
        <v>0</v>
      </c>
      <c r="AJ698" s="378"/>
      <c r="AK698" s="378"/>
      <c r="AL698" s="376" t="s">
        <v>180</v>
      </c>
      <c r="AM698" s="378"/>
      <c r="AN698" s="378"/>
      <c r="AO698" s="379">
        <v>0</v>
      </c>
      <c r="AP698" s="460">
        <v>0</v>
      </c>
      <c r="AQ698" s="460">
        <v>0</v>
      </c>
      <c r="AR698" s="459"/>
      <c r="AS698" s="462">
        <f t="shared" si="170"/>
        <v>0</v>
      </c>
      <c r="AT698">
        <f t="shared" si="171"/>
        <v>0</v>
      </c>
      <c r="AU698" s="462" t="str">
        <f>IF(AT698=0,"",IF(AND(AT698=1,M698="F",SUMIF(C2:C698,C698,AS2:AS698)&lt;=1),SUMIF(C2:C698,C698,AS2:AS698),IF(AND(AT698=1,M698="F",SUMIF(C2:C698,C698,AS2:AS698)&gt;1),1,"")))</f>
        <v/>
      </c>
      <c r="AV698" s="462" t="str">
        <f>IF(AT698=0,"",IF(AND(AT698=3,M698="F",SUMIF(C2:C698,C698,AS2:AS698)&lt;=1),SUMIF(C2:C698,C698,AS2:AS698),IF(AND(AT698=3,M698="F",SUMIF(C2:C698,C698,AS2:AS698)&gt;1),1,"")))</f>
        <v/>
      </c>
      <c r="AW698" s="462">
        <f>SUMIF(C2:C698,C698,O2:O698)</f>
        <v>0</v>
      </c>
      <c r="AX698" s="462">
        <f>IF(AND(M698="F",AS698&lt;&gt;0),SUMIF(C2:C698,C698,W2:W698),0)</f>
        <v>0</v>
      </c>
      <c r="AY698" s="462" t="str">
        <f t="shared" si="172"/>
        <v/>
      </c>
      <c r="AZ698" s="462" t="str">
        <f t="shared" si="173"/>
        <v/>
      </c>
      <c r="BA698" s="462">
        <f t="shared" si="174"/>
        <v>0</v>
      </c>
      <c r="BB698" s="462">
        <f>IF(AND(AT698=1,AK698="E",AU698&gt;=0.75,AW698=1),Health,IF(AND(AT698=1,AK698="E",AU698&gt;=0.75),Health*P698,IF(AND(AT698=1,AK698="E",AU698&gt;=0.5,AW698=1),PTHealth,IF(AND(AT698=1,AK698="E",AU698&gt;=0.5),PTHealth*P698,0))))</f>
        <v>0</v>
      </c>
      <c r="BC698" s="462">
        <f>IF(AND(AT698=3,AK698="E",AV698&gt;=0.75,AW698=1),Health,IF(AND(AT698=3,AK698="E",AV698&gt;=0.75),Health*P698,IF(AND(AT698=3,AK698="E",AV698&gt;=0.5,AW698=1),PTHealth,IF(AND(AT698=3,AK698="E",AV698&gt;=0.5),PTHealth*P698,0))))</f>
        <v>0</v>
      </c>
      <c r="BD698" s="462">
        <f>IF(AND(AT698&lt;&gt;0,AX698&gt;=MAXSSDI),SSDI*MAXSSDI*P698,IF(AT698&lt;&gt;0,SSDI*W698,0))</f>
        <v>0</v>
      </c>
      <c r="BE698" s="462">
        <f>IF(AT698&lt;&gt;0,SSHI*W698,0)</f>
        <v>0</v>
      </c>
      <c r="BF698" s="462">
        <f>IF(AND(AT698&lt;&gt;0,AN698&lt;&gt;"NE"),VLOOKUP(AN698,Retirement_Rates,3,FALSE)*W698,0)</f>
        <v>0</v>
      </c>
      <c r="BG698" s="462">
        <f>IF(AND(AT698&lt;&gt;0,AJ698&lt;&gt;"PF"),Life*W698,0)</f>
        <v>0</v>
      </c>
      <c r="BH698" s="462">
        <f>IF(AND(AT698&lt;&gt;0,AM698="Y"),UI*W698,0)</f>
        <v>0</v>
      </c>
      <c r="BI698" s="462">
        <f>IF(AND(AT698&lt;&gt;0,N698&lt;&gt;"NR"),DHR*W698,0)</f>
        <v>0</v>
      </c>
      <c r="BJ698" s="462">
        <f>IF(AT698&lt;&gt;0,WC*W698,0)</f>
        <v>0</v>
      </c>
      <c r="BK698" s="462">
        <f>IF(OR(AND(AT698&lt;&gt;0,AJ698&lt;&gt;"PF",AN698&lt;&gt;"NE",AG698&lt;&gt;"A"),AND(AL698="E",OR(AT698=1,AT698=3))),Sick*W698,0)</f>
        <v>0</v>
      </c>
      <c r="BL698" s="462">
        <f t="shared" si="175"/>
        <v>0</v>
      </c>
      <c r="BM698" s="462">
        <f t="shared" si="176"/>
        <v>0</v>
      </c>
      <c r="BN698" s="462">
        <f>IF(AND(AT698=1,AK698="E",AU698&gt;=0.75,AW698=1),HealthBY,IF(AND(AT698=1,AK698="E",AU698&gt;=0.75),HealthBY*P698,IF(AND(AT698=1,AK698="E",AU698&gt;=0.5,AW698=1),PTHealthBY,IF(AND(AT698=1,AK698="E",AU698&gt;=0.5),PTHealthBY*P698,0))))</f>
        <v>0</v>
      </c>
      <c r="BO698" s="462">
        <f>IF(AND(AT698=3,AK698="E",AV698&gt;=0.75,AW698=1),HealthBY,IF(AND(AT698=3,AK698="E",AV698&gt;=0.75),HealthBY*P698,IF(AND(AT698=3,AK698="E",AV698&gt;=0.5,AW698=1),PTHealthBY,IF(AND(AT698=3,AK698="E",AV698&gt;=0.5),PTHealthBY*P698,0))))</f>
        <v>0</v>
      </c>
      <c r="BP698" s="462">
        <f>IF(AND(AT698&lt;&gt;0,(AX698+BA698)&gt;=MAXSSDIBY),SSDIBY*MAXSSDIBY*P698,IF(AT698&lt;&gt;0,SSDIBY*W698,0))</f>
        <v>0</v>
      </c>
      <c r="BQ698" s="462">
        <f>IF(AT698&lt;&gt;0,SSHIBY*W698,0)</f>
        <v>0</v>
      </c>
      <c r="BR698" s="462">
        <f>IF(AND(AT698&lt;&gt;0,AN698&lt;&gt;"NE"),VLOOKUP(AN698,Retirement_Rates,4,FALSE)*W698,0)</f>
        <v>0</v>
      </c>
      <c r="BS698" s="462">
        <f>IF(AND(AT698&lt;&gt;0,AJ698&lt;&gt;"PF"),LifeBY*W698,0)</f>
        <v>0</v>
      </c>
      <c r="BT698" s="462">
        <f>IF(AND(AT698&lt;&gt;0,AM698="Y"),UIBY*W698,0)</f>
        <v>0</v>
      </c>
      <c r="BU698" s="462">
        <f>IF(AND(AT698&lt;&gt;0,N698&lt;&gt;"NR"),DHRBY*W698,0)</f>
        <v>0</v>
      </c>
      <c r="BV698" s="462">
        <f>IF(AT698&lt;&gt;0,WCBY*W698,0)</f>
        <v>0</v>
      </c>
      <c r="BW698" s="462">
        <f>IF(OR(AND(AT698&lt;&gt;0,AJ698&lt;&gt;"PF",AN698&lt;&gt;"NE",AG698&lt;&gt;"A"),AND(AL698="E",OR(AT698=1,AT698=3))),SickBY*W698,0)</f>
        <v>0</v>
      </c>
      <c r="BX698" s="462">
        <f t="shared" si="177"/>
        <v>0</v>
      </c>
      <c r="BY698" s="462">
        <f t="shared" si="178"/>
        <v>0</v>
      </c>
      <c r="BZ698" s="462">
        <f t="shared" si="179"/>
        <v>0</v>
      </c>
      <c r="CA698" s="462">
        <f t="shared" si="180"/>
        <v>0</v>
      </c>
      <c r="CB698" s="462">
        <f t="shared" si="181"/>
        <v>0</v>
      </c>
      <c r="CC698" s="462">
        <f>IF(AT698&lt;&gt;0,SSHICHG*Y698,0)</f>
        <v>0</v>
      </c>
      <c r="CD698" s="462">
        <f>IF(AND(AT698&lt;&gt;0,AN698&lt;&gt;"NE"),VLOOKUP(AN698,Retirement_Rates,5,FALSE)*Y698,0)</f>
        <v>0</v>
      </c>
      <c r="CE698" s="462">
        <f>IF(AND(AT698&lt;&gt;0,AJ698&lt;&gt;"PF"),LifeCHG*Y698,0)</f>
        <v>0</v>
      </c>
      <c r="CF698" s="462">
        <f>IF(AND(AT698&lt;&gt;0,AM698="Y"),UICHG*Y698,0)</f>
        <v>0</v>
      </c>
      <c r="CG698" s="462">
        <f>IF(AND(AT698&lt;&gt;0,N698&lt;&gt;"NR"),DHRCHG*Y698,0)</f>
        <v>0</v>
      </c>
      <c r="CH698" s="462">
        <f>IF(AT698&lt;&gt;0,WCCHG*Y698,0)</f>
        <v>0</v>
      </c>
      <c r="CI698" s="462">
        <f>IF(OR(AND(AT698&lt;&gt;0,AJ698&lt;&gt;"PF",AN698&lt;&gt;"NE",AG698&lt;&gt;"A"),AND(AL698="E",OR(AT698=1,AT698=3))),SickCHG*Y698,0)</f>
        <v>0</v>
      </c>
      <c r="CJ698" s="462">
        <f t="shared" si="182"/>
        <v>0</v>
      </c>
      <c r="CK698" s="462" t="str">
        <f t="shared" si="183"/>
        <v/>
      </c>
      <c r="CL698" s="462">
        <f t="shared" si="184"/>
        <v>0</v>
      </c>
      <c r="CM698" s="462">
        <f t="shared" si="185"/>
        <v>0</v>
      </c>
      <c r="CN698" s="462" t="str">
        <f t="shared" si="186"/>
        <v>ÿÿÿÿ-ÿÿ</v>
      </c>
    </row>
    <row r="700" spans="1:92" ht="21" x14ac:dyDescent="0.4">
      <c r="AQ700" s="251" t="s">
        <v>1610</v>
      </c>
    </row>
    <row r="701" spans="1:92" ht="15" thickBot="1" x14ac:dyDescent="0.35">
      <c r="AR701" t="s">
        <v>1438</v>
      </c>
      <c r="AS701" s="462">
        <f>SUMIFS(AS2:AS698,G2:G698,"AGAA",E2:E698,"0001",F2:F698,"00",AT2:AT698,1)</f>
        <v>7.8100000000000005</v>
      </c>
      <c r="AT701" s="462">
        <f>SUMIFS(AS2:AS698,G2:G698,"AGAA",E2:E698,"0001",F2:F698,"00",AT2:AT698,3)</f>
        <v>0</v>
      </c>
      <c r="AU701" s="462">
        <f>SUMIFS(AU2:AU698,G2:G698,"AGAA",E2:E698,"0001",F2:F698,"00")</f>
        <v>13</v>
      </c>
      <c r="AV701" s="462">
        <f>SUMIFS(AV2:AV698,G2:G698,"AGAA",E2:E698,"0001",F2:F698,"00")</f>
        <v>0</v>
      </c>
      <c r="AW701" s="462">
        <f>SUMIFS(AW2:AW698,G2:G698,"AGAA",E2:E698,"0001",F2:F698,"00")</f>
        <v>24</v>
      </c>
      <c r="AX701" s="462">
        <f>SUMIFS(AX2:AX698,G2:G698,"AGAA",E2:E698,"0001",F2:F698,"00")</f>
        <v>1025564.77</v>
      </c>
      <c r="AY701" s="462">
        <f>SUMIFS(AY2:AY698,G2:G698,"AGAA",E2:E698,"0001",F2:F698,"00")</f>
        <v>683552.04999999993</v>
      </c>
      <c r="AZ701" s="462">
        <f>SUMIFS(AZ2:AZ698,G2:G698,"AGAA",E2:E698,"0001",F2:F698,"00")</f>
        <v>0</v>
      </c>
      <c r="BA701" s="462">
        <f>SUMIFS(BA2:BA698,G2:G698,"AGAA",E2:E698,"0001",F2:F698,"00")</f>
        <v>0</v>
      </c>
      <c r="BB701" s="462">
        <f>SUMIFS(BB2:BB698,G2:G698,"AGAA",E2:E698,"0001",F2:F698,"00")</f>
        <v>90986.5</v>
      </c>
      <c r="BC701" s="462">
        <f>SUMIFS(BC2:BC698,G2:G698,"AGAA",E2:E698,"0001",F2:F698,"00")</f>
        <v>0</v>
      </c>
      <c r="BD701" s="462">
        <f>SUMIFS(BD2:BD698,G2:G698,"AGAA",E2:E698,"0001",F2:F698,"00")</f>
        <v>41099.902300000002</v>
      </c>
      <c r="BE701" s="462">
        <f>SUMIFS(BE2:BE698,G2:G698,"AGAA",E2:E698,"0001",F2:F698,"00")</f>
        <v>9911.5047250000007</v>
      </c>
      <c r="BF701" s="462">
        <f>SUMIFS(BF2:BF698,G2:G698,"AGAA",E2:E698,"0001",F2:F698,"00")</f>
        <v>81616.11477</v>
      </c>
      <c r="BG701" s="462">
        <f>SUMIFS(BG2:BG698,G2:G698,"AGAA",E2:E698,"0001",F2:F698,"00")</f>
        <v>4928.4102805000002</v>
      </c>
      <c r="BH701" s="462">
        <f>SUMIFS(BH2:BH698,G2:G698,"AGAA",E2:E698,"0001",F2:F698,"00")</f>
        <v>2573.4880850000004</v>
      </c>
      <c r="BI701" s="462">
        <f>SUMIFS(BI2:BI698,G2:G698,"AGAA",E2:E698,"0001",F2:F698,"00")</f>
        <v>749.60027459999992</v>
      </c>
      <c r="BJ701" s="462">
        <f>SUMIFS(BJ2:BJ698,G2:G698,"AGAA",E2:E698,"0001",F2:F698,"00")</f>
        <v>10458.346364999999</v>
      </c>
      <c r="BK701" s="462">
        <f>SUMIFS(BK2:BK698,G2:G698,"AGAA",E2:E698,"0001",F2:F698,"00")</f>
        <v>0</v>
      </c>
      <c r="BL701" s="462">
        <f>SUMIFS(BL2:BL698,G2:G698,"AGAA",E2:E698,"0001",F2:F698,"00")</f>
        <v>151337.36680009999</v>
      </c>
      <c r="BM701" s="462">
        <f>SUMIFS(BM2:BM698,G2:G698,"AGAA",E2:E698,"0001",F2:F698,"00")</f>
        <v>0</v>
      </c>
      <c r="BN701" s="462">
        <f>SUMIFS(BN2:BN698,G2:G698,"AGAA",E2:E698,"0001",F2:F698,"00")</f>
        <v>90986.5</v>
      </c>
      <c r="BO701" s="462">
        <f>SUMIFS(BO2:BO698,G2:G698,"AGAA",E2:E698,"0001",F2:F698,"00")</f>
        <v>0</v>
      </c>
      <c r="BP701" s="462">
        <f>SUMIFS(BP2:BP698,G2:G698,"AGAA",E2:E698,"0001",F2:F698,"00")</f>
        <v>41416.102299999999</v>
      </c>
      <c r="BQ701" s="462">
        <f>SUMIFS(BQ2:BQ698,G2:G698,"AGAA",E2:E698,"0001",F2:F698,"00")</f>
        <v>9911.5047250000007</v>
      </c>
      <c r="BR701" s="462">
        <f>SUMIFS(BR2:BR698,G2:G698,"AGAA",E2:E698,"0001",F2:F698,"00")</f>
        <v>81616.11477</v>
      </c>
      <c r="BS701" s="462">
        <f>SUMIFS(BS2:BS698,G2:G698,"AGAA",E2:E698,"0001",F2:F698,"00")</f>
        <v>4928.4102805000002</v>
      </c>
      <c r="BT701" s="462">
        <f>SUMIFS(BT2:BT698,G2:G698,"AGAA",E2:E698,"0001",F2:F698,"00")</f>
        <v>0</v>
      </c>
      <c r="BU701" s="462">
        <f>SUMIFS(BU2:BU698,G2:G698,"AGAA",E2:E698,"0001",F2:F698,"00")</f>
        <v>749.60027459999992</v>
      </c>
      <c r="BV701" s="462">
        <f>SUMIFS(BV2:BV698,G2:G698,"AGAA",E2:E698,"0001",F2:F698,"00")</f>
        <v>12030.516080000001</v>
      </c>
      <c r="BW701" s="462">
        <f>SUMIFS(BW2:BW698,G2:G698,"AGAA",E2:E698,"0001",F2:F698,"00")</f>
        <v>0</v>
      </c>
      <c r="BX701" s="462">
        <f>SUMIFS(BX2:BX698,G2:G698,"AGAA",E2:E698,"0001",F2:F698,"00")</f>
        <v>150652.24843010004</v>
      </c>
      <c r="BY701" s="462">
        <f>SUMIFS(BY2:BY698,G2:G698,"AGAA",E2:E698,"0001",F2:F698,"00")</f>
        <v>0</v>
      </c>
      <c r="BZ701" s="462">
        <f>SUMIFS(BZ2:BZ698,G2:G698,"AGAA",E2:E698,"0001",F2:F698,"00")</f>
        <v>0</v>
      </c>
      <c r="CA701" s="462">
        <f>SUMIFS(CA2:CA698,G2:G698,"AGAA",E2:E698,"0001",F2:F698,"00")</f>
        <v>0</v>
      </c>
      <c r="CB701" s="462">
        <f>SUMIFS(CB2:CB698,G2:G698,"AGAA",E2:E698,"0001",F2:F698,"00")</f>
        <v>316.20000000000073</v>
      </c>
      <c r="CC701" s="462">
        <f>SUMIFS(CC2:CC698,G2:G698,"AGAA",E2:E698,"0001",F2:F698,"00")</f>
        <v>0</v>
      </c>
      <c r="CD701" s="462">
        <f>SUMIFS(CD2:CD698,G2:G698,"AGAA",E2:E698,"0001",F2:F698,"00")</f>
        <v>0</v>
      </c>
      <c r="CE701" s="462">
        <f>SUMIFS(CE2:CE698,G2:G698,"AGAA",E2:E698,"0001",F2:F698,"00")</f>
        <v>0</v>
      </c>
      <c r="CF701" s="462">
        <f>SUMIFS(CF2:CF698,G2:G698,"AGAA",E2:E698,"0001",F2:F698,"00")</f>
        <v>-2573.4880850000004</v>
      </c>
      <c r="CG701" s="462">
        <f>SUMIFS(CG2:CG698,G2:G698,"AGAA",E2:E698,"0001",F2:F698,"00")</f>
        <v>0</v>
      </c>
      <c r="CH701" s="462">
        <f>SUMIFS(CH2:CH698,G2:G698,"AGAA",E2:E698,"0001",F2:F698,"00")</f>
        <v>1572.1697150000011</v>
      </c>
      <c r="CI701" s="462">
        <f>SUMIFS(CI2:CI698,G2:G698,"AGAA",E2:E698,"0001",F2:F698,"00")</f>
        <v>0</v>
      </c>
      <c r="CJ701" s="462">
        <f>SUMIFS(CJ2:CJ698,G2:G698,"AGAA",E2:E698,"0001",F2:F698,"00")</f>
        <v>-685.11836999999787</v>
      </c>
      <c r="CK701" s="462">
        <f>SUMIFS(CK2:CK698,G2:G698,"AGAA",E2:E698,"0001",F2:F698,"00")</f>
        <v>0</v>
      </c>
      <c r="CL701" s="462">
        <f>SUMIFS(CL2:CL698,G2:G698,"AGAA",E2:E698,"0001",F2:F698,"00")</f>
        <v>0</v>
      </c>
      <c r="CM701" s="462">
        <f>SUMIFS(CM2:CM698,G2:G698,"AGAA",E2:E698,"0001",F2:F698,"00")</f>
        <v>0</v>
      </c>
    </row>
    <row r="702" spans="1:92" ht="18" x14ac:dyDescent="0.35">
      <c r="AQ702" s="468" t="s">
        <v>1439</v>
      </c>
      <c r="AS702" s="469">
        <f>SUM(AS701:AS701)</f>
        <v>7.8100000000000005</v>
      </c>
      <c r="AT702" s="469">
        <f>SUM(AT701:AT701)</f>
        <v>0</v>
      </c>
      <c r="AU702" s="469">
        <f>SUM(AU701:AU701)</f>
        <v>13</v>
      </c>
      <c r="AV702" s="469">
        <f>SUM(AV701:AV701)</f>
        <v>0</v>
      </c>
      <c r="AW702" s="469">
        <f>SUM(AW701:AW701)</f>
        <v>24</v>
      </c>
      <c r="AX702" s="469">
        <f>SUM(AX701:AX701)</f>
        <v>1025564.77</v>
      </c>
      <c r="AY702" s="469">
        <f>SUM(AY701:AY701)</f>
        <v>683552.04999999993</v>
      </c>
      <c r="AZ702" s="469">
        <f>SUM(AZ701:AZ701)</f>
        <v>0</v>
      </c>
      <c r="BA702" s="469">
        <f>SUM(BA701:BA701)</f>
        <v>0</v>
      </c>
      <c r="BB702" s="469">
        <f>SUM(BB701:BB701)</f>
        <v>90986.5</v>
      </c>
      <c r="BC702" s="469">
        <f>SUM(BC701:BC701)</f>
        <v>0</v>
      </c>
      <c r="BD702" s="469">
        <f>SUM(BD701:BD701)</f>
        <v>41099.902300000002</v>
      </c>
      <c r="BE702" s="469">
        <f>SUM(BE701:BE701)</f>
        <v>9911.5047250000007</v>
      </c>
      <c r="BF702" s="469">
        <f>SUM(BF701:BF701)</f>
        <v>81616.11477</v>
      </c>
      <c r="BG702" s="469">
        <f>SUM(BG701:BG701)</f>
        <v>4928.4102805000002</v>
      </c>
      <c r="BH702" s="469">
        <f>SUM(BH701:BH701)</f>
        <v>2573.4880850000004</v>
      </c>
      <c r="BI702" s="469">
        <f>SUM(BI701:BI701)</f>
        <v>749.60027459999992</v>
      </c>
      <c r="BJ702" s="469">
        <f>SUM(BJ701:BJ701)</f>
        <v>10458.346364999999</v>
      </c>
      <c r="BK702" s="469">
        <f>SUM(BK701:BK701)</f>
        <v>0</v>
      </c>
      <c r="BL702" s="469">
        <f>SUM(BL701:BL701)</f>
        <v>151337.36680009999</v>
      </c>
      <c r="BM702" s="469">
        <f>SUM(BM701:BM701)</f>
        <v>0</v>
      </c>
      <c r="BN702" s="469">
        <f>SUM(BN701:BN701)</f>
        <v>90986.5</v>
      </c>
      <c r="BO702" s="469">
        <f>SUM(BO701:BO701)</f>
        <v>0</v>
      </c>
      <c r="BP702" s="469">
        <f>SUM(BP701:BP701)</f>
        <v>41416.102299999999</v>
      </c>
      <c r="BQ702" s="469">
        <f>SUM(BQ701:BQ701)</f>
        <v>9911.5047250000007</v>
      </c>
      <c r="BR702" s="469">
        <f>SUM(BR701:BR701)</f>
        <v>81616.11477</v>
      </c>
      <c r="BS702" s="469">
        <f>SUM(BS701:BS701)</f>
        <v>4928.4102805000002</v>
      </c>
      <c r="BT702" s="469">
        <f>SUM(BT701:BT701)</f>
        <v>0</v>
      </c>
      <c r="BU702" s="469">
        <f>SUM(BU701:BU701)</f>
        <v>749.60027459999992</v>
      </c>
      <c r="BV702" s="469">
        <f>SUM(BV701:BV701)</f>
        <v>12030.516080000001</v>
      </c>
      <c r="BW702" s="469">
        <f>SUM(BW701:BW701)</f>
        <v>0</v>
      </c>
      <c r="BX702" s="469">
        <f>SUM(BX701:BX701)</f>
        <v>150652.24843010004</v>
      </c>
      <c r="BY702" s="469">
        <f>SUM(BY701:BY701)</f>
        <v>0</v>
      </c>
      <c r="BZ702" s="469">
        <f>SUM(BZ701:BZ701)</f>
        <v>0</v>
      </c>
      <c r="CA702" s="469">
        <f>SUM(CA701:CA701)</f>
        <v>0</v>
      </c>
      <c r="CB702" s="469">
        <f>SUM(CB701:CB701)</f>
        <v>316.20000000000073</v>
      </c>
      <c r="CC702" s="469">
        <f>SUM(CC701:CC701)</f>
        <v>0</v>
      </c>
      <c r="CD702" s="469">
        <f>SUM(CD701:CD701)</f>
        <v>0</v>
      </c>
      <c r="CE702" s="469">
        <f>SUM(CE701:CE701)</f>
        <v>0</v>
      </c>
      <c r="CF702" s="469">
        <f>SUM(CF701:CF701)</f>
        <v>-2573.4880850000004</v>
      </c>
      <c r="CG702" s="469">
        <f>SUM(CG701:CG701)</f>
        <v>0</v>
      </c>
      <c r="CH702" s="469">
        <f>SUM(CH701:CH701)</f>
        <v>1572.1697150000011</v>
      </c>
      <c r="CI702" s="469">
        <f>SUM(CI701:CI701)</f>
        <v>0</v>
      </c>
      <c r="CJ702" s="469">
        <f>SUM(CJ701:CJ701)</f>
        <v>-685.11836999999787</v>
      </c>
      <c r="CK702" s="469">
        <f>SUM(CK701:CK701)</f>
        <v>0</v>
      </c>
      <c r="CL702" s="469">
        <f>SUM(CL701:CL701)</f>
        <v>0</v>
      </c>
      <c r="CM702" s="469">
        <f>SUM(CM701:CM701)</f>
        <v>0</v>
      </c>
    </row>
    <row r="703" spans="1:92" ht="15" thickBot="1" x14ac:dyDescent="0.35">
      <c r="AR703" t="s">
        <v>1446</v>
      </c>
      <c r="AS703" s="462">
        <f>SUMIFS(AS2:AS698,G2:G698,"AGAA",E2:E698,"0125",F2:F698,"01",AT2:AT698,1)</f>
        <v>10.34</v>
      </c>
      <c r="AT703" s="462">
        <f>SUMIFS(AS2:AS698,G2:G698,"AGAA",E2:E698,"0125",F2:F698,"01",AT2:AT698,3)</f>
        <v>0</v>
      </c>
      <c r="AU703" s="462">
        <f>SUMIFS(AU2:AU698,G2:G698,"AGAA",E2:E698,"0125",F2:F698,"01")</f>
        <v>13.75</v>
      </c>
      <c r="AV703" s="462">
        <f>SUMIFS(AV2:AV698,G2:G698,"AGAA",E2:E698,"0125",F2:F698,"01")</f>
        <v>0</v>
      </c>
      <c r="AW703" s="462">
        <f>SUMIFS(AW2:AW698,G2:G698,"AGAA",E2:E698,"0125",F2:F698,"01")</f>
        <v>25</v>
      </c>
      <c r="AX703" s="462">
        <f>SUMIFS(AX2:AX698,G2:G698,"AGAA",E2:E698,"0125",F2:F698,"01")</f>
        <v>860085.17000000016</v>
      </c>
      <c r="AY703" s="462">
        <f>SUMIFS(AY2:AY698,G2:G698,"AGAA",E2:E698,"0125",F2:F698,"01")</f>
        <v>643493.12</v>
      </c>
      <c r="AZ703" s="462">
        <f>SUMIFS(AZ2:AZ698,G2:G698,"AGAA",E2:E698,"0125",F2:F698,"01")</f>
        <v>0</v>
      </c>
      <c r="BA703" s="462">
        <f>SUMIFS(BA2:BA698,G2:G698,"AGAA",E2:E698,"0125",F2:F698,"01")</f>
        <v>0</v>
      </c>
      <c r="BB703" s="462">
        <f>SUMIFS(BB2:BB698,G2:G698,"AGAA",E2:E698,"0125",F2:F698,"01")</f>
        <v>123373.5</v>
      </c>
      <c r="BC703" s="462">
        <f>SUMIFS(BC2:BC698,G2:G698,"AGAA",E2:E698,"0125",F2:F698,"01")</f>
        <v>0</v>
      </c>
      <c r="BD703" s="462">
        <f>SUMIFS(BD2:BD698,G2:G698,"AGAA",E2:E698,"0125",F2:F698,"01")</f>
        <v>39896.57344</v>
      </c>
      <c r="BE703" s="462">
        <f>SUMIFS(BE2:BE698,G2:G698,"AGAA",E2:E698,"0125",F2:F698,"01")</f>
        <v>9330.650239999999</v>
      </c>
      <c r="BF703" s="462">
        <f>SUMIFS(BF2:BF698,G2:G698,"AGAA",E2:E698,"0125",F2:F698,"01")</f>
        <v>76833.078528000027</v>
      </c>
      <c r="BG703" s="462">
        <f>SUMIFS(BG2:BG698,G2:G698,"AGAA",E2:E698,"0125",F2:F698,"01")</f>
        <v>4639.5853952000007</v>
      </c>
      <c r="BH703" s="462">
        <f>SUMIFS(BH2:BH698,G2:G698,"AGAA",E2:E698,"0125",F2:F698,"01")</f>
        <v>3153.1162880000006</v>
      </c>
      <c r="BI703" s="462">
        <f>SUMIFS(BI2:BI698,G2:G698,"AGAA",E2:E698,"0125",F2:F698,"01")</f>
        <v>1467.7209215999999</v>
      </c>
      <c r="BJ703" s="462">
        <f>SUMIFS(BJ2:BJ698,G2:G698,"AGAA",E2:E698,"0125",F2:F698,"01")</f>
        <v>9845.4447360000013</v>
      </c>
      <c r="BK703" s="462">
        <f>SUMIFS(BK2:BK698,G2:G698,"AGAA",E2:E698,"0125",F2:F698,"01")</f>
        <v>0</v>
      </c>
      <c r="BL703" s="462">
        <f>SUMIFS(BL2:BL698,G2:G698,"AGAA",E2:E698,"0125",F2:F698,"01")</f>
        <v>145166.16954879998</v>
      </c>
      <c r="BM703" s="462">
        <f>SUMIFS(BM2:BM698,G2:G698,"AGAA",E2:E698,"0125",F2:F698,"01")</f>
        <v>0</v>
      </c>
      <c r="BN703" s="462">
        <f>SUMIFS(BN2:BN698,G2:G698,"AGAA",E2:E698,"0125",F2:F698,"01")</f>
        <v>123373.5</v>
      </c>
      <c r="BO703" s="462">
        <f>SUMIFS(BO2:BO698,G2:G698,"AGAA",E2:E698,"0125",F2:F698,"01")</f>
        <v>0</v>
      </c>
      <c r="BP703" s="462">
        <f>SUMIFS(BP2:BP698,G2:G698,"AGAA",E2:E698,"0125",F2:F698,"01")</f>
        <v>39896.57344</v>
      </c>
      <c r="BQ703" s="462">
        <f>SUMIFS(BQ2:BQ698,G2:G698,"AGAA",E2:E698,"0125",F2:F698,"01")</f>
        <v>9330.650239999999</v>
      </c>
      <c r="BR703" s="462">
        <f>SUMIFS(BR2:BR698,G2:G698,"AGAA",E2:E698,"0125",F2:F698,"01")</f>
        <v>76833.078528000027</v>
      </c>
      <c r="BS703" s="462">
        <f>SUMIFS(BS2:BS698,G2:G698,"AGAA",E2:E698,"0125",F2:F698,"01")</f>
        <v>4639.5853952000007</v>
      </c>
      <c r="BT703" s="462">
        <f>SUMIFS(BT2:BT698,G2:G698,"AGAA",E2:E698,"0125",F2:F698,"01")</f>
        <v>0</v>
      </c>
      <c r="BU703" s="462">
        <f>SUMIFS(BU2:BU698,G2:G698,"AGAA",E2:E698,"0125",F2:F698,"01")</f>
        <v>1467.7209215999999</v>
      </c>
      <c r="BV703" s="462">
        <f>SUMIFS(BV2:BV698,G2:G698,"AGAA",E2:E698,"0125",F2:F698,"01")</f>
        <v>11325.478912</v>
      </c>
      <c r="BW703" s="462">
        <f>SUMIFS(BW2:BW698,G2:G698,"AGAA",E2:E698,"0125",F2:F698,"01")</f>
        <v>0</v>
      </c>
      <c r="BX703" s="462">
        <f>SUMIFS(BX2:BX698,G2:G698,"AGAA",E2:E698,"0125",F2:F698,"01")</f>
        <v>143493.08743680001</v>
      </c>
      <c r="BY703" s="462">
        <f>SUMIFS(BY2:BY698,G2:G698,"AGAA",E2:E698,"0125",F2:F698,"01")</f>
        <v>0</v>
      </c>
      <c r="BZ703" s="462">
        <f>SUMIFS(BZ2:BZ698,G2:G698,"AGAA",E2:E698,"0125",F2:F698,"01")</f>
        <v>0</v>
      </c>
      <c r="CA703" s="462">
        <f>SUMIFS(CA2:CA698,G2:G698,"AGAA",E2:E698,"0125",F2:F698,"01")</f>
        <v>0</v>
      </c>
      <c r="CB703" s="462">
        <f>SUMIFS(CB2:CB698,G2:G698,"AGAA",E2:E698,"0125",F2:F698,"01")</f>
        <v>0</v>
      </c>
      <c r="CC703" s="462">
        <f>SUMIFS(CC2:CC698,G2:G698,"AGAA",E2:E698,"0125",F2:F698,"01")</f>
        <v>0</v>
      </c>
      <c r="CD703" s="462">
        <f>SUMIFS(CD2:CD698,G2:G698,"AGAA",E2:E698,"0125",F2:F698,"01")</f>
        <v>0</v>
      </c>
      <c r="CE703" s="462">
        <f>SUMIFS(CE2:CE698,G2:G698,"AGAA",E2:E698,"0125",F2:F698,"01")</f>
        <v>0</v>
      </c>
      <c r="CF703" s="462">
        <f>SUMIFS(CF2:CF698,G2:G698,"AGAA",E2:E698,"0125",F2:F698,"01")</f>
        <v>-3153.1162880000006</v>
      </c>
      <c r="CG703" s="462">
        <f>SUMIFS(CG2:CG698,G2:G698,"AGAA",E2:E698,"0125",F2:F698,"01")</f>
        <v>0</v>
      </c>
      <c r="CH703" s="462">
        <f>SUMIFS(CH2:CH698,G2:G698,"AGAA",E2:E698,"0125",F2:F698,"01")</f>
        <v>1480.0341760000013</v>
      </c>
      <c r="CI703" s="462">
        <f>SUMIFS(CI2:CI698,G2:G698,"AGAA",E2:E698,"0125",F2:F698,"01")</f>
        <v>0</v>
      </c>
      <c r="CJ703" s="462">
        <f>SUMIFS(CJ2:CJ698,G2:G698,"AGAA",E2:E698,"0125",F2:F698,"01")</f>
        <v>-1673.0821119999989</v>
      </c>
      <c r="CK703" s="462">
        <f>SUMIFS(CK2:CK698,G2:G698,"AGAA",E2:E698,"0125",F2:F698,"01")</f>
        <v>0</v>
      </c>
      <c r="CL703" s="462">
        <f>SUMIFS(CL2:CL698,G2:G698,"AGAA",E2:E698,"0125",F2:F698,"01")</f>
        <v>7210</v>
      </c>
      <c r="CM703" s="462">
        <f>SUMIFS(CM2:CM698,G2:G698,"AGAA",E2:E698,"0125",F2:F698,"01")</f>
        <v>855.24</v>
      </c>
    </row>
    <row r="704" spans="1:92" ht="18" x14ac:dyDescent="0.35">
      <c r="AQ704" s="468" t="s">
        <v>1447</v>
      </c>
      <c r="AS704" s="469">
        <f>SUM(AS703:AS703)</f>
        <v>10.34</v>
      </c>
      <c r="AT704" s="469">
        <f>SUM(AT703:AT703)</f>
        <v>0</v>
      </c>
      <c r="AU704" s="469">
        <f>SUM(AU703:AU703)</f>
        <v>13.75</v>
      </c>
      <c r="AV704" s="469">
        <f>SUM(AV703:AV703)</f>
        <v>0</v>
      </c>
      <c r="AW704" s="469">
        <f>SUM(AW703:AW703)</f>
        <v>25</v>
      </c>
      <c r="AX704" s="469">
        <f>SUM(AX703:AX703)</f>
        <v>860085.17000000016</v>
      </c>
      <c r="AY704" s="469">
        <f>SUM(AY703:AY703)</f>
        <v>643493.12</v>
      </c>
      <c r="AZ704" s="469">
        <f>SUM(AZ703:AZ703)</f>
        <v>0</v>
      </c>
      <c r="BA704" s="469">
        <f>SUM(BA703:BA703)</f>
        <v>0</v>
      </c>
      <c r="BB704" s="469">
        <f>SUM(BB703:BB703)</f>
        <v>123373.5</v>
      </c>
      <c r="BC704" s="469">
        <f>SUM(BC703:BC703)</f>
        <v>0</v>
      </c>
      <c r="BD704" s="469">
        <f>SUM(BD703:BD703)</f>
        <v>39896.57344</v>
      </c>
      <c r="BE704" s="469">
        <f>SUM(BE703:BE703)</f>
        <v>9330.650239999999</v>
      </c>
      <c r="BF704" s="469">
        <f>SUM(BF703:BF703)</f>
        <v>76833.078528000027</v>
      </c>
      <c r="BG704" s="469">
        <f>SUM(BG703:BG703)</f>
        <v>4639.5853952000007</v>
      </c>
      <c r="BH704" s="469">
        <f>SUM(BH703:BH703)</f>
        <v>3153.1162880000006</v>
      </c>
      <c r="BI704" s="469">
        <f>SUM(BI703:BI703)</f>
        <v>1467.7209215999999</v>
      </c>
      <c r="BJ704" s="469">
        <f>SUM(BJ703:BJ703)</f>
        <v>9845.4447360000013</v>
      </c>
      <c r="BK704" s="469">
        <f>SUM(BK703:BK703)</f>
        <v>0</v>
      </c>
      <c r="BL704" s="469">
        <f>SUM(BL703:BL703)</f>
        <v>145166.16954879998</v>
      </c>
      <c r="BM704" s="469">
        <f>SUM(BM703:BM703)</f>
        <v>0</v>
      </c>
      <c r="BN704" s="469">
        <f>SUM(BN703:BN703)</f>
        <v>123373.5</v>
      </c>
      <c r="BO704" s="469">
        <f>SUM(BO703:BO703)</f>
        <v>0</v>
      </c>
      <c r="BP704" s="469">
        <f>SUM(BP703:BP703)</f>
        <v>39896.57344</v>
      </c>
      <c r="BQ704" s="469">
        <f>SUM(BQ703:BQ703)</f>
        <v>9330.650239999999</v>
      </c>
      <c r="BR704" s="469">
        <f>SUM(BR703:BR703)</f>
        <v>76833.078528000027</v>
      </c>
      <c r="BS704" s="469">
        <f>SUM(BS703:BS703)</f>
        <v>4639.5853952000007</v>
      </c>
      <c r="BT704" s="469">
        <f>SUM(BT703:BT703)</f>
        <v>0</v>
      </c>
      <c r="BU704" s="469">
        <f>SUM(BU703:BU703)</f>
        <v>1467.7209215999999</v>
      </c>
      <c r="BV704" s="469">
        <f>SUM(BV703:BV703)</f>
        <v>11325.478912</v>
      </c>
      <c r="BW704" s="469">
        <f>SUM(BW703:BW703)</f>
        <v>0</v>
      </c>
      <c r="BX704" s="469">
        <f>SUM(BX703:BX703)</f>
        <v>143493.08743680001</v>
      </c>
      <c r="BY704" s="469">
        <f>SUM(BY703:BY703)</f>
        <v>0</v>
      </c>
      <c r="BZ704" s="469">
        <f>SUM(BZ703:BZ703)</f>
        <v>0</v>
      </c>
      <c r="CA704" s="469">
        <f>SUM(CA703:CA703)</f>
        <v>0</v>
      </c>
      <c r="CB704" s="469">
        <f>SUM(CB703:CB703)</f>
        <v>0</v>
      </c>
      <c r="CC704" s="469">
        <f>SUM(CC703:CC703)</f>
        <v>0</v>
      </c>
      <c r="CD704" s="469">
        <f>SUM(CD703:CD703)</f>
        <v>0</v>
      </c>
      <c r="CE704" s="469">
        <f>SUM(CE703:CE703)</f>
        <v>0</v>
      </c>
      <c r="CF704" s="469">
        <f>SUM(CF703:CF703)</f>
        <v>-3153.1162880000006</v>
      </c>
      <c r="CG704" s="469">
        <f>SUM(CG703:CG703)</f>
        <v>0</v>
      </c>
      <c r="CH704" s="469">
        <f>SUM(CH703:CH703)</f>
        <v>1480.0341760000013</v>
      </c>
      <c r="CI704" s="469">
        <f>SUM(CI703:CI703)</f>
        <v>0</v>
      </c>
      <c r="CJ704" s="469">
        <f>SUM(CJ703:CJ703)</f>
        <v>-1673.0821119999989</v>
      </c>
      <c r="CK704" s="469">
        <f>SUM(CK703:CK703)</f>
        <v>0</v>
      </c>
      <c r="CL704" s="469">
        <f>SUM(CL703:CL703)</f>
        <v>7210</v>
      </c>
      <c r="CM704" s="469">
        <f>SUM(CM703:CM703)</f>
        <v>855.24</v>
      </c>
    </row>
    <row r="705" spans="43:91" ht="15" thickBot="1" x14ac:dyDescent="0.35">
      <c r="AR705" t="s">
        <v>1452</v>
      </c>
      <c r="AS705" s="462">
        <f>SUMIFS(AS2:AS698,G2:G698,"AGAA",E2:E698,"0125",F2:F698,"02",AT2:AT698,1)</f>
        <v>2</v>
      </c>
      <c r="AT705" s="462">
        <f>SUMIFS(AS2:AS698,G2:G698,"AGAA",E2:E698,"0125",F2:F698,"02",AT2:AT698,3)</f>
        <v>0</v>
      </c>
      <c r="AU705" s="462">
        <f>SUMIFS(AU2:AU698,G2:G698,"AGAA",E2:E698,"0125",F2:F698,"02")</f>
        <v>2</v>
      </c>
      <c r="AV705" s="462">
        <f>SUMIFS(AV2:AV698,G2:G698,"AGAA",E2:E698,"0125",F2:F698,"02")</f>
        <v>0</v>
      </c>
      <c r="AW705" s="462">
        <f>SUMIFS(AW2:AW698,G2:G698,"AGAA",E2:E698,"0125",F2:F698,"02")</f>
        <v>3</v>
      </c>
      <c r="AX705" s="462">
        <f>SUMIFS(AX2:AX698,G2:G698,"AGAA",E2:E698,"0125",F2:F698,"02")</f>
        <v>76356.799999999988</v>
      </c>
      <c r="AY705" s="462">
        <f>SUMIFS(AY2:AY698,G2:G698,"AGAA",E2:E698,"0125",F2:F698,"02")</f>
        <v>76356.799999999988</v>
      </c>
      <c r="AZ705" s="462">
        <f>SUMIFS(AZ2:AZ698,G2:G698,"AGAA",E2:E698,"0125",F2:F698,"02")</f>
        <v>0</v>
      </c>
      <c r="BA705" s="462">
        <f>SUMIFS(BA2:BA698,G2:G698,"AGAA",E2:E698,"0125",F2:F698,"02")</f>
        <v>0</v>
      </c>
      <c r="BB705" s="462">
        <f>SUMIFS(BB2:BB698,G2:G698,"AGAA",E2:E698,"0125",F2:F698,"02")</f>
        <v>23300</v>
      </c>
      <c r="BC705" s="462">
        <f>SUMIFS(BC2:BC698,G2:G698,"AGAA",E2:E698,"0125",F2:F698,"02")</f>
        <v>0</v>
      </c>
      <c r="BD705" s="462">
        <f>SUMIFS(BD2:BD698,G2:G698,"AGAA",E2:E698,"0125",F2:F698,"02")</f>
        <v>4734.1215999999995</v>
      </c>
      <c r="BE705" s="462">
        <f>SUMIFS(BE2:BE698,G2:G698,"AGAA",E2:E698,"0125",F2:F698,"02")</f>
        <v>1107.1736000000001</v>
      </c>
      <c r="BF705" s="462">
        <f>SUMIFS(BF2:BF698,G2:G698,"AGAA",E2:E698,"0125",F2:F698,"02")</f>
        <v>9117.0019200000006</v>
      </c>
      <c r="BG705" s="462">
        <f>SUMIFS(BG2:BG698,G2:G698,"AGAA",E2:E698,"0125",F2:F698,"02")</f>
        <v>550.53252799999996</v>
      </c>
      <c r="BH705" s="462">
        <f>SUMIFS(BH2:BH698,G2:G698,"AGAA",E2:E698,"0125",F2:F698,"02")</f>
        <v>374.14832000000001</v>
      </c>
      <c r="BI705" s="462">
        <f>SUMIFS(BI2:BI698,G2:G698,"AGAA",E2:E698,"0125",F2:F698,"02")</f>
        <v>233.65180799999996</v>
      </c>
      <c r="BJ705" s="462">
        <f>SUMIFS(BJ2:BJ698,G2:G698,"AGAA",E2:E698,"0125",F2:F698,"02")</f>
        <v>1168.2590399999999</v>
      </c>
      <c r="BK705" s="462">
        <f>SUMIFS(BK2:BK698,G2:G698,"AGAA",E2:E698,"0125",F2:F698,"02")</f>
        <v>0</v>
      </c>
      <c r="BL705" s="462">
        <f>SUMIFS(BL2:BL698,G2:G698,"AGAA",E2:E698,"0125",F2:F698,"02")</f>
        <v>17284.888815999999</v>
      </c>
      <c r="BM705" s="462">
        <f>SUMIFS(BM2:BM698,G2:G698,"AGAA",E2:E698,"0125",F2:F698,"02")</f>
        <v>0</v>
      </c>
      <c r="BN705" s="462">
        <f>SUMIFS(BN2:BN698,G2:G698,"AGAA",E2:E698,"0125",F2:F698,"02")</f>
        <v>23300</v>
      </c>
      <c r="BO705" s="462">
        <f>SUMIFS(BO2:BO698,G2:G698,"AGAA",E2:E698,"0125",F2:F698,"02")</f>
        <v>0</v>
      </c>
      <c r="BP705" s="462">
        <f>SUMIFS(BP2:BP698,G2:G698,"AGAA",E2:E698,"0125",F2:F698,"02")</f>
        <v>4734.1215999999995</v>
      </c>
      <c r="BQ705" s="462">
        <f>SUMIFS(BQ2:BQ698,G2:G698,"AGAA",E2:E698,"0125",F2:F698,"02")</f>
        <v>1107.1736000000001</v>
      </c>
      <c r="BR705" s="462">
        <f>SUMIFS(BR2:BR698,G2:G698,"AGAA",E2:E698,"0125",F2:F698,"02")</f>
        <v>9117.0019200000006</v>
      </c>
      <c r="BS705" s="462">
        <f>SUMIFS(BS2:BS698,G2:G698,"AGAA",E2:E698,"0125",F2:F698,"02")</f>
        <v>550.53252799999996</v>
      </c>
      <c r="BT705" s="462">
        <f>SUMIFS(BT2:BT698,G2:G698,"AGAA",E2:E698,"0125",F2:F698,"02")</f>
        <v>0</v>
      </c>
      <c r="BU705" s="462">
        <f>SUMIFS(BU2:BU698,G2:G698,"AGAA",E2:E698,"0125",F2:F698,"02")</f>
        <v>233.65180799999996</v>
      </c>
      <c r="BV705" s="462">
        <f>SUMIFS(BV2:BV698,G2:G698,"AGAA",E2:E698,"0125",F2:F698,"02")</f>
        <v>1343.87968</v>
      </c>
      <c r="BW705" s="462">
        <f>SUMIFS(BW2:BW698,G2:G698,"AGAA",E2:E698,"0125",F2:F698,"02")</f>
        <v>0</v>
      </c>
      <c r="BX705" s="462">
        <f>SUMIFS(BX2:BX698,G2:G698,"AGAA",E2:E698,"0125",F2:F698,"02")</f>
        <v>17086.361136</v>
      </c>
      <c r="BY705" s="462">
        <f>SUMIFS(BY2:BY698,G2:G698,"AGAA",E2:E698,"0125",F2:F698,"02")</f>
        <v>0</v>
      </c>
      <c r="BZ705" s="462">
        <f>SUMIFS(BZ2:BZ698,G2:G698,"AGAA",E2:E698,"0125",F2:F698,"02")</f>
        <v>0</v>
      </c>
      <c r="CA705" s="462">
        <f>SUMIFS(CA2:CA698,G2:G698,"AGAA",E2:E698,"0125",F2:F698,"02")</f>
        <v>0</v>
      </c>
      <c r="CB705" s="462">
        <f>SUMIFS(CB2:CB698,G2:G698,"AGAA",E2:E698,"0125",F2:F698,"02")</f>
        <v>0</v>
      </c>
      <c r="CC705" s="462">
        <f>SUMIFS(CC2:CC698,G2:G698,"AGAA",E2:E698,"0125",F2:F698,"02")</f>
        <v>0</v>
      </c>
      <c r="CD705" s="462">
        <f>SUMIFS(CD2:CD698,G2:G698,"AGAA",E2:E698,"0125",F2:F698,"02")</f>
        <v>0</v>
      </c>
      <c r="CE705" s="462">
        <f>SUMIFS(CE2:CE698,G2:G698,"AGAA",E2:E698,"0125",F2:F698,"02")</f>
        <v>0</v>
      </c>
      <c r="CF705" s="462">
        <f>SUMIFS(CF2:CF698,G2:G698,"AGAA",E2:E698,"0125",F2:F698,"02")</f>
        <v>-374.14832000000001</v>
      </c>
      <c r="CG705" s="462">
        <f>SUMIFS(CG2:CG698,G2:G698,"AGAA",E2:E698,"0125",F2:F698,"02")</f>
        <v>0</v>
      </c>
      <c r="CH705" s="462">
        <f>SUMIFS(CH2:CH698,G2:G698,"AGAA",E2:E698,"0125",F2:F698,"02")</f>
        <v>175.62064000000012</v>
      </c>
      <c r="CI705" s="462">
        <f>SUMIFS(CI2:CI698,G2:G698,"AGAA",E2:E698,"0125",F2:F698,"02")</f>
        <v>0</v>
      </c>
      <c r="CJ705" s="462">
        <f>SUMIFS(CJ2:CJ698,G2:G698,"AGAA",E2:E698,"0125",F2:F698,"02")</f>
        <v>-198.52767999999986</v>
      </c>
      <c r="CK705" s="462">
        <f>SUMIFS(CK2:CK698,G2:G698,"AGAA",E2:E698,"0125",F2:F698,"02")</f>
        <v>0</v>
      </c>
      <c r="CL705" s="462">
        <f>SUMIFS(CL2:CL698,G2:G698,"AGAA",E2:E698,"0125",F2:F698,"02")</f>
        <v>40107.97</v>
      </c>
      <c r="CM705" s="462">
        <f>SUMIFS(CM2:CM698,G2:G698,"AGAA",E2:E698,"0125",F2:F698,"02")</f>
        <v>8669.81</v>
      </c>
    </row>
    <row r="706" spans="43:91" ht="18" x14ac:dyDescent="0.35">
      <c r="AQ706" s="468" t="s">
        <v>1447</v>
      </c>
      <c r="AS706" s="469">
        <f>SUM(AS705:AS705)</f>
        <v>2</v>
      </c>
      <c r="AT706" s="469">
        <f>SUM(AT705:AT705)</f>
        <v>0</v>
      </c>
      <c r="AU706" s="469">
        <f>SUM(AU705:AU705)</f>
        <v>2</v>
      </c>
      <c r="AV706" s="469">
        <f>SUM(AV705:AV705)</f>
        <v>0</v>
      </c>
      <c r="AW706" s="469">
        <f>SUM(AW705:AW705)</f>
        <v>3</v>
      </c>
      <c r="AX706" s="469">
        <f>SUM(AX705:AX705)</f>
        <v>76356.799999999988</v>
      </c>
      <c r="AY706" s="469">
        <f>SUM(AY705:AY705)</f>
        <v>76356.799999999988</v>
      </c>
      <c r="AZ706" s="469">
        <f>SUM(AZ705:AZ705)</f>
        <v>0</v>
      </c>
      <c r="BA706" s="469">
        <f>SUM(BA705:BA705)</f>
        <v>0</v>
      </c>
      <c r="BB706" s="469">
        <f>SUM(BB705:BB705)</f>
        <v>23300</v>
      </c>
      <c r="BC706" s="469">
        <f>SUM(BC705:BC705)</f>
        <v>0</v>
      </c>
      <c r="BD706" s="469">
        <f>SUM(BD705:BD705)</f>
        <v>4734.1215999999995</v>
      </c>
      <c r="BE706" s="469">
        <f>SUM(BE705:BE705)</f>
        <v>1107.1736000000001</v>
      </c>
      <c r="BF706" s="469">
        <f>SUM(BF705:BF705)</f>
        <v>9117.0019200000006</v>
      </c>
      <c r="BG706" s="469">
        <f>SUM(BG705:BG705)</f>
        <v>550.53252799999996</v>
      </c>
      <c r="BH706" s="469">
        <f>SUM(BH705:BH705)</f>
        <v>374.14832000000001</v>
      </c>
      <c r="BI706" s="469">
        <f>SUM(BI705:BI705)</f>
        <v>233.65180799999996</v>
      </c>
      <c r="BJ706" s="469">
        <f>SUM(BJ705:BJ705)</f>
        <v>1168.2590399999999</v>
      </c>
      <c r="BK706" s="469">
        <f>SUM(BK705:BK705)</f>
        <v>0</v>
      </c>
      <c r="BL706" s="469">
        <f>SUM(BL705:BL705)</f>
        <v>17284.888815999999</v>
      </c>
      <c r="BM706" s="469">
        <f>SUM(BM705:BM705)</f>
        <v>0</v>
      </c>
      <c r="BN706" s="469">
        <f>SUM(BN705:BN705)</f>
        <v>23300</v>
      </c>
      <c r="BO706" s="469">
        <f>SUM(BO705:BO705)</f>
        <v>0</v>
      </c>
      <c r="BP706" s="469">
        <f>SUM(BP705:BP705)</f>
        <v>4734.1215999999995</v>
      </c>
      <c r="BQ706" s="469">
        <f>SUM(BQ705:BQ705)</f>
        <v>1107.1736000000001</v>
      </c>
      <c r="BR706" s="469">
        <f>SUM(BR705:BR705)</f>
        <v>9117.0019200000006</v>
      </c>
      <c r="BS706" s="469">
        <f>SUM(BS705:BS705)</f>
        <v>550.53252799999996</v>
      </c>
      <c r="BT706" s="469">
        <f>SUM(BT705:BT705)</f>
        <v>0</v>
      </c>
      <c r="BU706" s="469">
        <f>SUM(BU705:BU705)</f>
        <v>233.65180799999996</v>
      </c>
      <c r="BV706" s="469">
        <f>SUM(BV705:BV705)</f>
        <v>1343.87968</v>
      </c>
      <c r="BW706" s="469">
        <f>SUM(BW705:BW705)</f>
        <v>0</v>
      </c>
      <c r="BX706" s="469">
        <f>SUM(BX705:BX705)</f>
        <v>17086.361136</v>
      </c>
      <c r="BY706" s="469">
        <f>SUM(BY705:BY705)</f>
        <v>0</v>
      </c>
      <c r="BZ706" s="469">
        <f>SUM(BZ705:BZ705)</f>
        <v>0</v>
      </c>
      <c r="CA706" s="469">
        <f>SUM(CA705:CA705)</f>
        <v>0</v>
      </c>
      <c r="CB706" s="469">
        <f>SUM(CB705:CB705)</f>
        <v>0</v>
      </c>
      <c r="CC706" s="469">
        <f>SUM(CC705:CC705)</f>
        <v>0</v>
      </c>
      <c r="CD706" s="469">
        <f>SUM(CD705:CD705)</f>
        <v>0</v>
      </c>
      <c r="CE706" s="469">
        <f>SUM(CE705:CE705)</f>
        <v>0</v>
      </c>
      <c r="CF706" s="469">
        <f>SUM(CF705:CF705)</f>
        <v>-374.14832000000001</v>
      </c>
      <c r="CG706" s="469">
        <f>SUM(CG705:CG705)</f>
        <v>0</v>
      </c>
      <c r="CH706" s="469">
        <f>SUM(CH705:CH705)</f>
        <v>175.62064000000012</v>
      </c>
      <c r="CI706" s="469">
        <f>SUM(CI705:CI705)</f>
        <v>0</v>
      </c>
      <c r="CJ706" s="469">
        <f>SUM(CJ705:CJ705)</f>
        <v>-198.52767999999986</v>
      </c>
      <c r="CK706" s="469">
        <f>SUM(CK705:CK705)</f>
        <v>0</v>
      </c>
      <c r="CL706" s="469">
        <f>SUM(CL705:CL705)</f>
        <v>40107.97</v>
      </c>
      <c r="CM706" s="469">
        <f>SUM(CM705:CM705)</f>
        <v>8669.81</v>
      </c>
    </row>
    <row r="707" spans="43:91" ht="15" thickBot="1" x14ac:dyDescent="0.35">
      <c r="AR707" t="s">
        <v>1457</v>
      </c>
      <c r="AS707" s="462">
        <f>SUMIFS(AS2:AS698,G2:G698,"AGAB",E2:E698,"0001",F2:F698,"00",AT2:AT698,1)</f>
        <v>20.130000000000003</v>
      </c>
      <c r="AT707" s="462">
        <f>SUMIFS(AS2:AS698,G2:G698,"AGAB",E2:E698,"0001",F2:F698,"00",AT2:AT698,3)</f>
        <v>0</v>
      </c>
      <c r="AU707" s="462">
        <f>SUMIFS(AU2:AU698,G2:G698,"AGAB",E2:E698,"0001",F2:F698,"00")</f>
        <v>24.9</v>
      </c>
      <c r="AV707" s="462">
        <f>SUMIFS(AV2:AV698,G2:G698,"AGAB",E2:E698,"0001",F2:F698,"00")</f>
        <v>0</v>
      </c>
      <c r="AW707" s="462">
        <f>SUMIFS(AW2:AW698,G2:G698,"AGAB",E2:E698,"0001",F2:F698,"00")</f>
        <v>122</v>
      </c>
      <c r="AX707" s="462">
        <f>SUMIFS(AX2:AX698,G2:G698,"AGAB",E2:E698,"0001",F2:F698,"00")</f>
        <v>1410703.81</v>
      </c>
      <c r="AY707" s="462">
        <f>SUMIFS(AY2:AY698,G2:G698,"AGAB",E2:E698,"0001",F2:F698,"00")</f>
        <v>1135048.5000000002</v>
      </c>
      <c r="AZ707" s="462">
        <f>SUMIFS(AZ2:AZ698,G2:G698,"AGAB",E2:E698,"0001",F2:F698,"00")</f>
        <v>0</v>
      </c>
      <c r="BA707" s="462">
        <f>SUMIFS(BA2:BA698,G2:G698,"AGAB",E2:E698,"0001",F2:F698,"00")</f>
        <v>0</v>
      </c>
      <c r="BB707" s="462">
        <f>SUMIFS(BB2:BB698,G2:G698,"AGAB",E2:E698,"0001",F2:F698,"00")</f>
        <v>235679.5</v>
      </c>
      <c r="BC707" s="462">
        <f>SUMIFS(BC2:BC698,G2:G698,"AGAB",E2:E698,"0001",F2:F698,"00")</f>
        <v>0</v>
      </c>
      <c r="BD707" s="462">
        <f>SUMIFS(BD2:BD698,G2:G698,"AGAB",E2:E698,"0001",F2:F698,"00")</f>
        <v>70373.006999999998</v>
      </c>
      <c r="BE707" s="462">
        <f>SUMIFS(BE2:BE698,G2:G698,"AGAB",E2:E698,"0001",F2:F698,"00")</f>
        <v>16458.203250000006</v>
      </c>
      <c r="BF707" s="462">
        <f>SUMIFS(BF2:BF698,G2:G698,"AGAB",E2:E698,"0001",F2:F698,"00")</f>
        <v>135524.79090000002</v>
      </c>
      <c r="BG707" s="462">
        <f>SUMIFS(BG2:BG698,G2:G698,"AGAB",E2:E698,"0001",F2:F698,"00")</f>
        <v>8183.6996849999987</v>
      </c>
      <c r="BH707" s="462">
        <f>SUMIFS(BH2:BH698,G2:G698,"AGAB",E2:E698,"0001",F2:F698,"00")</f>
        <v>5561.73765</v>
      </c>
      <c r="BI707" s="462">
        <f>SUMIFS(BI2:BI698,G2:G698,"AGAB",E2:E698,"0001",F2:F698,"00")</f>
        <v>3152.1760739999995</v>
      </c>
      <c r="BJ707" s="462">
        <f>SUMIFS(BJ2:BJ698,G2:G698,"AGAB",E2:E698,"0001",F2:F698,"00")</f>
        <v>17366.242050000004</v>
      </c>
      <c r="BK707" s="462">
        <f>SUMIFS(BK2:BK698,G2:G698,"AGAB",E2:E698,"0001",F2:F698,"00")</f>
        <v>0</v>
      </c>
      <c r="BL707" s="462">
        <f>SUMIFS(BL2:BL698,G2:G698,"AGAB",E2:E698,"0001",F2:F698,"00")</f>
        <v>256619.85660899995</v>
      </c>
      <c r="BM707" s="462">
        <f>SUMIFS(BM2:BM698,G2:G698,"AGAB",E2:E698,"0001",F2:F698,"00")</f>
        <v>0</v>
      </c>
      <c r="BN707" s="462">
        <f>SUMIFS(BN2:BN698,G2:G698,"AGAB",E2:E698,"0001",F2:F698,"00")</f>
        <v>235679.5</v>
      </c>
      <c r="BO707" s="462">
        <f>SUMIFS(BO2:BO698,G2:G698,"AGAB",E2:E698,"0001",F2:F698,"00")</f>
        <v>0</v>
      </c>
      <c r="BP707" s="462">
        <f>SUMIFS(BP2:BP698,G2:G698,"AGAB",E2:E698,"0001",F2:F698,"00")</f>
        <v>70373.006999999998</v>
      </c>
      <c r="BQ707" s="462">
        <f>SUMIFS(BQ2:BQ698,G2:G698,"AGAB",E2:E698,"0001",F2:F698,"00")</f>
        <v>16458.203250000006</v>
      </c>
      <c r="BR707" s="462">
        <f>SUMIFS(BR2:BR698,G2:G698,"AGAB",E2:E698,"0001",F2:F698,"00")</f>
        <v>135524.79090000002</v>
      </c>
      <c r="BS707" s="462">
        <f>SUMIFS(BS2:BS698,G2:G698,"AGAB",E2:E698,"0001",F2:F698,"00")</f>
        <v>8183.6996849999987</v>
      </c>
      <c r="BT707" s="462">
        <f>SUMIFS(BT2:BT698,G2:G698,"AGAB",E2:E698,"0001",F2:F698,"00")</f>
        <v>0</v>
      </c>
      <c r="BU707" s="462">
        <f>SUMIFS(BU2:BU698,G2:G698,"AGAB",E2:E698,"0001",F2:F698,"00")</f>
        <v>3152.1760739999995</v>
      </c>
      <c r="BV707" s="462">
        <f>SUMIFS(BV2:BV698,G2:G698,"AGAB",E2:E698,"0001",F2:F698,"00")</f>
        <v>19976.853600000002</v>
      </c>
      <c r="BW707" s="462">
        <f>SUMIFS(BW2:BW698,G2:G698,"AGAB",E2:E698,"0001",F2:F698,"00")</f>
        <v>0</v>
      </c>
      <c r="BX707" s="462">
        <f>SUMIFS(BX2:BX698,G2:G698,"AGAB",E2:E698,"0001",F2:F698,"00")</f>
        <v>253668.73050899999</v>
      </c>
      <c r="BY707" s="462">
        <f>SUMIFS(BY2:BY698,G2:G698,"AGAB",E2:E698,"0001",F2:F698,"00")</f>
        <v>0</v>
      </c>
      <c r="BZ707" s="462">
        <f>SUMIFS(BZ2:BZ698,G2:G698,"AGAB",E2:E698,"0001",F2:F698,"00")</f>
        <v>0</v>
      </c>
      <c r="CA707" s="462">
        <f>SUMIFS(CA2:CA698,G2:G698,"AGAB",E2:E698,"0001",F2:F698,"00")</f>
        <v>0</v>
      </c>
      <c r="CB707" s="462">
        <f>SUMIFS(CB2:CB698,G2:G698,"AGAB",E2:E698,"0001",F2:F698,"00")</f>
        <v>0</v>
      </c>
      <c r="CC707" s="462">
        <f>SUMIFS(CC2:CC698,G2:G698,"AGAB",E2:E698,"0001",F2:F698,"00")</f>
        <v>0</v>
      </c>
      <c r="CD707" s="462">
        <f>SUMIFS(CD2:CD698,G2:G698,"AGAB",E2:E698,"0001",F2:F698,"00")</f>
        <v>0</v>
      </c>
      <c r="CE707" s="462">
        <f>SUMIFS(CE2:CE698,G2:G698,"AGAB",E2:E698,"0001",F2:F698,"00")</f>
        <v>0</v>
      </c>
      <c r="CF707" s="462">
        <f>SUMIFS(CF2:CF698,G2:G698,"AGAB",E2:E698,"0001",F2:F698,"00")</f>
        <v>-5561.73765</v>
      </c>
      <c r="CG707" s="462">
        <f>SUMIFS(CG2:CG698,G2:G698,"AGAB",E2:E698,"0001",F2:F698,"00")</f>
        <v>0</v>
      </c>
      <c r="CH707" s="462">
        <f>SUMIFS(CH2:CH698,G2:G698,"AGAB",E2:E698,"0001",F2:F698,"00")</f>
        <v>2610.6115500000019</v>
      </c>
      <c r="CI707" s="462">
        <f>SUMIFS(CI2:CI698,G2:G698,"AGAB",E2:E698,"0001",F2:F698,"00")</f>
        <v>0</v>
      </c>
      <c r="CJ707" s="462">
        <f>SUMIFS(CJ2:CJ698,G2:G698,"AGAB",E2:E698,"0001",F2:F698,"00")</f>
        <v>-2951.1260999999977</v>
      </c>
      <c r="CK707" s="462">
        <f>SUMIFS(CK2:CK698,G2:G698,"AGAB",E2:E698,"0001",F2:F698,"00")</f>
        <v>0</v>
      </c>
      <c r="CL707" s="462">
        <f>SUMIFS(CL2:CL698,G2:G698,"AGAB",E2:E698,"0001",F2:F698,"00")</f>
        <v>2865.95</v>
      </c>
      <c r="CM707" s="462">
        <f>SUMIFS(CM2:CM698,G2:G698,"AGAB",E2:E698,"0001",F2:F698,"00")</f>
        <v>337.59999999999997</v>
      </c>
    </row>
    <row r="708" spans="43:91" ht="18" x14ac:dyDescent="0.35">
      <c r="AQ708" s="468" t="s">
        <v>1458</v>
      </c>
      <c r="AS708" s="469">
        <f>SUM(AS707:AS707)</f>
        <v>20.130000000000003</v>
      </c>
      <c r="AT708" s="469">
        <f>SUM(AT707:AT707)</f>
        <v>0</v>
      </c>
      <c r="AU708" s="469">
        <f>SUM(AU707:AU707)</f>
        <v>24.9</v>
      </c>
      <c r="AV708" s="469">
        <f>SUM(AV707:AV707)</f>
        <v>0</v>
      </c>
      <c r="AW708" s="469">
        <f>SUM(AW707:AW707)</f>
        <v>122</v>
      </c>
      <c r="AX708" s="469">
        <f>SUM(AX707:AX707)</f>
        <v>1410703.81</v>
      </c>
      <c r="AY708" s="469">
        <f>SUM(AY707:AY707)</f>
        <v>1135048.5000000002</v>
      </c>
      <c r="AZ708" s="469">
        <f>SUM(AZ707:AZ707)</f>
        <v>0</v>
      </c>
      <c r="BA708" s="469">
        <f>SUM(BA707:BA707)</f>
        <v>0</v>
      </c>
      <c r="BB708" s="469">
        <f>SUM(BB707:BB707)</f>
        <v>235679.5</v>
      </c>
      <c r="BC708" s="469">
        <f>SUM(BC707:BC707)</f>
        <v>0</v>
      </c>
      <c r="BD708" s="469">
        <f>SUM(BD707:BD707)</f>
        <v>70373.006999999998</v>
      </c>
      <c r="BE708" s="469">
        <f>SUM(BE707:BE707)</f>
        <v>16458.203250000006</v>
      </c>
      <c r="BF708" s="469">
        <f>SUM(BF707:BF707)</f>
        <v>135524.79090000002</v>
      </c>
      <c r="BG708" s="469">
        <f>SUM(BG707:BG707)</f>
        <v>8183.6996849999987</v>
      </c>
      <c r="BH708" s="469">
        <f>SUM(BH707:BH707)</f>
        <v>5561.73765</v>
      </c>
      <c r="BI708" s="469">
        <f>SUM(BI707:BI707)</f>
        <v>3152.1760739999995</v>
      </c>
      <c r="BJ708" s="469">
        <f>SUM(BJ707:BJ707)</f>
        <v>17366.242050000004</v>
      </c>
      <c r="BK708" s="469">
        <f>SUM(BK707:BK707)</f>
        <v>0</v>
      </c>
      <c r="BL708" s="469">
        <f>SUM(BL707:BL707)</f>
        <v>256619.85660899995</v>
      </c>
      <c r="BM708" s="469">
        <f>SUM(BM707:BM707)</f>
        <v>0</v>
      </c>
      <c r="BN708" s="469">
        <f>SUM(BN707:BN707)</f>
        <v>235679.5</v>
      </c>
      <c r="BO708" s="469">
        <f>SUM(BO707:BO707)</f>
        <v>0</v>
      </c>
      <c r="BP708" s="469">
        <f>SUM(BP707:BP707)</f>
        <v>70373.006999999998</v>
      </c>
      <c r="BQ708" s="469">
        <f>SUM(BQ707:BQ707)</f>
        <v>16458.203250000006</v>
      </c>
      <c r="BR708" s="469">
        <f>SUM(BR707:BR707)</f>
        <v>135524.79090000002</v>
      </c>
      <c r="BS708" s="469">
        <f>SUM(BS707:BS707)</f>
        <v>8183.6996849999987</v>
      </c>
      <c r="BT708" s="469">
        <f>SUM(BT707:BT707)</f>
        <v>0</v>
      </c>
      <c r="BU708" s="469">
        <f>SUM(BU707:BU707)</f>
        <v>3152.1760739999995</v>
      </c>
      <c r="BV708" s="469">
        <f>SUM(BV707:BV707)</f>
        <v>19976.853600000002</v>
      </c>
      <c r="BW708" s="469">
        <f>SUM(BW707:BW707)</f>
        <v>0</v>
      </c>
      <c r="BX708" s="469">
        <f>SUM(BX707:BX707)</f>
        <v>253668.73050899999</v>
      </c>
      <c r="BY708" s="469">
        <f>SUM(BY707:BY707)</f>
        <v>0</v>
      </c>
      <c r="BZ708" s="469">
        <f>SUM(BZ707:BZ707)</f>
        <v>0</v>
      </c>
      <c r="CA708" s="469">
        <f>SUM(CA707:CA707)</f>
        <v>0</v>
      </c>
      <c r="CB708" s="469">
        <f>SUM(CB707:CB707)</f>
        <v>0</v>
      </c>
      <c r="CC708" s="469">
        <f>SUM(CC707:CC707)</f>
        <v>0</v>
      </c>
      <c r="CD708" s="469">
        <f>SUM(CD707:CD707)</f>
        <v>0</v>
      </c>
      <c r="CE708" s="469">
        <f>SUM(CE707:CE707)</f>
        <v>0</v>
      </c>
      <c r="CF708" s="469">
        <f>SUM(CF707:CF707)</f>
        <v>-5561.73765</v>
      </c>
      <c r="CG708" s="469">
        <f>SUM(CG707:CG707)</f>
        <v>0</v>
      </c>
      <c r="CH708" s="469">
        <f>SUM(CH707:CH707)</f>
        <v>2610.6115500000019</v>
      </c>
      <c r="CI708" s="469">
        <f>SUM(CI707:CI707)</f>
        <v>0</v>
      </c>
      <c r="CJ708" s="469">
        <f>SUM(CJ707:CJ707)</f>
        <v>-2951.1260999999977</v>
      </c>
      <c r="CK708" s="469">
        <f>SUM(CK707:CK707)</f>
        <v>0</v>
      </c>
      <c r="CL708" s="469">
        <f>SUM(CL707:CL707)</f>
        <v>2865.95</v>
      </c>
      <c r="CM708" s="469">
        <f>SUM(CM707:CM707)</f>
        <v>337.59999999999997</v>
      </c>
    </row>
    <row r="709" spans="43:91" ht="15" thickBot="1" x14ac:dyDescent="0.35">
      <c r="AR709" t="s">
        <v>1461</v>
      </c>
      <c r="AS709" s="462">
        <f>SUMIFS(AS2:AS698,G2:G698,"AGAB",E2:E698,"0332",F2:F698,"06",AT2:AT698,1)</f>
        <v>12.1325</v>
      </c>
      <c r="AT709" s="462">
        <f>SUMIFS(AS2:AS698,G2:G698,"AGAB",E2:E698,"0332",F2:F698,"06",AT2:AT698,3)</f>
        <v>0</v>
      </c>
      <c r="AU709" s="462">
        <f>SUMIFS(AU2:AU698,G2:G698,"AGAB",E2:E698,"0332",F2:F698,"06")</f>
        <v>19.8125</v>
      </c>
      <c r="AV709" s="462">
        <f>SUMIFS(AV2:AV698,G2:G698,"AGAB",E2:E698,"0332",F2:F698,"06")</f>
        <v>0</v>
      </c>
      <c r="AW709" s="462">
        <f>SUMIFS(AW2:AW698,G2:G698,"AGAB",E2:E698,"0332",F2:F698,"06")</f>
        <v>108</v>
      </c>
      <c r="AX709" s="462">
        <f>SUMIFS(AX2:AX698,G2:G698,"AGAB",E2:E698,"0332",F2:F698,"06")</f>
        <v>1187513.5699999998</v>
      </c>
      <c r="AY709" s="462">
        <f>SUMIFS(AY2:AY698,G2:G698,"AGAB",E2:E698,"0332",F2:F698,"06")</f>
        <v>661767.79</v>
      </c>
      <c r="AZ709" s="462">
        <f>SUMIFS(AZ2:AZ698,G2:G698,"AGAB",E2:E698,"0332",F2:F698,"06")</f>
        <v>0</v>
      </c>
      <c r="BA709" s="462">
        <f>SUMIFS(BA2:BA698,G2:G698,"AGAB",E2:E698,"0332",F2:F698,"06")</f>
        <v>0</v>
      </c>
      <c r="BB709" s="462">
        <f>SUMIFS(BB2:BB698,G2:G698,"AGAB",E2:E698,"0332",F2:F698,"06")</f>
        <v>143528</v>
      </c>
      <c r="BC709" s="462">
        <f>SUMIFS(BC2:BC698,G2:G698,"AGAB",E2:E698,"0332",F2:F698,"06")</f>
        <v>0</v>
      </c>
      <c r="BD709" s="462">
        <f>SUMIFS(BD2:BD698,G2:G698,"AGAB",E2:E698,"0332",F2:F698,"06")</f>
        <v>41029.602979999989</v>
      </c>
      <c r="BE709" s="462">
        <f>SUMIFS(BE2:BE698,G2:G698,"AGAB",E2:E698,"0332",F2:F698,"06")</f>
        <v>9595.6329550000009</v>
      </c>
      <c r="BF709" s="462">
        <f>SUMIFS(BF2:BF698,G2:G698,"AGAB",E2:E698,"0332",F2:F698,"06")</f>
        <v>79015.074125999992</v>
      </c>
      <c r="BG709" s="462">
        <f>SUMIFS(BG2:BG698,G2:G698,"AGAB",E2:E698,"0332",F2:F698,"06")</f>
        <v>4771.3457658999996</v>
      </c>
      <c r="BH709" s="462">
        <f>SUMIFS(BH2:BH698,G2:G698,"AGAB",E2:E698,"0332",F2:F698,"06")</f>
        <v>3242.6621709999999</v>
      </c>
      <c r="BI709" s="462">
        <f>SUMIFS(BI2:BI698,G2:G698,"AGAB",E2:E698,"0332",F2:F698,"06")</f>
        <v>1989.3347334</v>
      </c>
      <c r="BJ709" s="462">
        <f>SUMIFS(BJ2:BJ698,G2:G698,"AGAB",E2:E698,"0332",F2:F698,"06")</f>
        <v>10125.047186999998</v>
      </c>
      <c r="BK709" s="462">
        <f>SUMIFS(BK2:BK698,G2:G698,"AGAB",E2:E698,"0332",F2:F698,"06")</f>
        <v>0</v>
      </c>
      <c r="BL709" s="462">
        <f>SUMIFS(BL2:BL698,G2:G698,"AGAB",E2:E698,"0332",F2:F698,"06")</f>
        <v>149768.69991829997</v>
      </c>
      <c r="BM709" s="462">
        <f>SUMIFS(BM2:BM698,G2:G698,"AGAB",E2:E698,"0332",F2:F698,"06")</f>
        <v>0</v>
      </c>
      <c r="BN709" s="462">
        <f>SUMIFS(BN2:BN698,G2:G698,"AGAB",E2:E698,"0332",F2:F698,"06")</f>
        <v>143528</v>
      </c>
      <c r="BO709" s="462">
        <f>SUMIFS(BO2:BO698,G2:G698,"AGAB",E2:E698,"0332",F2:F698,"06")</f>
        <v>0</v>
      </c>
      <c r="BP709" s="462">
        <f>SUMIFS(BP2:BP698,G2:G698,"AGAB",E2:E698,"0332",F2:F698,"06")</f>
        <v>41029.602979999989</v>
      </c>
      <c r="BQ709" s="462">
        <f>SUMIFS(BQ2:BQ698,G2:G698,"AGAB",E2:E698,"0332",F2:F698,"06")</f>
        <v>9595.6329550000009</v>
      </c>
      <c r="BR709" s="462">
        <f>SUMIFS(BR2:BR698,G2:G698,"AGAB",E2:E698,"0332",F2:F698,"06")</f>
        <v>79015.074125999992</v>
      </c>
      <c r="BS709" s="462">
        <f>SUMIFS(BS2:BS698,G2:G698,"AGAB",E2:E698,"0332",F2:F698,"06")</f>
        <v>4771.3457658999996</v>
      </c>
      <c r="BT709" s="462">
        <f>SUMIFS(BT2:BT698,G2:G698,"AGAB",E2:E698,"0332",F2:F698,"06")</f>
        <v>0</v>
      </c>
      <c r="BU709" s="462">
        <f>SUMIFS(BU2:BU698,G2:G698,"AGAB",E2:E698,"0332",F2:F698,"06")</f>
        <v>1989.3347334</v>
      </c>
      <c r="BV709" s="462">
        <f>SUMIFS(BV2:BV698,G2:G698,"AGAB",E2:E698,"0332",F2:F698,"06")</f>
        <v>11647.113103999998</v>
      </c>
      <c r="BW709" s="462">
        <f>SUMIFS(BW2:BW698,G2:G698,"AGAB",E2:E698,"0332",F2:F698,"06")</f>
        <v>0</v>
      </c>
      <c r="BX709" s="462">
        <f>SUMIFS(BX2:BX698,G2:G698,"AGAB",E2:E698,"0332",F2:F698,"06")</f>
        <v>148048.1036643</v>
      </c>
      <c r="BY709" s="462">
        <f>SUMIFS(BY2:BY698,G2:G698,"AGAB",E2:E698,"0332",F2:F698,"06")</f>
        <v>0</v>
      </c>
      <c r="BZ709" s="462">
        <f>SUMIFS(BZ2:BZ698,G2:G698,"AGAB",E2:E698,"0332",F2:F698,"06")</f>
        <v>0</v>
      </c>
      <c r="CA709" s="462">
        <f>SUMIFS(CA2:CA698,G2:G698,"AGAB",E2:E698,"0332",F2:F698,"06")</f>
        <v>0</v>
      </c>
      <c r="CB709" s="462">
        <f>SUMIFS(CB2:CB698,G2:G698,"AGAB",E2:E698,"0332",F2:F698,"06")</f>
        <v>0</v>
      </c>
      <c r="CC709" s="462">
        <f>SUMIFS(CC2:CC698,G2:G698,"AGAB",E2:E698,"0332",F2:F698,"06")</f>
        <v>0</v>
      </c>
      <c r="CD709" s="462">
        <f>SUMIFS(CD2:CD698,G2:G698,"AGAB",E2:E698,"0332",F2:F698,"06")</f>
        <v>0</v>
      </c>
      <c r="CE709" s="462">
        <f>SUMIFS(CE2:CE698,G2:G698,"AGAB",E2:E698,"0332",F2:F698,"06")</f>
        <v>0</v>
      </c>
      <c r="CF709" s="462">
        <f>SUMIFS(CF2:CF698,G2:G698,"AGAB",E2:E698,"0332",F2:F698,"06")</f>
        <v>-3242.6621709999999</v>
      </c>
      <c r="CG709" s="462">
        <f>SUMIFS(CG2:CG698,G2:G698,"AGAB",E2:E698,"0332",F2:F698,"06")</f>
        <v>0</v>
      </c>
      <c r="CH709" s="462">
        <f>SUMIFS(CH2:CH698,G2:G698,"AGAB",E2:E698,"0332",F2:F698,"06")</f>
        <v>1522.0659170000013</v>
      </c>
      <c r="CI709" s="462">
        <f>SUMIFS(CI2:CI698,G2:G698,"AGAB",E2:E698,"0332",F2:F698,"06")</f>
        <v>0</v>
      </c>
      <c r="CJ709" s="462">
        <f>SUMIFS(CJ2:CJ698,G2:G698,"AGAB",E2:E698,"0332",F2:F698,"06")</f>
        <v>-1720.5962539999985</v>
      </c>
      <c r="CK709" s="462">
        <f>SUMIFS(CK2:CK698,G2:G698,"AGAB",E2:E698,"0332",F2:F698,"06")</f>
        <v>0</v>
      </c>
      <c r="CL709" s="462">
        <f>SUMIFS(CL2:CL698,G2:G698,"AGAB",E2:E698,"0332",F2:F698,"06")</f>
        <v>0</v>
      </c>
      <c r="CM709" s="462">
        <f>SUMIFS(CM2:CM698,G2:G698,"AGAB",E2:E698,"0332",F2:F698,"06")</f>
        <v>0</v>
      </c>
    </row>
    <row r="710" spans="43:91" ht="18" x14ac:dyDescent="0.35">
      <c r="AQ710" s="468" t="s">
        <v>1462</v>
      </c>
      <c r="AS710" s="469">
        <f>SUM(AS709:AS709)</f>
        <v>12.1325</v>
      </c>
      <c r="AT710" s="469">
        <f>SUM(AT709:AT709)</f>
        <v>0</v>
      </c>
      <c r="AU710" s="469">
        <f>SUM(AU709:AU709)</f>
        <v>19.8125</v>
      </c>
      <c r="AV710" s="469">
        <f>SUM(AV709:AV709)</f>
        <v>0</v>
      </c>
      <c r="AW710" s="469">
        <f>SUM(AW709:AW709)</f>
        <v>108</v>
      </c>
      <c r="AX710" s="469">
        <f>SUM(AX709:AX709)</f>
        <v>1187513.5699999998</v>
      </c>
      <c r="AY710" s="469">
        <f>SUM(AY709:AY709)</f>
        <v>661767.79</v>
      </c>
      <c r="AZ710" s="469">
        <f>SUM(AZ709:AZ709)</f>
        <v>0</v>
      </c>
      <c r="BA710" s="469">
        <f>SUM(BA709:BA709)</f>
        <v>0</v>
      </c>
      <c r="BB710" s="469">
        <f>SUM(BB709:BB709)</f>
        <v>143528</v>
      </c>
      <c r="BC710" s="469">
        <f>SUM(BC709:BC709)</f>
        <v>0</v>
      </c>
      <c r="BD710" s="469">
        <f>SUM(BD709:BD709)</f>
        <v>41029.602979999989</v>
      </c>
      <c r="BE710" s="469">
        <f>SUM(BE709:BE709)</f>
        <v>9595.6329550000009</v>
      </c>
      <c r="BF710" s="469">
        <f>SUM(BF709:BF709)</f>
        <v>79015.074125999992</v>
      </c>
      <c r="BG710" s="469">
        <f>SUM(BG709:BG709)</f>
        <v>4771.3457658999996</v>
      </c>
      <c r="BH710" s="469">
        <f>SUM(BH709:BH709)</f>
        <v>3242.6621709999999</v>
      </c>
      <c r="BI710" s="469">
        <f>SUM(BI709:BI709)</f>
        <v>1989.3347334</v>
      </c>
      <c r="BJ710" s="469">
        <f>SUM(BJ709:BJ709)</f>
        <v>10125.047186999998</v>
      </c>
      <c r="BK710" s="469">
        <f>SUM(BK709:BK709)</f>
        <v>0</v>
      </c>
      <c r="BL710" s="469">
        <f>SUM(BL709:BL709)</f>
        <v>149768.69991829997</v>
      </c>
      <c r="BM710" s="469">
        <f>SUM(BM709:BM709)</f>
        <v>0</v>
      </c>
      <c r="BN710" s="469">
        <f>SUM(BN709:BN709)</f>
        <v>143528</v>
      </c>
      <c r="BO710" s="469">
        <f>SUM(BO709:BO709)</f>
        <v>0</v>
      </c>
      <c r="BP710" s="469">
        <f>SUM(BP709:BP709)</f>
        <v>41029.602979999989</v>
      </c>
      <c r="BQ710" s="469">
        <f>SUM(BQ709:BQ709)</f>
        <v>9595.6329550000009</v>
      </c>
      <c r="BR710" s="469">
        <f>SUM(BR709:BR709)</f>
        <v>79015.074125999992</v>
      </c>
      <c r="BS710" s="469">
        <f>SUM(BS709:BS709)</f>
        <v>4771.3457658999996</v>
      </c>
      <c r="BT710" s="469">
        <f>SUM(BT709:BT709)</f>
        <v>0</v>
      </c>
      <c r="BU710" s="469">
        <f>SUM(BU709:BU709)</f>
        <v>1989.3347334</v>
      </c>
      <c r="BV710" s="469">
        <f>SUM(BV709:BV709)</f>
        <v>11647.113103999998</v>
      </c>
      <c r="BW710" s="469">
        <f>SUM(BW709:BW709)</f>
        <v>0</v>
      </c>
      <c r="BX710" s="469">
        <f>SUM(BX709:BX709)</f>
        <v>148048.1036643</v>
      </c>
      <c r="BY710" s="469">
        <f>SUM(BY709:BY709)</f>
        <v>0</v>
      </c>
      <c r="BZ710" s="469">
        <f>SUM(BZ709:BZ709)</f>
        <v>0</v>
      </c>
      <c r="CA710" s="469">
        <f>SUM(CA709:CA709)</f>
        <v>0</v>
      </c>
      <c r="CB710" s="469">
        <f>SUM(CB709:CB709)</f>
        <v>0</v>
      </c>
      <c r="CC710" s="469">
        <f>SUM(CC709:CC709)</f>
        <v>0</v>
      </c>
      <c r="CD710" s="469">
        <f>SUM(CD709:CD709)</f>
        <v>0</v>
      </c>
      <c r="CE710" s="469">
        <f>SUM(CE709:CE709)</f>
        <v>0</v>
      </c>
      <c r="CF710" s="469">
        <f>SUM(CF709:CF709)</f>
        <v>-3242.6621709999999</v>
      </c>
      <c r="CG710" s="469">
        <f>SUM(CG709:CG709)</f>
        <v>0</v>
      </c>
      <c r="CH710" s="469">
        <f>SUM(CH709:CH709)</f>
        <v>1522.0659170000013</v>
      </c>
      <c r="CI710" s="469">
        <f>SUM(CI709:CI709)</f>
        <v>0</v>
      </c>
      <c r="CJ710" s="469">
        <f>SUM(CJ709:CJ709)</f>
        <v>-1720.5962539999985</v>
      </c>
      <c r="CK710" s="469">
        <f>SUM(CK709:CK709)</f>
        <v>0</v>
      </c>
      <c r="CL710" s="469">
        <f>SUM(CL709:CL709)</f>
        <v>0</v>
      </c>
      <c r="CM710" s="469">
        <f>SUM(CM709:CM709)</f>
        <v>0</v>
      </c>
    </row>
    <row r="711" spans="43:91" ht="15" thickBot="1" x14ac:dyDescent="0.35">
      <c r="AR711" t="s">
        <v>1467</v>
      </c>
      <c r="AS711" s="462">
        <f>SUMIFS(AS2:AS698,G2:G698,"AGAB",E2:E698,"0332",F2:F698,"07",AT2:AT698,1)</f>
        <v>20.399999999999999</v>
      </c>
      <c r="AT711" s="462">
        <f>SUMIFS(AS2:AS698,G2:G698,"AGAB",E2:E698,"0332",F2:F698,"07",AT2:AT698,3)</f>
        <v>0</v>
      </c>
      <c r="AU711" s="462">
        <f>SUMIFS(AU2:AU698,G2:G698,"AGAB",E2:E698,"0332",F2:F698,"07")</f>
        <v>23</v>
      </c>
      <c r="AV711" s="462">
        <f>SUMIFS(AV2:AV698,G2:G698,"AGAB",E2:E698,"0332",F2:F698,"07")</f>
        <v>0</v>
      </c>
      <c r="AW711" s="462">
        <f>SUMIFS(AW2:AW698,G2:G698,"AGAB",E2:E698,"0332",F2:F698,"07")</f>
        <v>79</v>
      </c>
      <c r="AX711" s="462">
        <f>SUMIFS(AX2:AX698,G2:G698,"AGAB",E2:E698,"0332",F2:F698,"07")</f>
        <v>1209603.2</v>
      </c>
      <c r="AY711" s="462">
        <f>SUMIFS(AY2:AY698,G2:G698,"AGAB",E2:E698,"0332",F2:F698,"07")</f>
        <v>1072878.5599999998</v>
      </c>
      <c r="AZ711" s="462">
        <f>SUMIFS(AZ2:AZ698,G2:G698,"AGAB",E2:E698,"0332",F2:F698,"07")</f>
        <v>0</v>
      </c>
      <c r="BA711" s="462">
        <f>SUMIFS(BA2:BA698,G2:G698,"AGAB",E2:E698,"0332",F2:F698,"07")</f>
        <v>0</v>
      </c>
      <c r="BB711" s="462">
        <f>SUMIFS(BB2:BB698,G2:G698,"AGAB",E2:E698,"0332",F2:F698,"07")</f>
        <v>237660</v>
      </c>
      <c r="BC711" s="462">
        <f>SUMIFS(BC2:BC698,G2:G698,"AGAB",E2:E698,"0332",F2:F698,"07")</f>
        <v>0</v>
      </c>
      <c r="BD711" s="462">
        <f>SUMIFS(BD2:BD698,G2:G698,"AGAB",E2:E698,"0332",F2:F698,"07")</f>
        <v>66518.470719999983</v>
      </c>
      <c r="BE711" s="462">
        <f>SUMIFS(BE2:BE698,G2:G698,"AGAB",E2:E698,"0332",F2:F698,"07")</f>
        <v>15556.739120000004</v>
      </c>
      <c r="BF711" s="462">
        <f>SUMIFS(BF2:BF698,G2:G698,"AGAB",E2:E698,"0332",F2:F698,"07")</f>
        <v>128101.700064</v>
      </c>
      <c r="BG711" s="462">
        <f>SUMIFS(BG2:BG698,G2:G698,"AGAB",E2:E698,"0332",F2:F698,"07")</f>
        <v>7735.454417599999</v>
      </c>
      <c r="BH711" s="462">
        <f>SUMIFS(BH2:BH698,G2:G698,"AGAB",E2:E698,"0332",F2:F698,"07")</f>
        <v>5257.1049440000015</v>
      </c>
      <c r="BI711" s="462">
        <f>SUMIFS(BI2:BI698,G2:G698,"AGAB",E2:E698,"0332",F2:F698,"07")</f>
        <v>3283.0083936000001</v>
      </c>
      <c r="BJ711" s="462">
        <f>SUMIFS(BJ2:BJ698,G2:G698,"AGAB",E2:E698,"0332",F2:F698,"07")</f>
        <v>16415.041968000001</v>
      </c>
      <c r="BK711" s="462">
        <f>SUMIFS(BK2:BK698,G2:G698,"AGAB",E2:E698,"0332",F2:F698,"07")</f>
        <v>0</v>
      </c>
      <c r="BL711" s="462">
        <f>SUMIFS(BL2:BL698,G2:G698,"AGAB",E2:E698,"0332",F2:F698,"07")</f>
        <v>242867.51962719997</v>
      </c>
      <c r="BM711" s="462">
        <f>SUMIFS(BM2:BM698,G2:G698,"AGAB",E2:E698,"0332",F2:F698,"07")</f>
        <v>0</v>
      </c>
      <c r="BN711" s="462">
        <f>SUMIFS(BN2:BN698,G2:G698,"AGAB",E2:E698,"0332",F2:F698,"07")</f>
        <v>237660</v>
      </c>
      <c r="BO711" s="462">
        <f>SUMIFS(BO2:BO698,G2:G698,"AGAB",E2:E698,"0332",F2:F698,"07")</f>
        <v>0</v>
      </c>
      <c r="BP711" s="462">
        <f>SUMIFS(BP2:BP698,G2:G698,"AGAB",E2:E698,"0332",F2:F698,"07")</f>
        <v>66518.470719999983</v>
      </c>
      <c r="BQ711" s="462">
        <f>SUMIFS(BQ2:BQ698,G2:G698,"AGAB",E2:E698,"0332",F2:F698,"07")</f>
        <v>15556.739120000004</v>
      </c>
      <c r="BR711" s="462">
        <f>SUMIFS(BR2:BR698,G2:G698,"AGAB",E2:E698,"0332",F2:F698,"07")</f>
        <v>128101.700064</v>
      </c>
      <c r="BS711" s="462">
        <f>SUMIFS(BS2:BS698,G2:G698,"AGAB",E2:E698,"0332",F2:F698,"07")</f>
        <v>7735.454417599999</v>
      </c>
      <c r="BT711" s="462">
        <f>SUMIFS(BT2:BT698,G2:G698,"AGAB",E2:E698,"0332",F2:F698,"07")</f>
        <v>0</v>
      </c>
      <c r="BU711" s="462">
        <f>SUMIFS(BU2:BU698,G2:G698,"AGAB",E2:E698,"0332",F2:F698,"07")</f>
        <v>3283.0083936000001</v>
      </c>
      <c r="BV711" s="462">
        <f>SUMIFS(BV2:BV698,G2:G698,"AGAB",E2:E698,"0332",F2:F698,"07")</f>
        <v>18882.662656</v>
      </c>
      <c r="BW711" s="462">
        <f>SUMIFS(BW2:BW698,G2:G698,"AGAB",E2:E698,"0332",F2:F698,"07")</f>
        <v>0</v>
      </c>
      <c r="BX711" s="462">
        <f>SUMIFS(BX2:BX698,G2:G698,"AGAB",E2:E698,"0332",F2:F698,"07")</f>
        <v>240078.03537119998</v>
      </c>
      <c r="BY711" s="462">
        <f>SUMIFS(BY2:BY698,G2:G698,"AGAB",E2:E698,"0332",F2:F698,"07")</f>
        <v>0</v>
      </c>
      <c r="BZ711" s="462">
        <f>SUMIFS(BZ2:BZ698,G2:G698,"AGAB",E2:E698,"0332",F2:F698,"07")</f>
        <v>0</v>
      </c>
      <c r="CA711" s="462">
        <f>SUMIFS(CA2:CA698,G2:G698,"AGAB",E2:E698,"0332",F2:F698,"07")</f>
        <v>0</v>
      </c>
      <c r="CB711" s="462">
        <f>SUMIFS(CB2:CB698,G2:G698,"AGAB",E2:E698,"0332",F2:F698,"07")</f>
        <v>0</v>
      </c>
      <c r="CC711" s="462">
        <f>SUMIFS(CC2:CC698,G2:G698,"AGAB",E2:E698,"0332",F2:F698,"07")</f>
        <v>0</v>
      </c>
      <c r="CD711" s="462">
        <f>SUMIFS(CD2:CD698,G2:G698,"AGAB",E2:E698,"0332",F2:F698,"07")</f>
        <v>0</v>
      </c>
      <c r="CE711" s="462">
        <f>SUMIFS(CE2:CE698,G2:G698,"AGAB",E2:E698,"0332",F2:F698,"07")</f>
        <v>0</v>
      </c>
      <c r="CF711" s="462">
        <f>SUMIFS(CF2:CF698,G2:G698,"AGAB",E2:E698,"0332",F2:F698,"07")</f>
        <v>-5257.1049440000015</v>
      </c>
      <c r="CG711" s="462">
        <f>SUMIFS(CG2:CG698,G2:G698,"AGAB",E2:E698,"0332",F2:F698,"07")</f>
        <v>0</v>
      </c>
      <c r="CH711" s="462">
        <f>SUMIFS(CH2:CH698,G2:G698,"AGAB",E2:E698,"0332",F2:F698,"07")</f>
        <v>2467.6206880000018</v>
      </c>
      <c r="CI711" s="462">
        <f>SUMIFS(CI2:CI698,G2:G698,"AGAB",E2:E698,"0332",F2:F698,"07")</f>
        <v>0</v>
      </c>
      <c r="CJ711" s="462">
        <f>SUMIFS(CJ2:CJ698,G2:G698,"AGAB",E2:E698,"0332",F2:F698,"07")</f>
        <v>-2789.4842559999975</v>
      </c>
      <c r="CK711" s="462">
        <f>SUMIFS(CK2:CK698,G2:G698,"AGAB",E2:E698,"0332",F2:F698,"07")</f>
        <v>0</v>
      </c>
      <c r="CL711" s="462">
        <f>SUMIFS(CL2:CL698,G2:G698,"AGAB",E2:E698,"0332",F2:F698,"07")</f>
        <v>8376</v>
      </c>
      <c r="CM711" s="462">
        <f>SUMIFS(CM2:CM698,G2:G698,"AGAB",E2:E698,"0332",F2:F698,"07")</f>
        <v>1154.31</v>
      </c>
    </row>
    <row r="712" spans="43:91" ht="18" x14ac:dyDescent="0.35">
      <c r="AQ712" s="468" t="s">
        <v>1462</v>
      </c>
      <c r="AS712" s="469">
        <f>SUM(AS711:AS711)</f>
        <v>20.399999999999999</v>
      </c>
      <c r="AT712" s="469">
        <f>SUM(AT711:AT711)</f>
        <v>0</v>
      </c>
      <c r="AU712" s="469">
        <f>SUM(AU711:AU711)</f>
        <v>23</v>
      </c>
      <c r="AV712" s="469">
        <f>SUM(AV711:AV711)</f>
        <v>0</v>
      </c>
      <c r="AW712" s="469">
        <f>SUM(AW711:AW711)</f>
        <v>79</v>
      </c>
      <c r="AX712" s="469">
        <f>SUM(AX711:AX711)</f>
        <v>1209603.2</v>
      </c>
      <c r="AY712" s="469">
        <f>SUM(AY711:AY711)</f>
        <v>1072878.5599999998</v>
      </c>
      <c r="AZ712" s="469">
        <f>SUM(AZ711:AZ711)</f>
        <v>0</v>
      </c>
      <c r="BA712" s="469">
        <f>SUM(BA711:BA711)</f>
        <v>0</v>
      </c>
      <c r="BB712" s="469">
        <f>SUM(BB711:BB711)</f>
        <v>237660</v>
      </c>
      <c r="BC712" s="469">
        <f>SUM(BC711:BC711)</f>
        <v>0</v>
      </c>
      <c r="BD712" s="469">
        <f>SUM(BD711:BD711)</f>
        <v>66518.470719999983</v>
      </c>
      <c r="BE712" s="469">
        <f>SUM(BE711:BE711)</f>
        <v>15556.739120000004</v>
      </c>
      <c r="BF712" s="469">
        <f>SUM(BF711:BF711)</f>
        <v>128101.700064</v>
      </c>
      <c r="BG712" s="469">
        <f>SUM(BG711:BG711)</f>
        <v>7735.454417599999</v>
      </c>
      <c r="BH712" s="469">
        <f>SUM(BH711:BH711)</f>
        <v>5257.1049440000015</v>
      </c>
      <c r="BI712" s="469">
        <f>SUM(BI711:BI711)</f>
        <v>3283.0083936000001</v>
      </c>
      <c r="BJ712" s="469">
        <f>SUM(BJ711:BJ711)</f>
        <v>16415.041968000001</v>
      </c>
      <c r="BK712" s="469">
        <f>SUM(BK711:BK711)</f>
        <v>0</v>
      </c>
      <c r="BL712" s="469">
        <f>SUM(BL711:BL711)</f>
        <v>242867.51962719997</v>
      </c>
      <c r="BM712" s="469">
        <f>SUM(BM711:BM711)</f>
        <v>0</v>
      </c>
      <c r="BN712" s="469">
        <f>SUM(BN711:BN711)</f>
        <v>237660</v>
      </c>
      <c r="BO712" s="469">
        <f>SUM(BO711:BO711)</f>
        <v>0</v>
      </c>
      <c r="BP712" s="469">
        <f>SUM(BP711:BP711)</f>
        <v>66518.470719999983</v>
      </c>
      <c r="BQ712" s="469">
        <f>SUM(BQ711:BQ711)</f>
        <v>15556.739120000004</v>
      </c>
      <c r="BR712" s="469">
        <f>SUM(BR711:BR711)</f>
        <v>128101.700064</v>
      </c>
      <c r="BS712" s="469">
        <f>SUM(BS711:BS711)</f>
        <v>7735.454417599999</v>
      </c>
      <c r="BT712" s="469">
        <f>SUM(BT711:BT711)</f>
        <v>0</v>
      </c>
      <c r="BU712" s="469">
        <f>SUM(BU711:BU711)</f>
        <v>3283.0083936000001</v>
      </c>
      <c r="BV712" s="469">
        <f>SUM(BV711:BV711)</f>
        <v>18882.662656</v>
      </c>
      <c r="BW712" s="469">
        <f>SUM(BW711:BW711)</f>
        <v>0</v>
      </c>
      <c r="BX712" s="469">
        <f>SUM(BX711:BX711)</f>
        <v>240078.03537119998</v>
      </c>
      <c r="BY712" s="469">
        <f>SUM(BY711:BY711)</f>
        <v>0</v>
      </c>
      <c r="BZ712" s="469">
        <f>SUM(BZ711:BZ711)</f>
        <v>0</v>
      </c>
      <c r="CA712" s="469">
        <f>SUM(CA711:CA711)</f>
        <v>0</v>
      </c>
      <c r="CB712" s="469">
        <f>SUM(CB711:CB711)</f>
        <v>0</v>
      </c>
      <c r="CC712" s="469">
        <f>SUM(CC711:CC711)</f>
        <v>0</v>
      </c>
      <c r="CD712" s="469">
        <f>SUM(CD711:CD711)</f>
        <v>0</v>
      </c>
      <c r="CE712" s="469">
        <f>SUM(CE711:CE711)</f>
        <v>0</v>
      </c>
      <c r="CF712" s="469">
        <f>SUM(CF711:CF711)</f>
        <v>-5257.1049440000015</v>
      </c>
      <c r="CG712" s="469">
        <f>SUM(CG711:CG711)</f>
        <v>0</v>
      </c>
      <c r="CH712" s="469">
        <f>SUM(CH711:CH711)</f>
        <v>2467.6206880000018</v>
      </c>
      <c r="CI712" s="469">
        <f>SUM(CI711:CI711)</f>
        <v>0</v>
      </c>
      <c r="CJ712" s="469">
        <f>SUM(CJ711:CJ711)</f>
        <v>-2789.4842559999975</v>
      </c>
      <c r="CK712" s="469">
        <f>SUM(CK711:CK711)</f>
        <v>0</v>
      </c>
      <c r="CL712" s="469">
        <f>SUM(CL711:CL711)</f>
        <v>8376</v>
      </c>
      <c r="CM712" s="469">
        <f>SUM(CM711:CM711)</f>
        <v>1154.31</v>
      </c>
    </row>
    <row r="713" spans="43:91" ht="15" thickBot="1" x14ac:dyDescent="0.35">
      <c r="AR713" t="s">
        <v>1472</v>
      </c>
      <c r="AS713" s="462">
        <f>SUMIFS(AS2:AS698,G2:G698,"AGAB",E2:E698,"0332",F2:F698,"09",AT2:AT698,1)</f>
        <v>0.2</v>
      </c>
      <c r="AT713" s="462">
        <f>SUMIFS(AS2:AS698,G2:G698,"AGAB",E2:E698,"0332",F2:F698,"09",AT2:AT698,3)</f>
        <v>0</v>
      </c>
      <c r="AU713" s="462">
        <f>SUMIFS(AU2:AU698,G2:G698,"AGAB",E2:E698,"0332",F2:F698,"09")</f>
        <v>1</v>
      </c>
      <c r="AV713" s="462">
        <f>SUMIFS(AV2:AV698,G2:G698,"AGAB",E2:E698,"0332",F2:F698,"09")</f>
        <v>0</v>
      </c>
      <c r="AW713" s="462">
        <f>SUMIFS(AW2:AW698,G2:G698,"AGAB",E2:E698,"0332",F2:F698,"09")</f>
        <v>28</v>
      </c>
      <c r="AX713" s="462">
        <f>SUMIFS(AX2:AX698,G2:G698,"AGAB",E2:E698,"0332",F2:F698,"09")</f>
        <v>51667.200000000004</v>
      </c>
      <c r="AY713" s="462">
        <f>SUMIFS(AY2:AY698,G2:G698,"AGAB",E2:E698,"0332",F2:F698,"09")</f>
        <v>10333.44</v>
      </c>
      <c r="AZ713" s="462">
        <f>SUMIFS(AZ2:AZ698,G2:G698,"AGAB",E2:E698,"0332",F2:F698,"09")</f>
        <v>0</v>
      </c>
      <c r="BA713" s="462">
        <f>SUMIFS(BA2:BA698,G2:G698,"AGAB",E2:E698,"0332",F2:F698,"09")</f>
        <v>0</v>
      </c>
      <c r="BB713" s="462">
        <f>SUMIFS(BB2:BB698,G2:G698,"AGAB",E2:E698,"0332",F2:F698,"09")</f>
        <v>2330</v>
      </c>
      <c r="BC713" s="462">
        <f>SUMIFS(BC2:BC698,G2:G698,"AGAB",E2:E698,"0332",F2:F698,"09")</f>
        <v>0</v>
      </c>
      <c r="BD713" s="462">
        <f>SUMIFS(BD2:BD698,G2:G698,"AGAB",E2:E698,"0332",F2:F698,"09")</f>
        <v>640.67327999999998</v>
      </c>
      <c r="BE713" s="462">
        <f>SUMIFS(BE2:BE698,G2:G698,"AGAB",E2:E698,"0332",F2:F698,"09")</f>
        <v>149.83488000000003</v>
      </c>
      <c r="BF713" s="462">
        <f>SUMIFS(BF2:BF698,G2:G698,"AGAB",E2:E698,"0332",F2:F698,"09")</f>
        <v>1233.8127360000001</v>
      </c>
      <c r="BG713" s="462">
        <f>SUMIFS(BG2:BG698,G2:G698,"AGAB",E2:E698,"0332",F2:F698,"09")</f>
        <v>74.504102400000008</v>
      </c>
      <c r="BH713" s="462">
        <f>SUMIFS(BH2:BH698,G2:G698,"AGAB",E2:E698,"0332",F2:F698,"09")</f>
        <v>50.633856000000002</v>
      </c>
      <c r="BI713" s="462">
        <f>SUMIFS(BI2:BI698,G2:G698,"AGAB",E2:E698,"0332",F2:F698,"09")</f>
        <v>31.6203264</v>
      </c>
      <c r="BJ713" s="462">
        <f>SUMIFS(BJ2:BJ698,G2:G698,"AGAB",E2:E698,"0332",F2:F698,"09")</f>
        <v>158.101632</v>
      </c>
      <c r="BK713" s="462">
        <f>SUMIFS(BK2:BK698,G2:G698,"AGAB",E2:E698,"0332",F2:F698,"09")</f>
        <v>0</v>
      </c>
      <c r="BL713" s="462">
        <f>SUMIFS(BL2:BL698,G2:G698,"AGAB",E2:E698,"0332",F2:F698,"09")</f>
        <v>2339.1808128000002</v>
      </c>
      <c r="BM713" s="462">
        <f>SUMIFS(BM2:BM698,G2:G698,"AGAB",E2:E698,"0332",F2:F698,"09")</f>
        <v>0</v>
      </c>
      <c r="BN713" s="462">
        <f>SUMIFS(BN2:BN698,G2:G698,"AGAB",E2:E698,"0332",F2:F698,"09")</f>
        <v>2330</v>
      </c>
      <c r="BO713" s="462">
        <f>SUMIFS(BO2:BO698,G2:G698,"AGAB",E2:E698,"0332",F2:F698,"09")</f>
        <v>0</v>
      </c>
      <c r="BP713" s="462">
        <f>SUMIFS(BP2:BP698,G2:G698,"AGAB",E2:E698,"0332",F2:F698,"09")</f>
        <v>640.67327999999998</v>
      </c>
      <c r="BQ713" s="462">
        <f>SUMIFS(BQ2:BQ698,G2:G698,"AGAB",E2:E698,"0332",F2:F698,"09")</f>
        <v>149.83488000000003</v>
      </c>
      <c r="BR713" s="462">
        <f>SUMIFS(BR2:BR698,G2:G698,"AGAB",E2:E698,"0332",F2:F698,"09")</f>
        <v>1233.8127360000001</v>
      </c>
      <c r="BS713" s="462">
        <f>SUMIFS(BS2:BS698,G2:G698,"AGAB",E2:E698,"0332",F2:F698,"09")</f>
        <v>74.504102400000008</v>
      </c>
      <c r="BT713" s="462">
        <f>SUMIFS(BT2:BT698,G2:G698,"AGAB",E2:E698,"0332",F2:F698,"09")</f>
        <v>0</v>
      </c>
      <c r="BU713" s="462">
        <f>SUMIFS(BU2:BU698,G2:G698,"AGAB",E2:E698,"0332",F2:F698,"09")</f>
        <v>31.6203264</v>
      </c>
      <c r="BV713" s="462">
        <f>SUMIFS(BV2:BV698,G2:G698,"AGAB",E2:E698,"0332",F2:F698,"09")</f>
        <v>181.86854400000001</v>
      </c>
      <c r="BW713" s="462">
        <f>SUMIFS(BW2:BW698,G2:G698,"AGAB",E2:E698,"0332",F2:F698,"09")</f>
        <v>0</v>
      </c>
      <c r="BX713" s="462">
        <f>SUMIFS(BX2:BX698,G2:G698,"AGAB",E2:E698,"0332",F2:F698,"09")</f>
        <v>2312.3138688000004</v>
      </c>
      <c r="BY713" s="462">
        <f>SUMIFS(BY2:BY698,G2:G698,"AGAB",E2:E698,"0332",F2:F698,"09")</f>
        <v>0</v>
      </c>
      <c r="BZ713" s="462">
        <f>SUMIFS(BZ2:BZ698,G2:G698,"AGAB",E2:E698,"0332",F2:F698,"09")</f>
        <v>0</v>
      </c>
      <c r="CA713" s="462">
        <f>SUMIFS(CA2:CA698,G2:G698,"AGAB",E2:E698,"0332",F2:F698,"09")</f>
        <v>0</v>
      </c>
      <c r="CB713" s="462">
        <f>SUMIFS(CB2:CB698,G2:G698,"AGAB",E2:E698,"0332",F2:F698,"09")</f>
        <v>0</v>
      </c>
      <c r="CC713" s="462">
        <f>SUMIFS(CC2:CC698,G2:G698,"AGAB",E2:E698,"0332",F2:F698,"09")</f>
        <v>0</v>
      </c>
      <c r="CD713" s="462">
        <f>SUMIFS(CD2:CD698,G2:G698,"AGAB",E2:E698,"0332",F2:F698,"09")</f>
        <v>0</v>
      </c>
      <c r="CE713" s="462">
        <f>SUMIFS(CE2:CE698,G2:G698,"AGAB",E2:E698,"0332",F2:F698,"09")</f>
        <v>0</v>
      </c>
      <c r="CF713" s="462">
        <f>SUMIFS(CF2:CF698,G2:G698,"AGAB",E2:E698,"0332",F2:F698,"09")</f>
        <v>-50.633856000000002</v>
      </c>
      <c r="CG713" s="462">
        <f>SUMIFS(CG2:CG698,G2:G698,"AGAB",E2:E698,"0332",F2:F698,"09")</f>
        <v>0</v>
      </c>
      <c r="CH713" s="462">
        <f>SUMIFS(CH2:CH698,G2:G698,"AGAB",E2:E698,"0332",F2:F698,"09")</f>
        <v>23.766912000000019</v>
      </c>
      <c r="CI713" s="462">
        <f>SUMIFS(CI2:CI698,G2:G698,"AGAB",E2:E698,"0332",F2:F698,"09")</f>
        <v>0</v>
      </c>
      <c r="CJ713" s="462">
        <f>SUMIFS(CJ2:CJ698,G2:G698,"AGAB",E2:E698,"0332",F2:F698,"09")</f>
        <v>-26.866943999999982</v>
      </c>
      <c r="CK713" s="462">
        <f>SUMIFS(CK2:CK698,G2:G698,"AGAB",E2:E698,"0332",F2:F698,"09")</f>
        <v>0</v>
      </c>
      <c r="CL713" s="462">
        <f>SUMIFS(CL2:CL698,G2:G698,"AGAB",E2:E698,"0332",F2:F698,"09")</f>
        <v>699.37</v>
      </c>
      <c r="CM713" s="462">
        <f>SUMIFS(CM2:CM698,G2:G698,"AGAB",E2:E698,"0332",F2:F698,"09")</f>
        <v>459.88</v>
      </c>
    </row>
    <row r="714" spans="43:91" ht="18" x14ac:dyDescent="0.35">
      <c r="AQ714" s="468" t="s">
        <v>1462</v>
      </c>
      <c r="AS714" s="469">
        <f>SUM(AS713:AS713)</f>
        <v>0.2</v>
      </c>
      <c r="AT714" s="469">
        <f>SUM(AT713:AT713)</f>
        <v>0</v>
      </c>
      <c r="AU714" s="469">
        <f>SUM(AU713:AU713)</f>
        <v>1</v>
      </c>
      <c r="AV714" s="469">
        <f>SUM(AV713:AV713)</f>
        <v>0</v>
      </c>
      <c r="AW714" s="469">
        <f>SUM(AW713:AW713)</f>
        <v>28</v>
      </c>
      <c r="AX714" s="469">
        <f>SUM(AX713:AX713)</f>
        <v>51667.200000000004</v>
      </c>
      <c r="AY714" s="469">
        <f>SUM(AY713:AY713)</f>
        <v>10333.44</v>
      </c>
      <c r="AZ714" s="469">
        <f>SUM(AZ713:AZ713)</f>
        <v>0</v>
      </c>
      <c r="BA714" s="469">
        <f>SUM(BA713:BA713)</f>
        <v>0</v>
      </c>
      <c r="BB714" s="469">
        <f>SUM(BB713:BB713)</f>
        <v>2330</v>
      </c>
      <c r="BC714" s="469">
        <f>SUM(BC713:BC713)</f>
        <v>0</v>
      </c>
      <c r="BD714" s="469">
        <f>SUM(BD713:BD713)</f>
        <v>640.67327999999998</v>
      </c>
      <c r="BE714" s="469">
        <f>SUM(BE713:BE713)</f>
        <v>149.83488000000003</v>
      </c>
      <c r="BF714" s="469">
        <f>SUM(BF713:BF713)</f>
        <v>1233.8127360000001</v>
      </c>
      <c r="BG714" s="469">
        <f>SUM(BG713:BG713)</f>
        <v>74.504102400000008</v>
      </c>
      <c r="BH714" s="469">
        <f>SUM(BH713:BH713)</f>
        <v>50.633856000000002</v>
      </c>
      <c r="BI714" s="469">
        <f>SUM(BI713:BI713)</f>
        <v>31.6203264</v>
      </c>
      <c r="BJ714" s="469">
        <f>SUM(BJ713:BJ713)</f>
        <v>158.101632</v>
      </c>
      <c r="BK714" s="469">
        <f>SUM(BK713:BK713)</f>
        <v>0</v>
      </c>
      <c r="BL714" s="469">
        <f>SUM(BL713:BL713)</f>
        <v>2339.1808128000002</v>
      </c>
      <c r="BM714" s="469">
        <f>SUM(BM713:BM713)</f>
        <v>0</v>
      </c>
      <c r="BN714" s="469">
        <f>SUM(BN713:BN713)</f>
        <v>2330</v>
      </c>
      <c r="BO714" s="469">
        <f>SUM(BO713:BO713)</f>
        <v>0</v>
      </c>
      <c r="BP714" s="469">
        <f>SUM(BP713:BP713)</f>
        <v>640.67327999999998</v>
      </c>
      <c r="BQ714" s="469">
        <f>SUM(BQ713:BQ713)</f>
        <v>149.83488000000003</v>
      </c>
      <c r="BR714" s="469">
        <f>SUM(BR713:BR713)</f>
        <v>1233.8127360000001</v>
      </c>
      <c r="BS714" s="469">
        <f>SUM(BS713:BS713)</f>
        <v>74.504102400000008</v>
      </c>
      <c r="BT714" s="469">
        <f>SUM(BT713:BT713)</f>
        <v>0</v>
      </c>
      <c r="BU714" s="469">
        <f>SUM(BU713:BU713)</f>
        <v>31.6203264</v>
      </c>
      <c r="BV714" s="469">
        <f>SUM(BV713:BV713)</f>
        <v>181.86854400000001</v>
      </c>
      <c r="BW714" s="469">
        <f>SUM(BW713:BW713)</f>
        <v>0</v>
      </c>
      <c r="BX714" s="469">
        <f>SUM(BX713:BX713)</f>
        <v>2312.3138688000004</v>
      </c>
      <c r="BY714" s="469">
        <f>SUM(BY713:BY713)</f>
        <v>0</v>
      </c>
      <c r="BZ714" s="469">
        <f>SUM(BZ713:BZ713)</f>
        <v>0</v>
      </c>
      <c r="CA714" s="469">
        <f>SUM(CA713:CA713)</f>
        <v>0</v>
      </c>
      <c r="CB714" s="469">
        <f>SUM(CB713:CB713)</f>
        <v>0</v>
      </c>
      <c r="CC714" s="469">
        <f>SUM(CC713:CC713)</f>
        <v>0</v>
      </c>
      <c r="CD714" s="469">
        <f>SUM(CD713:CD713)</f>
        <v>0</v>
      </c>
      <c r="CE714" s="469">
        <f>SUM(CE713:CE713)</f>
        <v>0</v>
      </c>
      <c r="CF714" s="469">
        <f>SUM(CF713:CF713)</f>
        <v>-50.633856000000002</v>
      </c>
      <c r="CG714" s="469">
        <f>SUM(CG713:CG713)</f>
        <v>0</v>
      </c>
      <c r="CH714" s="469">
        <f>SUM(CH713:CH713)</f>
        <v>23.766912000000019</v>
      </c>
      <c r="CI714" s="469">
        <f>SUM(CI713:CI713)</f>
        <v>0</v>
      </c>
      <c r="CJ714" s="469">
        <f>SUM(CJ713:CJ713)</f>
        <v>-26.866943999999982</v>
      </c>
      <c r="CK714" s="469">
        <f>SUM(CK713:CK713)</f>
        <v>0</v>
      </c>
      <c r="CL714" s="469">
        <f>SUM(CL713:CL713)</f>
        <v>699.37</v>
      </c>
      <c r="CM714" s="469">
        <f>SUM(CM713:CM713)</f>
        <v>459.88</v>
      </c>
    </row>
    <row r="715" spans="43:91" ht="15" thickBot="1" x14ac:dyDescent="0.35">
      <c r="AR715" t="s">
        <v>1477</v>
      </c>
      <c r="AS715" s="462">
        <f>SUMIFS(AS2:AS698,G2:G698,"AGAC",E2:E698,"0001",F2:F698,"00",AT2:AT698,1)</f>
        <v>1</v>
      </c>
      <c r="AT715" s="462">
        <f>SUMIFS(AS2:AS698,G2:G698,"AGAC",E2:E698,"0001",F2:F698,"00",AT2:AT698,3)</f>
        <v>0</v>
      </c>
      <c r="AU715" s="462">
        <f>SUMIFS(AU2:AU698,G2:G698,"AGAC",E2:E698,"0001",F2:F698,"00")</f>
        <v>1</v>
      </c>
      <c r="AV715" s="462">
        <f>SUMIFS(AV2:AV698,G2:G698,"AGAC",E2:E698,"0001",F2:F698,"00")</f>
        <v>0</v>
      </c>
      <c r="AW715" s="462">
        <f>SUMIFS(AW2:AW698,G2:G698,"AGAC",E2:E698,"0001",F2:F698,"00")</f>
        <v>2</v>
      </c>
      <c r="AX715" s="462">
        <f>SUMIFS(AX2:AX698,G2:G698,"AGAC",E2:E698,"0001",F2:F698,"00")</f>
        <v>100609.60000000001</v>
      </c>
      <c r="AY715" s="462">
        <f>SUMIFS(AY2:AY698,G2:G698,"AGAC",E2:E698,"0001",F2:F698,"00")</f>
        <v>100609.60000000001</v>
      </c>
      <c r="AZ715" s="462">
        <f>SUMIFS(AZ2:AZ698,G2:G698,"AGAC",E2:E698,"0001",F2:F698,"00")</f>
        <v>0</v>
      </c>
      <c r="BA715" s="462">
        <f>SUMIFS(BA2:BA698,G2:G698,"AGAC",E2:E698,"0001",F2:F698,"00")</f>
        <v>0</v>
      </c>
      <c r="BB715" s="462">
        <f>SUMIFS(BB2:BB698,G2:G698,"AGAC",E2:E698,"0001",F2:F698,"00")</f>
        <v>11650</v>
      </c>
      <c r="BC715" s="462">
        <f>SUMIFS(BC2:BC698,G2:G698,"AGAC",E2:E698,"0001",F2:F698,"00")</f>
        <v>0</v>
      </c>
      <c r="BD715" s="462">
        <f>SUMIFS(BD2:BD698,G2:G698,"AGAC",E2:E698,"0001",F2:F698,"00")</f>
        <v>6237.7952000000005</v>
      </c>
      <c r="BE715" s="462">
        <f>SUMIFS(BE2:BE698,G2:G698,"AGAC",E2:E698,"0001",F2:F698,"00")</f>
        <v>1458.8392000000001</v>
      </c>
      <c r="BF715" s="462">
        <f>SUMIFS(BF2:BF698,G2:G698,"AGAC",E2:E698,"0001",F2:F698,"00")</f>
        <v>12012.786240000001</v>
      </c>
      <c r="BG715" s="462">
        <f>SUMIFS(BG2:BG698,G2:G698,"AGAC",E2:E698,"0001",F2:F698,"00")</f>
        <v>725.39521600000012</v>
      </c>
      <c r="BH715" s="462">
        <f>SUMIFS(BH2:BH698,G2:G698,"AGAC",E2:E698,"0001",F2:F698,"00")</f>
        <v>492.98704000000004</v>
      </c>
      <c r="BI715" s="462">
        <f>SUMIFS(BI2:BI698,G2:G698,"AGAC",E2:E698,"0001",F2:F698,"00")</f>
        <v>0</v>
      </c>
      <c r="BJ715" s="462">
        <f>SUMIFS(BJ2:BJ698,G2:G698,"AGAC",E2:E698,"0001",F2:F698,"00")</f>
        <v>1539.3268800000001</v>
      </c>
      <c r="BK715" s="462">
        <f>SUMIFS(BK2:BK698,G2:G698,"AGAC",E2:E698,"0001",F2:F698,"00")</f>
        <v>0</v>
      </c>
      <c r="BL715" s="462">
        <f>SUMIFS(BL2:BL698,G2:G698,"AGAC",E2:E698,"0001",F2:F698,"00")</f>
        <v>22467.129776000005</v>
      </c>
      <c r="BM715" s="462">
        <f>SUMIFS(BM2:BM698,G2:G698,"AGAC",E2:E698,"0001",F2:F698,"00")</f>
        <v>0</v>
      </c>
      <c r="BN715" s="462">
        <f>SUMIFS(BN2:BN698,G2:G698,"AGAC",E2:E698,"0001",F2:F698,"00")</f>
        <v>11650</v>
      </c>
      <c r="BO715" s="462">
        <f>SUMIFS(BO2:BO698,G2:G698,"AGAC",E2:E698,"0001",F2:F698,"00")</f>
        <v>0</v>
      </c>
      <c r="BP715" s="462">
        <f>SUMIFS(BP2:BP698,G2:G698,"AGAC",E2:E698,"0001",F2:F698,"00")</f>
        <v>6237.7952000000005</v>
      </c>
      <c r="BQ715" s="462">
        <f>SUMIFS(BQ2:BQ698,G2:G698,"AGAC",E2:E698,"0001",F2:F698,"00")</f>
        <v>1458.8392000000001</v>
      </c>
      <c r="BR715" s="462">
        <f>SUMIFS(BR2:BR698,G2:G698,"AGAC",E2:E698,"0001",F2:F698,"00")</f>
        <v>12012.786240000001</v>
      </c>
      <c r="BS715" s="462">
        <f>SUMIFS(BS2:BS698,G2:G698,"AGAC",E2:E698,"0001",F2:F698,"00")</f>
        <v>725.39521600000012</v>
      </c>
      <c r="BT715" s="462">
        <f>SUMIFS(BT2:BT698,G2:G698,"AGAC",E2:E698,"0001",F2:F698,"00")</f>
        <v>0</v>
      </c>
      <c r="BU715" s="462">
        <f>SUMIFS(BU2:BU698,G2:G698,"AGAC",E2:E698,"0001",F2:F698,"00")</f>
        <v>0</v>
      </c>
      <c r="BV715" s="462">
        <f>SUMIFS(BV2:BV698,G2:G698,"AGAC",E2:E698,"0001",F2:F698,"00")</f>
        <v>1770.7289600000001</v>
      </c>
      <c r="BW715" s="462">
        <f>SUMIFS(BW2:BW698,G2:G698,"AGAC",E2:E698,"0001",F2:F698,"00")</f>
        <v>0</v>
      </c>
      <c r="BX715" s="462">
        <f>SUMIFS(BX2:BX698,G2:G698,"AGAC",E2:E698,"0001",F2:F698,"00")</f>
        <v>22205.544816000005</v>
      </c>
      <c r="BY715" s="462">
        <f>SUMIFS(BY2:BY698,G2:G698,"AGAC",E2:E698,"0001",F2:F698,"00")</f>
        <v>0</v>
      </c>
      <c r="BZ715" s="462">
        <f>SUMIFS(BZ2:BZ698,G2:G698,"AGAC",E2:E698,"0001",F2:F698,"00")</f>
        <v>0</v>
      </c>
      <c r="CA715" s="462">
        <f>SUMIFS(CA2:CA698,G2:G698,"AGAC",E2:E698,"0001",F2:F698,"00")</f>
        <v>0</v>
      </c>
      <c r="CB715" s="462">
        <f>SUMIFS(CB2:CB698,G2:G698,"AGAC",E2:E698,"0001",F2:F698,"00")</f>
        <v>0</v>
      </c>
      <c r="CC715" s="462">
        <f>SUMIFS(CC2:CC698,G2:G698,"AGAC",E2:E698,"0001",F2:F698,"00")</f>
        <v>0</v>
      </c>
      <c r="CD715" s="462">
        <f>SUMIFS(CD2:CD698,G2:G698,"AGAC",E2:E698,"0001",F2:F698,"00")</f>
        <v>0</v>
      </c>
      <c r="CE715" s="462">
        <f>SUMIFS(CE2:CE698,G2:G698,"AGAC",E2:E698,"0001",F2:F698,"00")</f>
        <v>0</v>
      </c>
      <c r="CF715" s="462">
        <f>SUMIFS(CF2:CF698,G2:G698,"AGAC",E2:E698,"0001",F2:F698,"00")</f>
        <v>-492.98704000000004</v>
      </c>
      <c r="CG715" s="462">
        <f>SUMIFS(CG2:CG698,G2:G698,"AGAC",E2:E698,"0001",F2:F698,"00")</f>
        <v>0</v>
      </c>
      <c r="CH715" s="462">
        <f>SUMIFS(CH2:CH698,G2:G698,"AGAC",E2:E698,"0001",F2:F698,"00")</f>
        <v>231.40208000000018</v>
      </c>
      <c r="CI715" s="462">
        <f>SUMIFS(CI2:CI698,G2:G698,"AGAC",E2:E698,"0001",F2:F698,"00")</f>
        <v>0</v>
      </c>
      <c r="CJ715" s="462">
        <f>SUMIFS(CJ2:CJ698,G2:G698,"AGAC",E2:E698,"0001",F2:F698,"00")</f>
        <v>-261.58495999999985</v>
      </c>
      <c r="CK715" s="462">
        <f>SUMIFS(CK2:CK698,G2:G698,"AGAC",E2:E698,"0001",F2:F698,"00")</f>
        <v>0</v>
      </c>
      <c r="CL715" s="462">
        <f>SUMIFS(CL2:CL698,G2:G698,"AGAC",E2:E698,"0001",F2:F698,"00")</f>
        <v>19.600000000000001</v>
      </c>
      <c r="CM715" s="462">
        <f>SUMIFS(CM2:CM698,G2:G698,"AGAC",E2:E698,"0001",F2:F698,"00")</f>
        <v>12.83</v>
      </c>
    </row>
    <row r="716" spans="43:91" ht="18" x14ac:dyDescent="0.35">
      <c r="AQ716" s="468" t="s">
        <v>1478</v>
      </c>
      <c r="AS716" s="469">
        <f>SUM(AS715:AS715)</f>
        <v>1</v>
      </c>
      <c r="AT716" s="469">
        <f>SUM(AT715:AT715)</f>
        <v>0</v>
      </c>
      <c r="AU716" s="469">
        <f>SUM(AU715:AU715)</f>
        <v>1</v>
      </c>
      <c r="AV716" s="469">
        <f>SUM(AV715:AV715)</f>
        <v>0</v>
      </c>
      <c r="AW716" s="469">
        <f>SUM(AW715:AW715)</f>
        <v>2</v>
      </c>
      <c r="AX716" s="469">
        <f>SUM(AX715:AX715)</f>
        <v>100609.60000000001</v>
      </c>
      <c r="AY716" s="469">
        <f>SUM(AY715:AY715)</f>
        <v>100609.60000000001</v>
      </c>
      <c r="AZ716" s="469">
        <f>SUM(AZ715:AZ715)</f>
        <v>0</v>
      </c>
      <c r="BA716" s="469">
        <f>SUM(BA715:BA715)</f>
        <v>0</v>
      </c>
      <c r="BB716" s="469">
        <f>SUM(BB715:BB715)</f>
        <v>11650</v>
      </c>
      <c r="BC716" s="469">
        <f>SUM(BC715:BC715)</f>
        <v>0</v>
      </c>
      <c r="BD716" s="469">
        <f>SUM(BD715:BD715)</f>
        <v>6237.7952000000005</v>
      </c>
      <c r="BE716" s="469">
        <f>SUM(BE715:BE715)</f>
        <v>1458.8392000000001</v>
      </c>
      <c r="BF716" s="469">
        <f>SUM(BF715:BF715)</f>
        <v>12012.786240000001</v>
      </c>
      <c r="BG716" s="469">
        <f>SUM(BG715:BG715)</f>
        <v>725.39521600000012</v>
      </c>
      <c r="BH716" s="469">
        <f>SUM(BH715:BH715)</f>
        <v>492.98704000000004</v>
      </c>
      <c r="BI716" s="469">
        <f>SUM(BI715:BI715)</f>
        <v>0</v>
      </c>
      <c r="BJ716" s="469">
        <f>SUM(BJ715:BJ715)</f>
        <v>1539.3268800000001</v>
      </c>
      <c r="BK716" s="469">
        <f>SUM(BK715:BK715)</f>
        <v>0</v>
      </c>
      <c r="BL716" s="469">
        <f>SUM(BL715:BL715)</f>
        <v>22467.129776000005</v>
      </c>
      <c r="BM716" s="469">
        <f>SUM(BM715:BM715)</f>
        <v>0</v>
      </c>
      <c r="BN716" s="469">
        <f>SUM(BN715:BN715)</f>
        <v>11650</v>
      </c>
      <c r="BO716" s="469">
        <f>SUM(BO715:BO715)</f>
        <v>0</v>
      </c>
      <c r="BP716" s="469">
        <f>SUM(BP715:BP715)</f>
        <v>6237.7952000000005</v>
      </c>
      <c r="BQ716" s="469">
        <f>SUM(BQ715:BQ715)</f>
        <v>1458.8392000000001</v>
      </c>
      <c r="BR716" s="469">
        <f>SUM(BR715:BR715)</f>
        <v>12012.786240000001</v>
      </c>
      <c r="BS716" s="469">
        <f>SUM(BS715:BS715)</f>
        <v>725.39521600000012</v>
      </c>
      <c r="BT716" s="469">
        <f>SUM(BT715:BT715)</f>
        <v>0</v>
      </c>
      <c r="BU716" s="469">
        <f>SUM(BU715:BU715)</f>
        <v>0</v>
      </c>
      <c r="BV716" s="469">
        <f>SUM(BV715:BV715)</f>
        <v>1770.7289600000001</v>
      </c>
      <c r="BW716" s="469">
        <f>SUM(BW715:BW715)</f>
        <v>0</v>
      </c>
      <c r="BX716" s="469">
        <f>SUM(BX715:BX715)</f>
        <v>22205.544816000005</v>
      </c>
      <c r="BY716" s="469">
        <f>SUM(BY715:BY715)</f>
        <v>0</v>
      </c>
      <c r="BZ716" s="469">
        <f>SUM(BZ715:BZ715)</f>
        <v>0</v>
      </c>
      <c r="CA716" s="469">
        <f>SUM(CA715:CA715)</f>
        <v>0</v>
      </c>
      <c r="CB716" s="469">
        <f>SUM(CB715:CB715)</f>
        <v>0</v>
      </c>
      <c r="CC716" s="469">
        <f>SUM(CC715:CC715)</f>
        <v>0</v>
      </c>
      <c r="CD716" s="469">
        <f>SUM(CD715:CD715)</f>
        <v>0</v>
      </c>
      <c r="CE716" s="469">
        <f>SUM(CE715:CE715)</f>
        <v>0</v>
      </c>
      <c r="CF716" s="469">
        <f>SUM(CF715:CF715)</f>
        <v>-492.98704000000004</v>
      </c>
      <c r="CG716" s="469">
        <f>SUM(CG715:CG715)</f>
        <v>0</v>
      </c>
      <c r="CH716" s="469">
        <f>SUM(CH715:CH715)</f>
        <v>231.40208000000018</v>
      </c>
      <c r="CI716" s="469">
        <f>SUM(CI715:CI715)</f>
        <v>0</v>
      </c>
      <c r="CJ716" s="469">
        <f>SUM(CJ715:CJ715)</f>
        <v>-261.58495999999985</v>
      </c>
      <c r="CK716" s="469">
        <f>SUM(CK715:CK715)</f>
        <v>0</v>
      </c>
      <c r="CL716" s="469">
        <f>SUM(CL715:CL715)</f>
        <v>19.600000000000001</v>
      </c>
      <c r="CM716" s="469">
        <f>SUM(CM715:CM715)</f>
        <v>12.83</v>
      </c>
    </row>
    <row r="717" spans="43:91" ht="15" thickBot="1" x14ac:dyDescent="0.35">
      <c r="AR717" t="s">
        <v>1481</v>
      </c>
      <c r="AS717" s="462">
        <f>SUMIFS(AS2:AS698,G2:G698,"AGAC",E2:E698,"0332",F2:F698,"05",AT2:AT698,1)</f>
        <v>23.6</v>
      </c>
      <c r="AT717" s="462">
        <f>SUMIFS(AS2:AS698,G2:G698,"AGAC",E2:E698,"0332",F2:F698,"05",AT2:AT698,3)</f>
        <v>0</v>
      </c>
      <c r="AU717" s="462">
        <f>SUMIFS(AU2:AU698,G2:G698,"AGAC",E2:E698,"0332",F2:F698,"05")</f>
        <v>26</v>
      </c>
      <c r="AV717" s="462">
        <f>SUMIFS(AV2:AV698,G2:G698,"AGAC",E2:E698,"0332",F2:F698,"05")</f>
        <v>0</v>
      </c>
      <c r="AW717" s="462">
        <f>SUMIFS(AW2:AW698,G2:G698,"AGAC",E2:E698,"0332",F2:F698,"05")</f>
        <v>63</v>
      </c>
      <c r="AX717" s="462">
        <f>SUMIFS(AX2:AX698,G2:G698,"AGAC",E2:E698,"0332",F2:F698,"05")</f>
        <v>1419600</v>
      </c>
      <c r="AY717" s="462">
        <f>SUMIFS(AY2:AY698,G2:G698,"AGAC",E2:E698,"0332",F2:F698,"05")</f>
        <v>1285984.96</v>
      </c>
      <c r="AZ717" s="462">
        <f>SUMIFS(AZ2:AZ698,G2:G698,"AGAC",E2:E698,"0332",F2:F698,"05")</f>
        <v>0</v>
      </c>
      <c r="BA717" s="462">
        <f>SUMIFS(BA2:BA698,G2:G698,"AGAC",E2:E698,"0332",F2:F698,"05")</f>
        <v>0</v>
      </c>
      <c r="BB717" s="462">
        <f>SUMIFS(BB2:BB698,G2:G698,"AGAC",E2:E698,"0332",F2:F698,"05")</f>
        <v>274940</v>
      </c>
      <c r="BC717" s="462">
        <f>SUMIFS(BC2:BC698,G2:G698,"AGAC",E2:E698,"0332",F2:F698,"05")</f>
        <v>0</v>
      </c>
      <c r="BD717" s="462">
        <f>SUMIFS(BD2:BD698,G2:G698,"AGAC",E2:E698,"0332",F2:F698,"05")</f>
        <v>79731.067520000026</v>
      </c>
      <c r="BE717" s="462">
        <f>SUMIFS(BE2:BE698,G2:G698,"AGAC",E2:E698,"0332",F2:F698,"05")</f>
        <v>18646.781919999998</v>
      </c>
      <c r="BF717" s="462">
        <f>SUMIFS(BF2:BF698,G2:G698,"AGAC",E2:E698,"0332",F2:F698,"05")</f>
        <v>153546.60422400004</v>
      </c>
      <c r="BG717" s="462">
        <f>SUMIFS(BG2:BG698,G2:G698,"AGAC",E2:E698,"0332",F2:F698,"05")</f>
        <v>9271.951561599999</v>
      </c>
      <c r="BH717" s="462">
        <f>SUMIFS(BH2:BH698,G2:G698,"AGAC",E2:E698,"0332",F2:F698,"05")</f>
        <v>6301.3263039999974</v>
      </c>
      <c r="BI717" s="462">
        <f>SUMIFS(BI2:BI698,G2:G698,"AGAC",E2:E698,"0332",F2:F698,"05")</f>
        <v>3935.1139776000005</v>
      </c>
      <c r="BJ717" s="462">
        <f>SUMIFS(BJ2:BJ698,G2:G698,"AGAC",E2:E698,"0332",F2:F698,"05")</f>
        <v>19675.569888000002</v>
      </c>
      <c r="BK717" s="462">
        <f>SUMIFS(BK2:BK698,G2:G698,"AGAC",E2:E698,"0332",F2:F698,"05")</f>
        <v>0</v>
      </c>
      <c r="BL717" s="462">
        <f>SUMIFS(BL2:BL698,G2:G698,"AGAC",E2:E698,"0332",F2:F698,"05")</f>
        <v>291108.41539519996</v>
      </c>
      <c r="BM717" s="462">
        <f>SUMIFS(BM2:BM698,G2:G698,"AGAC",E2:E698,"0332",F2:F698,"05")</f>
        <v>0</v>
      </c>
      <c r="BN717" s="462">
        <f>SUMIFS(BN2:BN698,G2:G698,"AGAC",E2:E698,"0332",F2:F698,"05")</f>
        <v>274940</v>
      </c>
      <c r="BO717" s="462">
        <f>SUMIFS(BO2:BO698,G2:G698,"AGAC",E2:E698,"0332",F2:F698,"05")</f>
        <v>0</v>
      </c>
      <c r="BP717" s="462">
        <f>SUMIFS(BP2:BP698,G2:G698,"AGAC",E2:E698,"0332",F2:F698,"05")</f>
        <v>79731.067520000026</v>
      </c>
      <c r="BQ717" s="462">
        <f>SUMIFS(BQ2:BQ698,G2:G698,"AGAC",E2:E698,"0332",F2:F698,"05")</f>
        <v>18646.781919999998</v>
      </c>
      <c r="BR717" s="462">
        <f>SUMIFS(BR2:BR698,G2:G698,"AGAC",E2:E698,"0332",F2:F698,"05")</f>
        <v>153546.60422400004</v>
      </c>
      <c r="BS717" s="462">
        <f>SUMIFS(BS2:BS698,G2:G698,"AGAC",E2:E698,"0332",F2:F698,"05")</f>
        <v>9271.951561599999</v>
      </c>
      <c r="BT717" s="462">
        <f>SUMIFS(BT2:BT698,G2:G698,"AGAC",E2:E698,"0332",F2:F698,"05")</f>
        <v>0</v>
      </c>
      <c r="BU717" s="462">
        <f>SUMIFS(BU2:BU698,G2:G698,"AGAC",E2:E698,"0332",F2:F698,"05")</f>
        <v>3935.1139776000005</v>
      </c>
      <c r="BV717" s="462">
        <f>SUMIFS(BV2:BV698,G2:G698,"AGAC",E2:E698,"0332",F2:F698,"05")</f>
        <v>22633.335296000001</v>
      </c>
      <c r="BW717" s="462">
        <f>SUMIFS(BW2:BW698,G2:G698,"AGAC",E2:E698,"0332",F2:F698,"05")</f>
        <v>0</v>
      </c>
      <c r="BX717" s="462">
        <f>SUMIFS(BX2:BX698,G2:G698,"AGAC",E2:E698,"0332",F2:F698,"05")</f>
        <v>287764.85449919995</v>
      </c>
      <c r="BY717" s="462">
        <f>SUMIFS(BY2:BY698,G2:G698,"AGAC",E2:E698,"0332",F2:F698,"05")</f>
        <v>0</v>
      </c>
      <c r="BZ717" s="462">
        <f>SUMIFS(BZ2:BZ698,G2:G698,"AGAC",E2:E698,"0332",F2:F698,"05")</f>
        <v>0</v>
      </c>
      <c r="CA717" s="462">
        <f>SUMIFS(CA2:CA698,G2:G698,"AGAC",E2:E698,"0332",F2:F698,"05")</f>
        <v>0</v>
      </c>
      <c r="CB717" s="462">
        <f>SUMIFS(CB2:CB698,G2:G698,"AGAC",E2:E698,"0332",F2:F698,"05")</f>
        <v>0</v>
      </c>
      <c r="CC717" s="462">
        <f>SUMIFS(CC2:CC698,G2:G698,"AGAC",E2:E698,"0332",F2:F698,"05")</f>
        <v>0</v>
      </c>
      <c r="CD717" s="462">
        <f>SUMIFS(CD2:CD698,G2:G698,"AGAC",E2:E698,"0332",F2:F698,"05")</f>
        <v>0</v>
      </c>
      <c r="CE717" s="462">
        <f>SUMIFS(CE2:CE698,G2:G698,"AGAC",E2:E698,"0332",F2:F698,"05")</f>
        <v>0</v>
      </c>
      <c r="CF717" s="462">
        <f>SUMIFS(CF2:CF698,G2:G698,"AGAC",E2:E698,"0332",F2:F698,"05")</f>
        <v>-6301.3263039999974</v>
      </c>
      <c r="CG717" s="462">
        <f>SUMIFS(CG2:CG698,G2:G698,"AGAC",E2:E698,"0332",F2:F698,"05")</f>
        <v>0</v>
      </c>
      <c r="CH717" s="462">
        <f>SUMIFS(CH2:CH698,G2:G698,"AGAC",E2:E698,"0332",F2:F698,"05")</f>
        <v>2957.7654080000011</v>
      </c>
      <c r="CI717" s="462">
        <f>SUMIFS(CI2:CI698,G2:G698,"AGAC",E2:E698,"0332",F2:F698,"05")</f>
        <v>0</v>
      </c>
      <c r="CJ717" s="462">
        <f>SUMIFS(CJ2:CJ698,G2:G698,"AGAC",E2:E698,"0332",F2:F698,"05")</f>
        <v>-3343.5608959999968</v>
      </c>
      <c r="CK717" s="462">
        <f>SUMIFS(CK2:CK698,G2:G698,"AGAC",E2:E698,"0332",F2:F698,"05")</f>
        <v>0</v>
      </c>
      <c r="CL717" s="462">
        <f>SUMIFS(CL2:CL698,G2:G698,"AGAC",E2:E698,"0332",F2:F698,"05")</f>
        <v>0</v>
      </c>
      <c r="CM717" s="462">
        <f>SUMIFS(CM2:CM698,G2:G698,"AGAC",E2:E698,"0332",F2:F698,"05")</f>
        <v>0</v>
      </c>
    </row>
    <row r="718" spans="43:91" ht="18" x14ac:dyDescent="0.35">
      <c r="AQ718" s="468" t="s">
        <v>1482</v>
      </c>
      <c r="AS718" s="469">
        <f>SUM(AS717:AS717)</f>
        <v>23.6</v>
      </c>
      <c r="AT718" s="469">
        <f>SUM(AT717:AT717)</f>
        <v>0</v>
      </c>
      <c r="AU718" s="469">
        <f>SUM(AU717:AU717)</f>
        <v>26</v>
      </c>
      <c r="AV718" s="469">
        <f>SUM(AV717:AV717)</f>
        <v>0</v>
      </c>
      <c r="AW718" s="469">
        <f>SUM(AW717:AW717)</f>
        <v>63</v>
      </c>
      <c r="AX718" s="469">
        <f>SUM(AX717:AX717)</f>
        <v>1419600</v>
      </c>
      <c r="AY718" s="469">
        <f>SUM(AY717:AY717)</f>
        <v>1285984.96</v>
      </c>
      <c r="AZ718" s="469">
        <f>SUM(AZ717:AZ717)</f>
        <v>0</v>
      </c>
      <c r="BA718" s="469">
        <f>SUM(BA717:BA717)</f>
        <v>0</v>
      </c>
      <c r="BB718" s="469">
        <f>SUM(BB717:BB717)</f>
        <v>274940</v>
      </c>
      <c r="BC718" s="469">
        <f>SUM(BC717:BC717)</f>
        <v>0</v>
      </c>
      <c r="BD718" s="469">
        <f>SUM(BD717:BD717)</f>
        <v>79731.067520000026</v>
      </c>
      <c r="BE718" s="469">
        <f>SUM(BE717:BE717)</f>
        <v>18646.781919999998</v>
      </c>
      <c r="BF718" s="469">
        <f>SUM(BF717:BF717)</f>
        <v>153546.60422400004</v>
      </c>
      <c r="BG718" s="469">
        <f>SUM(BG717:BG717)</f>
        <v>9271.951561599999</v>
      </c>
      <c r="BH718" s="469">
        <f>SUM(BH717:BH717)</f>
        <v>6301.3263039999974</v>
      </c>
      <c r="BI718" s="469">
        <f>SUM(BI717:BI717)</f>
        <v>3935.1139776000005</v>
      </c>
      <c r="BJ718" s="469">
        <f>SUM(BJ717:BJ717)</f>
        <v>19675.569888000002</v>
      </c>
      <c r="BK718" s="469">
        <f>SUM(BK717:BK717)</f>
        <v>0</v>
      </c>
      <c r="BL718" s="469">
        <f>SUM(BL717:BL717)</f>
        <v>291108.41539519996</v>
      </c>
      <c r="BM718" s="469">
        <f>SUM(BM717:BM717)</f>
        <v>0</v>
      </c>
      <c r="BN718" s="469">
        <f>SUM(BN717:BN717)</f>
        <v>274940</v>
      </c>
      <c r="BO718" s="469">
        <f>SUM(BO717:BO717)</f>
        <v>0</v>
      </c>
      <c r="BP718" s="469">
        <f>SUM(BP717:BP717)</f>
        <v>79731.067520000026</v>
      </c>
      <c r="BQ718" s="469">
        <f>SUM(BQ717:BQ717)</f>
        <v>18646.781919999998</v>
      </c>
      <c r="BR718" s="469">
        <f>SUM(BR717:BR717)</f>
        <v>153546.60422400004</v>
      </c>
      <c r="BS718" s="469">
        <f>SUM(BS717:BS717)</f>
        <v>9271.951561599999</v>
      </c>
      <c r="BT718" s="469">
        <f>SUM(BT717:BT717)</f>
        <v>0</v>
      </c>
      <c r="BU718" s="469">
        <f>SUM(BU717:BU717)</f>
        <v>3935.1139776000005</v>
      </c>
      <c r="BV718" s="469">
        <f>SUM(BV717:BV717)</f>
        <v>22633.335296000001</v>
      </c>
      <c r="BW718" s="469">
        <f>SUM(BW717:BW717)</f>
        <v>0</v>
      </c>
      <c r="BX718" s="469">
        <f>SUM(BX717:BX717)</f>
        <v>287764.85449919995</v>
      </c>
      <c r="BY718" s="469">
        <f>SUM(BY717:BY717)</f>
        <v>0</v>
      </c>
      <c r="BZ718" s="469">
        <f>SUM(BZ717:BZ717)</f>
        <v>0</v>
      </c>
      <c r="CA718" s="469">
        <f>SUM(CA717:CA717)</f>
        <v>0</v>
      </c>
      <c r="CB718" s="469">
        <f>SUM(CB717:CB717)</f>
        <v>0</v>
      </c>
      <c r="CC718" s="469">
        <f>SUM(CC717:CC717)</f>
        <v>0</v>
      </c>
      <c r="CD718" s="469">
        <f>SUM(CD717:CD717)</f>
        <v>0</v>
      </c>
      <c r="CE718" s="469">
        <f>SUM(CE717:CE717)</f>
        <v>0</v>
      </c>
      <c r="CF718" s="469">
        <f>SUM(CF717:CF717)</f>
        <v>-6301.3263039999974</v>
      </c>
      <c r="CG718" s="469">
        <f>SUM(CG717:CG717)</f>
        <v>0</v>
      </c>
      <c r="CH718" s="469">
        <f>SUM(CH717:CH717)</f>
        <v>2957.7654080000011</v>
      </c>
      <c r="CI718" s="469">
        <f>SUM(CI717:CI717)</f>
        <v>0</v>
      </c>
      <c r="CJ718" s="469">
        <f>SUM(CJ717:CJ717)</f>
        <v>-3343.5608959999968</v>
      </c>
      <c r="CK718" s="469">
        <f>SUM(CK717:CK717)</f>
        <v>0</v>
      </c>
      <c r="CL718" s="469">
        <f>SUM(CL717:CL717)</f>
        <v>0</v>
      </c>
      <c r="CM718" s="469">
        <f>SUM(CM717:CM717)</f>
        <v>0</v>
      </c>
    </row>
    <row r="719" spans="43:91" ht="15" thickBot="1" x14ac:dyDescent="0.35">
      <c r="AR719" t="s">
        <v>1487</v>
      </c>
      <c r="AS719" s="462">
        <f>SUMIFS(AS2:AS698,G2:G698,"AGAC",E2:E698,"0348",F2:F698,"00",AT2:AT698,1)</f>
        <v>0</v>
      </c>
      <c r="AT719" s="462">
        <f>SUMIFS(AS2:AS698,G2:G698,"AGAC",E2:E698,"0348",F2:F698,"00",AT2:AT698,3)</f>
        <v>0</v>
      </c>
      <c r="AU719" s="462">
        <f>SUMIFS(AU2:AU698,G2:G698,"AGAC",E2:E698,"0348",F2:F698,"00")</f>
        <v>0</v>
      </c>
      <c r="AV719" s="462">
        <f>SUMIFS(AV2:AV698,G2:G698,"AGAC",E2:E698,"0348",F2:F698,"00")</f>
        <v>0</v>
      </c>
      <c r="AW719" s="462">
        <f>SUMIFS(AW2:AW698,G2:G698,"AGAC",E2:E698,"0348",F2:F698,"00")</f>
        <v>43</v>
      </c>
      <c r="AX719" s="462">
        <f>SUMIFS(AX2:AX698,G2:G698,"AGAC",E2:E698,"0348",F2:F698,"00")</f>
        <v>0</v>
      </c>
      <c r="AY719" s="462">
        <f>SUMIFS(AY2:AY698,G2:G698,"AGAC",E2:E698,"0348",F2:F698,"00")</f>
        <v>0</v>
      </c>
      <c r="AZ719" s="462">
        <f>SUMIFS(AZ2:AZ698,G2:G698,"AGAC",E2:E698,"0348",F2:F698,"00")</f>
        <v>0</v>
      </c>
      <c r="BA719" s="462">
        <f>SUMIFS(BA2:BA698,G2:G698,"AGAC",E2:E698,"0348",F2:F698,"00")</f>
        <v>0</v>
      </c>
      <c r="BB719" s="462">
        <f>SUMIFS(BB2:BB698,G2:G698,"AGAC",E2:E698,"0348",F2:F698,"00")</f>
        <v>0</v>
      </c>
      <c r="BC719" s="462">
        <f>SUMIFS(BC2:BC698,G2:G698,"AGAC",E2:E698,"0348",F2:F698,"00")</f>
        <v>0</v>
      </c>
      <c r="BD719" s="462">
        <f>SUMIFS(BD2:BD698,G2:G698,"AGAC",E2:E698,"0348",F2:F698,"00")</f>
        <v>0</v>
      </c>
      <c r="BE719" s="462">
        <f>SUMIFS(BE2:BE698,G2:G698,"AGAC",E2:E698,"0348",F2:F698,"00")</f>
        <v>0</v>
      </c>
      <c r="BF719" s="462">
        <f>SUMIFS(BF2:BF698,G2:G698,"AGAC",E2:E698,"0348",F2:F698,"00")</f>
        <v>0</v>
      </c>
      <c r="BG719" s="462">
        <f>SUMIFS(BG2:BG698,G2:G698,"AGAC",E2:E698,"0348",F2:F698,"00")</f>
        <v>0</v>
      </c>
      <c r="BH719" s="462">
        <f>SUMIFS(BH2:BH698,G2:G698,"AGAC",E2:E698,"0348",F2:F698,"00")</f>
        <v>0</v>
      </c>
      <c r="BI719" s="462">
        <f>SUMIFS(BI2:BI698,G2:G698,"AGAC",E2:E698,"0348",F2:F698,"00")</f>
        <v>0</v>
      </c>
      <c r="BJ719" s="462">
        <f>SUMIFS(BJ2:BJ698,G2:G698,"AGAC",E2:E698,"0348",F2:F698,"00")</f>
        <v>0</v>
      </c>
      <c r="BK719" s="462">
        <f>SUMIFS(BK2:BK698,G2:G698,"AGAC",E2:E698,"0348",F2:F698,"00")</f>
        <v>0</v>
      </c>
      <c r="BL719" s="462">
        <f>SUMIFS(BL2:BL698,G2:G698,"AGAC",E2:E698,"0348",F2:F698,"00")</f>
        <v>0</v>
      </c>
      <c r="BM719" s="462">
        <f>SUMIFS(BM2:BM698,G2:G698,"AGAC",E2:E698,"0348",F2:F698,"00")</f>
        <v>0</v>
      </c>
      <c r="BN719" s="462">
        <f>SUMIFS(BN2:BN698,G2:G698,"AGAC",E2:E698,"0348",F2:F698,"00")</f>
        <v>0</v>
      </c>
      <c r="BO719" s="462">
        <f>SUMIFS(BO2:BO698,G2:G698,"AGAC",E2:E698,"0348",F2:F698,"00")</f>
        <v>0</v>
      </c>
      <c r="BP719" s="462">
        <f>SUMIFS(BP2:BP698,G2:G698,"AGAC",E2:E698,"0348",F2:F698,"00")</f>
        <v>0</v>
      </c>
      <c r="BQ719" s="462">
        <f>SUMIFS(BQ2:BQ698,G2:G698,"AGAC",E2:E698,"0348",F2:F698,"00")</f>
        <v>0</v>
      </c>
      <c r="BR719" s="462">
        <f>SUMIFS(BR2:BR698,G2:G698,"AGAC",E2:E698,"0348",F2:F698,"00")</f>
        <v>0</v>
      </c>
      <c r="BS719" s="462">
        <f>SUMIFS(BS2:BS698,G2:G698,"AGAC",E2:E698,"0348",F2:F698,"00")</f>
        <v>0</v>
      </c>
      <c r="BT719" s="462">
        <f>SUMIFS(BT2:BT698,G2:G698,"AGAC",E2:E698,"0348",F2:F698,"00")</f>
        <v>0</v>
      </c>
      <c r="BU719" s="462">
        <f>SUMIFS(BU2:BU698,G2:G698,"AGAC",E2:E698,"0348",F2:F698,"00")</f>
        <v>0</v>
      </c>
      <c r="BV719" s="462">
        <f>SUMIFS(BV2:BV698,G2:G698,"AGAC",E2:E698,"0348",F2:F698,"00")</f>
        <v>0</v>
      </c>
      <c r="BW719" s="462">
        <f>SUMIFS(BW2:BW698,G2:G698,"AGAC",E2:E698,"0348",F2:F698,"00")</f>
        <v>0</v>
      </c>
      <c r="BX719" s="462">
        <f>SUMIFS(BX2:BX698,G2:G698,"AGAC",E2:E698,"0348",F2:F698,"00")</f>
        <v>0</v>
      </c>
      <c r="BY719" s="462">
        <f>SUMIFS(BY2:BY698,G2:G698,"AGAC",E2:E698,"0348",F2:F698,"00")</f>
        <v>0</v>
      </c>
      <c r="BZ719" s="462">
        <f>SUMIFS(BZ2:BZ698,G2:G698,"AGAC",E2:E698,"0348",F2:F698,"00")</f>
        <v>0</v>
      </c>
      <c r="CA719" s="462">
        <f>SUMIFS(CA2:CA698,G2:G698,"AGAC",E2:E698,"0348",F2:F698,"00")</f>
        <v>0</v>
      </c>
      <c r="CB719" s="462">
        <f>SUMIFS(CB2:CB698,G2:G698,"AGAC",E2:E698,"0348",F2:F698,"00")</f>
        <v>0</v>
      </c>
      <c r="CC719" s="462">
        <f>SUMIFS(CC2:CC698,G2:G698,"AGAC",E2:E698,"0348",F2:F698,"00")</f>
        <v>0</v>
      </c>
      <c r="CD719" s="462">
        <f>SUMIFS(CD2:CD698,G2:G698,"AGAC",E2:E698,"0348",F2:F698,"00")</f>
        <v>0</v>
      </c>
      <c r="CE719" s="462">
        <f>SUMIFS(CE2:CE698,G2:G698,"AGAC",E2:E698,"0348",F2:F698,"00")</f>
        <v>0</v>
      </c>
      <c r="CF719" s="462">
        <f>SUMIFS(CF2:CF698,G2:G698,"AGAC",E2:E698,"0348",F2:F698,"00")</f>
        <v>0</v>
      </c>
      <c r="CG719" s="462">
        <f>SUMIFS(CG2:CG698,G2:G698,"AGAC",E2:E698,"0348",F2:F698,"00")</f>
        <v>0</v>
      </c>
      <c r="CH719" s="462">
        <f>SUMIFS(CH2:CH698,G2:G698,"AGAC",E2:E698,"0348",F2:F698,"00")</f>
        <v>0</v>
      </c>
      <c r="CI719" s="462">
        <f>SUMIFS(CI2:CI698,G2:G698,"AGAC",E2:E698,"0348",F2:F698,"00")</f>
        <v>0</v>
      </c>
      <c r="CJ719" s="462">
        <f>SUMIFS(CJ2:CJ698,G2:G698,"AGAC",E2:E698,"0348",F2:F698,"00")</f>
        <v>0</v>
      </c>
      <c r="CK719" s="462">
        <f>SUMIFS(CK2:CK698,G2:G698,"AGAC",E2:E698,"0348",F2:F698,"00")</f>
        <v>0</v>
      </c>
      <c r="CL719" s="462">
        <f>SUMIFS(CL2:CL698,G2:G698,"AGAC",E2:E698,"0348",F2:F698,"00")</f>
        <v>0</v>
      </c>
      <c r="CM719" s="462">
        <f>SUMIFS(CM2:CM698,G2:G698,"AGAC",E2:E698,"0348",F2:F698,"00")</f>
        <v>0</v>
      </c>
    </row>
    <row r="720" spans="43:91" ht="18" x14ac:dyDescent="0.35">
      <c r="AQ720" s="468" t="s">
        <v>1488</v>
      </c>
      <c r="AS720" s="469">
        <f>SUM(AS719:AS719)</f>
        <v>0</v>
      </c>
      <c r="AT720" s="469">
        <f>SUM(AT719:AT719)</f>
        <v>0</v>
      </c>
      <c r="AU720" s="469">
        <f>SUM(AU719:AU719)</f>
        <v>0</v>
      </c>
      <c r="AV720" s="469">
        <f>SUM(AV719:AV719)</f>
        <v>0</v>
      </c>
      <c r="AW720" s="469">
        <f>SUM(AW719:AW719)</f>
        <v>43</v>
      </c>
      <c r="AX720" s="469">
        <f>SUM(AX719:AX719)</f>
        <v>0</v>
      </c>
      <c r="AY720" s="469">
        <f>SUM(AY719:AY719)</f>
        <v>0</v>
      </c>
      <c r="AZ720" s="469">
        <f>SUM(AZ719:AZ719)</f>
        <v>0</v>
      </c>
      <c r="BA720" s="469">
        <f>SUM(BA719:BA719)</f>
        <v>0</v>
      </c>
      <c r="BB720" s="469">
        <f>SUM(BB719:BB719)</f>
        <v>0</v>
      </c>
      <c r="BC720" s="469">
        <f>SUM(BC719:BC719)</f>
        <v>0</v>
      </c>
      <c r="BD720" s="469">
        <f>SUM(BD719:BD719)</f>
        <v>0</v>
      </c>
      <c r="BE720" s="469">
        <f>SUM(BE719:BE719)</f>
        <v>0</v>
      </c>
      <c r="BF720" s="469">
        <f>SUM(BF719:BF719)</f>
        <v>0</v>
      </c>
      <c r="BG720" s="469">
        <f>SUM(BG719:BG719)</f>
        <v>0</v>
      </c>
      <c r="BH720" s="469">
        <f>SUM(BH719:BH719)</f>
        <v>0</v>
      </c>
      <c r="BI720" s="469">
        <f>SUM(BI719:BI719)</f>
        <v>0</v>
      </c>
      <c r="BJ720" s="469">
        <f>SUM(BJ719:BJ719)</f>
        <v>0</v>
      </c>
      <c r="BK720" s="469">
        <f>SUM(BK719:BK719)</f>
        <v>0</v>
      </c>
      <c r="BL720" s="469">
        <f>SUM(BL719:BL719)</f>
        <v>0</v>
      </c>
      <c r="BM720" s="469">
        <f>SUM(BM719:BM719)</f>
        <v>0</v>
      </c>
      <c r="BN720" s="469">
        <f>SUM(BN719:BN719)</f>
        <v>0</v>
      </c>
      <c r="BO720" s="469">
        <f>SUM(BO719:BO719)</f>
        <v>0</v>
      </c>
      <c r="BP720" s="469">
        <f>SUM(BP719:BP719)</f>
        <v>0</v>
      </c>
      <c r="BQ720" s="469">
        <f>SUM(BQ719:BQ719)</f>
        <v>0</v>
      </c>
      <c r="BR720" s="469">
        <f>SUM(BR719:BR719)</f>
        <v>0</v>
      </c>
      <c r="BS720" s="469">
        <f>SUM(BS719:BS719)</f>
        <v>0</v>
      </c>
      <c r="BT720" s="469">
        <f>SUM(BT719:BT719)</f>
        <v>0</v>
      </c>
      <c r="BU720" s="469">
        <f>SUM(BU719:BU719)</f>
        <v>0</v>
      </c>
      <c r="BV720" s="469">
        <f>SUM(BV719:BV719)</f>
        <v>0</v>
      </c>
      <c r="BW720" s="469">
        <f>SUM(BW719:BW719)</f>
        <v>0</v>
      </c>
      <c r="BX720" s="469">
        <f>SUM(BX719:BX719)</f>
        <v>0</v>
      </c>
      <c r="BY720" s="469">
        <f>SUM(BY719:BY719)</f>
        <v>0</v>
      </c>
      <c r="BZ720" s="469">
        <f>SUM(BZ719:BZ719)</f>
        <v>0</v>
      </c>
      <c r="CA720" s="469">
        <f>SUM(CA719:CA719)</f>
        <v>0</v>
      </c>
      <c r="CB720" s="469">
        <f>SUM(CB719:CB719)</f>
        <v>0</v>
      </c>
      <c r="CC720" s="469">
        <f>SUM(CC719:CC719)</f>
        <v>0</v>
      </c>
      <c r="CD720" s="469">
        <f>SUM(CD719:CD719)</f>
        <v>0</v>
      </c>
      <c r="CE720" s="469">
        <f>SUM(CE719:CE719)</f>
        <v>0</v>
      </c>
      <c r="CF720" s="469">
        <f>SUM(CF719:CF719)</f>
        <v>0</v>
      </c>
      <c r="CG720" s="469">
        <f>SUM(CG719:CG719)</f>
        <v>0</v>
      </c>
      <c r="CH720" s="469">
        <f>SUM(CH719:CH719)</f>
        <v>0</v>
      </c>
      <c r="CI720" s="469">
        <f>SUM(CI719:CI719)</f>
        <v>0</v>
      </c>
      <c r="CJ720" s="469">
        <f>SUM(CJ719:CJ719)</f>
        <v>0</v>
      </c>
      <c r="CK720" s="469">
        <f>SUM(CK719:CK719)</f>
        <v>0</v>
      </c>
      <c r="CL720" s="469">
        <f>SUM(CL719:CL719)</f>
        <v>0</v>
      </c>
      <c r="CM720" s="469">
        <f>SUM(CM719:CM719)</f>
        <v>0</v>
      </c>
    </row>
    <row r="721" spans="43:91" ht="15" thickBot="1" x14ac:dyDescent="0.35">
      <c r="AR721" t="s">
        <v>1493</v>
      </c>
      <c r="AS721" s="462">
        <f>SUMIFS(AS2:AS698,G2:G698,"AGAD",E2:E698,"0001",F2:F698,"00",AT2:AT698,1)</f>
        <v>18.425000000000001</v>
      </c>
      <c r="AT721" s="462">
        <f>SUMIFS(AS2:AS698,G2:G698,"AGAD",E2:E698,"0001",F2:F698,"00",AT2:AT698,3)</f>
        <v>0</v>
      </c>
      <c r="AU721" s="462">
        <f>SUMIFS(AU2:AU698,G2:G698,"AGAD",E2:E698,"0001",F2:F698,"00")</f>
        <v>26.875</v>
      </c>
      <c r="AV721" s="462">
        <f>SUMIFS(AV2:AV698,G2:G698,"AGAD",E2:E698,"0001",F2:F698,"00")</f>
        <v>0</v>
      </c>
      <c r="AW721" s="462">
        <f>SUMIFS(AW2:AW698,G2:G698,"AGAD",E2:E698,"0001",F2:F698,"00")</f>
        <v>144</v>
      </c>
      <c r="AX721" s="462">
        <f>SUMIFS(AX2:AX698,G2:G698,"AGAD",E2:E698,"0001",F2:F698,"00")</f>
        <v>1414087.98</v>
      </c>
      <c r="AY721" s="462">
        <f>SUMIFS(AY2:AY698,G2:G698,"AGAD",E2:E698,"0001",F2:F698,"00")</f>
        <v>972102.14</v>
      </c>
      <c r="AZ721" s="462">
        <f>SUMIFS(AZ2:AZ698,G2:G698,"AGAD",E2:E698,"0001",F2:F698,"00")</f>
        <v>0</v>
      </c>
      <c r="BA721" s="462">
        <f>SUMIFS(BA2:BA698,G2:G698,"AGAD",E2:E698,"0001",F2:F698,"00")</f>
        <v>0</v>
      </c>
      <c r="BB721" s="462">
        <f>SUMIFS(BB2:BB698,G2:G698,"AGAD",E2:E698,"0001",F2:F698,"00")</f>
        <v>216107.5</v>
      </c>
      <c r="BC721" s="462">
        <f>SUMIFS(BC2:BC698,G2:G698,"AGAD",E2:E698,"0001",F2:F698,"00")</f>
        <v>0</v>
      </c>
      <c r="BD721" s="462">
        <f>SUMIFS(BD2:BD698,G2:G698,"AGAD",E2:E698,"0001",F2:F698,"00")</f>
        <v>60270.332680000007</v>
      </c>
      <c r="BE721" s="462">
        <f>SUMIFS(BE2:BE698,G2:G698,"AGAD",E2:E698,"0001",F2:F698,"00")</f>
        <v>14095.481030000003</v>
      </c>
      <c r="BF721" s="462">
        <f>SUMIFS(BF2:BF698,G2:G698,"AGAD",E2:E698,"0001",F2:F698,"00")</f>
        <v>116068.99551600002</v>
      </c>
      <c r="BG721" s="462">
        <f>SUMIFS(BG2:BG698,G2:G698,"AGAD",E2:E698,"0001",F2:F698,"00")</f>
        <v>7008.8564294000016</v>
      </c>
      <c r="BH721" s="462">
        <f>SUMIFS(BH2:BH698,G2:G698,"AGAD",E2:E698,"0001",F2:F698,"00")</f>
        <v>4763.3004860000001</v>
      </c>
      <c r="BI721" s="462">
        <f>SUMIFS(BI2:BI698,G2:G698,"AGAD",E2:E698,"0001",F2:F698,"00")</f>
        <v>2649.2003243999993</v>
      </c>
      <c r="BJ721" s="462">
        <f>SUMIFS(BJ2:BJ698,G2:G698,"AGAD",E2:E698,"0001",F2:F698,"00")</f>
        <v>14873.162741999997</v>
      </c>
      <c r="BK721" s="462">
        <f>SUMIFS(BK2:BK698,G2:G698,"AGAD",E2:E698,"0001",F2:F698,"00")</f>
        <v>0</v>
      </c>
      <c r="BL721" s="462">
        <f>SUMIFS(BL2:BL698,G2:G698,"AGAD",E2:E698,"0001",F2:F698,"00")</f>
        <v>219729.32920779998</v>
      </c>
      <c r="BM721" s="462">
        <f>SUMIFS(BM2:BM698,G2:G698,"AGAD",E2:E698,"0001",F2:F698,"00")</f>
        <v>0</v>
      </c>
      <c r="BN721" s="462">
        <f>SUMIFS(BN2:BN698,G2:G698,"AGAD",E2:E698,"0001",F2:F698,"00")</f>
        <v>216107.5</v>
      </c>
      <c r="BO721" s="462">
        <f>SUMIFS(BO2:BO698,G2:G698,"AGAD",E2:E698,"0001",F2:F698,"00")</f>
        <v>0</v>
      </c>
      <c r="BP721" s="462">
        <f>SUMIFS(BP2:BP698,G2:G698,"AGAD",E2:E698,"0001",F2:F698,"00")</f>
        <v>60270.332680000007</v>
      </c>
      <c r="BQ721" s="462">
        <f>SUMIFS(BQ2:BQ698,G2:G698,"AGAD",E2:E698,"0001",F2:F698,"00")</f>
        <v>14095.481030000003</v>
      </c>
      <c r="BR721" s="462">
        <f>SUMIFS(BR2:BR698,G2:G698,"AGAD",E2:E698,"0001",F2:F698,"00")</f>
        <v>116068.99551600002</v>
      </c>
      <c r="BS721" s="462">
        <f>SUMIFS(BS2:BS698,G2:G698,"AGAD",E2:E698,"0001",F2:F698,"00")</f>
        <v>7008.8564294000016</v>
      </c>
      <c r="BT721" s="462">
        <f>SUMIFS(BT2:BT698,G2:G698,"AGAD",E2:E698,"0001",F2:F698,"00")</f>
        <v>0</v>
      </c>
      <c r="BU721" s="462">
        <f>SUMIFS(BU2:BU698,G2:G698,"AGAD",E2:E698,"0001",F2:F698,"00")</f>
        <v>2649.2003243999993</v>
      </c>
      <c r="BV721" s="462">
        <f>SUMIFS(BV2:BV698,G2:G698,"AGAD",E2:E698,"0001",F2:F698,"00")</f>
        <v>17108.997663999999</v>
      </c>
      <c r="BW721" s="462">
        <f>SUMIFS(BW2:BW698,G2:G698,"AGAD",E2:E698,"0001",F2:F698,"00")</f>
        <v>0</v>
      </c>
      <c r="BX721" s="462">
        <f>SUMIFS(BX2:BX698,G2:G698,"AGAD",E2:E698,"0001",F2:F698,"00")</f>
        <v>217201.8636438</v>
      </c>
      <c r="BY721" s="462">
        <f>SUMIFS(BY2:BY698,G2:G698,"AGAD",E2:E698,"0001",F2:F698,"00")</f>
        <v>0</v>
      </c>
      <c r="BZ721" s="462">
        <f>SUMIFS(BZ2:BZ698,G2:G698,"AGAD",E2:E698,"0001",F2:F698,"00")</f>
        <v>0</v>
      </c>
      <c r="CA721" s="462">
        <f>SUMIFS(CA2:CA698,G2:G698,"AGAD",E2:E698,"0001",F2:F698,"00")</f>
        <v>0</v>
      </c>
      <c r="CB721" s="462">
        <f>SUMIFS(CB2:CB698,G2:G698,"AGAD",E2:E698,"0001",F2:F698,"00")</f>
        <v>0</v>
      </c>
      <c r="CC721" s="462">
        <f>SUMIFS(CC2:CC698,G2:G698,"AGAD",E2:E698,"0001",F2:F698,"00")</f>
        <v>0</v>
      </c>
      <c r="CD721" s="462">
        <f>SUMIFS(CD2:CD698,G2:G698,"AGAD",E2:E698,"0001",F2:F698,"00")</f>
        <v>0</v>
      </c>
      <c r="CE721" s="462">
        <f>SUMIFS(CE2:CE698,G2:G698,"AGAD",E2:E698,"0001",F2:F698,"00")</f>
        <v>0</v>
      </c>
      <c r="CF721" s="462">
        <f>SUMIFS(CF2:CF698,G2:G698,"AGAD",E2:E698,"0001",F2:F698,"00")</f>
        <v>-4763.3004860000001</v>
      </c>
      <c r="CG721" s="462">
        <f>SUMIFS(CG2:CG698,G2:G698,"AGAD",E2:E698,"0001",F2:F698,"00")</f>
        <v>0</v>
      </c>
      <c r="CH721" s="462">
        <f>SUMIFS(CH2:CH698,G2:G698,"AGAD",E2:E698,"0001",F2:F698,"00")</f>
        <v>2235.8349220000018</v>
      </c>
      <c r="CI721" s="462">
        <f>SUMIFS(CI2:CI698,G2:G698,"AGAD",E2:E698,"0001",F2:F698,"00")</f>
        <v>0</v>
      </c>
      <c r="CJ721" s="462">
        <f>SUMIFS(CJ2:CJ698,G2:G698,"AGAD",E2:E698,"0001",F2:F698,"00")</f>
        <v>-2527.4655639999978</v>
      </c>
      <c r="CK721" s="462">
        <f>SUMIFS(CK2:CK698,G2:G698,"AGAD",E2:E698,"0001",F2:F698,"00")</f>
        <v>0</v>
      </c>
      <c r="CL721" s="462">
        <f>SUMIFS(CL2:CL698,G2:G698,"AGAD",E2:E698,"0001",F2:F698,"00")</f>
        <v>44407.59</v>
      </c>
      <c r="CM721" s="462">
        <f>SUMIFS(CM2:CM698,G2:G698,"AGAD",E2:E698,"0001",F2:F698,"00")</f>
        <v>18243.990000000002</v>
      </c>
    </row>
    <row r="722" spans="43:91" ht="18" x14ac:dyDescent="0.35">
      <c r="AQ722" s="468" t="s">
        <v>1494</v>
      </c>
      <c r="AS722" s="469">
        <f>SUM(AS721:AS721)</f>
        <v>18.425000000000001</v>
      </c>
      <c r="AT722" s="469">
        <f>SUM(AT721:AT721)</f>
        <v>0</v>
      </c>
      <c r="AU722" s="469">
        <f>SUM(AU721:AU721)</f>
        <v>26.875</v>
      </c>
      <c r="AV722" s="469">
        <f>SUM(AV721:AV721)</f>
        <v>0</v>
      </c>
      <c r="AW722" s="469">
        <f>SUM(AW721:AW721)</f>
        <v>144</v>
      </c>
      <c r="AX722" s="469">
        <f>SUM(AX721:AX721)</f>
        <v>1414087.98</v>
      </c>
      <c r="AY722" s="469">
        <f>SUM(AY721:AY721)</f>
        <v>972102.14</v>
      </c>
      <c r="AZ722" s="469">
        <f>SUM(AZ721:AZ721)</f>
        <v>0</v>
      </c>
      <c r="BA722" s="469">
        <f>SUM(BA721:BA721)</f>
        <v>0</v>
      </c>
      <c r="BB722" s="469">
        <f>SUM(BB721:BB721)</f>
        <v>216107.5</v>
      </c>
      <c r="BC722" s="469">
        <f>SUM(BC721:BC721)</f>
        <v>0</v>
      </c>
      <c r="BD722" s="469">
        <f>SUM(BD721:BD721)</f>
        <v>60270.332680000007</v>
      </c>
      <c r="BE722" s="469">
        <f>SUM(BE721:BE721)</f>
        <v>14095.481030000003</v>
      </c>
      <c r="BF722" s="469">
        <f>SUM(BF721:BF721)</f>
        <v>116068.99551600002</v>
      </c>
      <c r="BG722" s="469">
        <f>SUM(BG721:BG721)</f>
        <v>7008.8564294000016</v>
      </c>
      <c r="BH722" s="469">
        <f>SUM(BH721:BH721)</f>
        <v>4763.3004860000001</v>
      </c>
      <c r="BI722" s="469">
        <f>SUM(BI721:BI721)</f>
        <v>2649.2003243999993</v>
      </c>
      <c r="BJ722" s="469">
        <f>SUM(BJ721:BJ721)</f>
        <v>14873.162741999997</v>
      </c>
      <c r="BK722" s="469">
        <f>SUM(BK721:BK721)</f>
        <v>0</v>
      </c>
      <c r="BL722" s="469">
        <f>SUM(BL721:BL721)</f>
        <v>219729.32920779998</v>
      </c>
      <c r="BM722" s="469">
        <f>SUM(BM721:BM721)</f>
        <v>0</v>
      </c>
      <c r="BN722" s="469">
        <f>SUM(BN721:BN721)</f>
        <v>216107.5</v>
      </c>
      <c r="BO722" s="469">
        <f>SUM(BO721:BO721)</f>
        <v>0</v>
      </c>
      <c r="BP722" s="469">
        <f>SUM(BP721:BP721)</f>
        <v>60270.332680000007</v>
      </c>
      <c r="BQ722" s="469">
        <f>SUM(BQ721:BQ721)</f>
        <v>14095.481030000003</v>
      </c>
      <c r="BR722" s="469">
        <f>SUM(BR721:BR721)</f>
        <v>116068.99551600002</v>
      </c>
      <c r="BS722" s="469">
        <f>SUM(BS721:BS721)</f>
        <v>7008.8564294000016</v>
      </c>
      <c r="BT722" s="469">
        <f>SUM(BT721:BT721)</f>
        <v>0</v>
      </c>
      <c r="BU722" s="469">
        <f>SUM(BU721:BU721)</f>
        <v>2649.2003243999993</v>
      </c>
      <c r="BV722" s="469">
        <f>SUM(BV721:BV721)</f>
        <v>17108.997663999999</v>
      </c>
      <c r="BW722" s="469">
        <f>SUM(BW721:BW721)</f>
        <v>0</v>
      </c>
      <c r="BX722" s="469">
        <f>SUM(BX721:BX721)</f>
        <v>217201.8636438</v>
      </c>
      <c r="BY722" s="469">
        <f>SUM(BY721:BY721)</f>
        <v>0</v>
      </c>
      <c r="BZ722" s="469">
        <f>SUM(BZ721:BZ721)</f>
        <v>0</v>
      </c>
      <c r="CA722" s="469">
        <f>SUM(CA721:CA721)</f>
        <v>0</v>
      </c>
      <c r="CB722" s="469">
        <f>SUM(CB721:CB721)</f>
        <v>0</v>
      </c>
      <c r="CC722" s="469">
        <f>SUM(CC721:CC721)</f>
        <v>0</v>
      </c>
      <c r="CD722" s="469">
        <f>SUM(CD721:CD721)</f>
        <v>0</v>
      </c>
      <c r="CE722" s="469">
        <f>SUM(CE721:CE721)</f>
        <v>0</v>
      </c>
      <c r="CF722" s="469">
        <f>SUM(CF721:CF721)</f>
        <v>-4763.3004860000001</v>
      </c>
      <c r="CG722" s="469">
        <f>SUM(CG721:CG721)</f>
        <v>0</v>
      </c>
      <c r="CH722" s="469">
        <f>SUM(CH721:CH721)</f>
        <v>2235.8349220000018</v>
      </c>
      <c r="CI722" s="469">
        <f>SUM(CI721:CI721)</f>
        <v>0</v>
      </c>
      <c r="CJ722" s="469">
        <f>SUM(CJ721:CJ721)</f>
        <v>-2527.4655639999978</v>
      </c>
      <c r="CK722" s="469">
        <f>SUM(CK721:CK721)</f>
        <v>0</v>
      </c>
      <c r="CL722" s="469">
        <f>SUM(CL721:CL721)</f>
        <v>44407.59</v>
      </c>
      <c r="CM722" s="469">
        <f>SUM(CM721:CM721)</f>
        <v>18243.990000000002</v>
      </c>
    </row>
    <row r="723" spans="43:91" x14ac:dyDescent="0.3">
      <c r="AR723" t="s">
        <v>1497</v>
      </c>
      <c r="AS723" s="462">
        <f>SUMIFS(AS2:AS698,G2:G698,"AGAD",E2:E698,"0330",F2:F698,"00",AT2:AT698,1)</f>
        <v>0</v>
      </c>
      <c r="AT723" s="462">
        <f>SUMIFS(AS2:AS698,G2:G698,"AGAD",E2:E698,"0330",F2:F698,"00",AT2:AT698,3)</f>
        <v>0</v>
      </c>
      <c r="AU723" s="462">
        <f>SUMIFS(AU2:AU698,G2:G698,"AGAD",E2:E698,"0330",F2:F698,"00")</f>
        <v>0</v>
      </c>
      <c r="AV723" s="462">
        <f>SUMIFS(AV2:AV698,G2:G698,"AGAD",E2:E698,"0330",F2:F698,"00")</f>
        <v>0</v>
      </c>
      <c r="AW723" s="462">
        <f>SUMIFS(AW2:AW698,G2:G698,"AGAD",E2:E698,"0330",F2:F698,"00")</f>
        <v>0</v>
      </c>
      <c r="AX723" s="462">
        <f>SUMIFS(AX2:AX698,G2:G698,"AGAD",E2:E698,"0330",F2:F698,"00")</f>
        <v>0</v>
      </c>
      <c r="AY723" s="462">
        <f>SUMIFS(AY2:AY698,G2:G698,"AGAD",E2:E698,"0330",F2:F698,"00")</f>
        <v>0</v>
      </c>
      <c r="AZ723" s="462">
        <f>SUMIFS(AZ2:AZ698,G2:G698,"AGAD",E2:E698,"0330",F2:F698,"00")</f>
        <v>0</v>
      </c>
      <c r="BA723" s="462">
        <f>SUMIFS(BA2:BA698,G2:G698,"AGAD",E2:E698,"0330",F2:F698,"00")</f>
        <v>0</v>
      </c>
      <c r="BB723" s="462">
        <f>SUMIFS(BB2:BB698,G2:G698,"AGAD",E2:E698,"0330",F2:F698,"00")</f>
        <v>0</v>
      </c>
      <c r="BC723" s="462">
        <f>SUMIFS(BC2:BC698,G2:G698,"AGAD",E2:E698,"0330",F2:F698,"00")</f>
        <v>0</v>
      </c>
      <c r="BD723" s="462">
        <f>SUMIFS(BD2:BD698,G2:G698,"AGAD",E2:E698,"0330",F2:F698,"00")</f>
        <v>0</v>
      </c>
      <c r="BE723" s="462">
        <f>SUMIFS(BE2:BE698,G2:G698,"AGAD",E2:E698,"0330",F2:F698,"00")</f>
        <v>0</v>
      </c>
      <c r="BF723" s="462">
        <f>SUMIFS(BF2:BF698,G2:G698,"AGAD",E2:E698,"0330",F2:F698,"00")</f>
        <v>0</v>
      </c>
      <c r="BG723" s="462">
        <f>SUMIFS(BG2:BG698,G2:G698,"AGAD",E2:E698,"0330",F2:F698,"00")</f>
        <v>0</v>
      </c>
      <c r="BH723" s="462">
        <f>SUMIFS(BH2:BH698,G2:G698,"AGAD",E2:E698,"0330",F2:F698,"00")</f>
        <v>0</v>
      </c>
      <c r="BI723" s="462">
        <f>SUMIFS(BI2:BI698,G2:G698,"AGAD",E2:E698,"0330",F2:F698,"00")</f>
        <v>0</v>
      </c>
      <c r="BJ723" s="462">
        <f>SUMIFS(BJ2:BJ698,G2:G698,"AGAD",E2:E698,"0330",F2:F698,"00")</f>
        <v>0</v>
      </c>
      <c r="BK723" s="462">
        <f>SUMIFS(BK2:BK698,G2:G698,"AGAD",E2:E698,"0330",F2:F698,"00")</f>
        <v>0</v>
      </c>
      <c r="BL723" s="462">
        <f>SUMIFS(BL2:BL698,G2:G698,"AGAD",E2:E698,"0330",F2:F698,"00")</f>
        <v>0</v>
      </c>
      <c r="BM723" s="462">
        <f>SUMIFS(BM2:BM698,G2:G698,"AGAD",E2:E698,"0330",F2:F698,"00")</f>
        <v>0</v>
      </c>
      <c r="BN723" s="462">
        <f>SUMIFS(BN2:BN698,G2:G698,"AGAD",E2:E698,"0330",F2:F698,"00")</f>
        <v>0</v>
      </c>
      <c r="BO723" s="462">
        <f>SUMIFS(BO2:BO698,G2:G698,"AGAD",E2:E698,"0330",F2:F698,"00")</f>
        <v>0</v>
      </c>
      <c r="BP723" s="462">
        <f>SUMIFS(BP2:BP698,G2:G698,"AGAD",E2:E698,"0330",F2:F698,"00")</f>
        <v>0</v>
      </c>
      <c r="BQ723" s="462">
        <f>SUMIFS(BQ2:BQ698,G2:G698,"AGAD",E2:E698,"0330",F2:F698,"00")</f>
        <v>0</v>
      </c>
      <c r="BR723" s="462">
        <f>SUMIFS(BR2:BR698,G2:G698,"AGAD",E2:E698,"0330",F2:F698,"00")</f>
        <v>0</v>
      </c>
      <c r="BS723" s="462">
        <f>SUMIFS(BS2:BS698,G2:G698,"AGAD",E2:E698,"0330",F2:F698,"00")</f>
        <v>0</v>
      </c>
      <c r="BT723" s="462">
        <f>SUMIFS(BT2:BT698,G2:G698,"AGAD",E2:E698,"0330",F2:F698,"00")</f>
        <v>0</v>
      </c>
      <c r="BU723" s="462">
        <f>SUMIFS(BU2:BU698,G2:G698,"AGAD",E2:E698,"0330",F2:F698,"00")</f>
        <v>0</v>
      </c>
      <c r="BV723" s="462">
        <f>SUMIFS(BV2:BV698,G2:G698,"AGAD",E2:E698,"0330",F2:F698,"00")</f>
        <v>0</v>
      </c>
      <c r="BW723" s="462">
        <f>SUMIFS(BW2:BW698,G2:G698,"AGAD",E2:E698,"0330",F2:F698,"00")</f>
        <v>0</v>
      </c>
      <c r="BX723" s="462">
        <f>SUMIFS(BX2:BX698,G2:G698,"AGAD",E2:E698,"0330",F2:F698,"00")</f>
        <v>0</v>
      </c>
      <c r="BY723" s="462">
        <f>SUMIFS(BY2:BY698,G2:G698,"AGAD",E2:E698,"0330",F2:F698,"00")</f>
        <v>0</v>
      </c>
      <c r="BZ723" s="462">
        <f>SUMIFS(BZ2:BZ698,G2:G698,"AGAD",E2:E698,"0330",F2:F698,"00")</f>
        <v>0</v>
      </c>
      <c r="CA723" s="462">
        <f>SUMIFS(CA2:CA698,G2:G698,"AGAD",E2:E698,"0330",F2:F698,"00")</f>
        <v>0</v>
      </c>
      <c r="CB723" s="462">
        <f>SUMIFS(CB2:CB698,G2:G698,"AGAD",E2:E698,"0330",F2:F698,"00")</f>
        <v>0</v>
      </c>
      <c r="CC723" s="462">
        <f>SUMIFS(CC2:CC698,G2:G698,"AGAD",E2:E698,"0330",F2:F698,"00")</f>
        <v>0</v>
      </c>
      <c r="CD723" s="462">
        <f>SUMIFS(CD2:CD698,G2:G698,"AGAD",E2:E698,"0330",F2:F698,"00")</f>
        <v>0</v>
      </c>
      <c r="CE723" s="462">
        <f>SUMIFS(CE2:CE698,G2:G698,"AGAD",E2:E698,"0330",F2:F698,"00")</f>
        <v>0</v>
      </c>
      <c r="CF723" s="462">
        <f>SUMIFS(CF2:CF698,G2:G698,"AGAD",E2:E698,"0330",F2:F698,"00")</f>
        <v>0</v>
      </c>
      <c r="CG723" s="462">
        <f>SUMIFS(CG2:CG698,G2:G698,"AGAD",E2:E698,"0330",F2:F698,"00")</f>
        <v>0</v>
      </c>
      <c r="CH723" s="462">
        <f>SUMIFS(CH2:CH698,G2:G698,"AGAD",E2:E698,"0330",F2:F698,"00")</f>
        <v>0</v>
      </c>
      <c r="CI723" s="462">
        <f>SUMIFS(CI2:CI698,G2:G698,"AGAD",E2:E698,"0330",F2:F698,"00")</f>
        <v>0</v>
      </c>
      <c r="CJ723" s="462">
        <f>SUMIFS(CJ2:CJ698,G2:G698,"AGAD",E2:E698,"0330",F2:F698,"00")</f>
        <v>0</v>
      </c>
      <c r="CK723" s="462">
        <f>SUMIFS(CK2:CK698,G2:G698,"AGAD",E2:E698,"0330",F2:F698,"00")</f>
        <v>0</v>
      </c>
      <c r="CL723" s="462">
        <f>SUMIFS(CL2:CL698,G2:G698,"AGAD",E2:E698,"0330",F2:F698,"00")</f>
        <v>0</v>
      </c>
      <c r="CM723" s="462">
        <f>SUMIFS(CM2:CM698,G2:G698,"AGAD",E2:E698,"0330",F2:F698,"00")</f>
        <v>0</v>
      </c>
    </row>
    <row r="724" spans="43:91" x14ac:dyDescent="0.3">
      <c r="AR724" t="s">
        <v>1498</v>
      </c>
      <c r="AS724" s="462">
        <f>SUMIFS(AS2:AS698,G2:G698,"AGAD",E2:E698,"0330",F2:F698,"01",AT2:AT698,1)</f>
        <v>8.44</v>
      </c>
      <c r="AT724" s="462">
        <f>SUMIFS(AS2:AS698,G2:G698,"AGAD",E2:E698,"0330",F2:F698,"01",AT2:AT698,3)</f>
        <v>0</v>
      </c>
      <c r="AU724" s="462">
        <f>SUMIFS(AU2:AU698,G2:G698,"AGAD",E2:E698,"0330",F2:F698,"01")</f>
        <v>15</v>
      </c>
      <c r="AV724" s="462">
        <f>SUMIFS(AV2:AV698,G2:G698,"AGAD",E2:E698,"0330",F2:F698,"01")</f>
        <v>0</v>
      </c>
      <c r="AW724" s="462">
        <f>SUMIFS(AW2:AW698,G2:G698,"AGAD",E2:E698,"0330",F2:F698,"01")</f>
        <v>97</v>
      </c>
      <c r="AX724" s="462">
        <f>SUMIFS(AX2:AX698,G2:G698,"AGAD",E2:E698,"0330",F2:F698,"01")</f>
        <v>699587.19000000006</v>
      </c>
      <c r="AY724" s="462">
        <f>SUMIFS(AY2:AY698,G2:G698,"AGAD",E2:E698,"0330",F2:F698,"01")</f>
        <v>387316.17000000004</v>
      </c>
      <c r="AZ724" s="462">
        <f>SUMIFS(AZ2:AZ698,G2:G698,"AGAD",E2:E698,"0330",F2:F698,"01")</f>
        <v>0</v>
      </c>
      <c r="BA724" s="462">
        <f>SUMIFS(BA2:BA698,G2:G698,"AGAD",E2:E698,"0330",F2:F698,"01")</f>
        <v>0</v>
      </c>
      <c r="BB724" s="462">
        <f>SUMIFS(BB2:BB698,G2:G698,"AGAD",E2:E698,"0330",F2:F698,"01")</f>
        <v>98326</v>
      </c>
      <c r="BC724" s="462">
        <f>SUMIFS(BC2:BC698,G2:G698,"AGAD",E2:E698,"0330",F2:F698,"01")</f>
        <v>0</v>
      </c>
      <c r="BD724" s="462">
        <f>SUMIFS(BD2:BD698,G2:G698,"AGAD",E2:E698,"0330",F2:F698,"01")</f>
        <v>24013.60254</v>
      </c>
      <c r="BE724" s="462">
        <f>SUMIFS(BE2:BE698,G2:G698,"AGAD",E2:E698,"0330",F2:F698,"01")</f>
        <v>5616.0844649999999</v>
      </c>
      <c r="BF724" s="462">
        <f>SUMIFS(BF2:BF698,G2:G698,"AGAD",E2:E698,"0330",F2:F698,"01")</f>
        <v>46245.550697999999</v>
      </c>
      <c r="BG724" s="462">
        <f>SUMIFS(BG2:BG698,G2:G698,"AGAD",E2:E698,"0330",F2:F698,"01")</f>
        <v>2792.5495857000001</v>
      </c>
      <c r="BH724" s="462">
        <f>SUMIFS(BH2:BH698,G2:G698,"AGAD",E2:E698,"0330",F2:F698,"01")</f>
        <v>1897.8492329999999</v>
      </c>
      <c r="BI724" s="462">
        <f>SUMIFS(BI2:BI698,G2:G698,"AGAD",E2:E698,"0330",F2:F698,"01")</f>
        <v>1185.1874801999998</v>
      </c>
      <c r="BJ724" s="462">
        <f>SUMIFS(BJ2:BJ698,G2:G698,"AGAD",E2:E698,"0330",F2:F698,"01")</f>
        <v>5925.9374010000001</v>
      </c>
      <c r="BK724" s="462">
        <f>SUMIFS(BK2:BK698,G2:G698,"AGAD",E2:E698,"0330",F2:F698,"01")</f>
        <v>0</v>
      </c>
      <c r="BL724" s="462">
        <f>SUMIFS(BL2:BL698,G2:G698,"AGAD",E2:E698,"0330",F2:F698,"01")</f>
        <v>87676.761402900011</v>
      </c>
      <c r="BM724" s="462">
        <f>SUMIFS(BM2:BM698,G2:G698,"AGAD",E2:E698,"0330",F2:F698,"01")</f>
        <v>0</v>
      </c>
      <c r="BN724" s="462">
        <f>SUMIFS(BN2:BN698,G2:G698,"AGAD",E2:E698,"0330",F2:F698,"01")</f>
        <v>98326</v>
      </c>
      <c r="BO724" s="462">
        <f>SUMIFS(BO2:BO698,G2:G698,"AGAD",E2:E698,"0330",F2:F698,"01")</f>
        <v>0</v>
      </c>
      <c r="BP724" s="462">
        <f>SUMIFS(BP2:BP698,G2:G698,"AGAD",E2:E698,"0330",F2:F698,"01")</f>
        <v>24013.60254</v>
      </c>
      <c r="BQ724" s="462">
        <f>SUMIFS(BQ2:BQ698,G2:G698,"AGAD",E2:E698,"0330",F2:F698,"01")</f>
        <v>5616.0844649999999</v>
      </c>
      <c r="BR724" s="462">
        <f>SUMIFS(BR2:BR698,G2:G698,"AGAD",E2:E698,"0330",F2:F698,"01")</f>
        <v>46245.550697999999</v>
      </c>
      <c r="BS724" s="462">
        <f>SUMIFS(BS2:BS698,G2:G698,"AGAD",E2:E698,"0330",F2:F698,"01")</f>
        <v>2792.5495857000001</v>
      </c>
      <c r="BT724" s="462">
        <f>SUMIFS(BT2:BT698,G2:G698,"AGAD",E2:E698,"0330",F2:F698,"01")</f>
        <v>0</v>
      </c>
      <c r="BU724" s="462">
        <f>SUMIFS(BU2:BU698,G2:G698,"AGAD",E2:E698,"0330",F2:F698,"01")</f>
        <v>1185.1874801999998</v>
      </c>
      <c r="BV724" s="462">
        <f>SUMIFS(BV2:BV698,G2:G698,"AGAD",E2:E698,"0330",F2:F698,"01")</f>
        <v>6816.7645920000023</v>
      </c>
      <c r="BW724" s="462">
        <f>SUMIFS(BW2:BW698,G2:G698,"AGAD",E2:E698,"0330",F2:F698,"01")</f>
        <v>0</v>
      </c>
      <c r="BX724" s="462">
        <f>SUMIFS(BX2:BX698,G2:G698,"AGAD",E2:E698,"0330",F2:F698,"01")</f>
        <v>86669.739360900014</v>
      </c>
      <c r="BY724" s="462">
        <f>SUMIFS(BY2:BY698,G2:G698,"AGAD",E2:E698,"0330",F2:F698,"01")</f>
        <v>0</v>
      </c>
      <c r="BZ724" s="462">
        <f>SUMIFS(BZ2:BZ698,G2:G698,"AGAD",E2:E698,"0330",F2:F698,"01")</f>
        <v>0</v>
      </c>
      <c r="CA724" s="462">
        <f>SUMIFS(CA2:CA698,G2:G698,"AGAD",E2:E698,"0330",F2:F698,"01")</f>
        <v>0</v>
      </c>
      <c r="CB724" s="462">
        <f>SUMIFS(CB2:CB698,G2:G698,"AGAD",E2:E698,"0330",F2:F698,"01")</f>
        <v>0</v>
      </c>
      <c r="CC724" s="462">
        <f>SUMIFS(CC2:CC698,G2:G698,"AGAD",E2:E698,"0330",F2:F698,"01")</f>
        <v>0</v>
      </c>
      <c r="CD724" s="462">
        <f>SUMIFS(CD2:CD698,G2:G698,"AGAD",E2:E698,"0330",F2:F698,"01")</f>
        <v>0</v>
      </c>
      <c r="CE724" s="462">
        <f>SUMIFS(CE2:CE698,G2:G698,"AGAD",E2:E698,"0330",F2:F698,"01")</f>
        <v>0</v>
      </c>
      <c r="CF724" s="462">
        <f>SUMIFS(CF2:CF698,G2:G698,"AGAD",E2:E698,"0330",F2:F698,"01")</f>
        <v>-1897.8492329999999</v>
      </c>
      <c r="CG724" s="462">
        <f>SUMIFS(CG2:CG698,G2:G698,"AGAD",E2:E698,"0330",F2:F698,"01")</f>
        <v>0</v>
      </c>
      <c r="CH724" s="462">
        <f>SUMIFS(CH2:CH698,G2:G698,"AGAD",E2:E698,"0330",F2:F698,"01")</f>
        <v>890.82719100000065</v>
      </c>
      <c r="CI724" s="462">
        <f>SUMIFS(CI2:CI698,G2:G698,"AGAD",E2:E698,"0330",F2:F698,"01")</f>
        <v>0</v>
      </c>
      <c r="CJ724" s="462">
        <f>SUMIFS(CJ2:CJ698,G2:G698,"AGAD",E2:E698,"0330",F2:F698,"01")</f>
        <v>-1007.0220419999993</v>
      </c>
      <c r="CK724" s="462">
        <f>SUMIFS(CK2:CK698,G2:G698,"AGAD",E2:E698,"0330",F2:F698,"01")</f>
        <v>0</v>
      </c>
      <c r="CL724" s="462">
        <f>SUMIFS(CL2:CL698,G2:G698,"AGAD",E2:E698,"0330",F2:F698,"01")</f>
        <v>217549.05000000002</v>
      </c>
      <c r="CM724" s="462">
        <f>SUMIFS(CM2:CM698,G2:G698,"AGAD",E2:E698,"0330",F2:F698,"01")</f>
        <v>40675.759999999995</v>
      </c>
    </row>
    <row r="725" spans="43:91" x14ac:dyDescent="0.3">
      <c r="AR725" t="s">
        <v>1499</v>
      </c>
      <c r="AS725" s="462">
        <f>SUMIFS(AS2:AS698,G2:G698,"AGAD",E2:E698,"0330",F2:F698,"02",AT2:AT698,1)</f>
        <v>0.35</v>
      </c>
      <c r="AT725" s="462">
        <f>SUMIFS(AS2:AS698,G2:G698,"AGAD",E2:E698,"0330",F2:F698,"02",AT2:AT698,3)</f>
        <v>0</v>
      </c>
      <c r="AU725" s="462">
        <f>SUMIFS(AU2:AU698,G2:G698,"AGAD",E2:E698,"0330",F2:F698,"02")</f>
        <v>0.99999999999999989</v>
      </c>
      <c r="AV725" s="462">
        <f>SUMIFS(AV2:AV698,G2:G698,"AGAD",E2:E698,"0330",F2:F698,"02")</f>
        <v>0</v>
      </c>
      <c r="AW725" s="462">
        <f>SUMIFS(AW2:AW698,G2:G698,"AGAD",E2:E698,"0330",F2:F698,"02")</f>
        <v>79</v>
      </c>
      <c r="AX725" s="462">
        <f>SUMIFS(AX2:AX698,G2:G698,"AGAD",E2:E698,"0330",F2:F698,"02")</f>
        <v>67288</v>
      </c>
      <c r="AY725" s="462">
        <f>SUMIFS(AY2:AY698,G2:G698,"AGAD",E2:E698,"0330",F2:F698,"02")</f>
        <v>23550.799999999999</v>
      </c>
      <c r="AZ725" s="462">
        <f>SUMIFS(AZ2:AZ698,G2:G698,"AGAD",E2:E698,"0330",F2:F698,"02")</f>
        <v>0</v>
      </c>
      <c r="BA725" s="462">
        <f>SUMIFS(BA2:BA698,G2:G698,"AGAD",E2:E698,"0330",F2:F698,"02")</f>
        <v>0</v>
      </c>
      <c r="BB725" s="462">
        <f>SUMIFS(BB2:BB698,G2:G698,"AGAD",E2:E698,"0330",F2:F698,"02")</f>
        <v>4077.4999999999995</v>
      </c>
      <c r="BC725" s="462">
        <f>SUMIFS(BC2:BC698,G2:G698,"AGAD",E2:E698,"0330",F2:F698,"02")</f>
        <v>0</v>
      </c>
      <c r="BD725" s="462">
        <f>SUMIFS(BD2:BD698,G2:G698,"AGAD",E2:E698,"0330",F2:F698,"02")</f>
        <v>1460.1496</v>
      </c>
      <c r="BE725" s="462">
        <f>SUMIFS(BE2:BE698,G2:G698,"AGAD",E2:E698,"0330",F2:F698,"02")</f>
        <v>341.48660000000001</v>
      </c>
      <c r="BF725" s="462">
        <f>SUMIFS(BF2:BF698,G2:G698,"AGAD",E2:E698,"0330",F2:F698,"02")</f>
        <v>2811.9655200000002</v>
      </c>
      <c r="BG725" s="462">
        <f>SUMIFS(BG2:BG698,G2:G698,"AGAD",E2:E698,"0330",F2:F698,"02")</f>
        <v>169.80126799999999</v>
      </c>
      <c r="BH725" s="462">
        <f>SUMIFS(BH2:BH698,G2:G698,"AGAD",E2:E698,"0330",F2:F698,"02")</f>
        <v>115.39891999999999</v>
      </c>
      <c r="BI725" s="462">
        <f>SUMIFS(BI2:BI698,G2:G698,"AGAD",E2:E698,"0330",F2:F698,"02")</f>
        <v>72.065447999999989</v>
      </c>
      <c r="BJ725" s="462">
        <f>SUMIFS(BJ2:BJ698,G2:G698,"AGAD",E2:E698,"0330",F2:F698,"02")</f>
        <v>360.32723999999996</v>
      </c>
      <c r="BK725" s="462">
        <f>SUMIFS(BK2:BK698,G2:G698,"AGAD",E2:E698,"0330",F2:F698,"02")</f>
        <v>0</v>
      </c>
      <c r="BL725" s="462">
        <f>SUMIFS(BL2:BL698,G2:G698,"AGAD",E2:E698,"0330",F2:F698,"02")</f>
        <v>5331.1945960000003</v>
      </c>
      <c r="BM725" s="462">
        <f>SUMIFS(BM2:BM698,G2:G698,"AGAD",E2:E698,"0330",F2:F698,"02")</f>
        <v>0</v>
      </c>
      <c r="BN725" s="462">
        <f>SUMIFS(BN2:BN698,G2:G698,"AGAD",E2:E698,"0330",F2:F698,"02")</f>
        <v>4077.4999999999995</v>
      </c>
      <c r="BO725" s="462">
        <f>SUMIFS(BO2:BO698,G2:G698,"AGAD",E2:E698,"0330",F2:F698,"02")</f>
        <v>0</v>
      </c>
      <c r="BP725" s="462">
        <f>SUMIFS(BP2:BP698,G2:G698,"AGAD",E2:E698,"0330",F2:F698,"02")</f>
        <v>1460.1496</v>
      </c>
      <c r="BQ725" s="462">
        <f>SUMIFS(BQ2:BQ698,G2:G698,"AGAD",E2:E698,"0330",F2:F698,"02")</f>
        <v>341.48660000000001</v>
      </c>
      <c r="BR725" s="462">
        <f>SUMIFS(BR2:BR698,G2:G698,"AGAD",E2:E698,"0330",F2:F698,"02")</f>
        <v>2811.9655200000002</v>
      </c>
      <c r="BS725" s="462">
        <f>SUMIFS(BS2:BS698,G2:G698,"AGAD",E2:E698,"0330",F2:F698,"02")</f>
        <v>169.80126799999999</v>
      </c>
      <c r="BT725" s="462">
        <f>SUMIFS(BT2:BT698,G2:G698,"AGAD",E2:E698,"0330",F2:F698,"02")</f>
        <v>0</v>
      </c>
      <c r="BU725" s="462">
        <f>SUMIFS(BU2:BU698,G2:G698,"AGAD",E2:E698,"0330",F2:F698,"02")</f>
        <v>72.065447999999989</v>
      </c>
      <c r="BV725" s="462">
        <f>SUMIFS(BV2:BV698,G2:G698,"AGAD",E2:E698,"0330",F2:F698,"02")</f>
        <v>414.49408</v>
      </c>
      <c r="BW725" s="462">
        <f>SUMIFS(BW2:BW698,G2:G698,"AGAD",E2:E698,"0330",F2:F698,"02")</f>
        <v>0</v>
      </c>
      <c r="BX725" s="462">
        <f>SUMIFS(BX2:BX698,G2:G698,"AGAD",E2:E698,"0330",F2:F698,"02")</f>
        <v>5269.9625160000014</v>
      </c>
      <c r="BY725" s="462">
        <f>SUMIFS(BY2:BY698,G2:G698,"AGAD",E2:E698,"0330",F2:F698,"02")</f>
        <v>0</v>
      </c>
      <c r="BZ725" s="462">
        <f>SUMIFS(BZ2:BZ698,G2:G698,"AGAD",E2:E698,"0330",F2:F698,"02")</f>
        <v>0</v>
      </c>
      <c r="CA725" s="462">
        <f>SUMIFS(CA2:CA698,G2:G698,"AGAD",E2:E698,"0330",F2:F698,"02")</f>
        <v>0</v>
      </c>
      <c r="CB725" s="462">
        <f>SUMIFS(CB2:CB698,G2:G698,"AGAD",E2:E698,"0330",F2:F698,"02")</f>
        <v>0</v>
      </c>
      <c r="CC725" s="462">
        <f>SUMIFS(CC2:CC698,G2:G698,"AGAD",E2:E698,"0330",F2:F698,"02")</f>
        <v>0</v>
      </c>
      <c r="CD725" s="462">
        <f>SUMIFS(CD2:CD698,G2:G698,"AGAD",E2:E698,"0330",F2:F698,"02")</f>
        <v>0</v>
      </c>
      <c r="CE725" s="462">
        <f>SUMIFS(CE2:CE698,G2:G698,"AGAD",E2:E698,"0330",F2:F698,"02")</f>
        <v>0</v>
      </c>
      <c r="CF725" s="462">
        <f>SUMIFS(CF2:CF698,G2:G698,"AGAD",E2:E698,"0330",F2:F698,"02")</f>
        <v>-115.39891999999999</v>
      </c>
      <c r="CG725" s="462">
        <f>SUMIFS(CG2:CG698,G2:G698,"AGAD",E2:E698,"0330",F2:F698,"02")</f>
        <v>0</v>
      </c>
      <c r="CH725" s="462">
        <f>SUMIFS(CH2:CH698,G2:G698,"AGAD",E2:E698,"0330",F2:F698,"02")</f>
        <v>54.166840000000036</v>
      </c>
      <c r="CI725" s="462">
        <f>SUMIFS(CI2:CI698,G2:G698,"AGAD",E2:E698,"0330",F2:F698,"02")</f>
        <v>0</v>
      </c>
      <c r="CJ725" s="462">
        <f>SUMIFS(CJ2:CJ698,G2:G698,"AGAD",E2:E698,"0330",F2:F698,"02")</f>
        <v>-61.232079999999954</v>
      </c>
      <c r="CK725" s="462">
        <f>SUMIFS(CK2:CK698,G2:G698,"AGAD",E2:E698,"0330",F2:F698,"02")</f>
        <v>0</v>
      </c>
      <c r="CL725" s="462">
        <f>SUMIFS(CL2:CL698,G2:G698,"AGAD",E2:E698,"0330",F2:F698,"02")</f>
        <v>11.55</v>
      </c>
      <c r="CM725" s="462">
        <f>SUMIFS(CM2:CM698,G2:G698,"AGAD",E2:E698,"0330",F2:F698,"02")</f>
        <v>6.22</v>
      </c>
    </row>
    <row r="726" spans="43:91" x14ac:dyDescent="0.3">
      <c r="AR726" t="s">
        <v>1500</v>
      </c>
      <c r="AS726" s="462">
        <f>SUMIFS(AS2:AS698,G2:G698,"AGAD",E2:E698,"0330",F2:F698,"05",AT2:AT698,1)</f>
        <v>0</v>
      </c>
      <c r="AT726" s="462">
        <f>SUMIFS(AS2:AS698,G2:G698,"AGAD",E2:E698,"0330",F2:F698,"05",AT2:AT698,3)</f>
        <v>0</v>
      </c>
      <c r="AU726" s="462">
        <f>SUMIFS(AU2:AU698,G2:G698,"AGAD",E2:E698,"0330",F2:F698,"05")</f>
        <v>0</v>
      </c>
      <c r="AV726" s="462">
        <f>SUMIFS(AV2:AV698,G2:G698,"AGAD",E2:E698,"0330",F2:F698,"05")</f>
        <v>0</v>
      </c>
      <c r="AW726" s="462">
        <f>SUMIFS(AW2:AW698,G2:G698,"AGAD",E2:E698,"0330",F2:F698,"05")</f>
        <v>43</v>
      </c>
      <c r="AX726" s="462">
        <f>SUMIFS(AX2:AX698,G2:G698,"AGAD",E2:E698,"0330",F2:F698,"05")</f>
        <v>0</v>
      </c>
      <c r="AY726" s="462">
        <f>SUMIFS(AY2:AY698,G2:G698,"AGAD",E2:E698,"0330",F2:F698,"05")</f>
        <v>0</v>
      </c>
      <c r="AZ726" s="462">
        <f>SUMIFS(AZ2:AZ698,G2:G698,"AGAD",E2:E698,"0330",F2:F698,"05")</f>
        <v>0</v>
      </c>
      <c r="BA726" s="462">
        <f>SUMIFS(BA2:BA698,G2:G698,"AGAD",E2:E698,"0330",F2:F698,"05")</f>
        <v>0</v>
      </c>
      <c r="BB726" s="462">
        <f>SUMIFS(BB2:BB698,G2:G698,"AGAD",E2:E698,"0330",F2:F698,"05")</f>
        <v>0</v>
      </c>
      <c r="BC726" s="462">
        <f>SUMIFS(BC2:BC698,G2:G698,"AGAD",E2:E698,"0330",F2:F698,"05")</f>
        <v>0</v>
      </c>
      <c r="BD726" s="462">
        <f>SUMIFS(BD2:BD698,G2:G698,"AGAD",E2:E698,"0330",F2:F698,"05")</f>
        <v>0</v>
      </c>
      <c r="BE726" s="462">
        <f>SUMIFS(BE2:BE698,G2:G698,"AGAD",E2:E698,"0330",F2:F698,"05")</f>
        <v>0</v>
      </c>
      <c r="BF726" s="462">
        <f>SUMIFS(BF2:BF698,G2:G698,"AGAD",E2:E698,"0330",F2:F698,"05")</f>
        <v>0</v>
      </c>
      <c r="BG726" s="462">
        <f>SUMIFS(BG2:BG698,G2:G698,"AGAD",E2:E698,"0330",F2:F698,"05")</f>
        <v>0</v>
      </c>
      <c r="BH726" s="462">
        <f>SUMIFS(BH2:BH698,G2:G698,"AGAD",E2:E698,"0330",F2:F698,"05")</f>
        <v>0</v>
      </c>
      <c r="BI726" s="462">
        <f>SUMIFS(BI2:BI698,G2:G698,"AGAD",E2:E698,"0330",F2:F698,"05")</f>
        <v>0</v>
      </c>
      <c r="BJ726" s="462">
        <f>SUMIFS(BJ2:BJ698,G2:G698,"AGAD",E2:E698,"0330",F2:F698,"05")</f>
        <v>0</v>
      </c>
      <c r="BK726" s="462">
        <f>SUMIFS(BK2:BK698,G2:G698,"AGAD",E2:E698,"0330",F2:F698,"05")</f>
        <v>0</v>
      </c>
      <c r="BL726" s="462">
        <f>SUMIFS(BL2:BL698,G2:G698,"AGAD",E2:E698,"0330",F2:F698,"05")</f>
        <v>0</v>
      </c>
      <c r="BM726" s="462">
        <f>SUMIFS(BM2:BM698,G2:G698,"AGAD",E2:E698,"0330",F2:F698,"05")</f>
        <v>0</v>
      </c>
      <c r="BN726" s="462">
        <f>SUMIFS(BN2:BN698,G2:G698,"AGAD",E2:E698,"0330",F2:F698,"05")</f>
        <v>0</v>
      </c>
      <c r="BO726" s="462">
        <f>SUMIFS(BO2:BO698,G2:G698,"AGAD",E2:E698,"0330",F2:F698,"05")</f>
        <v>0</v>
      </c>
      <c r="BP726" s="462">
        <f>SUMIFS(BP2:BP698,G2:G698,"AGAD",E2:E698,"0330",F2:F698,"05")</f>
        <v>0</v>
      </c>
      <c r="BQ726" s="462">
        <f>SUMIFS(BQ2:BQ698,G2:G698,"AGAD",E2:E698,"0330",F2:F698,"05")</f>
        <v>0</v>
      </c>
      <c r="BR726" s="462">
        <f>SUMIFS(BR2:BR698,G2:G698,"AGAD",E2:E698,"0330",F2:F698,"05")</f>
        <v>0</v>
      </c>
      <c r="BS726" s="462">
        <f>SUMIFS(BS2:BS698,G2:G698,"AGAD",E2:E698,"0330",F2:F698,"05")</f>
        <v>0</v>
      </c>
      <c r="BT726" s="462">
        <f>SUMIFS(BT2:BT698,G2:G698,"AGAD",E2:E698,"0330",F2:F698,"05")</f>
        <v>0</v>
      </c>
      <c r="BU726" s="462">
        <f>SUMIFS(BU2:BU698,G2:G698,"AGAD",E2:E698,"0330",F2:F698,"05")</f>
        <v>0</v>
      </c>
      <c r="BV726" s="462">
        <f>SUMIFS(BV2:BV698,G2:G698,"AGAD",E2:E698,"0330",F2:F698,"05")</f>
        <v>0</v>
      </c>
      <c r="BW726" s="462">
        <f>SUMIFS(BW2:BW698,G2:G698,"AGAD",E2:E698,"0330",F2:F698,"05")</f>
        <v>0</v>
      </c>
      <c r="BX726" s="462">
        <f>SUMIFS(BX2:BX698,G2:G698,"AGAD",E2:E698,"0330",F2:F698,"05")</f>
        <v>0</v>
      </c>
      <c r="BY726" s="462">
        <f>SUMIFS(BY2:BY698,G2:G698,"AGAD",E2:E698,"0330",F2:F698,"05")</f>
        <v>0</v>
      </c>
      <c r="BZ726" s="462">
        <f>SUMIFS(BZ2:BZ698,G2:G698,"AGAD",E2:E698,"0330",F2:F698,"05")</f>
        <v>0</v>
      </c>
      <c r="CA726" s="462">
        <f>SUMIFS(CA2:CA698,G2:G698,"AGAD",E2:E698,"0330",F2:F698,"05")</f>
        <v>0</v>
      </c>
      <c r="CB726" s="462">
        <f>SUMIFS(CB2:CB698,G2:G698,"AGAD",E2:E698,"0330",F2:F698,"05")</f>
        <v>0</v>
      </c>
      <c r="CC726" s="462">
        <f>SUMIFS(CC2:CC698,G2:G698,"AGAD",E2:E698,"0330",F2:F698,"05")</f>
        <v>0</v>
      </c>
      <c r="CD726" s="462">
        <f>SUMIFS(CD2:CD698,G2:G698,"AGAD",E2:E698,"0330",F2:F698,"05")</f>
        <v>0</v>
      </c>
      <c r="CE726" s="462">
        <f>SUMIFS(CE2:CE698,G2:G698,"AGAD",E2:E698,"0330",F2:F698,"05")</f>
        <v>0</v>
      </c>
      <c r="CF726" s="462">
        <f>SUMIFS(CF2:CF698,G2:G698,"AGAD",E2:E698,"0330",F2:F698,"05")</f>
        <v>0</v>
      </c>
      <c r="CG726" s="462">
        <f>SUMIFS(CG2:CG698,G2:G698,"AGAD",E2:E698,"0330",F2:F698,"05")</f>
        <v>0</v>
      </c>
      <c r="CH726" s="462">
        <f>SUMIFS(CH2:CH698,G2:G698,"AGAD",E2:E698,"0330",F2:F698,"05")</f>
        <v>0</v>
      </c>
      <c r="CI726" s="462">
        <f>SUMIFS(CI2:CI698,G2:G698,"AGAD",E2:E698,"0330",F2:F698,"05")</f>
        <v>0</v>
      </c>
      <c r="CJ726" s="462">
        <f>SUMIFS(CJ2:CJ698,G2:G698,"AGAD",E2:E698,"0330",F2:F698,"05")</f>
        <v>0</v>
      </c>
      <c r="CK726" s="462">
        <f>SUMIFS(CK2:CK698,G2:G698,"AGAD",E2:E698,"0330",F2:F698,"05")</f>
        <v>0</v>
      </c>
      <c r="CL726" s="462">
        <f>SUMIFS(CL2:CL698,G2:G698,"AGAD",E2:E698,"0330",F2:F698,"05")</f>
        <v>27429</v>
      </c>
      <c r="CM726" s="462">
        <f>SUMIFS(CM2:CM698,G2:G698,"AGAD",E2:E698,"0330",F2:F698,"05")</f>
        <v>3333.64</v>
      </c>
    </row>
    <row r="727" spans="43:91" ht="15" thickBot="1" x14ac:dyDescent="0.35">
      <c r="AR727" t="s">
        <v>1501</v>
      </c>
      <c r="AS727" s="462">
        <f>SUMIFS(AS2:AS698,G2:G698,"AGAD",E2:E698,"0330",F2:F698,"08",AT2:AT698,1)</f>
        <v>0.1</v>
      </c>
      <c r="AT727" s="462">
        <f>SUMIFS(AS2:AS698,G2:G698,"AGAD",E2:E698,"0330",F2:F698,"08",AT2:AT698,3)</f>
        <v>0</v>
      </c>
      <c r="AU727" s="462">
        <f>SUMIFS(AU2:AU698,G2:G698,"AGAD",E2:E698,"0330",F2:F698,"08")</f>
        <v>1</v>
      </c>
      <c r="AV727" s="462">
        <f>SUMIFS(AV2:AV698,G2:G698,"AGAD",E2:E698,"0330",F2:F698,"08")</f>
        <v>0</v>
      </c>
      <c r="AW727" s="462">
        <f>SUMIFS(AW2:AW698,G2:G698,"AGAD",E2:E698,"0330",F2:F698,"08")</f>
        <v>61</v>
      </c>
      <c r="AX727" s="462">
        <f>SUMIFS(AX2:AX698,G2:G698,"AGAD",E2:E698,"0330",F2:F698,"08")</f>
        <v>38396.799999999996</v>
      </c>
      <c r="AY727" s="462">
        <f>SUMIFS(AY2:AY698,G2:G698,"AGAD",E2:E698,"0330",F2:F698,"08")</f>
        <v>3839.68</v>
      </c>
      <c r="AZ727" s="462">
        <f>SUMIFS(AZ2:AZ698,G2:G698,"AGAD",E2:E698,"0330",F2:F698,"08")</f>
        <v>0</v>
      </c>
      <c r="BA727" s="462">
        <f>SUMIFS(BA2:BA698,G2:G698,"AGAD",E2:E698,"0330",F2:F698,"08")</f>
        <v>0</v>
      </c>
      <c r="BB727" s="462">
        <f>SUMIFS(BB2:BB698,G2:G698,"AGAD",E2:E698,"0330",F2:F698,"08")</f>
        <v>1165</v>
      </c>
      <c r="BC727" s="462">
        <f>SUMIFS(BC2:BC698,G2:G698,"AGAD",E2:E698,"0330",F2:F698,"08")</f>
        <v>0</v>
      </c>
      <c r="BD727" s="462">
        <f>SUMIFS(BD2:BD698,G2:G698,"AGAD",E2:E698,"0330",F2:F698,"08")</f>
        <v>238.06016</v>
      </c>
      <c r="BE727" s="462">
        <f>SUMIFS(BE2:BE698,G2:G698,"AGAD",E2:E698,"0330",F2:F698,"08")</f>
        <v>55.675359999999998</v>
      </c>
      <c r="BF727" s="462">
        <f>SUMIFS(BF2:BF698,G2:G698,"AGAD",E2:E698,"0330",F2:F698,"08")</f>
        <v>458.45779199999998</v>
      </c>
      <c r="BG727" s="462">
        <f>SUMIFS(BG2:BG698,G2:G698,"AGAD",E2:E698,"0330",F2:F698,"08")</f>
        <v>27.684092799999998</v>
      </c>
      <c r="BH727" s="462">
        <f>SUMIFS(BH2:BH698,G2:G698,"AGAD",E2:E698,"0330",F2:F698,"08")</f>
        <v>18.814432</v>
      </c>
      <c r="BI727" s="462">
        <f>SUMIFS(BI2:BI698,G2:G698,"AGAD",E2:E698,"0330",F2:F698,"08")</f>
        <v>11.749420799999999</v>
      </c>
      <c r="BJ727" s="462">
        <f>SUMIFS(BJ2:BJ698,G2:G698,"AGAD",E2:E698,"0330",F2:F698,"08")</f>
        <v>58.747103999999993</v>
      </c>
      <c r="BK727" s="462">
        <f>SUMIFS(BK2:BK698,G2:G698,"AGAD",E2:E698,"0330",F2:F698,"08")</f>
        <v>0</v>
      </c>
      <c r="BL727" s="462">
        <f>SUMIFS(BL2:BL698,G2:G698,"AGAD",E2:E698,"0330",F2:F698,"08")</f>
        <v>869.18836160000012</v>
      </c>
      <c r="BM727" s="462">
        <f>SUMIFS(BM2:BM698,G2:G698,"AGAD",E2:E698,"0330",F2:F698,"08")</f>
        <v>0</v>
      </c>
      <c r="BN727" s="462">
        <f>SUMIFS(BN2:BN698,G2:G698,"AGAD",E2:E698,"0330",F2:F698,"08")</f>
        <v>1165</v>
      </c>
      <c r="BO727" s="462">
        <f>SUMIFS(BO2:BO698,G2:G698,"AGAD",E2:E698,"0330",F2:F698,"08")</f>
        <v>0</v>
      </c>
      <c r="BP727" s="462">
        <f>SUMIFS(BP2:BP698,G2:G698,"AGAD",E2:E698,"0330",F2:F698,"08")</f>
        <v>238.06016</v>
      </c>
      <c r="BQ727" s="462">
        <f>SUMIFS(BQ2:BQ698,G2:G698,"AGAD",E2:E698,"0330",F2:F698,"08")</f>
        <v>55.675359999999998</v>
      </c>
      <c r="BR727" s="462">
        <f>SUMIFS(BR2:BR698,G2:G698,"AGAD",E2:E698,"0330",F2:F698,"08")</f>
        <v>458.45779199999998</v>
      </c>
      <c r="BS727" s="462">
        <f>SUMIFS(BS2:BS698,G2:G698,"AGAD",E2:E698,"0330",F2:F698,"08")</f>
        <v>27.684092799999998</v>
      </c>
      <c r="BT727" s="462">
        <f>SUMIFS(BT2:BT698,G2:G698,"AGAD",E2:E698,"0330",F2:F698,"08")</f>
        <v>0</v>
      </c>
      <c r="BU727" s="462">
        <f>SUMIFS(BU2:BU698,G2:G698,"AGAD",E2:E698,"0330",F2:F698,"08")</f>
        <v>11.749420799999999</v>
      </c>
      <c r="BV727" s="462">
        <f>SUMIFS(BV2:BV698,G2:G698,"AGAD",E2:E698,"0330",F2:F698,"08")</f>
        <v>67.578367999999998</v>
      </c>
      <c r="BW727" s="462">
        <f>SUMIFS(BW2:BW698,G2:G698,"AGAD",E2:E698,"0330",F2:F698,"08")</f>
        <v>0</v>
      </c>
      <c r="BX727" s="462">
        <f>SUMIFS(BX2:BX698,G2:G698,"AGAD",E2:E698,"0330",F2:F698,"08")</f>
        <v>859.20519360000003</v>
      </c>
      <c r="BY727" s="462">
        <f>SUMIFS(BY2:BY698,G2:G698,"AGAD",E2:E698,"0330",F2:F698,"08")</f>
        <v>0</v>
      </c>
      <c r="BZ727" s="462">
        <f>SUMIFS(BZ2:BZ698,G2:G698,"AGAD",E2:E698,"0330",F2:F698,"08")</f>
        <v>0</v>
      </c>
      <c r="CA727" s="462">
        <f>SUMIFS(CA2:CA698,G2:G698,"AGAD",E2:E698,"0330",F2:F698,"08")</f>
        <v>0</v>
      </c>
      <c r="CB727" s="462">
        <f>SUMIFS(CB2:CB698,G2:G698,"AGAD",E2:E698,"0330",F2:F698,"08")</f>
        <v>0</v>
      </c>
      <c r="CC727" s="462">
        <f>SUMIFS(CC2:CC698,G2:G698,"AGAD",E2:E698,"0330",F2:F698,"08")</f>
        <v>0</v>
      </c>
      <c r="CD727" s="462">
        <f>SUMIFS(CD2:CD698,G2:G698,"AGAD",E2:E698,"0330",F2:F698,"08")</f>
        <v>0</v>
      </c>
      <c r="CE727" s="462">
        <f>SUMIFS(CE2:CE698,G2:G698,"AGAD",E2:E698,"0330",F2:F698,"08")</f>
        <v>0</v>
      </c>
      <c r="CF727" s="462">
        <f>SUMIFS(CF2:CF698,G2:G698,"AGAD",E2:E698,"0330",F2:F698,"08")</f>
        <v>-18.814432</v>
      </c>
      <c r="CG727" s="462">
        <f>SUMIFS(CG2:CG698,G2:G698,"AGAD",E2:E698,"0330",F2:F698,"08")</f>
        <v>0</v>
      </c>
      <c r="CH727" s="462">
        <f>SUMIFS(CH2:CH698,G2:G698,"AGAD",E2:E698,"0330",F2:F698,"08")</f>
        <v>8.8312640000000062</v>
      </c>
      <c r="CI727" s="462">
        <f>SUMIFS(CI2:CI698,G2:G698,"AGAD",E2:E698,"0330",F2:F698,"08")</f>
        <v>0</v>
      </c>
      <c r="CJ727" s="462">
        <f>SUMIFS(CJ2:CJ698,G2:G698,"AGAD",E2:E698,"0330",F2:F698,"08")</f>
        <v>-9.9831679999999938</v>
      </c>
      <c r="CK727" s="462">
        <f>SUMIFS(CK2:CK698,G2:G698,"AGAD",E2:E698,"0330",F2:F698,"08")</f>
        <v>0</v>
      </c>
      <c r="CL727" s="462">
        <f>SUMIFS(CL2:CL698,G2:G698,"AGAD",E2:E698,"0330",F2:F698,"08")</f>
        <v>0</v>
      </c>
      <c r="CM727" s="462">
        <f>SUMIFS(CM2:CM698,G2:G698,"AGAD",E2:E698,"0330",F2:F698,"08")</f>
        <v>0</v>
      </c>
    </row>
    <row r="728" spans="43:91" ht="18" x14ac:dyDescent="0.35">
      <c r="AQ728" s="468" t="s">
        <v>1502</v>
      </c>
      <c r="AS728" s="469">
        <f>SUM(AS723:AS727)</f>
        <v>8.8899999999999988</v>
      </c>
      <c r="AT728" s="469">
        <f>SUM(AT723:AT727)</f>
        <v>0</v>
      </c>
      <c r="AU728" s="469">
        <f>SUM(AU723:AU727)</f>
        <v>17</v>
      </c>
      <c r="AV728" s="469">
        <f>SUM(AV723:AV727)</f>
        <v>0</v>
      </c>
      <c r="AW728" s="469">
        <f>SUM(AW723:AW727)</f>
        <v>280</v>
      </c>
      <c r="AX728" s="469">
        <f>SUM(AX723:AX727)</f>
        <v>805271.99000000011</v>
      </c>
      <c r="AY728" s="469">
        <f>SUM(AY723:AY727)</f>
        <v>414706.65</v>
      </c>
      <c r="AZ728" s="469">
        <f>SUM(AZ723:AZ727)</f>
        <v>0</v>
      </c>
      <c r="BA728" s="469">
        <f>SUM(BA723:BA727)</f>
        <v>0</v>
      </c>
      <c r="BB728" s="469">
        <f>SUM(BB723:BB727)</f>
        <v>103568.5</v>
      </c>
      <c r="BC728" s="469">
        <f>SUM(BC723:BC727)</f>
        <v>0</v>
      </c>
      <c r="BD728" s="469">
        <f>SUM(BD723:BD727)</f>
        <v>25711.812300000001</v>
      </c>
      <c r="BE728" s="469">
        <f>SUM(BE723:BE727)</f>
        <v>6013.2464250000003</v>
      </c>
      <c r="BF728" s="469">
        <f>SUM(BF723:BF727)</f>
        <v>49515.974009999998</v>
      </c>
      <c r="BG728" s="469">
        <f>SUM(BG723:BG727)</f>
        <v>2990.0349465000004</v>
      </c>
      <c r="BH728" s="469">
        <f>SUM(BH723:BH727)</f>
        <v>2032.0625849999999</v>
      </c>
      <c r="BI728" s="469">
        <f>SUM(BI723:BI727)</f>
        <v>1269.0023489999999</v>
      </c>
      <c r="BJ728" s="469">
        <f>SUM(BJ723:BJ727)</f>
        <v>6345.0117449999998</v>
      </c>
      <c r="BK728" s="469">
        <f>SUM(BK723:BK727)</f>
        <v>0</v>
      </c>
      <c r="BL728" s="469">
        <f>SUM(BL723:BL727)</f>
        <v>93877.144360500009</v>
      </c>
      <c r="BM728" s="469">
        <f>SUM(BM723:BM727)</f>
        <v>0</v>
      </c>
      <c r="BN728" s="469">
        <f>SUM(BN723:BN727)</f>
        <v>103568.5</v>
      </c>
      <c r="BO728" s="469">
        <f>SUM(BO723:BO727)</f>
        <v>0</v>
      </c>
      <c r="BP728" s="469">
        <f>SUM(BP723:BP727)</f>
        <v>25711.812300000001</v>
      </c>
      <c r="BQ728" s="469">
        <f>SUM(BQ723:BQ727)</f>
        <v>6013.2464250000003</v>
      </c>
      <c r="BR728" s="469">
        <f>SUM(BR723:BR727)</f>
        <v>49515.974009999998</v>
      </c>
      <c r="BS728" s="469">
        <f>SUM(BS723:BS727)</f>
        <v>2990.0349465000004</v>
      </c>
      <c r="BT728" s="469">
        <f>SUM(BT723:BT727)</f>
        <v>0</v>
      </c>
      <c r="BU728" s="469">
        <f>SUM(BU723:BU727)</f>
        <v>1269.0023489999999</v>
      </c>
      <c r="BV728" s="469">
        <f>SUM(BV723:BV727)</f>
        <v>7298.8370400000031</v>
      </c>
      <c r="BW728" s="469">
        <f>SUM(BW723:BW727)</f>
        <v>0</v>
      </c>
      <c r="BX728" s="469">
        <f>SUM(BX723:BX727)</f>
        <v>92798.907070500019</v>
      </c>
      <c r="BY728" s="469">
        <f>SUM(BY723:BY727)</f>
        <v>0</v>
      </c>
      <c r="BZ728" s="469">
        <f>SUM(BZ723:BZ727)</f>
        <v>0</v>
      </c>
      <c r="CA728" s="469">
        <f>SUM(CA723:CA727)</f>
        <v>0</v>
      </c>
      <c r="CB728" s="469">
        <f>SUM(CB723:CB727)</f>
        <v>0</v>
      </c>
      <c r="CC728" s="469">
        <f>SUM(CC723:CC727)</f>
        <v>0</v>
      </c>
      <c r="CD728" s="469">
        <f>SUM(CD723:CD727)</f>
        <v>0</v>
      </c>
      <c r="CE728" s="469">
        <f>SUM(CE723:CE727)</f>
        <v>0</v>
      </c>
      <c r="CF728" s="469">
        <f>SUM(CF723:CF727)</f>
        <v>-2032.0625849999999</v>
      </c>
      <c r="CG728" s="469">
        <f>SUM(CG723:CG727)</f>
        <v>0</v>
      </c>
      <c r="CH728" s="469">
        <f>SUM(CH723:CH727)</f>
        <v>953.82529500000066</v>
      </c>
      <c r="CI728" s="469">
        <f>SUM(CI723:CI727)</f>
        <v>0</v>
      </c>
      <c r="CJ728" s="469">
        <f>SUM(CJ723:CJ727)</f>
        <v>-1078.2372899999991</v>
      </c>
      <c r="CK728" s="469">
        <f>SUM(CK723:CK727)</f>
        <v>0</v>
      </c>
      <c r="CL728" s="469">
        <f>SUM(CL723:CL727)</f>
        <v>244989.6</v>
      </c>
      <c r="CM728" s="469">
        <f>SUM(CM723:CM727)</f>
        <v>44015.619999999995</v>
      </c>
    </row>
    <row r="729" spans="43:91" ht="15" thickBot="1" x14ac:dyDescent="0.35">
      <c r="AR729" t="s">
        <v>1507</v>
      </c>
      <c r="AS729" s="462">
        <f>SUMIFS(AS2:AS698,G2:G698,"AGAD",E2:E698,"0330",F2:F698,"13",AT2:AT698,1)</f>
        <v>3.34</v>
      </c>
      <c r="AT729" s="462">
        <f>SUMIFS(AS2:AS698,G2:G698,"AGAD",E2:E698,"0330",F2:F698,"13",AT2:AT698,3)</f>
        <v>0</v>
      </c>
      <c r="AU729" s="462">
        <f>SUMIFS(AU2:AU698,G2:G698,"AGAD",E2:E698,"0330",F2:F698,"13")</f>
        <v>5</v>
      </c>
      <c r="AV729" s="462">
        <f>SUMIFS(AV2:AV698,G2:G698,"AGAD",E2:E698,"0330",F2:F698,"13")</f>
        <v>0</v>
      </c>
      <c r="AW729" s="462">
        <f>SUMIFS(AW2:AW698,G2:G698,"AGAD",E2:E698,"0330",F2:F698,"13")</f>
        <v>22</v>
      </c>
      <c r="AX729" s="462">
        <f>SUMIFS(AX2:AX698,G2:G698,"AGAD",E2:E698,"0330",F2:F698,"13")</f>
        <v>326123.19</v>
      </c>
      <c r="AY729" s="462">
        <f>SUMIFS(AY2:AY698,G2:G698,"AGAD",E2:E698,"0330",F2:F698,"13")</f>
        <v>214840.28</v>
      </c>
      <c r="AZ729" s="462">
        <f>SUMIFS(AZ2:AZ698,G2:G698,"AGAD",E2:E698,"0330",F2:F698,"13")</f>
        <v>0</v>
      </c>
      <c r="BA729" s="462">
        <f>SUMIFS(BA2:BA698,G2:G698,"AGAD",E2:E698,"0330",F2:F698,"13")</f>
        <v>0</v>
      </c>
      <c r="BB729" s="462">
        <f>SUMIFS(BB2:BB698,G2:G698,"AGAD",E2:E698,"0330",F2:F698,"13")</f>
        <v>38911</v>
      </c>
      <c r="BC729" s="462">
        <f>SUMIFS(BC2:BC698,G2:G698,"AGAD",E2:E698,"0330",F2:F698,"13")</f>
        <v>0</v>
      </c>
      <c r="BD729" s="462">
        <f>SUMIFS(BD2:BD698,G2:G698,"AGAD",E2:E698,"0330",F2:F698,"13")</f>
        <v>13320.09736</v>
      </c>
      <c r="BE729" s="462">
        <f>SUMIFS(BE2:BE698,G2:G698,"AGAD",E2:E698,"0330",F2:F698,"13")</f>
        <v>3115.18406</v>
      </c>
      <c r="BF729" s="462">
        <f>SUMIFS(BF2:BF698,G2:G698,"AGAD",E2:E698,"0330",F2:F698,"13")</f>
        <v>25651.929432000001</v>
      </c>
      <c r="BG729" s="462">
        <f>SUMIFS(BG2:BG698,G2:G698,"AGAD",E2:E698,"0330",F2:F698,"13")</f>
        <v>1548.9984188000003</v>
      </c>
      <c r="BH729" s="462">
        <f>SUMIFS(BH2:BH698,G2:G698,"AGAD",E2:E698,"0330",F2:F698,"13")</f>
        <v>1052.7173720000001</v>
      </c>
      <c r="BI729" s="462">
        <f>SUMIFS(BI2:BI698,G2:G698,"AGAD",E2:E698,"0330",F2:F698,"13")</f>
        <v>657.41125679999993</v>
      </c>
      <c r="BJ729" s="462">
        <f>SUMIFS(BJ2:BJ698,G2:G698,"AGAD",E2:E698,"0330",F2:F698,"13")</f>
        <v>3287.0562840000002</v>
      </c>
      <c r="BK729" s="462">
        <f>SUMIFS(BK2:BK698,G2:G698,"AGAD",E2:E698,"0330",F2:F698,"13")</f>
        <v>0</v>
      </c>
      <c r="BL729" s="462">
        <f>SUMIFS(BL2:BL698,G2:G698,"AGAD",E2:E698,"0330",F2:F698,"13")</f>
        <v>48633.394183599994</v>
      </c>
      <c r="BM729" s="462">
        <f>SUMIFS(BM2:BM698,G2:G698,"AGAD",E2:E698,"0330",F2:F698,"13")</f>
        <v>0</v>
      </c>
      <c r="BN729" s="462">
        <f>SUMIFS(BN2:BN698,G2:G698,"AGAD",E2:E698,"0330",F2:F698,"13")</f>
        <v>38911</v>
      </c>
      <c r="BO729" s="462">
        <f>SUMIFS(BO2:BO698,G2:G698,"AGAD",E2:E698,"0330",F2:F698,"13")</f>
        <v>0</v>
      </c>
      <c r="BP729" s="462">
        <f>SUMIFS(BP2:BP698,G2:G698,"AGAD",E2:E698,"0330",F2:F698,"13")</f>
        <v>13320.09736</v>
      </c>
      <c r="BQ729" s="462">
        <f>SUMIFS(BQ2:BQ698,G2:G698,"AGAD",E2:E698,"0330",F2:F698,"13")</f>
        <v>3115.18406</v>
      </c>
      <c r="BR729" s="462">
        <f>SUMIFS(BR2:BR698,G2:G698,"AGAD",E2:E698,"0330",F2:F698,"13")</f>
        <v>25651.929432000001</v>
      </c>
      <c r="BS729" s="462">
        <f>SUMIFS(BS2:BS698,G2:G698,"AGAD",E2:E698,"0330",F2:F698,"13")</f>
        <v>1548.9984188000003</v>
      </c>
      <c r="BT729" s="462">
        <f>SUMIFS(BT2:BT698,G2:G698,"AGAD",E2:E698,"0330",F2:F698,"13")</f>
        <v>0</v>
      </c>
      <c r="BU729" s="462">
        <f>SUMIFS(BU2:BU698,G2:G698,"AGAD",E2:E698,"0330",F2:F698,"13")</f>
        <v>657.41125679999993</v>
      </c>
      <c r="BV729" s="462">
        <f>SUMIFS(BV2:BV698,G2:G698,"AGAD",E2:E698,"0330",F2:F698,"13")</f>
        <v>3781.188928</v>
      </c>
      <c r="BW729" s="462">
        <f>SUMIFS(BW2:BW698,G2:G698,"AGAD",E2:E698,"0330",F2:F698,"13")</f>
        <v>0</v>
      </c>
      <c r="BX729" s="462">
        <f>SUMIFS(BX2:BX698,G2:G698,"AGAD",E2:E698,"0330",F2:F698,"13")</f>
        <v>48074.8094556</v>
      </c>
      <c r="BY729" s="462">
        <f>SUMIFS(BY2:BY698,G2:G698,"AGAD",E2:E698,"0330",F2:F698,"13")</f>
        <v>0</v>
      </c>
      <c r="BZ729" s="462">
        <f>SUMIFS(BZ2:BZ698,G2:G698,"AGAD",E2:E698,"0330",F2:F698,"13")</f>
        <v>0</v>
      </c>
      <c r="CA729" s="462">
        <f>SUMIFS(CA2:CA698,G2:G698,"AGAD",E2:E698,"0330",F2:F698,"13")</f>
        <v>0</v>
      </c>
      <c r="CB729" s="462">
        <f>SUMIFS(CB2:CB698,G2:G698,"AGAD",E2:E698,"0330",F2:F698,"13")</f>
        <v>0</v>
      </c>
      <c r="CC729" s="462">
        <f>SUMIFS(CC2:CC698,G2:G698,"AGAD",E2:E698,"0330",F2:F698,"13")</f>
        <v>0</v>
      </c>
      <c r="CD729" s="462">
        <f>SUMIFS(CD2:CD698,G2:G698,"AGAD",E2:E698,"0330",F2:F698,"13")</f>
        <v>0</v>
      </c>
      <c r="CE729" s="462">
        <f>SUMIFS(CE2:CE698,G2:G698,"AGAD",E2:E698,"0330",F2:F698,"13")</f>
        <v>0</v>
      </c>
      <c r="CF729" s="462">
        <f>SUMIFS(CF2:CF698,G2:G698,"AGAD",E2:E698,"0330",F2:F698,"13")</f>
        <v>-1052.7173720000001</v>
      </c>
      <c r="CG729" s="462">
        <f>SUMIFS(CG2:CG698,G2:G698,"AGAD",E2:E698,"0330",F2:F698,"13")</f>
        <v>0</v>
      </c>
      <c r="CH729" s="462">
        <f>SUMIFS(CH2:CH698,G2:G698,"AGAD",E2:E698,"0330",F2:F698,"13")</f>
        <v>494.13264400000037</v>
      </c>
      <c r="CI729" s="462">
        <f>SUMIFS(CI2:CI698,G2:G698,"AGAD",E2:E698,"0330",F2:F698,"13")</f>
        <v>0</v>
      </c>
      <c r="CJ729" s="462">
        <f>SUMIFS(CJ2:CJ698,G2:G698,"AGAD",E2:E698,"0330",F2:F698,"13")</f>
        <v>-558.58472799999959</v>
      </c>
      <c r="CK729" s="462">
        <f>SUMIFS(CK2:CK698,G2:G698,"AGAD",E2:E698,"0330",F2:F698,"13")</f>
        <v>0</v>
      </c>
      <c r="CL729" s="462">
        <f>SUMIFS(CL2:CL698,G2:G698,"AGAD",E2:E698,"0330",F2:F698,"13")</f>
        <v>9786.2000000000007</v>
      </c>
      <c r="CM729" s="462">
        <f>SUMIFS(CM2:CM698,G2:G698,"AGAD",E2:E698,"0330",F2:F698,"13")</f>
        <v>1849.98</v>
      </c>
    </row>
    <row r="730" spans="43:91" ht="18" x14ac:dyDescent="0.35">
      <c r="AQ730" s="468" t="s">
        <v>1502</v>
      </c>
      <c r="AS730" s="469">
        <f>SUM(AS729:AS729)</f>
        <v>3.34</v>
      </c>
      <c r="AT730" s="469">
        <f>SUM(AT729:AT729)</f>
        <v>0</v>
      </c>
      <c r="AU730" s="469">
        <f>SUM(AU729:AU729)</f>
        <v>5</v>
      </c>
      <c r="AV730" s="469">
        <f>SUM(AV729:AV729)</f>
        <v>0</v>
      </c>
      <c r="AW730" s="469">
        <f>SUM(AW729:AW729)</f>
        <v>22</v>
      </c>
      <c r="AX730" s="469">
        <f>SUM(AX729:AX729)</f>
        <v>326123.19</v>
      </c>
      <c r="AY730" s="469">
        <f>SUM(AY729:AY729)</f>
        <v>214840.28</v>
      </c>
      <c r="AZ730" s="469">
        <f>SUM(AZ729:AZ729)</f>
        <v>0</v>
      </c>
      <c r="BA730" s="469">
        <f>SUM(BA729:BA729)</f>
        <v>0</v>
      </c>
      <c r="BB730" s="469">
        <f>SUM(BB729:BB729)</f>
        <v>38911</v>
      </c>
      <c r="BC730" s="469">
        <f>SUM(BC729:BC729)</f>
        <v>0</v>
      </c>
      <c r="BD730" s="469">
        <f>SUM(BD729:BD729)</f>
        <v>13320.09736</v>
      </c>
      <c r="BE730" s="469">
        <f>SUM(BE729:BE729)</f>
        <v>3115.18406</v>
      </c>
      <c r="BF730" s="469">
        <f>SUM(BF729:BF729)</f>
        <v>25651.929432000001</v>
      </c>
      <c r="BG730" s="469">
        <f>SUM(BG729:BG729)</f>
        <v>1548.9984188000003</v>
      </c>
      <c r="BH730" s="469">
        <f>SUM(BH729:BH729)</f>
        <v>1052.7173720000001</v>
      </c>
      <c r="BI730" s="469">
        <f>SUM(BI729:BI729)</f>
        <v>657.41125679999993</v>
      </c>
      <c r="BJ730" s="469">
        <f>SUM(BJ729:BJ729)</f>
        <v>3287.0562840000002</v>
      </c>
      <c r="BK730" s="469">
        <f>SUM(BK729:BK729)</f>
        <v>0</v>
      </c>
      <c r="BL730" s="469">
        <f>SUM(BL729:BL729)</f>
        <v>48633.394183599994</v>
      </c>
      <c r="BM730" s="469">
        <f>SUM(BM729:BM729)</f>
        <v>0</v>
      </c>
      <c r="BN730" s="469">
        <f>SUM(BN729:BN729)</f>
        <v>38911</v>
      </c>
      <c r="BO730" s="469">
        <f>SUM(BO729:BO729)</f>
        <v>0</v>
      </c>
      <c r="BP730" s="469">
        <f>SUM(BP729:BP729)</f>
        <v>13320.09736</v>
      </c>
      <c r="BQ730" s="469">
        <f>SUM(BQ729:BQ729)</f>
        <v>3115.18406</v>
      </c>
      <c r="BR730" s="469">
        <f>SUM(BR729:BR729)</f>
        <v>25651.929432000001</v>
      </c>
      <c r="BS730" s="469">
        <f>SUM(BS729:BS729)</f>
        <v>1548.9984188000003</v>
      </c>
      <c r="BT730" s="469">
        <f>SUM(BT729:BT729)</f>
        <v>0</v>
      </c>
      <c r="BU730" s="469">
        <f>SUM(BU729:BU729)</f>
        <v>657.41125679999993</v>
      </c>
      <c r="BV730" s="469">
        <f>SUM(BV729:BV729)</f>
        <v>3781.188928</v>
      </c>
      <c r="BW730" s="469">
        <f>SUM(BW729:BW729)</f>
        <v>0</v>
      </c>
      <c r="BX730" s="469">
        <f>SUM(BX729:BX729)</f>
        <v>48074.8094556</v>
      </c>
      <c r="BY730" s="469">
        <f>SUM(BY729:BY729)</f>
        <v>0</v>
      </c>
      <c r="BZ730" s="469">
        <f>SUM(BZ729:BZ729)</f>
        <v>0</v>
      </c>
      <c r="CA730" s="469">
        <f>SUM(CA729:CA729)</f>
        <v>0</v>
      </c>
      <c r="CB730" s="469">
        <f>SUM(CB729:CB729)</f>
        <v>0</v>
      </c>
      <c r="CC730" s="469">
        <f>SUM(CC729:CC729)</f>
        <v>0</v>
      </c>
      <c r="CD730" s="469">
        <f>SUM(CD729:CD729)</f>
        <v>0</v>
      </c>
      <c r="CE730" s="469">
        <f>SUM(CE729:CE729)</f>
        <v>0</v>
      </c>
      <c r="CF730" s="469">
        <f>SUM(CF729:CF729)</f>
        <v>-1052.7173720000001</v>
      </c>
      <c r="CG730" s="469">
        <f>SUM(CG729:CG729)</f>
        <v>0</v>
      </c>
      <c r="CH730" s="469">
        <f>SUM(CH729:CH729)</f>
        <v>494.13264400000037</v>
      </c>
      <c r="CI730" s="469">
        <f>SUM(CI729:CI729)</f>
        <v>0</v>
      </c>
      <c r="CJ730" s="469">
        <f>SUM(CJ729:CJ729)</f>
        <v>-558.58472799999959</v>
      </c>
      <c r="CK730" s="469">
        <f>SUM(CK729:CK729)</f>
        <v>0</v>
      </c>
      <c r="CL730" s="469">
        <f>SUM(CL729:CL729)</f>
        <v>9786.2000000000007</v>
      </c>
      <c r="CM730" s="469">
        <f>SUM(CM729:CM729)</f>
        <v>1849.98</v>
      </c>
    </row>
    <row r="731" spans="43:91" ht="15" thickBot="1" x14ac:dyDescent="0.35">
      <c r="AR731" t="s">
        <v>1512</v>
      </c>
      <c r="AS731" s="462">
        <f>SUMIFS(AS2:AS698,G2:G698,"AGAD",E2:E698,"0332",F2:F698,"04",AT2:AT698,1)</f>
        <v>15.920000000000002</v>
      </c>
      <c r="AT731" s="462">
        <f>SUMIFS(AS2:AS698,G2:G698,"AGAD",E2:E698,"0332",F2:F698,"04",AT2:AT698,3)</f>
        <v>0</v>
      </c>
      <c r="AU731" s="462">
        <f>SUMIFS(AU2:AU698,G2:G698,"AGAD",E2:E698,"0332",F2:F698,"04")</f>
        <v>23</v>
      </c>
      <c r="AV731" s="462">
        <f>SUMIFS(AV2:AV698,G2:G698,"AGAD",E2:E698,"0332",F2:F698,"04")</f>
        <v>0</v>
      </c>
      <c r="AW731" s="462">
        <f>SUMIFS(AW2:AW698,G2:G698,"AGAD",E2:E698,"0332",F2:F698,"04")</f>
        <v>107</v>
      </c>
      <c r="AX731" s="462">
        <f>SUMIFS(AX2:AX698,G2:G698,"AGAD",E2:E698,"0332",F2:F698,"04")</f>
        <v>1209644.77</v>
      </c>
      <c r="AY731" s="462">
        <f>SUMIFS(AY2:AY698,G2:G698,"AGAD",E2:E698,"0332",F2:F698,"04")</f>
        <v>844871.85000000009</v>
      </c>
      <c r="AZ731" s="462">
        <f>SUMIFS(AZ2:AZ698,G2:G698,"AGAD",E2:E698,"0332",F2:F698,"04")</f>
        <v>0</v>
      </c>
      <c r="BA731" s="462">
        <f>SUMIFS(BA2:BA698,G2:G698,"AGAD",E2:E698,"0332",F2:F698,"04")</f>
        <v>0</v>
      </c>
      <c r="BB731" s="462">
        <f>SUMIFS(BB2:BB698,G2:G698,"AGAD",E2:E698,"0332",F2:F698,"04")</f>
        <v>185468</v>
      </c>
      <c r="BC731" s="462">
        <f>SUMIFS(BC2:BC698,G2:G698,"AGAD",E2:E698,"0332",F2:F698,"04")</f>
        <v>0</v>
      </c>
      <c r="BD731" s="462">
        <f>SUMIFS(BD2:BD698,G2:G698,"AGAD",E2:E698,"0332",F2:F698,"04")</f>
        <v>52382.054700000001</v>
      </c>
      <c r="BE731" s="462">
        <f>SUMIFS(BE2:BE698,G2:G698,"AGAD",E2:E698,"0332",F2:F698,"04")</f>
        <v>12250.641825000001</v>
      </c>
      <c r="BF731" s="462">
        <f>SUMIFS(BF2:BF698,G2:G698,"AGAD",E2:E698,"0332",F2:F698,"04")</f>
        <v>100877.69889000001</v>
      </c>
      <c r="BG731" s="462">
        <f>SUMIFS(BG2:BG698,G2:G698,"AGAD",E2:E698,"0332",F2:F698,"04")</f>
        <v>6091.5260384999992</v>
      </c>
      <c r="BH731" s="462">
        <f>SUMIFS(BH2:BH698,G2:G698,"AGAD",E2:E698,"0332",F2:F698,"04")</f>
        <v>4139.8720650000005</v>
      </c>
      <c r="BI731" s="462">
        <f>SUMIFS(BI2:BI698,G2:G698,"AGAD",E2:E698,"0332",F2:F698,"04")</f>
        <v>2585.3078610000002</v>
      </c>
      <c r="BJ731" s="462">
        <f>SUMIFS(BJ2:BJ698,G2:G698,"AGAD",E2:E698,"0332",F2:F698,"04")</f>
        <v>12926.539305</v>
      </c>
      <c r="BK731" s="462">
        <f>SUMIFS(BK2:BK698,G2:G698,"AGAD",E2:E698,"0332",F2:F698,"04")</f>
        <v>0</v>
      </c>
      <c r="BL731" s="462">
        <f>SUMIFS(BL2:BL698,G2:G698,"AGAD",E2:E698,"0332",F2:F698,"04")</f>
        <v>191253.64068450002</v>
      </c>
      <c r="BM731" s="462">
        <f>SUMIFS(BM2:BM698,G2:G698,"AGAD",E2:E698,"0332",F2:F698,"04")</f>
        <v>0</v>
      </c>
      <c r="BN731" s="462">
        <f>SUMIFS(BN2:BN698,G2:G698,"AGAD",E2:E698,"0332",F2:F698,"04")</f>
        <v>185468</v>
      </c>
      <c r="BO731" s="462">
        <f>SUMIFS(BO2:BO698,G2:G698,"AGAD",E2:E698,"0332",F2:F698,"04")</f>
        <v>0</v>
      </c>
      <c r="BP731" s="462">
        <f>SUMIFS(BP2:BP698,G2:G698,"AGAD",E2:E698,"0332",F2:F698,"04")</f>
        <v>52382.054700000001</v>
      </c>
      <c r="BQ731" s="462">
        <f>SUMIFS(BQ2:BQ698,G2:G698,"AGAD",E2:E698,"0332",F2:F698,"04")</f>
        <v>12250.641825000001</v>
      </c>
      <c r="BR731" s="462">
        <f>SUMIFS(BR2:BR698,G2:G698,"AGAD",E2:E698,"0332",F2:F698,"04")</f>
        <v>100877.69889000001</v>
      </c>
      <c r="BS731" s="462">
        <f>SUMIFS(BS2:BS698,G2:G698,"AGAD",E2:E698,"0332",F2:F698,"04")</f>
        <v>6091.5260384999992</v>
      </c>
      <c r="BT731" s="462">
        <f>SUMIFS(BT2:BT698,G2:G698,"AGAD",E2:E698,"0332",F2:F698,"04")</f>
        <v>0</v>
      </c>
      <c r="BU731" s="462">
        <f>SUMIFS(BU2:BU698,G2:G698,"AGAD",E2:E698,"0332",F2:F698,"04")</f>
        <v>2585.3078610000002</v>
      </c>
      <c r="BV731" s="462">
        <f>SUMIFS(BV2:BV698,G2:G698,"AGAD",E2:E698,"0332",F2:F698,"04")</f>
        <v>14869.744559999999</v>
      </c>
      <c r="BW731" s="462">
        <f>SUMIFS(BW2:BW698,G2:G698,"AGAD",E2:E698,"0332",F2:F698,"04")</f>
        <v>0</v>
      </c>
      <c r="BX731" s="462">
        <f>SUMIFS(BX2:BX698,G2:G698,"AGAD",E2:E698,"0332",F2:F698,"04")</f>
        <v>189056.97387450002</v>
      </c>
      <c r="BY731" s="462">
        <f>SUMIFS(BY2:BY698,G2:G698,"AGAD",E2:E698,"0332",F2:F698,"04")</f>
        <v>0</v>
      </c>
      <c r="BZ731" s="462">
        <f>SUMIFS(BZ2:BZ698,G2:G698,"AGAD",E2:E698,"0332",F2:F698,"04")</f>
        <v>0</v>
      </c>
      <c r="CA731" s="462">
        <f>SUMIFS(CA2:CA698,G2:G698,"AGAD",E2:E698,"0332",F2:F698,"04")</f>
        <v>0</v>
      </c>
      <c r="CB731" s="462">
        <f>SUMIFS(CB2:CB698,G2:G698,"AGAD",E2:E698,"0332",F2:F698,"04")</f>
        <v>0</v>
      </c>
      <c r="CC731" s="462">
        <f>SUMIFS(CC2:CC698,G2:G698,"AGAD",E2:E698,"0332",F2:F698,"04")</f>
        <v>0</v>
      </c>
      <c r="CD731" s="462">
        <f>SUMIFS(CD2:CD698,G2:G698,"AGAD",E2:E698,"0332",F2:F698,"04")</f>
        <v>0</v>
      </c>
      <c r="CE731" s="462">
        <f>SUMIFS(CE2:CE698,G2:G698,"AGAD",E2:E698,"0332",F2:F698,"04")</f>
        <v>0</v>
      </c>
      <c r="CF731" s="462">
        <f>SUMIFS(CF2:CF698,G2:G698,"AGAD",E2:E698,"0332",F2:F698,"04")</f>
        <v>-4139.8720650000005</v>
      </c>
      <c r="CG731" s="462">
        <f>SUMIFS(CG2:CG698,G2:G698,"AGAD",E2:E698,"0332",F2:F698,"04")</f>
        <v>0</v>
      </c>
      <c r="CH731" s="462">
        <f>SUMIFS(CH2:CH698,G2:G698,"AGAD",E2:E698,"0332",F2:F698,"04")</f>
        <v>1943.2052550000014</v>
      </c>
      <c r="CI731" s="462">
        <f>SUMIFS(CI2:CI698,G2:G698,"AGAD",E2:E698,"0332",F2:F698,"04")</f>
        <v>0</v>
      </c>
      <c r="CJ731" s="462">
        <f>SUMIFS(CJ2:CJ698,G2:G698,"AGAD",E2:E698,"0332",F2:F698,"04")</f>
        <v>-2196.6668099999983</v>
      </c>
      <c r="CK731" s="462">
        <f>SUMIFS(CK2:CK698,G2:G698,"AGAD",E2:E698,"0332",F2:F698,"04")</f>
        <v>0</v>
      </c>
      <c r="CL731" s="462">
        <f>SUMIFS(CL2:CL698,G2:G698,"AGAD",E2:E698,"0332",F2:F698,"04")</f>
        <v>0</v>
      </c>
      <c r="CM731" s="462">
        <f>SUMIFS(CM2:CM698,G2:G698,"AGAD",E2:E698,"0332",F2:F698,"04")</f>
        <v>0</v>
      </c>
    </row>
    <row r="732" spans="43:91" ht="18" x14ac:dyDescent="0.35">
      <c r="AQ732" s="468" t="s">
        <v>1513</v>
      </c>
      <c r="AS732" s="469">
        <f>SUM(AS731:AS731)</f>
        <v>15.920000000000002</v>
      </c>
      <c r="AT732" s="469">
        <f>SUM(AT731:AT731)</f>
        <v>0</v>
      </c>
      <c r="AU732" s="469">
        <f>SUM(AU731:AU731)</f>
        <v>23</v>
      </c>
      <c r="AV732" s="469">
        <f>SUM(AV731:AV731)</f>
        <v>0</v>
      </c>
      <c r="AW732" s="469">
        <f>SUM(AW731:AW731)</f>
        <v>107</v>
      </c>
      <c r="AX732" s="469">
        <f>SUM(AX731:AX731)</f>
        <v>1209644.77</v>
      </c>
      <c r="AY732" s="469">
        <f>SUM(AY731:AY731)</f>
        <v>844871.85000000009</v>
      </c>
      <c r="AZ732" s="469">
        <f>SUM(AZ731:AZ731)</f>
        <v>0</v>
      </c>
      <c r="BA732" s="469">
        <f>SUM(BA731:BA731)</f>
        <v>0</v>
      </c>
      <c r="BB732" s="469">
        <f>SUM(BB731:BB731)</f>
        <v>185468</v>
      </c>
      <c r="BC732" s="469">
        <f>SUM(BC731:BC731)</f>
        <v>0</v>
      </c>
      <c r="BD732" s="469">
        <f>SUM(BD731:BD731)</f>
        <v>52382.054700000001</v>
      </c>
      <c r="BE732" s="469">
        <f>SUM(BE731:BE731)</f>
        <v>12250.641825000001</v>
      </c>
      <c r="BF732" s="469">
        <f>SUM(BF731:BF731)</f>
        <v>100877.69889000001</v>
      </c>
      <c r="BG732" s="469">
        <f>SUM(BG731:BG731)</f>
        <v>6091.5260384999992</v>
      </c>
      <c r="BH732" s="469">
        <f>SUM(BH731:BH731)</f>
        <v>4139.8720650000005</v>
      </c>
      <c r="BI732" s="469">
        <f>SUM(BI731:BI731)</f>
        <v>2585.3078610000002</v>
      </c>
      <c r="BJ732" s="469">
        <f>SUM(BJ731:BJ731)</f>
        <v>12926.539305</v>
      </c>
      <c r="BK732" s="469">
        <f>SUM(BK731:BK731)</f>
        <v>0</v>
      </c>
      <c r="BL732" s="469">
        <f>SUM(BL731:BL731)</f>
        <v>191253.64068450002</v>
      </c>
      <c r="BM732" s="469">
        <f>SUM(BM731:BM731)</f>
        <v>0</v>
      </c>
      <c r="BN732" s="469">
        <f>SUM(BN731:BN731)</f>
        <v>185468</v>
      </c>
      <c r="BO732" s="469">
        <f>SUM(BO731:BO731)</f>
        <v>0</v>
      </c>
      <c r="BP732" s="469">
        <f>SUM(BP731:BP731)</f>
        <v>52382.054700000001</v>
      </c>
      <c r="BQ732" s="469">
        <f>SUM(BQ731:BQ731)</f>
        <v>12250.641825000001</v>
      </c>
      <c r="BR732" s="469">
        <f>SUM(BR731:BR731)</f>
        <v>100877.69889000001</v>
      </c>
      <c r="BS732" s="469">
        <f>SUM(BS731:BS731)</f>
        <v>6091.5260384999992</v>
      </c>
      <c r="BT732" s="469">
        <f>SUM(BT731:BT731)</f>
        <v>0</v>
      </c>
      <c r="BU732" s="469">
        <f>SUM(BU731:BU731)</f>
        <v>2585.3078610000002</v>
      </c>
      <c r="BV732" s="469">
        <f>SUM(BV731:BV731)</f>
        <v>14869.744559999999</v>
      </c>
      <c r="BW732" s="469">
        <f>SUM(BW731:BW731)</f>
        <v>0</v>
      </c>
      <c r="BX732" s="469">
        <f>SUM(BX731:BX731)</f>
        <v>189056.97387450002</v>
      </c>
      <c r="BY732" s="469">
        <f>SUM(BY731:BY731)</f>
        <v>0</v>
      </c>
      <c r="BZ732" s="469">
        <f>SUM(BZ731:BZ731)</f>
        <v>0</v>
      </c>
      <c r="CA732" s="469">
        <f>SUM(CA731:CA731)</f>
        <v>0</v>
      </c>
      <c r="CB732" s="469">
        <f>SUM(CB731:CB731)</f>
        <v>0</v>
      </c>
      <c r="CC732" s="469">
        <f>SUM(CC731:CC731)</f>
        <v>0</v>
      </c>
      <c r="CD732" s="469">
        <f>SUM(CD731:CD731)</f>
        <v>0</v>
      </c>
      <c r="CE732" s="469">
        <f>SUM(CE731:CE731)</f>
        <v>0</v>
      </c>
      <c r="CF732" s="469">
        <f>SUM(CF731:CF731)</f>
        <v>-4139.8720650000005</v>
      </c>
      <c r="CG732" s="469">
        <f>SUM(CG731:CG731)</f>
        <v>0</v>
      </c>
      <c r="CH732" s="469">
        <f>SUM(CH731:CH731)</f>
        <v>1943.2052550000014</v>
      </c>
      <c r="CI732" s="469">
        <f>SUM(CI731:CI731)</f>
        <v>0</v>
      </c>
      <c r="CJ732" s="469">
        <f>SUM(CJ731:CJ731)</f>
        <v>-2196.6668099999983</v>
      </c>
      <c r="CK732" s="469">
        <f>SUM(CK731:CK731)</f>
        <v>0</v>
      </c>
      <c r="CL732" s="469">
        <f>SUM(CL731:CL731)</f>
        <v>0</v>
      </c>
      <c r="CM732" s="469">
        <f>SUM(CM731:CM731)</f>
        <v>0</v>
      </c>
    </row>
    <row r="733" spans="43:91" ht="15" thickBot="1" x14ac:dyDescent="0.35">
      <c r="AR733" t="s">
        <v>1518</v>
      </c>
      <c r="AS733" s="462">
        <f>SUMIFS(AS2:AS698,G2:G698,"AGAD",E2:E698,"0332",F2:F698,"08",AT2:AT698,1)</f>
        <v>0</v>
      </c>
      <c r="AT733" s="462">
        <f>SUMIFS(AS2:AS698,G2:G698,"AGAD",E2:E698,"0332",F2:F698,"08",AT2:AT698,3)</f>
        <v>0</v>
      </c>
      <c r="AU733" s="462">
        <f>SUMIFS(AU2:AU698,G2:G698,"AGAD",E2:E698,"0332",F2:F698,"08")</f>
        <v>0</v>
      </c>
      <c r="AV733" s="462">
        <f>SUMIFS(AV2:AV698,G2:G698,"AGAD",E2:E698,"0332",F2:F698,"08")</f>
        <v>0</v>
      </c>
      <c r="AW733" s="462">
        <f>SUMIFS(AW2:AW698,G2:G698,"AGAD",E2:E698,"0332",F2:F698,"08")</f>
        <v>0</v>
      </c>
      <c r="AX733" s="462">
        <f>SUMIFS(AX2:AX698,G2:G698,"AGAD",E2:E698,"0332",F2:F698,"08")</f>
        <v>0</v>
      </c>
      <c r="AY733" s="462">
        <f>SUMIFS(AY2:AY698,G2:G698,"AGAD",E2:E698,"0332",F2:F698,"08")</f>
        <v>0</v>
      </c>
      <c r="AZ733" s="462">
        <f>SUMIFS(AZ2:AZ698,G2:G698,"AGAD",E2:E698,"0332",F2:F698,"08")</f>
        <v>0</v>
      </c>
      <c r="BA733" s="462">
        <f>SUMIFS(BA2:BA698,G2:G698,"AGAD",E2:E698,"0332",F2:F698,"08")</f>
        <v>0</v>
      </c>
      <c r="BB733" s="462">
        <f>SUMIFS(BB2:BB698,G2:G698,"AGAD",E2:E698,"0332",F2:F698,"08")</f>
        <v>0</v>
      </c>
      <c r="BC733" s="462">
        <f>SUMIFS(BC2:BC698,G2:G698,"AGAD",E2:E698,"0332",F2:F698,"08")</f>
        <v>0</v>
      </c>
      <c r="BD733" s="462">
        <f>SUMIFS(BD2:BD698,G2:G698,"AGAD",E2:E698,"0332",F2:F698,"08")</f>
        <v>0</v>
      </c>
      <c r="BE733" s="462">
        <f>SUMIFS(BE2:BE698,G2:G698,"AGAD",E2:E698,"0332",F2:F698,"08")</f>
        <v>0</v>
      </c>
      <c r="BF733" s="462">
        <f>SUMIFS(BF2:BF698,G2:G698,"AGAD",E2:E698,"0332",F2:F698,"08")</f>
        <v>0</v>
      </c>
      <c r="BG733" s="462">
        <f>SUMIFS(BG2:BG698,G2:G698,"AGAD",E2:E698,"0332",F2:F698,"08")</f>
        <v>0</v>
      </c>
      <c r="BH733" s="462">
        <f>SUMIFS(BH2:BH698,G2:G698,"AGAD",E2:E698,"0332",F2:F698,"08")</f>
        <v>0</v>
      </c>
      <c r="BI733" s="462">
        <f>SUMIFS(BI2:BI698,G2:G698,"AGAD",E2:E698,"0332",F2:F698,"08")</f>
        <v>0</v>
      </c>
      <c r="BJ733" s="462">
        <f>SUMIFS(BJ2:BJ698,G2:G698,"AGAD",E2:E698,"0332",F2:F698,"08")</f>
        <v>0</v>
      </c>
      <c r="BK733" s="462">
        <f>SUMIFS(BK2:BK698,G2:G698,"AGAD",E2:E698,"0332",F2:F698,"08")</f>
        <v>0</v>
      </c>
      <c r="BL733" s="462">
        <f>SUMIFS(BL2:BL698,G2:G698,"AGAD",E2:E698,"0332",F2:F698,"08")</f>
        <v>0</v>
      </c>
      <c r="BM733" s="462">
        <f>SUMIFS(BM2:BM698,G2:G698,"AGAD",E2:E698,"0332",F2:F698,"08")</f>
        <v>0</v>
      </c>
      <c r="BN733" s="462">
        <f>SUMIFS(BN2:BN698,G2:G698,"AGAD",E2:E698,"0332",F2:F698,"08")</f>
        <v>0</v>
      </c>
      <c r="BO733" s="462">
        <f>SUMIFS(BO2:BO698,G2:G698,"AGAD",E2:E698,"0332",F2:F698,"08")</f>
        <v>0</v>
      </c>
      <c r="BP733" s="462">
        <f>SUMIFS(BP2:BP698,G2:G698,"AGAD",E2:E698,"0332",F2:F698,"08")</f>
        <v>0</v>
      </c>
      <c r="BQ733" s="462">
        <f>SUMIFS(BQ2:BQ698,G2:G698,"AGAD",E2:E698,"0332",F2:F698,"08")</f>
        <v>0</v>
      </c>
      <c r="BR733" s="462">
        <f>SUMIFS(BR2:BR698,G2:G698,"AGAD",E2:E698,"0332",F2:F698,"08")</f>
        <v>0</v>
      </c>
      <c r="BS733" s="462">
        <f>SUMIFS(BS2:BS698,G2:G698,"AGAD",E2:E698,"0332",F2:F698,"08")</f>
        <v>0</v>
      </c>
      <c r="BT733" s="462">
        <f>SUMIFS(BT2:BT698,G2:G698,"AGAD",E2:E698,"0332",F2:F698,"08")</f>
        <v>0</v>
      </c>
      <c r="BU733" s="462">
        <f>SUMIFS(BU2:BU698,G2:G698,"AGAD",E2:E698,"0332",F2:F698,"08")</f>
        <v>0</v>
      </c>
      <c r="BV733" s="462">
        <f>SUMIFS(BV2:BV698,G2:G698,"AGAD",E2:E698,"0332",F2:F698,"08")</f>
        <v>0</v>
      </c>
      <c r="BW733" s="462">
        <f>SUMIFS(BW2:BW698,G2:G698,"AGAD",E2:E698,"0332",F2:F698,"08")</f>
        <v>0</v>
      </c>
      <c r="BX733" s="462">
        <f>SUMIFS(BX2:BX698,G2:G698,"AGAD",E2:E698,"0332",F2:F698,"08")</f>
        <v>0</v>
      </c>
      <c r="BY733" s="462">
        <f>SUMIFS(BY2:BY698,G2:G698,"AGAD",E2:E698,"0332",F2:F698,"08")</f>
        <v>0</v>
      </c>
      <c r="BZ733" s="462">
        <f>SUMIFS(BZ2:BZ698,G2:G698,"AGAD",E2:E698,"0332",F2:F698,"08")</f>
        <v>0</v>
      </c>
      <c r="CA733" s="462">
        <f>SUMIFS(CA2:CA698,G2:G698,"AGAD",E2:E698,"0332",F2:F698,"08")</f>
        <v>0</v>
      </c>
      <c r="CB733" s="462">
        <f>SUMIFS(CB2:CB698,G2:G698,"AGAD",E2:E698,"0332",F2:F698,"08")</f>
        <v>0</v>
      </c>
      <c r="CC733" s="462">
        <f>SUMIFS(CC2:CC698,G2:G698,"AGAD",E2:E698,"0332",F2:F698,"08")</f>
        <v>0</v>
      </c>
      <c r="CD733" s="462">
        <f>SUMIFS(CD2:CD698,G2:G698,"AGAD",E2:E698,"0332",F2:F698,"08")</f>
        <v>0</v>
      </c>
      <c r="CE733" s="462">
        <f>SUMIFS(CE2:CE698,G2:G698,"AGAD",E2:E698,"0332",F2:F698,"08")</f>
        <v>0</v>
      </c>
      <c r="CF733" s="462">
        <f>SUMIFS(CF2:CF698,G2:G698,"AGAD",E2:E698,"0332",F2:F698,"08")</f>
        <v>0</v>
      </c>
      <c r="CG733" s="462">
        <f>SUMIFS(CG2:CG698,G2:G698,"AGAD",E2:E698,"0332",F2:F698,"08")</f>
        <v>0</v>
      </c>
      <c r="CH733" s="462">
        <f>SUMIFS(CH2:CH698,G2:G698,"AGAD",E2:E698,"0332",F2:F698,"08")</f>
        <v>0</v>
      </c>
      <c r="CI733" s="462">
        <f>SUMIFS(CI2:CI698,G2:G698,"AGAD",E2:E698,"0332",F2:F698,"08")</f>
        <v>0</v>
      </c>
      <c r="CJ733" s="462">
        <f>SUMIFS(CJ2:CJ698,G2:G698,"AGAD",E2:E698,"0332",F2:F698,"08")</f>
        <v>0</v>
      </c>
      <c r="CK733" s="462">
        <f>SUMIFS(CK2:CK698,G2:G698,"AGAD",E2:E698,"0332",F2:F698,"08")</f>
        <v>0</v>
      </c>
      <c r="CL733" s="462">
        <f>SUMIFS(CL2:CL698,G2:G698,"AGAD",E2:E698,"0332",F2:F698,"08")</f>
        <v>0</v>
      </c>
      <c r="CM733" s="462">
        <f>SUMIFS(CM2:CM698,G2:G698,"AGAD",E2:E698,"0332",F2:F698,"08")</f>
        <v>0</v>
      </c>
    </row>
    <row r="734" spans="43:91" ht="18" x14ac:dyDescent="0.35">
      <c r="AQ734" s="468" t="s">
        <v>1513</v>
      </c>
      <c r="AS734" s="469">
        <f>SUM(AS733:AS733)</f>
        <v>0</v>
      </c>
      <c r="AT734" s="469">
        <f>SUM(AT733:AT733)</f>
        <v>0</v>
      </c>
      <c r="AU734" s="469">
        <f>SUM(AU733:AU733)</f>
        <v>0</v>
      </c>
      <c r="AV734" s="469">
        <f>SUM(AV733:AV733)</f>
        <v>0</v>
      </c>
      <c r="AW734" s="469">
        <f>SUM(AW733:AW733)</f>
        <v>0</v>
      </c>
      <c r="AX734" s="469">
        <f>SUM(AX733:AX733)</f>
        <v>0</v>
      </c>
      <c r="AY734" s="469">
        <f>SUM(AY733:AY733)</f>
        <v>0</v>
      </c>
      <c r="AZ734" s="469">
        <f>SUM(AZ733:AZ733)</f>
        <v>0</v>
      </c>
      <c r="BA734" s="469">
        <f>SUM(BA733:BA733)</f>
        <v>0</v>
      </c>
      <c r="BB734" s="469">
        <f>SUM(BB733:BB733)</f>
        <v>0</v>
      </c>
      <c r="BC734" s="469">
        <f>SUM(BC733:BC733)</f>
        <v>0</v>
      </c>
      <c r="BD734" s="469">
        <f>SUM(BD733:BD733)</f>
        <v>0</v>
      </c>
      <c r="BE734" s="469">
        <f>SUM(BE733:BE733)</f>
        <v>0</v>
      </c>
      <c r="BF734" s="469">
        <f>SUM(BF733:BF733)</f>
        <v>0</v>
      </c>
      <c r="BG734" s="469">
        <f>SUM(BG733:BG733)</f>
        <v>0</v>
      </c>
      <c r="BH734" s="469">
        <f>SUM(BH733:BH733)</f>
        <v>0</v>
      </c>
      <c r="BI734" s="469">
        <f>SUM(BI733:BI733)</f>
        <v>0</v>
      </c>
      <c r="BJ734" s="469">
        <f>SUM(BJ733:BJ733)</f>
        <v>0</v>
      </c>
      <c r="BK734" s="469">
        <f>SUM(BK733:BK733)</f>
        <v>0</v>
      </c>
      <c r="BL734" s="469">
        <f>SUM(BL733:BL733)</f>
        <v>0</v>
      </c>
      <c r="BM734" s="469">
        <f>SUM(BM733:BM733)</f>
        <v>0</v>
      </c>
      <c r="BN734" s="469">
        <f>SUM(BN733:BN733)</f>
        <v>0</v>
      </c>
      <c r="BO734" s="469">
        <f>SUM(BO733:BO733)</f>
        <v>0</v>
      </c>
      <c r="BP734" s="469">
        <f>SUM(BP733:BP733)</f>
        <v>0</v>
      </c>
      <c r="BQ734" s="469">
        <f>SUM(BQ733:BQ733)</f>
        <v>0</v>
      </c>
      <c r="BR734" s="469">
        <f>SUM(BR733:BR733)</f>
        <v>0</v>
      </c>
      <c r="BS734" s="469">
        <f>SUM(BS733:BS733)</f>
        <v>0</v>
      </c>
      <c r="BT734" s="469">
        <f>SUM(BT733:BT733)</f>
        <v>0</v>
      </c>
      <c r="BU734" s="469">
        <f>SUM(BU733:BU733)</f>
        <v>0</v>
      </c>
      <c r="BV734" s="469">
        <f>SUM(BV733:BV733)</f>
        <v>0</v>
      </c>
      <c r="BW734" s="469">
        <f>SUM(BW733:BW733)</f>
        <v>0</v>
      </c>
      <c r="BX734" s="469">
        <f>SUM(BX733:BX733)</f>
        <v>0</v>
      </c>
      <c r="BY734" s="469">
        <f>SUM(BY733:BY733)</f>
        <v>0</v>
      </c>
      <c r="BZ734" s="469">
        <f>SUM(BZ733:BZ733)</f>
        <v>0</v>
      </c>
      <c r="CA734" s="469">
        <f>SUM(CA733:CA733)</f>
        <v>0</v>
      </c>
      <c r="CB734" s="469">
        <f>SUM(CB733:CB733)</f>
        <v>0</v>
      </c>
      <c r="CC734" s="469">
        <f>SUM(CC733:CC733)</f>
        <v>0</v>
      </c>
      <c r="CD734" s="469">
        <f>SUM(CD733:CD733)</f>
        <v>0</v>
      </c>
      <c r="CE734" s="469">
        <f>SUM(CE733:CE733)</f>
        <v>0</v>
      </c>
      <c r="CF734" s="469">
        <f>SUM(CF733:CF733)</f>
        <v>0</v>
      </c>
      <c r="CG734" s="469">
        <f>SUM(CG733:CG733)</f>
        <v>0</v>
      </c>
      <c r="CH734" s="469">
        <f>SUM(CH733:CH733)</f>
        <v>0</v>
      </c>
      <c r="CI734" s="469">
        <f>SUM(CI733:CI733)</f>
        <v>0</v>
      </c>
      <c r="CJ734" s="469">
        <f>SUM(CJ733:CJ733)</f>
        <v>0</v>
      </c>
      <c r="CK734" s="469">
        <f>SUM(CK733:CK733)</f>
        <v>0</v>
      </c>
      <c r="CL734" s="469">
        <f>SUM(CL733:CL733)</f>
        <v>0</v>
      </c>
      <c r="CM734" s="469">
        <f>SUM(CM733:CM733)</f>
        <v>0</v>
      </c>
    </row>
    <row r="735" spans="43:91" ht="15" thickBot="1" x14ac:dyDescent="0.35">
      <c r="AR735" t="s">
        <v>1523</v>
      </c>
      <c r="AS735" s="462">
        <f>SUMIFS(AS2:AS698,G2:G698,"AGAE",E2:E698,"0001",F2:F698,"00",AT2:AT698,1)</f>
        <v>8.8000000000000007</v>
      </c>
      <c r="AT735" s="462">
        <f>SUMIFS(AS2:AS698,G2:G698,"AGAE",E2:E698,"0001",F2:F698,"00",AT2:AT698,3)</f>
        <v>0</v>
      </c>
      <c r="AU735" s="462">
        <f>SUMIFS(AU2:AU698,G2:G698,"AGAE",E2:E698,"0001",F2:F698,"00")</f>
        <v>10</v>
      </c>
      <c r="AV735" s="462">
        <f>SUMIFS(AV2:AV698,G2:G698,"AGAE",E2:E698,"0001",F2:F698,"00")</f>
        <v>0</v>
      </c>
      <c r="AW735" s="462">
        <f>SUMIFS(AW2:AW698,G2:G698,"AGAE",E2:E698,"0001",F2:F698,"00")</f>
        <v>22</v>
      </c>
      <c r="AX735" s="462">
        <f>SUMIFS(AX2:AX698,G2:G698,"AGAE",E2:E698,"0001",F2:F698,"00")</f>
        <v>548787.20000000007</v>
      </c>
      <c r="AY735" s="462">
        <f>SUMIFS(AY2:AY698,G2:G698,"AGAE",E2:E698,"0001",F2:F698,"00")</f>
        <v>487820.32000000007</v>
      </c>
      <c r="AZ735" s="462">
        <f>SUMIFS(AZ2:AZ698,G2:G698,"AGAE",E2:E698,"0001",F2:F698,"00")</f>
        <v>0</v>
      </c>
      <c r="BA735" s="462">
        <f>SUMIFS(BA2:BA698,G2:G698,"AGAE",E2:E698,"0001",F2:F698,"00")</f>
        <v>0</v>
      </c>
      <c r="BB735" s="462">
        <f>SUMIFS(BB2:BB698,G2:G698,"AGAE",E2:E698,"0001",F2:F698,"00")</f>
        <v>102520</v>
      </c>
      <c r="BC735" s="462">
        <f>SUMIFS(BC2:BC698,G2:G698,"AGAE",E2:E698,"0001",F2:F698,"00")</f>
        <v>0</v>
      </c>
      <c r="BD735" s="462">
        <f>SUMIFS(BD2:BD698,G2:G698,"AGAE",E2:E698,"0001",F2:F698,"00")</f>
        <v>30244.859839999997</v>
      </c>
      <c r="BE735" s="462">
        <f>SUMIFS(BE2:BE698,G2:G698,"AGAE",E2:E698,"0001",F2:F698,"00")</f>
        <v>7073.3946399999995</v>
      </c>
      <c r="BF735" s="462">
        <f>SUMIFS(BF2:BF698,G2:G698,"AGAE",E2:E698,"0001",F2:F698,"00")</f>
        <v>58245.746207999997</v>
      </c>
      <c r="BG735" s="462">
        <f>SUMIFS(BG2:BG698,G2:G698,"AGAE",E2:E698,"0001",F2:F698,"00")</f>
        <v>3517.1845071999996</v>
      </c>
      <c r="BH735" s="462">
        <f>SUMIFS(BH2:BH698,G2:G698,"AGAE",E2:E698,"0001",F2:F698,"00")</f>
        <v>2390.3195679999994</v>
      </c>
      <c r="BI735" s="462">
        <f>SUMIFS(BI2:BI698,G2:G698,"AGAE",E2:E698,"0001",F2:F698,"00")</f>
        <v>1188.8109792</v>
      </c>
      <c r="BJ735" s="462">
        <f>SUMIFS(BJ2:BJ698,G2:G698,"AGAE",E2:E698,"0001",F2:F698,"00")</f>
        <v>7463.650896000001</v>
      </c>
      <c r="BK735" s="462">
        <f>SUMIFS(BK2:BK698,G2:G698,"AGAE",E2:E698,"0001",F2:F698,"00")</f>
        <v>0</v>
      </c>
      <c r="BL735" s="462">
        <f>SUMIFS(BL2:BL698,G2:G698,"AGAE",E2:E698,"0001",F2:F698,"00")</f>
        <v>110123.96663839999</v>
      </c>
      <c r="BM735" s="462">
        <f>SUMIFS(BM2:BM698,G2:G698,"AGAE",E2:E698,"0001",F2:F698,"00")</f>
        <v>0</v>
      </c>
      <c r="BN735" s="462">
        <f>SUMIFS(BN2:BN698,G2:G698,"AGAE",E2:E698,"0001",F2:F698,"00")</f>
        <v>102520</v>
      </c>
      <c r="BO735" s="462">
        <f>SUMIFS(BO2:BO698,G2:G698,"AGAE",E2:E698,"0001",F2:F698,"00")</f>
        <v>0</v>
      </c>
      <c r="BP735" s="462">
        <f>SUMIFS(BP2:BP698,G2:G698,"AGAE",E2:E698,"0001",F2:F698,"00")</f>
        <v>30244.859839999997</v>
      </c>
      <c r="BQ735" s="462">
        <f>SUMIFS(BQ2:BQ698,G2:G698,"AGAE",E2:E698,"0001",F2:F698,"00")</f>
        <v>7073.3946399999995</v>
      </c>
      <c r="BR735" s="462">
        <f>SUMIFS(BR2:BR698,G2:G698,"AGAE",E2:E698,"0001",F2:F698,"00")</f>
        <v>58245.746207999997</v>
      </c>
      <c r="BS735" s="462">
        <f>SUMIFS(BS2:BS698,G2:G698,"AGAE",E2:E698,"0001",F2:F698,"00")</f>
        <v>3517.1845071999996</v>
      </c>
      <c r="BT735" s="462">
        <f>SUMIFS(BT2:BT698,G2:G698,"AGAE",E2:E698,"0001",F2:F698,"00")</f>
        <v>0</v>
      </c>
      <c r="BU735" s="462">
        <f>SUMIFS(BU2:BU698,G2:G698,"AGAE",E2:E698,"0001",F2:F698,"00")</f>
        <v>1188.8109792</v>
      </c>
      <c r="BV735" s="462">
        <f>SUMIFS(BV2:BV698,G2:G698,"AGAE",E2:E698,"0001",F2:F698,"00")</f>
        <v>8585.6376320000018</v>
      </c>
      <c r="BW735" s="462">
        <f>SUMIFS(BW2:BW698,G2:G698,"AGAE",E2:E698,"0001",F2:F698,"00")</f>
        <v>0</v>
      </c>
      <c r="BX735" s="462">
        <f>SUMIFS(BX2:BX698,G2:G698,"AGAE",E2:E698,"0001",F2:F698,"00")</f>
        <v>108855.63380640002</v>
      </c>
      <c r="BY735" s="462">
        <f>SUMIFS(BY2:BY698,G2:G698,"AGAE",E2:E698,"0001",F2:F698,"00")</f>
        <v>0</v>
      </c>
      <c r="BZ735" s="462">
        <f>SUMIFS(BZ2:BZ698,G2:G698,"AGAE",E2:E698,"0001",F2:F698,"00")</f>
        <v>0</v>
      </c>
      <c r="CA735" s="462">
        <f>SUMIFS(CA2:CA698,G2:G698,"AGAE",E2:E698,"0001",F2:F698,"00")</f>
        <v>0</v>
      </c>
      <c r="CB735" s="462">
        <f>SUMIFS(CB2:CB698,G2:G698,"AGAE",E2:E698,"0001",F2:F698,"00")</f>
        <v>0</v>
      </c>
      <c r="CC735" s="462">
        <f>SUMIFS(CC2:CC698,G2:G698,"AGAE",E2:E698,"0001",F2:F698,"00")</f>
        <v>0</v>
      </c>
      <c r="CD735" s="462">
        <f>SUMIFS(CD2:CD698,G2:G698,"AGAE",E2:E698,"0001",F2:F698,"00")</f>
        <v>0</v>
      </c>
      <c r="CE735" s="462">
        <f>SUMIFS(CE2:CE698,G2:G698,"AGAE",E2:E698,"0001",F2:F698,"00")</f>
        <v>0</v>
      </c>
      <c r="CF735" s="462">
        <f>SUMIFS(CF2:CF698,G2:G698,"AGAE",E2:E698,"0001",F2:F698,"00")</f>
        <v>-2390.3195679999994</v>
      </c>
      <c r="CG735" s="462">
        <f>SUMIFS(CG2:CG698,G2:G698,"AGAE",E2:E698,"0001",F2:F698,"00")</f>
        <v>0</v>
      </c>
      <c r="CH735" s="462">
        <f>SUMIFS(CH2:CH698,G2:G698,"AGAE",E2:E698,"0001",F2:F698,"00")</f>
        <v>1121.986736000001</v>
      </c>
      <c r="CI735" s="462">
        <f>SUMIFS(CI2:CI698,G2:G698,"AGAE",E2:E698,"0001",F2:F698,"00")</f>
        <v>0</v>
      </c>
      <c r="CJ735" s="462">
        <f>SUMIFS(CJ2:CJ698,G2:G698,"AGAE",E2:E698,"0001",F2:F698,"00")</f>
        <v>-1268.3328319999991</v>
      </c>
      <c r="CK735" s="462">
        <f>SUMIFS(CK2:CK698,G2:G698,"AGAE",E2:E698,"0001",F2:F698,"00")</f>
        <v>0</v>
      </c>
      <c r="CL735" s="462">
        <f>SUMIFS(CL2:CL698,G2:G698,"AGAE",E2:E698,"0001",F2:F698,"00")</f>
        <v>0</v>
      </c>
      <c r="CM735" s="462">
        <f>SUMIFS(CM2:CM698,G2:G698,"AGAE",E2:E698,"0001",F2:F698,"00")</f>
        <v>0</v>
      </c>
    </row>
    <row r="736" spans="43:91" ht="18" x14ac:dyDescent="0.35">
      <c r="AQ736" s="468" t="s">
        <v>1524</v>
      </c>
      <c r="AS736" s="469">
        <f>SUM(AS735:AS735)</f>
        <v>8.8000000000000007</v>
      </c>
      <c r="AT736" s="469">
        <f>SUM(AT735:AT735)</f>
        <v>0</v>
      </c>
      <c r="AU736" s="469">
        <f>SUM(AU735:AU735)</f>
        <v>10</v>
      </c>
      <c r="AV736" s="469">
        <f>SUM(AV735:AV735)</f>
        <v>0</v>
      </c>
      <c r="AW736" s="469">
        <f>SUM(AW735:AW735)</f>
        <v>22</v>
      </c>
      <c r="AX736" s="469">
        <f>SUM(AX735:AX735)</f>
        <v>548787.20000000007</v>
      </c>
      <c r="AY736" s="469">
        <f>SUM(AY735:AY735)</f>
        <v>487820.32000000007</v>
      </c>
      <c r="AZ736" s="469">
        <f>SUM(AZ735:AZ735)</f>
        <v>0</v>
      </c>
      <c r="BA736" s="469">
        <f>SUM(BA735:BA735)</f>
        <v>0</v>
      </c>
      <c r="BB736" s="469">
        <f>SUM(BB735:BB735)</f>
        <v>102520</v>
      </c>
      <c r="BC736" s="469">
        <f>SUM(BC735:BC735)</f>
        <v>0</v>
      </c>
      <c r="BD736" s="469">
        <f>SUM(BD735:BD735)</f>
        <v>30244.859839999997</v>
      </c>
      <c r="BE736" s="469">
        <f>SUM(BE735:BE735)</f>
        <v>7073.3946399999995</v>
      </c>
      <c r="BF736" s="469">
        <f>SUM(BF735:BF735)</f>
        <v>58245.746207999997</v>
      </c>
      <c r="BG736" s="469">
        <f>SUM(BG735:BG735)</f>
        <v>3517.1845071999996</v>
      </c>
      <c r="BH736" s="469">
        <f>SUM(BH735:BH735)</f>
        <v>2390.3195679999994</v>
      </c>
      <c r="BI736" s="469">
        <f>SUM(BI735:BI735)</f>
        <v>1188.8109792</v>
      </c>
      <c r="BJ736" s="469">
        <f>SUM(BJ735:BJ735)</f>
        <v>7463.650896000001</v>
      </c>
      <c r="BK736" s="469">
        <f>SUM(BK735:BK735)</f>
        <v>0</v>
      </c>
      <c r="BL736" s="469">
        <f>SUM(BL735:BL735)</f>
        <v>110123.96663839999</v>
      </c>
      <c r="BM736" s="469">
        <f>SUM(BM735:BM735)</f>
        <v>0</v>
      </c>
      <c r="BN736" s="469">
        <f>SUM(BN735:BN735)</f>
        <v>102520</v>
      </c>
      <c r="BO736" s="469">
        <f>SUM(BO735:BO735)</f>
        <v>0</v>
      </c>
      <c r="BP736" s="469">
        <f>SUM(BP735:BP735)</f>
        <v>30244.859839999997</v>
      </c>
      <c r="BQ736" s="469">
        <f>SUM(BQ735:BQ735)</f>
        <v>7073.3946399999995</v>
      </c>
      <c r="BR736" s="469">
        <f>SUM(BR735:BR735)</f>
        <v>58245.746207999997</v>
      </c>
      <c r="BS736" s="469">
        <f>SUM(BS735:BS735)</f>
        <v>3517.1845071999996</v>
      </c>
      <c r="BT736" s="469">
        <f>SUM(BT735:BT735)</f>
        <v>0</v>
      </c>
      <c r="BU736" s="469">
        <f>SUM(BU735:BU735)</f>
        <v>1188.8109792</v>
      </c>
      <c r="BV736" s="469">
        <f>SUM(BV735:BV735)</f>
        <v>8585.6376320000018</v>
      </c>
      <c r="BW736" s="469">
        <f>SUM(BW735:BW735)</f>
        <v>0</v>
      </c>
      <c r="BX736" s="469">
        <f>SUM(BX735:BX735)</f>
        <v>108855.63380640002</v>
      </c>
      <c r="BY736" s="469">
        <f>SUM(BY735:BY735)</f>
        <v>0</v>
      </c>
      <c r="BZ736" s="469">
        <f>SUM(BZ735:BZ735)</f>
        <v>0</v>
      </c>
      <c r="CA736" s="469">
        <f>SUM(CA735:CA735)</f>
        <v>0</v>
      </c>
      <c r="CB736" s="469">
        <f>SUM(CB735:CB735)</f>
        <v>0</v>
      </c>
      <c r="CC736" s="469">
        <f>SUM(CC735:CC735)</f>
        <v>0</v>
      </c>
      <c r="CD736" s="469">
        <f>SUM(CD735:CD735)</f>
        <v>0</v>
      </c>
      <c r="CE736" s="469">
        <f>SUM(CE735:CE735)</f>
        <v>0</v>
      </c>
      <c r="CF736" s="469">
        <f>SUM(CF735:CF735)</f>
        <v>-2390.3195679999994</v>
      </c>
      <c r="CG736" s="469">
        <f>SUM(CG735:CG735)</f>
        <v>0</v>
      </c>
      <c r="CH736" s="469">
        <f>SUM(CH735:CH735)</f>
        <v>1121.986736000001</v>
      </c>
      <c r="CI736" s="469">
        <f>SUM(CI735:CI735)</f>
        <v>0</v>
      </c>
      <c r="CJ736" s="469">
        <f>SUM(CJ735:CJ735)</f>
        <v>-1268.3328319999991</v>
      </c>
      <c r="CK736" s="469">
        <f>SUM(CK735:CK735)</f>
        <v>0</v>
      </c>
      <c r="CL736" s="469">
        <f>SUM(CL735:CL735)</f>
        <v>0</v>
      </c>
      <c r="CM736" s="469">
        <f>SUM(CM735:CM735)</f>
        <v>0</v>
      </c>
    </row>
    <row r="737" spans="43:91" ht="15" thickBot="1" x14ac:dyDescent="0.35">
      <c r="AR737" t="s">
        <v>1527</v>
      </c>
      <c r="AS737" s="462">
        <f>SUMIFS(AS2:AS698,G2:G698,"AGAE",E2:E698,"0330",F2:F698,"12",AT2:AT698,1)</f>
        <v>3.7</v>
      </c>
      <c r="AT737" s="462">
        <f>SUMIFS(AS2:AS698,G2:G698,"AGAE",E2:E698,"0330",F2:F698,"12",AT2:AT698,3)</f>
        <v>0</v>
      </c>
      <c r="AU737" s="462">
        <f>SUMIFS(AU2:AU698,G2:G698,"AGAE",E2:E698,"0330",F2:F698,"12")</f>
        <v>5</v>
      </c>
      <c r="AV737" s="462">
        <f>SUMIFS(AV2:AV698,G2:G698,"AGAE",E2:E698,"0330",F2:F698,"12")</f>
        <v>0</v>
      </c>
      <c r="AW737" s="462">
        <f>SUMIFS(AW2:AW698,G2:G698,"AGAE",E2:E698,"0330",F2:F698,"12")</f>
        <v>13</v>
      </c>
      <c r="AX737" s="462">
        <f>SUMIFS(AX2:AX698,G2:G698,"AGAE",E2:E698,"0330",F2:F698,"12")</f>
        <v>289452.79999999999</v>
      </c>
      <c r="AY737" s="462">
        <f>SUMIFS(AY2:AY698,G2:G698,"AGAE",E2:E698,"0330",F2:F698,"12")</f>
        <v>219941.28</v>
      </c>
      <c r="AZ737" s="462">
        <f>SUMIFS(AZ2:AZ698,G2:G698,"AGAE",E2:E698,"0330",F2:F698,"12")</f>
        <v>0</v>
      </c>
      <c r="BA737" s="462">
        <f>SUMIFS(BA2:BA698,G2:G698,"AGAE",E2:E698,"0330",F2:F698,"12")</f>
        <v>0</v>
      </c>
      <c r="BB737" s="462">
        <f>SUMIFS(BB2:BB698,G2:G698,"AGAE",E2:E698,"0330",F2:F698,"12")</f>
        <v>43105</v>
      </c>
      <c r="BC737" s="462">
        <f>SUMIFS(BC2:BC698,G2:G698,"AGAE",E2:E698,"0330",F2:F698,"12")</f>
        <v>0</v>
      </c>
      <c r="BD737" s="462">
        <f>SUMIFS(BD2:BD698,G2:G698,"AGAE",E2:E698,"0330",F2:F698,"12")</f>
        <v>13636.35936</v>
      </c>
      <c r="BE737" s="462">
        <f>SUMIFS(BE2:BE698,G2:G698,"AGAE",E2:E698,"0330",F2:F698,"12")</f>
        <v>3189.1485599999996</v>
      </c>
      <c r="BF737" s="462">
        <f>SUMIFS(BF2:BF698,G2:G698,"AGAE",E2:E698,"0330",F2:F698,"12")</f>
        <v>26260.988831999999</v>
      </c>
      <c r="BG737" s="462">
        <f>SUMIFS(BG2:BG698,G2:G698,"AGAE",E2:E698,"0330",F2:F698,"12")</f>
        <v>1585.7766288</v>
      </c>
      <c r="BH737" s="462">
        <f>SUMIFS(BH2:BH698,G2:G698,"AGAE",E2:E698,"0330",F2:F698,"12")</f>
        <v>1077.712272</v>
      </c>
      <c r="BI737" s="462">
        <f>SUMIFS(BI2:BI698,G2:G698,"AGAE",E2:E698,"0330",F2:F698,"12")</f>
        <v>673.02031680000005</v>
      </c>
      <c r="BJ737" s="462">
        <f>SUMIFS(BJ2:BJ698,G2:G698,"AGAE",E2:E698,"0330",F2:F698,"12")</f>
        <v>3365.101584</v>
      </c>
      <c r="BK737" s="462">
        <f>SUMIFS(BK2:BK698,G2:G698,"AGAE",E2:E698,"0330",F2:F698,"12")</f>
        <v>0</v>
      </c>
      <c r="BL737" s="462">
        <f>SUMIFS(BL2:BL698,G2:G698,"AGAE",E2:E698,"0330",F2:F698,"12")</f>
        <v>49788.107553599984</v>
      </c>
      <c r="BM737" s="462">
        <f>SUMIFS(BM2:BM698,G2:G698,"AGAE",E2:E698,"0330",F2:F698,"12")</f>
        <v>0</v>
      </c>
      <c r="BN737" s="462">
        <f>SUMIFS(BN2:BN698,G2:G698,"AGAE",E2:E698,"0330",F2:F698,"12")</f>
        <v>43105</v>
      </c>
      <c r="BO737" s="462">
        <f>SUMIFS(BO2:BO698,G2:G698,"AGAE",E2:E698,"0330",F2:F698,"12")</f>
        <v>0</v>
      </c>
      <c r="BP737" s="462">
        <f>SUMIFS(BP2:BP698,G2:G698,"AGAE",E2:E698,"0330",F2:F698,"12")</f>
        <v>13636.35936</v>
      </c>
      <c r="BQ737" s="462">
        <f>SUMIFS(BQ2:BQ698,G2:G698,"AGAE",E2:E698,"0330",F2:F698,"12")</f>
        <v>3189.1485599999996</v>
      </c>
      <c r="BR737" s="462">
        <f>SUMIFS(BR2:BR698,G2:G698,"AGAE",E2:E698,"0330",F2:F698,"12")</f>
        <v>26260.988831999999</v>
      </c>
      <c r="BS737" s="462">
        <f>SUMIFS(BS2:BS698,G2:G698,"AGAE",E2:E698,"0330",F2:F698,"12")</f>
        <v>1585.7766288</v>
      </c>
      <c r="BT737" s="462">
        <f>SUMIFS(BT2:BT698,G2:G698,"AGAE",E2:E698,"0330",F2:F698,"12")</f>
        <v>0</v>
      </c>
      <c r="BU737" s="462">
        <f>SUMIFS(BU2:BU698,G2:G698,"AGAE",E2:E698,"0330",F2:F698,"12")</f>
        <v>673.02031680000005</v>
      </c>
      <c r="BV737" s="462">
        <f>SUMIFS(BV2:BV698,G2:G698,"AGAE",E2:E698,"0330",F2:F698,"12")</f>
        <v>3870.9665280000004</v>
      </c>
      <c r="BW737" s="462">
        <f>SUMIFS(BW2:BW698,G2:G698,"AGAE",E2:E698,"0330",F2:F698,"12")</f>
        <v>0</v>
      </c>
      <c r="BX737" s="462">
        <f>SUMIFS(BX2:BX698,G2:G698,"AGAE",E2:E698,"0330",F2:F698,"12")</f>
        <v>49216.260225599995</v>
      </c>
      <c r="BY737" s="462">
        <f>SUMIFS(BY2:BY698,G2:G698,"AGAE",E2:E698,"0330",F2:F698,"12")</f>
        <v>0</v>
      </c>
      <c r="BZ737" s="462">
        <f>SUMIFS(BZ2:BZ698,G2:G698,"AGAE",E2:E698,"0330",F2:F698,"12")</f>
        <v>0</v>
      </c>
      <c r="CA737" s="462">
        <f>SUMIFS(CA2:CA698,G2:G698,"AGAE",E2:E698,"0330",F2:F698,"12")</f>
        <v>0</v>
      </c>
      <c r="CB737" s="462">
        <f>SUMIFS(CB2:CB698,G2:G698,"AGAE",E2:E698,"0330",F2:F698,"12")</f>
        <v>0</v>
      </c>
      <c r="CC737" s="462">
        <f>SUMIFS(CC2:CC698,G2:G698,"AGAE",E2:E698,"0330",F2:F698,"12")</f>
        <v>0</v>
      </c>
      <c r="CD737" s="462">
        <f>SUMIFS(CD2:CD698,G2:G698,"AGAE",E2:E698,"0330",F2:F698,"12")</f>
        <v>0</v>
      </c>
      <c r="CE737" s="462">
        <f>SUMIFS(CE2:CE698,G2:G698,"AGAE",E2:E698,"0330",F2:F698,"12")</f>
        <v>0</v>
      </c>
      <c r="CF737" s="462">
        <f>SUMIFS(CF2:CF698,G2:G698,"AGAE",E2:E698,"0330",F2:F698,"12")</f>
        <v>-1077.712272</v>
      </c>
      <c r="CG737" s="462">
        <f>SUMIFS(CG2:CG698,G2:G698,"AGAE",E2:E698,"0330",F2:F698,"12")</f>
        <v>0</v>
      </c>
      <c r="CH737" s="462">
        <f>SUMIFS(CH2:CH698,G2:G698,"AGAE",E2:E698,"0330",F2:F698,"12")</f>
        <v>505.86494400000043</v>
      </c>
      <c r="CI737" s="462">
        <f>SUMIFS(CI2:CI698,G2:G698,"AGAE",E2:E698,"0330",F2:F698,"12")</f>
        <v>0</v>
      </c>
      <c r="CJ737" s="462">
        <f>SUMIFS(CJ2:CJ698,G2:G698,"AGAE",E2:E698,"0330",F2:F698,"12")</f>
        <v>-571.84732799999961</v>
      </c>
      <c r="CK737" s="462">
        <f>SUMIFS(CK2:CK698,G2:G698,"AGAE",E2:E698,"0330",F2:F698,"12")</f>
        <v>0</v>
      </c>
      <c r="CL737" s="462">
        <f>SUMIFS(CL2:CL698,G2:G698,"AGAE",E2:E698,"0330",F2:F698,"12")</f>
        <v>4536</v>
      </c>
      <c r="CM737" s="462">
        <f>SUMIFS(CM2:CM698,G2:G698,"AGAE",E2:E698,"0330",F2:F698,"12")</f>
        <v>385.59</v>
      </c>
    </row>
    <row r="738" spans="43:91" ht="18" x14ac:dyDescent="0.35">
      <c r="AQ738" s="468" t="s">
        <v>1528</v>
      </c>
      <c r="AS738" s="469">
        <f>SUM(AS737:AS737)</f>
        <v>3.7</v>
      </c>
      <c r="AT738" s="469">
        <f>SUM(AT737:AT737)</f>
        <v>0</v>
      </c>
      <c r="AU738" s="469">
        <f>SUM(AU737:AU737)</f>
        <v>5</v>
      </c>
      <c r="AV738" s="469">
        <f>SUM(AV737:AV737)</f>
        <v>0</v>
      </c>
      <c r="AW738" s="469">
        <f>SUM(AW737:AW737)</f>
        <v>13</v>
      </c>
      <c r="AX738" s="469">
        <f>SUM(AX737:AX737)</f>
        <v>289452.79999999999</v>
      </c>
      <c r="AY738" s="469">
        <f>SUM(AY737:AY737)</f>
        <v>219941.28</v>
      </c>
      <c r="AZ738" s="469">
        <f>SUM(AZ737:AZ737)</f>
        <v>0</v>
      </c>
      <c r="BA738" s="469">
        <f>SUM(BA737:BA737)</f>
        <v>0</v>
      </c>
      <c r="BB738" s="469">
        <f>SUM(BB737:BB737)</f>
        <v>43105</v>
      </c>
      <c r="BC738" s="469">
        <f>SUM(BC737:BC737)</f>
        <v>0</v>
      </c>
      <c r="BD738" s="469">
        <f>SUM(BD737:BD737)</f>
        <v>13636.35936</v>
      </c>
      <c r="BE738" s="469">
        <f>SUM(BE737:BE737)</f>
        <v>3189.1485599999996</v>
      </c>
      <c r="BF738" s="469">
        <f>SUM(BF737:BF737)</f>
        <v>26260.988831999999</v>
      </c>
      <c r="BG738" s="469">
        <f>SUM(BG737:BG737)</f>
        <v>1585.7766288</v>
      </c>
      <c r="BH738" s="469">
        <f>SUM(BH737:BH737)</f>
        <v>1077.712272</v>
      </c>
      <c r="BI738" s="469">
        <f>SUM(BI737:BI737)</f>
        <v>673.02031680000005</v>
      </c>
      <c r="BJ738" s="469">
        <f>SUM(BJ737:BJ737)</f>
        <v>3365.101584</v>
      </c>
      <c r="BK738" s="469">
        <f>SUM(BK737:BK737)</f>
        <v>0</v>
      </c>
      <c r="BL738" s="469">
        <f>SUM(BL737:BL737)</f>
        <v>49788.107553599984</v>
      </c>
      <c r="BM738" s="469">
        <f>SUM(BM737:BM737)</f>
        <v>0</v>
      </c>
      <c r="BN738" s="469">
        <f>SUM(BN737:BN737)</f>
        <v>43105</v>
      </c>
      <c r="BO738" s="469">
        <f>SUM(BO737:BO737)</f>
        <v>0</v>
      </c>
      <c r="BP738" s="469">
        <f>SUM(BP737:BP737)</f>
        <v>13636.35936</v>
      </c>
      <c r="BQ738" s="469">
        <f>SUM(BQ737:BQ737)</f>
        <v>3189.1485599999996</v>
      </c>
      <c r="BR738" s="469">
        <f>SUM(BR737:BR737)</f>
        <v>26260.988831999999</v>
      </c>
      <c r="BS738" s="469">
        <f>SUM(BS737:BS737)</f>
        <v>1585.7766288</v>
      </c>
      <c r="BT738" s="469">
        <f>SUM(BT737:BT737)</f>
        <v>0</v>
      </c>
      <c r="BU738" s="469">
        <f>SUM(BU737:BU737)</f>
        <v>673.02031680000005</v>
      </c>
      <c r="BV738" s="469">
        <f>SUM(BV737:BV737)</f>
        <v>3870.9665280000004</v>
      </c>
      <c r="BW738" s="469">
        <f>SUM(BW737:BW737)</f>
        <v>0</v>
      </c>
      <c r="BX738" s="469">
        <f>SUM(BX737:BX737)</f>
        <v>49216.260225599995</v>
      </c>
      <c r="BY738" s="469">
        <f>SUM(BY737:BY737)</f>
        <v>0</v>
      </c>
      <c r="BZ738" s="469">
        <f>SUM(BZ737:BZ737)</f>
        <v>0</v>
      </c>
      <c r="CA738" s="469">
        <f>SUM(CA737:CA737)</f>
        <v>0</v>
      </c>
      <c r="CB738" s="469">
        <f>SUM(CB737:CB737)</f>
        <v>0</v>
      </c>
      <c r="CC738" s="469">
        <f>SUM(CC737:CC737)</f>
        <v>0</v>
      </c>
      <c r="CD738" s="469">
        <f>SUM(CD737:CD737)</f>
        <v>0</v>
      </c>
      <c r="CE738" s="469">
        <f>SUM(CE737:CE737)</f>
        <v>0</v>
      </c>
      <c r="CF738" s="469">
        <f>SUM(CF737:CF737)</f>
        <v>-1077.712272</v>
      </c>
      <c r="CG738" s="469">
        <f>SUM(CG737:CG737)</f>
        <v>0</v>
      </c>
      <c r="CH738" s="469">
        <f>SUM(CH737:CH737)</f>
        <v>505.86494400000043</v>
      </c>
      <c r="CI738" s="469">
        <f>SUM(CI737:CI737)</f>
        <v>0</v>
      </c>
      <c r="CJ738" s="469">
        <f>SUM(CJ737:CJ737)</f>
        <v>-571.84732799999961</v>
      </c>
      <c r="CK738" s="469">
        <f>SUM(CK737:CK737)</f>
        <v>0</v>
      </c>
      <c r="CL738" s="469">
        <f>SUM(CL737:CL737)</f>
        <v>4536</v>
      </c>
      <c r="CM738" s="469">
        <f>SUM(CM737:CM737)</f>
        <v>385.59</v>
      </c>
    </row>
    <row r="739" spans="43:91" ht="15" thickBot="1" x14ac:dyDescent="0.35">
      <c r="AR739" t="s">
        <v>1533</v>
      </c>
      <c r="AS739" s="462">
        <f>SUMIFS(AS2:AS698,G2:G698,"AGAE",E2:E698,"0332",F2:F698,"10",AT2:AT698,1)</f>
        <v>8</v>
      </c>
      <c r="AT739" s="462">
        <f>SUMIFS(AS2:AS698,G2:G698,"AGAE",E2:E698,"0332",F2:F698,"10",AT2:AT698,3)</f>
        <v>0</v>
      </c>
      <c r="AU739" s="462">
        <f>SUMIFS(AU2:AU698,G2:G698,"AGAE",E2:E698,"0332",F2:F698,"10")</f>
        <v>8</v>
      </c>
      <c r="AV739" s="462">
        <f>SUMIFS(AV2:AV698,G2:G698,"AGAE",E2:E698,"0332",F2:F698,"10")</f>
        <v>0</v>
      </c>
      <c r="AW739" s="462">
        <f>SUMIFS(AW2:AW698,G2:G698,"AGAE",E2:E698,"0332",F2:F698,"10")</f>
        <v>10</v>
      </c>
      <c r="AX739" s="462">
        <f>SUMIFS(AX2:AX698,G2:G698,"AGAE",E2:E698,"0332",F2:F698,"10")</f>
        <v>397737.6</v>
      </c>
      <c r="AY739" s="462">
        <f>SUMIFS(AY2:AY698,G2:G698,"AGAE",E2:E698,"0332",F2:F698,"10")</f>
        <v>397737.6</v>
      </c>
      <c r="AZ739" s="462">
        <f>SUMIFS(AZ2:AZ698,G2:G698,"AGAE",E2:E698,"0332",F2:F698,"10")</f>
        <v>0</v>
      </c>
      <c r="BA739" s="462">
        <f>SUMIFS(BA2:BA698,G2:G698,"AGAE",E2:E698,"0332",F2:F698,"10")</f>
        <v>0</v>
      </c>
      <c r="BB739" s="462">
        <f>SUMIFS(BB2:BB698,G2:G698,"AGAE",E2:E698,"0332",F2:F698,"10")</f>
        <v>93200</v>
      </c>
      <c r="BC739" s="462">
        <f>SUMIFS(BC2:BC698,G2:G698,"AGAE",E2:E698,"0332",F2:F698,"10")</f>
        <v>0</v>
      </c>
      <c r="BD739" s="462">
        <f>SUMIFS(BD2:BD698,G2:G698,"AGAE",E2:E698,"0332",F2:F698,"10")</f>
        <v>24659.731199999998</v>
      </c>
      <c r="BE739" s="462">
        <f>SUMIFS(BE2:BE698,G2:G698,"AGAE",E2:E698,"0332",F2:F698,"10")</f>
        <v>5767.195200000001</v>
      </c>
      <c r="BF739" s="462">
        <f>SUMIFS(BF2:BF698,G2:G698,"AGAE",E2:E698,"0332",F2:F698,"10")</f>
        <v>47489.869440000002</v>
      </c>
      <c r="BG739" s="462">
        <f>SUMIFS(BG2:BG698,G2:G698,"AGAE",E2:E698,"0332",F2:F698,"10")</f>
        <v>2867.6880959999999</v>
      </c>
      <c r="BH739" s="462">
        <f>SUMIFS(BH2:BH698,G2:G698,"AGAE",E2:E698,"0332",F2:F698,"10")</f>
        <v>1948.9142399999998</v>
      </c>
      <c r="BI739" s="462">
        <f>SUMIFS(BI2:BI698,G2:G698,"AGAE",E2:E698,"0332",F2:F698,"10")</f>
        <v>1217.0770559999999</v>
      </c>
      <c r="BJ739" s="462">
        <f>SUMIFS(BJ2:BJ698,G2:G698,"AGAE",E2:E698,"0332",F2:F698,"10")</f>
        <v>6085.3852800000004</v>
      </c>
      <c r="BK739" s="462">
        <f>SUMIFS(BK2:BK698,G2:G698,"AGAE",E2:E698,"0332",F2:F698,"10")</f>
        <v>0</v>
      </c>
      <c r="BL739" s="462">
        <f>SUMIFS(BL2:BL698,G2:G698,"AGAE",E2:E698,"0332",F2:F698,"10")</f>
        <v>90035.860511999985</v>
      </c>
      <c r="BM739" s="462">
        <f>SUMIFS(BM2:BM698,G2:G698,"AGAE",E2:E698,"0332",F2:F698,"10")</f>
        <v>0</v>
      </c>
      <c r="BN739" s="462">
        <f>SUMIFS(BN2:BN698,G2:G698,"AGAE",E2:E698,"0332",F2:F698,"10")</f>
        <v>93200</v>
      </c>
      <c r="BO739" s="462">
        <f>SUMIFS(BO2:BO698,G2:G698,"AGAE",E2:E698,"0332",F2:F698,"10")</f>
        <v>0</v>
      </c>
      <c r="BP739" s="462">
        <f>SUMIFS(BP2:BP698,G2:G698,"AGAE",E2:E698,"0332",F2:F698,"10")</f>
        <v>24659.731199999998</v>
      </c>
      <c r="BQ739" s="462">
        <f>SUMIFS(BQ2:BQ698,G2:G698,"AGAE",E2:E698,"0332",F2:F698,"10")</f>
        <v>5767.195200000001</v>
      </c>
      <c r="BR739" s="462">
        <f>SUMIFS(BR2:BR698,G2:G698,"AGAE",E2:E698,"0332",F2:F698,"10")</f>
        <v>47489.869440000002</v>
      </c>
      <c r="BS739" s="462">
        <f>SUMIFS(BS2:BS698,G2:G698,"AGAE",E2:E698,"0332",F2:F698,"10")</f>
        <v>2867.6880959999999</v>
      </c>
      <c r="BT739" s="462">
        <f>SUMIFS(BT2:BT698,G2:G698,"AGAE",E2:E698,"0332",F2:F698,"10")</f>
        <v>0</v>
      </c>
      <c r="BU739" s="462">
        <f>SUMIFS(BU2:BU698,G2:G698,"AGAE",E2:E698,"0332",F2:F698,"10")</f>
        <v>1217.0770559999999</v>
      </c>
      <c r="BV739" s="462">
        <f>SUMIFS(BV2:BV698,G2:G698,"AGAE",E2:E698,"0332",F2:F698,"10")</f>
        <v>7000.1817599999995</v>
      </c>
      <c r="BW739" s="462">
        <f>SUMIFS(BW2:BW698,G2:G698,"AGAE",E2:E698,"0332",F2:F698,"10")</f>
        <v>0</v>
      </c>
      <c r="BX739" s="462">
        <f>SUMIFS(BX2:BX698,G2:G698,"AGAE",E2:E698,"0332",F2:F698,"10")</f>
        <v>89001.742752000006</v>
      </c>
      <c r="BY739" s="462">
        <f>SUMIFS(BY2:BY698,G2:G698,"AGAE",E2:E698,"0332",F2:F698,"10")</f>
        <v>0</v>
      </c>
      <c r="BZ739" s="462">
        <f>SUMIFS(BZ2:BZ698,G2:G698,"AGAE",E2:E698,"0332",F2:F698,"10")</f>
        <v>0</v>
      </c>
      <c r="CA739" s="462">
        <f>SUMIFS(CA2:CA698,G2:G698,"AGAE",E2:E698,"0332",F2:F698,"10")</f>
        <v>0</v>
      </c>
      <c r="CB739" s="462">
        <f>SUMIFS(CB2:CB698,G2:G698,"AGAE",E2:E698,"0332",F2:F698,"10")</f>
        <v>0</v>
      </c>
      <c r="CC739" s="462">
        <f>SUMIFS(CC2:CC698,G2:G698,"AGAE",E2:E698,"0332",F2:F698,"10")</f>
        <v>0</v>
      </c>
      <c r="CD739" s="462">
        <f>SUMIFS(CD2:CD698,G2:G698,"AGAE",E2:E698,"0332",F2:F698,"10")</f>
        <v>0</v>
      </c>
      <c r="CE739" s="462">
        <f>SUMIFS(CE2:CE698,G2:G698,"AGAE",E2:E698,"0332",F2:F698,"10")</f>
        <v>0</v>
      </c>
      <c r="CF739" s="462">
        <f>SUMIFS(CF2:CF698,G2:G698,"AGAE",E2:E698,"0332",F2:F698,"10")</f>
        <v>-1948.9142399999998</v>
      </c>
      <c r="CG739" s="462">
        <f>SUMIFS(CG2:CG698,G2:G698,"AGAE",E2:E698,"0332",F2:F698,"10")</f>
        <v>0</v>
      </c>
      <c r="CH739" s="462">
        <f>SUMIFS(CH2:CH698,G2:G698,"AGAE",E2:E698,"0332",F2:F698,"10")</f>
        <v>914.79648000000066</v>
      </c>
      <c r="CI739" s="462">
        <f>SUMIFS(CI2:CI698,G2:G698,"AGAE",E2:E698,"0332",F2:F698,"10")</f>
        <v>0</v>
      </c>
      <c r="CJ739" s="462">
        <f>SUMIFS(CJ2:CJ698,G2:G698,"AGAE",E2:E698,"0332",F2:F698,"10")</f>
        <v>-1034.1177599999992</v>
      </c>
      <c r="CK739" s="462">
        <f>SUMIFS(CK2:CK698,G2:G698,"AGAE",E2:E698,"0332",F2:F698,"10")</f>
        <v>0</v>
      </c>
      <c r="CL739" s="462">
        <f>SUMIFS(CL2:CL698,G2:G698,"AGAE",E2:E698,"0332",F2:F698,"10")</f>
        <v>24.75</v>
      </c>
      <c r="CM739" s="462">
        <f>SUMIFS(CM2:CM698,G2:G698,"AGAE",E2:E698,"0332",F2:F698,"10")</f>
        <v>14.92</v>
      </c>
    </row>
    <row r="740" spans="43:91" ht="18" x14ac:dyDescent="0.35">
      <c r="AQ740" s="468" t="s">
        <v>1534</v>
      </c>
      <c r="AS740" s="469">
        <f>SUM(AS739:AS739)</f>
        <v>8</v>
      </c>
      <c r="AT740" s="469">
        <f>SUM(AT739:AT739)</f>
        <v>0</v>
      </c>
      <c r="AU740" s="469">
        <f>SUM(AU739:AU739)</f>
        <v>8</v>
      </c>
      <c r="AV740" s="469">
        <f>SUM(AV739:AV739)</f>
        <v>0</v>
      </c>
      <c r="AW740" s="469">
        <f>SUM(AW739:AW739)</f>
        <v>10</v>
      </c>
      <c r="AX740" s="469">
        <f>SUM(AX739:AX739)</f>
        <v>397737.6</v>
      </c>
      <c r="AY740" s="469">
        <f>SUM(AY739:AY739)</f>
        <v>397737.6</v>
      </c>
      <c r="AZ740" s="469">
        <f>SUM(AZ739:AZ739)</f>
        <v>0</v>
      </c>
      <c r="BA740" s="469">
        <f>SUM(BA739:BA739)</f>
        <v>0</v>
      </c>
      <c r="BB740" s="469">
        <f>SUM(BB739:BB739)</f>
        <v>93200</v>
      </c>
      <c r="BC740" s="469">
        <f>SUM(BC739:BC739)</f>
        <v>0</v>
      </c>
      <c r="BD740" s="469">
        <f>SUM(BD739:BD739)</f>
        <v>24659.731199999998</v>
      </c>
      <c r="BE740" s="469">
        <f>SUM(BE739:BE739)</f>
        <v>5767.195200000001</v>
      </c>
      <c r="BF740" s="469">
        <f>SUM(BF739:BF739)</f>
        <v>47489.869440000002</v>
      </c>
      <c r="BG740" s="469">
        <f>SUM(BG739:BG739)</f>
        <v>2867.6880959999999</v>
      </c>
      <c r="BH740" s="469">
        <f>SUM(BH739:BH739)</f>
        <v>1948.9142399999998</v>
      </c>
      <c r="BI740" s="469">
        <f>SUM(BI739:BI739)</f>
        <v>1217.0770559999999</v>
      </c>
      <c r="BJ740" s="469">
        <f>SUM(BJ739:BJ739)</f>
        <v>6085.3852800000004</v>
      </c>
      <c r="BK740" s="469">
        <f>SUM(BK739:BK739)</f>
        <v>0</v>
      </c>
      <c r="BL740" s="469">
        <f>SUM(BL739:BL739)</f>
        <v>90035.860511999985</v>
      </c>
      <c r="BM740" s="469">
        <f>SUM(BM739:BM739)</f>
        <v>0</v>
      </c>
      <c r="BN740" s="469">
        <f>SUM(BN739:BN739)</f>
        <v>93200</v>
      </c>
      <c r="BO740" s="469">
        <f>SUM(BO739:BO739)</f>
        <v>0</v>
      </c>
      <c r="BP740" s="469">
        <f>SUM(BP739:BP739)</f>
        <v>24659.731199999998</v>
      </c>
      <c r="BQ740" s="469">
        <f>SUM(BQ739:BQ739)</f>
        <v>5767.195200000001</v>
      </c>
      <c r="BR740" s="469">
        <f>SUM(BR739:BR739)</f>
        <v>47489.869440000002</v>
      </c>
      <c r="BS740" s="469">
        <f>SUM(BS739:BS739)</f>
        <v>2867.6880959999999</v>
      </c>
      <c r="BT740" s="469">
        <f>SUM(BT739:BT739)</f>
        <v>0</v>
      </c>
      <c r="BU740" s="469">
        <f>SUM(BU739:BU739)</f>
        <v>1217.0770559999999</v>
      </c>
      <c r="BV740" s="469">
        <f>SUM(BV739:BV739)</f>
        <v>7000.1817599999995</v>
      </c>
      <c r="BW740" s="469">
        <f>SUM(BW739:BW739)</f>
        <v>0</v>
      </c>
      <c r="BX740" s="469">
        <f>SUM(BX739:BX739)</f>
        <v>89001.742752000006</v>
      </c>
      <c r="BY740" s="469">
        <f>SUM(BY739:BY739)</f>
        <v>0</v>
      </c>
      <c r="BZ740" s="469">
        <f>SUM(BZ739:BZ739)</f>
        <v>0</v>
      </c>
      <c r="CA740" s="469">
        <f>SUM(CA739:CA739)</f>
        <v>0</v>
      </c>
      <c r="CB740" s="469">
        <f>SUM(CB739:CB739)</f>
        <v>0</v>
      </c>
      <c r="CC740" s="469">
        <f>SUM(CC739:CC739)</f>
        <v>0</v>
      </c>
      <c r="CD740" s="469">
        <f>SUM(CD739:CD739)</f>
        <v>0</v>
      </c>
      <c r="CE740" s="469">
        <f>SUM(CE739:CE739)</f>
        <v>0</v>
      </c>
      <c r="CF740" s="469">
        <f>SUM(CF739:CF739)</f>
        <v>-1948.9142399999998</v>
      </c>
      <c r="CG740" s="469">
        <f>SUM(CG739:CG739)</f>
        <v>0</v>
      </c>
      <c r="CH740" s="469">
        <f>SUM(CH739:CH739)</f>
        <v>914.79648000000066</v>
      </c>
      <c r="CI740" s="469">
        <f>SUM(CI739:CI739)</f>
        <v>0</v>
      </c>
      <c r="CJ740" s="469">
        <f>SUM(CJ739:CJ739)</f>
        <v>-1034.1177599999992</v>
      </c>
      <c r="CK740" s="469">
        <f>SUM(CK739:CK739)</f>
        <v>0</v>
      </c>
      <c r="CL740" s="469">
        <f>SUM(CL739:CL739)</f>
        <v>24.75</v>
      </c>
      <c r="CM740" s="469">
        <f>SUM(CM739:CM739)</f>
        <v>14.92</v>
      </c>
    </row>
    <row r="741" spans="43:91" ht="15" thickBot="1" x14ac:dyDescent="0.35">
      <c r="AR741" t="s">
        <v>1539</v>
      </c>
      <c r="AS741" s="462">
        <f>SUMIFS(AS2:AS698,G2:G698,"AGAF",E2:E698,"0001",F2:F698,"00",AT2:AT698,1)</f>
        <v>3.75</v>
      </c>
      <c r="AT741" s="462">
        <f>SUMIFS(AS2:AS698,G2:G698,"AGAF",E2:E698,"0001",F2:F698,"00",AT2:AT698,3)</f>
        <v>0</v>
      </c>
      <c r="AU741" s="462">
        <f>SUMIFS(AU2:AU698,G2:G698,"AGAF",E2:E698,"0001",F2:F698,"00")</f>
        <v>3.8</v>
      </c>
      <c r="AV741" s="462">
        <f>SUMIFS(AV2:AV698,G2:G698,"AGAF",E2:E698,"0001",F2:F698,"00")</f>
        <v>0</v>
      </c>
      <c r="AW741" s="462">
        <f>SUMIFS(AW2:AW698,G2:G698,"AGAF",E2:E698,"0001",F2:F698,"00")</f>
        <v>9</v>
      </c>
      <c r="AX741" s="462">
        <f>SUMIFS(AX2:AX698,G2:G698,"AGAF",E2:E698,"0001",F2:F698,"00")</f>
        <v>227510.39999999999</v>
      </c>
      <c r="AY741" s="462">
        <f>SUMIFS(AY2:AY698,G2:G698,"AGAF",E2:E698,"0001",F2:F698,"00")</f>
        <v>225778.8</v>
      </c>
      <c r="AZ741" s="462">
        <f>SUMIFS(AZ2:AZ698,G2:G698,"AGAF",E2:E698,"0001",F2:F698,"00")</f>
        <v>0</v>
      </c>
      <c r="BA741" s="462">
        <f>SUMIFS(BA2:BA698,G2:G698,"AGAF",E2:E698,"0001",F2:F698,"00")</f>
        <v>0</v>
      </c>
      <c r="BB741" s="462">
        <f>SUMIFS(BB2:BB698,G2:G698,"AGAF",E2:E698,"0001",F2:F698,"00")</f>
        <v>46017.5</v>
      </c>
      <c r="BC741" s="462">
        <f>SUMIFS(BC2:BC698,G2:G698,"AGAF",E2:E698,"0001",F2:F698,"00")</f>
        <v>0</v>
      </c>
      <c r="BD741" s="462">
        <f>SUMIFS(BD2:BD698,G2:G698,"AGAF",E2:E698,"0001",F2:F698,"00")</f>
        <v>13998.285599999999</v>
      </c>
      <c r="BE741" s="462">
        <f>SUMIFS(BE2:BE698,G2:G698,"AGAF",E2:E698,"0001",F2:F698,"00")</f>
        <v>3273.7926000000002</v>
      </c>
      <c r="BF741" s="462">
        <f>SUMIFS(BF2:BF698,G2:G698,"AGAF",E2:E698,"0001",F2:F698,"00")</f>
        <v>26957.988720000001</v>
      </c>
      <c r="BG741" s="462">
        <f>SUMIFS(BG2:BG698,G2:G698,"AGAF",E2:E698,"0001",F2:F698,"00")</f>
        <v>1627.8651479999999</v>
      </c>
      <c r="BH741" s="462">
        <f>SUMIFS(BH2:BH698,G2:G698,"AGAF",E2:E698,"0001",F2:F698,"00")</f>
        <v>1106.31612</v>
      </c>
      <c r="BI741" s="462">
        <f>SUMIFS(BI2:BI698,G2:G698,"AGAF",E2:E698,"0001",F2:F698,"00")</f>
        <v>690.88312799999994</v>
      </c>
      <c r="BJ741" s="462">
        <f>SUMIFS(BJ2:BJ698,G2:G698,"AGAF",E2:E698,"0001",F2:F698,"00")</f>
        <v>3454.4156399999997</v>
      </c>
      <c r="BK741" s="462">
        <f>SUMIFS(BK2:BK698,G2:G698,"AGAF",E2:E698,"0001",F2:F698,"00")</f>
        <v>0</v>
      </c>
      <c r="BL741" s="462">
        <f>SUMIFS(BL2:BL698,G2:G698,"AGAF",E2:E698,"0001",F2:F698,"00")</f>
        <v>51109.546955999991</v>
      </c>
      <c r="BM741" s="462">
        <f>SUMIFS(BM2:BM698,G2:G698,"AGAF",E2:E698,"0001",F2:F698,"00")</f>
        <v>0</v>
      </c>
      <c r="BN741" s="462">
        <f>SUMIFS(BN2:BN698,G2:G698,"AGAF",E2:E698,"0001",F2:F698,"00")</f>
        <v>46017.5</v>
      </c>
      <c r="BO741" s="462">
        <f>SUMIFS(BO2:BO698,G2:G698,"AGAF",E2:E698,"0001",F2:F698,"00")</f>
        <v>0</v>
      </c>
      <c r="BP741" s="462">
        <f>SUMIFS(BP2:BP698,G2:G698,"AGAF",E2:E698,"0001",F2:F698,"00")</f>
        <v>13998.285599999999</v>
      </c>
      <c r="BQ741" s="462">
        <f>SUMIFS(BQ2:BQ698,G2:G698,"AGAF",E2:E698,"0001",F2:F698,"00")</f>
        <v>3273.7926000000002</v>
      </c>
      <c r="BR741" s="462">
        <f>SUMIFS(BR2:BR698,G2:G698,"AGAF",E2:E698,"0001",F2:F698,"00")</f>
        <v>26957.988720000001</v>
      </c>
      <c r="BS741" s="462">
        <f>SUMIFS(BS2:BS698,G2:G698,"AGAF",E2:E698,"0001",F2:F698,"00")</f>
        <v>1627.8651479999999</v>
      </c>
      <c r="BT741" s="462">
        <f>SUMIFS(BT2:BT698,G2:G698,"AGAF",E2:E698,"0001",F2:F698,"00")</f>
        <v>0</v>
      </c>
      <c r="BU741" s="462">
        <f>SUMIFS(BU2:BU698,G2:G698,"AGAF",E2:E698,"0001",F2:F698,"00")</f>
        <v>690.88312799999994</v>
      </c>
      <c r="BV741" s="462">
        <f>SUMIFS(BV2:BV698,G2:G698,"AGAF",E2:E698,"0001",F2:F698,"00")</f>
        <v>3973.7068800000002</v>
      </c>
      <c r="BW741" s="462">
        <f>SUMIFS(BW2:BW698,G2:G698,"AGAF",E2:E698,"0001",F2:F698,"00")</f>
        <v>0</v>
      </c>
      <c r="BX741" s="462">
        <f>SUMIFS(BX2:BX698,G2:G698,"AGAF",E2:E698,"0001",F2:F698,"00")</f>
        <v>50522.522076000001</v>
      </c>
      <c r="BY741" s="462">
        <f>SUMIFS(BY2:BY698,G2:G698,"AGAF",E2:E698,"0001",F2:F698,"00")</f>
        <v>0</v>
      </c>
      <c r="BZ741" s="462">
        <f>SUMIFS(BZ2:BZ698,G2:G698,"AGAF",E2:E698,"0001",F2:F698,"00")</f>
        <v>0</v>
      </c>
      <c r="CA741" s="462">
        <f>SUMIFS(CA2:CA698,G2:G698,"AGAF",E2:E698,"0001",F2:F698,"00")</f>
        <v>0</v>
      </c>
      <c r="CB741" s="462">
        <f>SUMIFS(CB2:CB698,G2:G698,"AGAF",E2:E698,"0001",F2:F698,"00")</f>
        <v>0</v>
      </c>
      <c r="CC741" s="462">
        <f>SUMIFS(CC2:CC698,G2:G698,"AGAF",E2:E698,"0001",F2:F698,"00")</f>
        <v>0</v>
      </c>
      <c r="CD741" s="462">
        <f>SUMIFS(CD2:CD698,G2:G698,"AGAF",E2:E698,"0001",F2:F698,"00")</f>
        <v>0</v>
      </c>
      <c r="CE741" s="462">
        <f>SUMIFS(CE2:CE698,G2:G698,"AGAF",E2:E698,"0001",F2:F698,"00")</f>
        <v>0</v>
      </c>
      <c r="CF741" s="462">
        <f>SUMIFS(CF2:CF698,G2:G698,"AGAF",E2:E698,"0001",F2:F698,"00")</f>
        <v>-1106.31612</v>
      </c>
      <c r="CG741" s="462">
        <f>SUMIFS(CG2:CG698,G2:G698,"AGAF",E2:E698,"0001",F2:F698,"00")</f>
        <v>0</v>
      </c>
      <c r="CH741" s="462">
        <f>SUMIFS(CH2:CH698,G2:G698,"AGAF",E2:E698,"0001",F2:F698,"00")</f>
        <v>519.29124000000036</v>
      </c>
      <c r="CI741" s="462">
        <f>SUMIFS(CI2:CI698,G2:G698,"AGAF",E2:E698,"0001",F2:F698,"00")</f>
        <v>0</v>
      </c>
      <c r="CJ741" s="462">
        <f>SUMIFS(CJ2:CJ698,G2:G698,"AGAF",E2:E698,"0001",F2:F698,"00")</f>
        <v>-587.0248799999996</v>
      </c>
      <c r="CK741" s="462">
        <f>SUMIFS(CK2:CK698,G2:G698,"AGAF",E2:E698,"0001",F2:F698,"00")</f>
        <v>0</v>
      </c>
      <c r="CL741" s="462">
        <f>SUMIFS(CL2:CL698,G2:G698,"AGAF",E2:E698,"0001",F2:F698,"00")</f>
        <v>1951.5</v>
      </c>
      <c r="CM741" s="462">
        <f>SUMIFS(CM2:CM698,G2:G698,"AGAF",E2:E698,"0001",F2:F698,"00")</f>
        <v>187.55</v>
      </c>
    </row>
    <row r="742" spans="43:91" ht="18" x14ac:dyDescent="0.35">
      <c r="AQ742" s="468" t="s">
        <v>1540</v>
      </c>
      <c r="AS742" s="469">
        <f>SUM(AS741:AS741)</f>
        <v>3.75</v>
      </c>
      <c r="AT742" s="469">
        <f>SUM(AT741:AT741)</f>
        <v>0</v>
      </c>
      <c r="AU742" s="469">
        <f>SUM(AU741:AU741)</f>
        <v>3.8</v>
      </c>
      <c r="AV742" s="469">
        <f>SUM(AV741:AV741)</f>
        <v>0</v>
      </c>
      <c r="AW742" s="469">
        <f>SUM(AW741:AW741)</f>
        <v>9</v>
      </c>
      <c r="AX742" s="469">
        <f>SUM(AX741:AX741)</f>
        <v>227510.39999999999</v>
      </c>
      <c r="AY742" s="469">
        <f>SUM(AY741:AY741)</f>
        <v>225778.8</v>
      </c>
      <c r="AZ742" s="469">
        <f>SUM(AZ741:AZ741)</f>
        <v>0</v>
      </c>
      <c r="BA742" s="469">
        <f>SUM(BA741:BA741)</f>
        <v>0</v>
      </c>
      <c r="BB742" s="469">
        <f>SUM(BB741:BB741)</f>
        <v>46017.5</v>
      </c>
      <c r="BC742" s="469">
        <f>SUM(BC741:BC741)</f>
        <v>0</v>
      </c>
      <c r="BD742" s="469">
        <f>SUM(BD741:BD741)</f>
        <v>13998.285599999999</v>
      </c>
      <c r="BE742" s="469">
        <f>SUM(BE741:BE741)</f>
        <v>3273.7926000000002</v>
      </c>
      <c r="BF742" s="469">
        <f>SUM(BF741:BF741)</f>
        <v>26957.988720000001</v>
      </c>
      <c r="BG742" s="469">
        <f>SUM(BG741:BG741)</f>
        <v>1627.8651479999999</v>
      </c>
      <c r="BH742" s="469">
        <f>SUM(BH741:BH741)</f>
        <v>1106.31612</v>
      </c>
      <c r="BI742" s="469">
        <f>SUM(BI741:BI741)</f>
        <v>690.88312799999994</v>
      </c>
      <c r="BJ742" s="469">
        <f>SUM(BJ741:BJ741)</f>
        <v>3454.4156399999997</v>
      </c>
      <c r="BK742" s="469">
        <f>SUM(BK741:BK741)</f>
        <v>0</v>
      </c>
      <c r="BL742" s="469">
        <f>SUM(BL741:BL741)</f>
        <v>51109.546955999991</v>
      </c>
      <c r="BM742" s="469">
        <f>SUM(BM741:BM741)</f>
        <v>0</v>
      </c>
      <c r="BN742" s="469">
        <f>SUM(BN741:BN741)</f>
        <v>46017.5</v>
      </c>
      <c r="BO742" s="469">
        <f>SUM(BO741:BO741)</f>
        <v>0</v>
      </c>
      <c r="BP742" s="469">
        <f>SUM(BP741:BP741)</f>
        <v>13998.285599999999</v>
      </c>
      <c r="BQ742" s="469">
        <f>SUM(BQ741:BQ741)</f>
        <v>3273.7926000000002</v>
      </c>
      <c r="BR742" s="469">
        <f>SUM(BR741:BR741)</f>
        <v>26957.988720000001</v>
      </c>
      <c r="BS742" s="469">
        <f>SUM(BS741:BS741)</f>
        <v>1627.8651479999999</v>
      </c>
      <c r="BT742" s="469">
        <f>SUM(BT741:BT741)</f>
        <v>0</v>
      </c>
      <c r="BU742" s="469">
        <f>SUM(BU741:BU741)</f>
        <v>690.88312799999994</v>
      </c>
      <c r="BV742" s="469">
        <f>SUM(BV741:BV741)</f>
        <v>3973.7068800000002</v>
      </c>
      <c r="BW742" s="469">
        <f>SUM(BW741:BW741)</f>
        <v>0</v>
      </c>
      <c r="BX742" s="469">
        <f>SUM(BX741:BX741)</f>
        <v>50522.522076000001</v>
      </c>
      <c r="BY742" s="469">
        <f>SUM(BY741:BY741)</f>
        <v>0</v>
      </c>
      <c r="BZ742" s="469">
        <f>SUM(BZ741:BZ741)</f>
        <v>0</v>
      </c>
      <c r="CA742" s="469">
        <f>SUM(CA741:CA741)</f>
        <v>0</v>
      </c>
      <c r="CB742" s="469">
        <f>SUM(CB741:CB741)</f>
        <v>0</v>
      </c>
      <c r="CC742" s="469">
        <f>SUM(CC741:CC741)</f>
        <v>0</v>
      </c>
      <c r="CD742" s="469">
        <f>SUM(CD741:CD741)</f>
        <v>0</v>
      </c>
      <c r="CE742" s="469">
        <f>SUM(CE741:CE741)</f>
        <v>0</v>
      </c>
      <c r="CF742" s="469">
        <f>SUM(CF741:CF741)</f>
        <v>-1106.31612</v>
      </c>
      <c r="CG742" s="469">
        <f>SUM(CG741:CG741)</f>
        <v>0</v>
      </c>
      <c r="CH742" s="469">
        <f>SUM(CH741:CH741)</f>
        <v>519.29124000000036</v>
      </c>
      <c r="CI742" s="469">
        <f>SUM(CI741:CI741)</f>
        <v>0</v>
      </c>
      <c r="CJ742" s="469">
        <f>SUM(CJ741:CJ741)</f>
        <v>-587.0248799999996</v>
      </c>
      <c r="CK742" s="469">
        <f>SUM(CK741:CK741)</f>
        <v>0</v>
      </c>
      <c r="CL742" s="469">
        <f>SUM(CL741:CL741)</f>
        <v>1951.5</v>
      </c>
      <c r="CM742" s="469">
        <f>SUM(CM741:CM741)</f>
        <v>187.55</v>
      </c>
    </row>
    <row r="743" spans="43:91" x14ac:dyDescent="0.3">
      <c r="AR743" t="s">
        <v>1543</v>
      </c>
      <c r="AS743" s="462">
        <f>SUMIFS(AS2:AS698,G2:G698,"AGAF",E2:E698,"0330",F2:F698,"00",AT2:AT698,1)</f>
        <v>0</v>
      </c>
      <c r="AT743" s="462">
        <f>SUMIFS(AS2:AS698,G2:G698,"AGAF",E2:E698,"0330",F2:F698,"00",AT2:AT698,3)</f>
        <v>0</v>
      </c>
      <c r="AU743" s="462">
        <f>SUMIFS(AU2:AU698,G2:G698,"AGAF",E2:E698,"0330",F2:F698,"00")</f>
        <v>0</v>
      </c>
      <c r="AV743" s="462">
        <f>SUMIFS(AV2:AV698,G2:G698,"AGAF",E2:E698,"0330",F2:F698,"00")</f>
        <v>0</v>
      </c>
      <c r="AW743" s="462">
        <f>SUMIFS(AW2:AW698,G2:G698,"AGAF",E2:E698,"0330",F2:F698,"00")</f>
        <v>0</v>
      </c>
      <c r="AX743" s="462">
        <f>SUMIFS(AX2:AX698,G2:G698,"AGAF",E2:E698,"0330",F2:F698,"00")</f>
        <v>0</v>
      </c>
      <c r="AY743" s="462">
        <f>SUMIFS(AY2:AY698,G2:G698,"AGAF",E2:E698,"0330",F2:F698,"00")</f>
        <v>0</v>
      </c>
      <c r="AZ743" s="462">
        <f>SUMIFS(AZ2:AZ698,G2:G698,"AGAF",E2:E698,"0330",F2:F698,"00")</f>
        <v>0</v>
      </c>
      <c r="BA743" s="462">
        <f>SUMIFS(BA2:BA698,G2:G698,"AGAF",E2:E698,"0330",F2:F698,"00")</f>
        <v>0</v>
      </c>
      <c r="BB743" s="462">
        <f>SUMIFS(BB2:BB698,G2:G698,"AGAF",E2:E698,"0330",F2:F698,"00")</f>
        <v>0</v>
      </c>
      <c r="BC743" s="462">
        <f>SUMIFS(BC2:BC698,G2:G698,"AGAF",E2:E698,"0330",F2:F698,"00")</f>
        <v>0</v>
      </c>
      <c r="BD743" s="462">
        <f>SUMIFS(BD2:BD698,G2:G698,"AGAF",E2:E698,"0330",F2:F698,"00")</f>
        <v>0</v>
      </c>
      <c r="BE743" s="462">
        <f>SUMIFS(BE2:BE698,G2:G698,"AGAF",E2:E698,"0330",F2:F698,"00")</f>
        <v>0</v>
      </c>
      <c r="BF743" s="462">
        <f>SUMIFS(BF2:BF698,G2:G698,"AGAF",E2:E698,"0330",F2:F698,"00")</f>
        <v>0</v>
      </c>
      <c r="BG743" s="462">
        <f>SUMIFS(BG2:BG698,G2:G698,"AGAF",E2:E698,"0330",F2:F698,"00")</f>
        <v>0</v>
      </c>
      <c r="BH743" s="462">
        <f>SUMIFS(BH2:BH698,G2:G698,"AGAF",E2:E698,"0330",F2:F698,"00")</f>
        <v>0</v>
      </c>
      <c r="BI743" s="462">
        <f>SUMIFS(BI2:BI698,G2:G698,"AGAF",E2:E698,"0330",F2:F698,"00")</f>
        <v>0</v>
      </c>
      <c r="BJ743" s="462">
        <f>SUMIFS(BJ2:BJ698,G2:G698,"AGAF",E2:E698,"0330",F2:F698,"00")</f>
        <v>0</v>
      </c>
      <c r="BK743" s="462">
        <f>SUMIFS(BK2:BK698,G2:G698,"AGAF",E2:E698,"0330",F2:F698,"00")</f>
        <v>0</v>
      </c>
      <c r="BL743" s="462">
        <f>SUMIFS(BL2:BL698,G2:G698,"AGAF",E2:E698,"0330",F2:F698,"00")</f>
        <v>0</v>
      </c>
      <c r="BM743" s="462">
        <f>SUMIFS(BM2:BM698,G2:G698,"AGAF",E2:E698,"0330",F2:F698,"00")</f>
        <v>0</v>
      </c>
      <c r="BN743" s="462">
        <f>SUMIFS(BN2:BN698,G2:G698,"AGAF",E2:E698,"0330",F2:F698,"00")</f>
        <v>0</v>
      </c>
      <c r="BO743" s="462">
        <f>SUMIFS(BO2:BO698,G2:G698,"AGAF",E2:E698,"0330",F2:F698,"00")</f>
        <v>0</v>
      </c>
      <c r="BP743" s="462">
        <f>SUMIFS(BP2:BP698,G2:G698,"AGAF",E2:E698,"0330",F2:F698,"00")</f>
        <v>0</v>
      </c>
      <c r="BQ743" s="462">
        <f>SUMIFS(BQ2:BQ698,G2:G698,"AGAF",E2:E698,"0330",F2:F698,"00")</f>
        <v>0</v>
      </c>
      <c r="BR743" s="462">
        <f>SUMIFS(BR2:BR698,G2:G698,"AGAF",E2:E698,"0330",F2:F698,"00")</f>
        <v>0</v>
      </c>
      <c r="BS743" s="462">
        <f>SUMIFS(BS2:BS698,G2:G698,"AGAF",E2:E698,"0330",F2:F698,"00")</f>
        <v>0</v>
      </c>
      <c r="BT743" s="462">
        <f>SUMIFS(BT2:BT698,G2:G698,"AGAF",E2:E698,"0330",F2:F698,"00")</f>
        <v>0</v>
      </c>
      <c r="BU743" s="462">
        <f>SUMIFS(BU2:BU698,G2:G698,"AGAF",E2:E698,"0330",F2:F698,"00")</f>
        <v>0</v>
      </c>
      <c r="BV743" s="462">
        <f>SUMIFS(BV2:BV698,G2:G698,"AGAF",E2:E698,"0330",F2:F698,"00")</f>
        <v>0</v>
      </c>
      <c r="BW743" s="462">
        <f>SUMIFS(BW2:BW698,G2:G698,"AGAF",E2:E698,"0330",F2:F698,"00")</f>
        <v>0</v>
      </c>
      <c r="BX743" s="462">
        <f>SUMIFS(BX2:BX698,G2:G698,"AGAF",E2:E698,"0330",F2:F698,"00")</f>
        <v>0</v>
      </c>
      <c r="BY743" s="462">
        <f>SUMIFS(BY2:BY698,G2:G698,"AGAF",E2:E698,"0330",F2:F698,"00")</f>
        <v>0</v>
      </c>
      <c r="BZ743" s="462">
        <f>SUMIFS(BZ2:BZ698,G2:G698,"AGAF",E2:E698,"0330",F2:F698,"00")</f>
        <v>0</v>
      </c>
      <c r="CA743" s="462">
        <f>SUMIFS(CA2:CA698,G2:G698,"AGAF",E2:E698,"0330",F2:F698,"00")</f>
        <v>0</v>
      </c>
      <c r="CB743" s="462">
        <f>SUMIFS(CB2:CB698,G2:G698,"AGAF",E2:E698,"0330",F2:F698,"00")</f>
        <v>0</v>
      </c>
      <c r="CC743" s="462">
        <f>SUMIFS(CC2:CC698,G2:G698,"AGAF",E2:E698,"0330",F2:F698,"00")</f>
        <v>0</v>
      </c>
      <c r="CD743" s="462">
        <f>SUMIFS(CD2:CD698,G2:G698,"AGAF",E2:E698,"0330",F2:F698,"00")</f>
        <v>0</v>
      </c>
      <c r="CE743" s="462">
        <f>SUMIFS(CE2:CE698,G2:G698,"AGAF",E2:E698,"0330",F2:F698,"00")</f>
        <v>0</v>
      </c>
      <c r="CF743" s="462">
        <f>SUMIFS(CF2:CF698,G2:G698,"AGAF",E2:E698,"0330",F2:F698,"00")</f>
        <v>0</v>
      </c>
      <c r="CG743" s="462">
        <f>SUMIFS(CG2:CG698,G2:G698,"AGAF",E2:E698,"0330",F2:F698,"00")</f>
        <v>0</v>
      </c>
      <c r="CH743" s="462">
        <f>SUMIFS(CH2:CH698,G2:G698,"AGAF",E2:E698,"0330",F2:F698,"00")</f>
        <v>0</v>
      </c>
      <c r="CI743" s="462">
        <f>SUMIFS(CI2:CI698,G2:G698,"AGAF",E2:E698,"0330",F2:F698,"00")</f>
        <v>0</v>
      </c>
      <c r="CJ743" s="462">
        <f>SUMIFS(CJ2:CJ698,G2:G698,"AGAF",E2:E698,"0330",F2:F698,"00")</f>
        <v>0</v>
      </c>
      <c r="CK743" s="462">
        <f>SUMIFS(CK2:CK698,G2:G698,"AGAF",E2:E698,"0330",F2:F698,"00")</f>
        <v>0</v>
      </c>
      <c r="CL743" s="462">
        <f>SUMIFS(CL2:CL698,G2:G698,"AGAF",E2:E698,"0330",F2:F698,"00")</f>
        <v>0</v>
      </c>
      <c r="CM743" s="462">
        <f>SUMIFS(CM2:CM698,G2:G698,"AGAF",E2:E698,"0330",F2:F698,"00")</f>
        <v>0</v>
      </c>
    </row>
    <row r="744" spans="43:91" ht="15" thickBot="1" x14ac:dyDescent="0.35">
      <c r="AR744" t="s">
        <v>1544</v>
      </c>
      <c r="AS744" s="462">
        <f>SUMIFS(AS2:AS698,G2:G698,"AGAF",E2:E698,"0330",F2:F698,"07",AT2:AT698,1)</f>
        <v>0.05</v>
      </c>
      <c r="AT744" s="462">
        <f>SUMIFS(AS2:AS698,G2:G698,"AGAF",E2:E698,"0330",F2:F698,"07",AT2:AT698,3)</f>
        <v>0</v>
      </c>
      <c r="AU744" s="462">
        <f>SUMIFS(AU2:AU698,G2:G698,"AGAF",E2:E698,"0330",F2:F698,"07")</f>
        <v>1</v>
      </c>
      <c r="AV744" s="462">
        <f>SUMIFS(AV2:AV698,G2:G698,"AGAF",E2:E698,"0330",F2:F698,"07")</f>
        <v>0</v>
      </c>
      <c r="AW744" s="462">
        <f>SUMIFS(AW2:AW698,G2:G698,"AGAF",E2:E698,"0330",F2:F698,"07")</f>
        <v>2</v>
      </c>
      <c r="AX744" s="462">
        <f>SUMIFS(AX2:AX698,G2:G698,"AGAF",E2:E698,"0330",F2:F698,"07")</f>
        <v>34632</v>
      </c>
      <c r="AY744" s="462">
        <f>SUMIFS(AY2:AY698,G2:G698,"AGAF",E2:E698,"0330",F2:F698,"07")</f>
        <v>1731.6</v>
      </c>
      <c r="AZ744" s="462">
        <f>SUMIFS(AZ2:AZ698,G2:G698,"AGAF",E2:E698,"0330",F2:F698,"07")</f>
        <v>0</v>
      </c>
      <c r="BA744" s="462">
        <f>SUMIFS(BA2:BA698,G2:G698,"AGAF",E2:E698,"0330",F2:F698,"07")</f>
        <v>0</v>
      </c>
      <c r="BB744" s="462">
        <f>SUMIFS(BB2:BB698,G2:G698,"AGAF",E2:E698,"0330",F2:F698,"07")</f>
        <v>582.5</v>
      </c>
      <c r="BC744" s="462">
        <f>SUMIFS(BC2:BC698,G2:G698,"AGAF",E2:E698,"0330",F2:F698,"07")</f>
        <v>0</v>
      </c>
      <c r="BD744" s="462">
        <f>SUMIFS(BD2:BD698,G2:G698,"AGAF",E2:E698,"0330",F2:F698,"07")</f>
        <v>107.35919999999999</v>
      </c>
      <c r="BE744" s="462">
        <f>SUMIFS(BE2:BE698,G2:G698,"AGAF",E2:E698,"0330",F2:F698,"07")</f>
        <v>25.1082</v>
      </c>
      <c r="BF744" s="462">
        <f>SUMIFS(BF2:BF698,G2:G698,"AGAF",E2:E698,"0330",F2:F698,"07")</f>
        <v>206.75304</v>
      </c>
      <c r="BG744" s="462">
        <f>SUMIFS(BG2:BG698,G2:G698,"AGAF",E2:E698,"0330",F2:F698,"07")</f>
        <v>12.484836</v>
      </c>
      <c r="BH744" s="462">
        <f>SUMIFS(BH2:BH698,G2:G698,"AGAF",E2:E698,"0330",F2:F698,"07")</f>
        <v>8.4848400000000002</v>
      </c>
      <c r="BI744" s="462">
        <f>SUMIFS(BI2:BI698,G2:G698,"AGAF",E2:E698,"0330",F2:F698,"07")</f>
        <v>5.2986959999999996</v>
      </c>
      <c r="BJ744" s="462">
        <f>SUMIFS(BJ2:BJ698,G2:G698,"AGAF",E2:E698,"0330",F2:F698,"07")</f>
        <v>26.493479999999998</v>
      </c>
      <c r="BK744" s="462">
        <f>SUMIFS(BK2:BK698,G2:G698,"AGAF",E2:E698,"0330",F2:F698,"07")</f>
        <v>0</v>
      </c>
      <c r="BL744" s="462">
        <f>SUMIFS(BL2:BL698,G2:G698,"AGAF",E2:E698,"0330",F2:F698,"07")</f>
        <v>391.98229199999997</v>
      </c>
      <c r="BM744" s="462">
        <f>SUMIFS(BM2:BM698,G2:G698,"AGAF",E2:E698,"0330",F2:F698,"07")</f>
        <v>0</v>
      </c>
      <c r="BN744" s="462">
        <f>SUMIFS(BN2:BN698,G2:G698,"AGAF",E2:E698,"0330",F2:F698,"07")</f>
        <v>582.5</v>
      </c>
      <c r="BO744" s="462">
        <f>SUMIFS(BO2:BO698,G2:G698,"AGAF",E2:E698,"0330",F2:F698,"07")</f>
        <v>0</v>
      </c>
      <c r="BP744" s="462">
        <f>SUMIFS(BP2:BP698,G2:G698,"AGAF",E2:E698,"0330",F2:F698,"07")</f>
        <v>107.35919999999999</v>
      </c>
      <c r="BQ744" s="462">
        <f>SUMIFS(BQ2:BQ698,G2:G698,"AGAF",E2:E698,"0330",F2:F698,"07")</f>
        <v>25.1082</v>
      </c>
      <c r="BR744" s="462">
        <f>SUMIFS(BR2:BR698,G2:G698,"AGAF",E2:E698,"0330",F2:F698,"07")</f>
        <v>206.75304</v>
      </c>
      <c r="BS744" s="462">
        <f>SUMIFS(BS2:BS698,G2:G698,"AGAF",E2:E698,"0330",F2:F698,"07")</f>
        <v>12.484836</v>
      </c>
      <c r="BT744" s="462">
        <f>SUMIFS(BT2:BT698,G2:G698,"AGAF",E2:E698,"0330",F2:F698,"07")</f>
        <v>0</v>
      </c>
      <c r="BU744" s="462">
        <f>SUMIFS(BU2:BU698,G2:G698,"AGAF",E2:E698,"0330",F2:F698,"07")</f>
        <v>5.2986959999999996</v>
      </c>
      <c r="BV744" s="462">
        <f>SUMIFS(BV2:BV698,G2:G698,"AGAF",E2:E698,"0330",F2:F698,"07")</f>
        <v>30.47616</v>
      </c>
      <c r="BW744" s="462">
        <f>SUMIFS(BW2:BW698,G2:G698,"AGAF",E2:E698,"0330",F2:F698,"07")</f>
        <v>0</v>
      </c>
      <c r="BX744" s="462">
        <f>SUMIFS(BX2:BX698,G2:G698,"AGAF",E2:E698,"0330",F2:F698,"07")</f>
        <v>387.48013199999997</v>
      </c>
      <c r="BY744" s="462">
        <f>SUMIFS(BY2:BY698,G2:G698,"AGAF",E2:E698,"0330",F2:F698,"07")</f>
        <v>0</v>
      </c>
      <c r="BZ744" s="462">
        <f>SUMIFS(BZ2:BZ698,G2:G698,"AGAF",E2:E698,"0330",F2:F698,"07")</f>
        <v>0</v>
      </c>
      <c r="CA744" s="462">
        <f>SUMIFS(CA2:CA698,G2:G698,"AGAF",E2:E698,"0330",F2:F698,"07")</f>
        <v>0</v>
      </c>
      <c r="CB744" s="462">
        <f>SUMIFS(CB2:CB698,G2:G698,"AGAF",E2:E698,"0330",F2:F698,"07")</f>
        <v>0</v>
      </c>
      <c r="CC744" s="462">
        <f>SUMIFS(CC2:CC698,G2:G698,"AGAF",E2:E698,"0330",F2:F698,"07")</f>
        <v>0</v>
      </c>
      <c r="CD744" s="462">
        <f>SUMIFS(CD2:CD698,G2:G698,"AGAF",E2:E698,"0330",F2:F698,"07")</f>
        <v>0</v>
      </c>
      <c r="CE744" s="462">
        <f>SUMIFS(CE2:CE698,G2:G698,"AGAF",E2:E698,"0330",F2:F698,"07")</f>
        <v>0</v>
      </c>
      <c r="CF744" s="462">
        <f>SUMIFS(CF2:CF698,G2:G698,"AGAF",E2:E698,"0330",F2:F698,"07")</f>
        <v>-8.4848400000000002</v>
      </c>
      <c r="CG744" s="462">
        <f>SUMIFS(CG2:CG698,G2:G698,"AGAF",E2:E698,"0330",F2:F698,"07")</f>
        <v>0</v>
      </c>
      <c r="CH744" s="462">
        <f>SUMIFS(CH2:CH698,G2:G698,"AGAF",E2:E698,"0330",F2:F698,"07")</f>
        <v>3.9826800000000029</v>
      </c>
      <c r="CI744" s="462">
        <f>SUMIFS(CI2:CI698,G2:G698,"AGAF",E2:E698,"0330",F2:F698,"07")</f>
        <v>0</v>
      </c>
      <c r="CJ744" s="462">
        <f>SUMIFS(CJ2:CJ698,G2:G698,"AGAF",E2:E698,"0330",F2:F698,"07")</f>
        <v>-4.5021599999999973</v>
      </c>
      <c r="CK744" s="462">
        <f>SUMIFS(CK2:CK698,G2:G698,"AGAF",E2:E698,"0330",F2:F698,"07")</f>
        <v>0</v>
      </c>
      <c r="CL744" s="462">
        <f>SUMIFS(CL2:CL698,G2:G698,"AGAF",E2:E698,"0330",F2:F698,"07")</f>
        <v>12.5</v>
      </c>
      <c r="CM744" s="462">
        <f>SUMIFS(CM2:CM698,G2:G698,"AGAF",E2:E698,"0330",F2:F698,"07")</f>
        <v>1.34</v>
      </c>
    </row>
    <row r="745" spans="43:91" ht="18" x14ac:dyDescent="0.35">
      <c r="AQ745" s="468" t="s">
        <v>1545</v>
      </c>
      <c r="AS745" s="469">
        <f>SUM(AS743:AS744)</f>
        <v>0.05</v>
      </c>
      <c r="AT745" s="469">
        <f>SUM(AT743:AT744)</f>
        <v>0</v>
      </c>
      <c r="AU745" s="469">
        <f>SUM(AU743:AU744)</f>
        <v>1</v>
      </c>
      <c r="AV745" s="469">
        <f>SUM(AV743:AV744)</f>
        <v>0</v>
      </c>
      <c r="AW745" s="469">
        <f>SUM(AW743:AW744)</f>
        <v>2</v>
      </c>
      <c r="AX745" s="469">
        <f>SUM(AX743:AX744)</f>
        <v>34632</v>
      </c>
      <c r="AY745" s="469">
        <f>SUM(AY743:AY744)</f>
        <v>1731.6</v>
      </c>
      <c r="AZ745" s="469">
        <f>SUM(AZ743:AZ744)</f>
        <v>0</v>
      </c>
      <c r="BA745" s="469">
        <f>SUM(BA743:BA744)</f>
        <v>0</v>
      </c>
      <c r="BB745" s="469">
        <f>SUM(BB743:BB744)</f>
        <v>582.5</v>
      </c>
      <c r="BC745" s="469">
        <f>SUM(BC743:BC744)</f>
        <v>0</v>
      </c>
      <c r="BD745" s="469">
        <f>SUM(BD743:BD744)</f>
        <v>107.35919999999999</v>
      </c>
      <c r="BE745" s="469">
        <f>SUM(BE743:BE744)</f>
        <v>25.1082</v>
      </c>
      <c r="BF745" s="469">
        <f>SUM(BF743:BF744)</f>
        <v>206.75304</v>
      </c>
      <c r="BG745" s="469">
        <f>SUM(BG743:BG744)</f>
        <v>12.484836</v>
      </c>
      <c r="BH745" s="469">
        <f>SUM(BH743:BH744)</f>
        <v>8.4848400000000002</v>
      </c>
      <c r="BI745" s="469">
        <f>SUM(BI743:BI744)</f>
        <v>5.2986959999999996</v>
      </c>
      <c r="BJ745" s="469">
        <f>SUM(BJ743:BJ744)</f>
        <v>26.493479999999998</v>
      </c>
      <c r="BK745" s="469">
        <f>SUM(BK743:BK744)</f>
        <v>0</v>
      </c>
      <c r="BL745" s="469">
        <f>SUM(BL743:BL744)</f>
        <v>391.98229199999997</v>
      </c>
      <c r="BM745" s="469">
        <f>SUM(BM743:BM744)</f>
        <v>0</v>
      </c>
      <c r="BN745" s="469">
        <f>SUM(BN743:BN744)</f>
        <v>582.5</v>
      </c>
      <c r="BO745" s="469">
        <f>SUM(BO743:BO744)</f>
        <v>0</v>
      </c>
      <c r="BP745" s="469">
        <f>SUM(BP743:BP744)</f>
        <v>107.35919999999999</v>
      </c>
      <c r="BQ745" s="469">
        <f>SUM(BQ743:BQ744)</f>
        <v>25.1082</v>
      </c>
      <c r="BR745" s="469">
        <f>SUM(BR743:BR744)</f>
        <v>206.75304</v>
      </c>
      <c r="BS745" s="469">
        <f>SUM(BS743:BS744)</f>
        <v>12.484836</v>
      </c>
      <c r="BT745" s="469">
        <f>SUM(BT743:BT744)</f>
        <v>0</v>
      </c>
      <c r="BU745" s="469">
        <f>SUM(BU743:BU744)</f>
        <v>5.2986959999999996</v>
      </c>
      <c r="BV745" s="469">
        <f>SUM(BV743:BV744)</f>
        <v>30.47616</v>
      </c>
      <c r="BW745" s="469">
        <f>SUM(BW743:BW744)</f>
        <v>0</v>
      </c>
      <c r="BX745" s="469">
        <f>SUM(BX743:BX744)</f>
        <v>387.48013199999997</v>
      </c>
      <c r="BY745" s="469">
        <f>SUM(BY743:BY744)</f>
        <v>0</v>
      </c>
      <c r="BZ745" s="469">
        <f>SUM(BZ743:BZ744)</f>
        <v>0</v>
      </c>
      <c r="CA745" s="469">
        <f>SUM(CA743:CA744)</f>
        <v>0</v>
      </c>
      <c r="CB745" s="469">
        <f>SUM(CB743:CB744)</f>
        <v>0</v>
      </c>
      <c r="CC745" s="469">
        <f>SUM(CC743:CC744)</f>
        <v>0</v>
      </c>
      <c r="CD745" s="469">
        <f>SUM(CD743:CD744)</f>
        <v>0</v>
      </c>
      <c r="CE745" s="469">
        <f>SUM(CE743:CE744)</f>
        <v>0</v>
      </c>
      <c r="CF745" s="469">
        <f>SUM(CF743:CF744)</f>
        <v>-8.4848400000000002</v>
      </c>
      <c r="CG745" s="469">
        <f>SUM(CG743:CG744)</f>
        <v>0</v>
      </c>
      <c r="CH745" s="469">
        <f>SUM(CH743:CH744)</f>
        <v>3.9826800000000029</v>
      </c>
      <c r="CI745" s="469">
        <f>SUM(CI743:CI744)</f>
        <v>0</v>
      </c>
      <c r="CJ745" s="469">
        <f>SUM(CJ743:CJ744)</f>
        <v>-4.5021599999999973</v>
      </c>
      <c r="CK745" s="469">
        <f>SUM(CK743:CK744)</f>
        <v>0</v>
      </c>
      <c r="CL745" s="469">
        <f>SUM(CL743:CL744)</f>
        <v>12.5</v>
      </c>
      <c r="CM745" s="469">
        <f>SUM(CM743:CM744)</f>
        <v>1.34</v>
      </c>
    </row>
    <row r="746" spans="43:91" ht="15" thickBot="1" x14ac:dyDescent="0.35">
      <c r="AR746" t="s">
        <v>1547</v>
      </c>
      <c r="AS746" s="462">
        <f>SUMIFS(AS2:AS698,G2:G698,"AGAF",E2:E698,"0490",F2:F698,"00",AT2:AT698,1)</f>
        <v>0</v>
      </c>
      <c r="AT746" s="462">
        <f>SUMIFS(AS2:AS698,G2:G698,"AGAF",E2:E698,"0490",F2:F698,"00",AT2:AT698,3)</f>
        <v>0</v>
      </c>
      <c r="AU746" s="462">
        <f>SUMIFS(AU2:AU698,G2:G698,"AGAF",E2:E698,"0490",F2:F698,"00")</f>
        <v>0</v>
      </c>
      <c r="AV746" s="462">
        <f>SUMIFS(AV2:AV698,G2:G698,"AGAF",E2:E698,"0490",F2:F698,"00")</f>
        <v>0</v>
      </c>
      <c r="AW746" s="462">
        <f>SUMIFS(AW2:AW698,G2:G698,"AGAF",E2:E698,"0490",F2:F698,"00")</f>
        <v>0</v>
      </c>
      <c r="AX746" s="462">
        <f>SUMIFS(AX2:AX698,G2:G698,"AGAF",E2:E698,"0490",F2:F698,"00")</f>
        <v>0</v>
      </c>
      <c r="AY746" s="462">
        <f>SUMIFS(AY2:AY698,G2:G698,"AGAF",E2:E698,"0490",F2:F698,"00")</f>
        <v>0</v>
      </c>
      <c r="AZ746" s="462">
        <f>SUMIFS(AZ2:AZ698,G2:G698,"AGAF",E2:E698,"0490",F2:F698,"00")</f>
        <v>0</v>
      </c>
      <c r="BA746" s="462">
        <f>SUMIFS(BA2:BA698,G2:G698,"AGAF",E2:E698,"0490",F2:F698,"00")</f>
        <v>0</v>
      </c>
      <c r="BB746" s="462">
        <f>SUMIFS(BB2:BB698,G2:G698,"AGAF",E2:E698,"0490",F2:F698,"00")</f>
        <v>0</v>
      </c>
      <c r="BC746" s="462">
        <f>SUMIFS(BC2:BC698,G2:G698,"AGAF",E2:E698,"0490",F2:F698,"00")</f>
        <v>0</v>
      </c>
      <c r="BD746" s="462">
        <f>SUMIFS(BD2:BD698,G2:G698,"AGAF",E2:E698,"0490",F2:F698,"00")</f>
        <v>0</v>
      </c>
      <c r="BE746" s="462">
        <f>SUMIFS(BE2:BE698,G2:G698,"AGAF",E2:E698,"0490",F2:F698,"00")</f>
        <v>0</v>
      </c>
      <c r="BF746" s="462">
        <f>SUMIFS(BF2:BF698,G2:G698,"AGAF",E2:E698,"0490",F2:F698,"00")</f>
        <v>0</v>
      </c>
      <c r="BG746" s="462">
        <f>SUMIFS(BG2:BG698,G2:G698,"AGAF",E2:E698,"0490",F2:F698,"00")</f>
        <v>0</v>
      </c>
      <c r="BH746" s="462">
        <f>SUMIFS(BH2:BH698,G2:G698,"AGAF",E2:E698,"0490",F2:F698,"00")</f>
        <v>0</v>
      </c>
      <c r="BI746" s="462">
        <f>SUMIFS(BI2:BI698,G2:G698,"AGAF",E2:E698,"0490",F2:F698,"00")</f>
        <v>0</v>
      </c>
      <c r="BJ746" s="462">
        <f>SUMIFS(BJ2:BJ698,G2:G698,"AGAF",E2:E698,"0490",F2:F698,"00")</f>
        <v>0</v>
      </c>
      <c r="BK746" s="462">
        <f>SUMIFS(BK2:BK698,G2:G698,"AGAF",E2:E698,"0490",F2:F698,"00")</f>
        <v>0</v>
      </c>
      <c r="BL746" s="462">
        <f>SUMIFS(BL2:BL698,G2:G698,"AGAF",E2:E698,"0490",F2:F698,"00")</f>
        <v>0</v>
      </c>
      <c r="BM746" s="462">
        <f>SUMIFS(BM2:BM698,G2:G698,"AGAF",E2:E698,"0490",F2:F698,"00")</f>
        <v>0</v>
      </c>
      <c r="BN746" s="462">
        <f>SUMIFS(BN2:BN698,G2:G698,"AGAF",E2:E698,"0490",F2:F698,"00")</f>
        <v>0</v>
      </c>
      <c r="BO746" s="462">
        <f>SUMIFS(BO2:BO698,G2:G698,"AGAF",E2:E698,"0490",F2:F698,"00")</f>
        <v>0</v>
      </c>
      <c r="BP746" s="462">
        <f>SUMIFS(BP2:BP698,G2:G698,"AGAF",E2:E698,"0490",F2:F698,"00")</f>
        <v>0</v>
      </c>
      <c r="BQ746" s="462">
        <f>SUMIFS(BQ2:BQ698,G2:G698,"AGAF",E2:E698,"0490",F2:F698,"00")</f>
        <v>0</v>
      </c>
      <c r="BR746" s="462">
        <f>SUMIFS(BR2:BR698,G2:G698,"AGAF",E2:E698,"0490",F2:F698,"00")</f>
        <v>0</v>
      </c>
      <c r="BS746" s="462">
        <f>SUMIFS(BS2:BS698,G2:G698,"AGAF",E2:E698,"0490",F2:F698,"00")</f>
        <v>0</v>
      </c>
      <c r="BT746" s="462">
        <f>SUMIFS(BT2:BT698,G2:G698,"AGAF",E2:E698,"0490",F2:F698,"00")</f>
        <v>0</v>
      </c>
      <c r="BU746" s="462">
        <f>SUMIFS(BU2:BU698,G2:G698,"AGAF",E2:E698,"0490",F2:F698,"00")</f>
        <v>0</v>
      </c>
      <c r="BV746" s="462">
        <f>SUMIFS(BV2:BV698,G2:G698,"AGAF",E2:E698,"0490",F2:F698,"00")</f>
        <v>0</v>
      </c>
      <c r="BW746" s="462">
        <f>SUMIFS(BW2:BW698,G2:G698,"AGAF",E2:E698,"0490",F2:F698,"00")</f>
        <v>0</v>
      </c>
      <c r="BX746" s="462">
        <f>SUMIFS(BX2:BX698,G2:G698,"AGAF",E2:E698,"0490",F2:F698,"00")</f>
        <v>0</v>
      </c>
      <c r="BY746" s="462">
        <f>SUMIFS(BY2:BY698,G2:G698,"AGAF",E2:E698,"0490",F2:F698,"00")</f>
        <v>0</v>
      </c>
      <c r="BZ746" s="462">
        <f>SUMIFS(BZ2:BZ698,G2:G698,"AGAF",E2:E698,"0490",F2:F698,"00")</f>
        <v>0</v>
      </c>
      <c r="CA746" s="462">
        <f>SUMIFS(CA2:CA698,G2:G698,"AGAF",E2:E698,"0490",F2:F698,"00")</f>
        <v>0</v>
      </c>
      <c r="CB746" s="462">
        <f>SUMIFS(CB2:CB698,G2:G698,"AGAF",E2:E698,"0490",F2:F698,"00")</f>
        <v>0</v>
      </c>
      <c r="CC746" s="462">
        <f>SUMIFS(CC2:CC698,G2:G698,"AGAF",E2:E698,"0490",F2:F698,"00")</f>
        <v>0</v>
      </c>
      <c r="CD746" s="462">
        <f>SUMIFS(CD2:CD698,G2:G698,"AGAF",E2:E698,"0490",F2:F698,"00")</f>
        <v>0</v>
      </c>
      <c r="CE746" s="462">
        <f>SUMIFS(CE2:CE698,G2:G698,"AGAF",E2:E698,"0490",F2:F698,"00")</f>
        <v>0</v>
      </c>
      <c r="CF746" s="462">
        <f>SUMIFS(CF2:CF698,G2:G698,"AGAF",E2:E698,"0490",F2:F698,"00")</f>
        <v>0</v>
      </c>
      <c r="CG746" s="462">
        <f>SUMIFS(CG2:CG698,G2:G698,"AGAF",E2:E698,"0490",F2:F698,"00")</f>
        <v>0</v>
      </c>
      <c r="CH746" s="462">
        <f>SUMIFS(CH2:CH698,G2:G698,"AGAF",E2:E698,"0490",F2:F698,"00")</f>
        <v>0</v>
      </c>
      <c r="CI746" s="462">
        <f>SUMIFS(CI2:CI698,G2:G698,"AGAF",E2:E698,"0490",F2:F698,"00")</f>
        <v>0</v>
      </c>
      <c r="CJ746" s="462">
        <f>SUMIFS(CJ2:CJ698,G2:G698,"AGAF",E2:E698,"0490",F2:F698,"00")</f>
        <v>0</v>
      </c>
      <c r="CK746" s="462">
        <f>SUMIFS(CK2:CK698,G2:G698,"AGAF",E2:E698,"0490",F2:F698,"00")</f>
        <v>0</v>
      </c>
      <c r="CL746" s="462">
        <f>SUMIFS(CL2:CL698,G2:G698,"AGAF",E2:E698,"0490",F2:F698,"00")</f>
        <v>0</v>
      </c>
      <c r="CM746" s="462">
        <f>SUMIFS(CM2:CM698,G2:G698,"AGAF",E2:E698,"0490",F2:F698,"00")</f>
        <v>0</v>
      </c>
    </row>
    <row r="747" spans="43:91" ht="18" x14ac:dyDescent="0.35">
      <c r="AQ747" s="468" t="s">
        <v>1548</v>
      </c>
      <c r="AS747" s="469">
        <f>SUM(AS746:AS746)</f>
        <v>0</v>
      </c>
      <c r="AT747" s="469">
        <f>SUM(AT746:AT746)</f>
        <v>0</v>
      </c>
      <c r="AU747" s="469">
        <f>SUM(AU746:AU746)</f>
        <v>0</v>
      </c>
      <c r="AV747" s="469">
        <f>SUM(AV746:AV746)</f>
        <v>0</v>
      </c>
      <c r="AW747" s="469">
        <f>SUM(AW746:AW746)</f>
        <v>0</v>
      </c>
      <c r="AX747" s="469">
        <f>SUM(AX746:AX746)</f>
        <v>0</v>
      </c>
      <c r="AY747" s="469">
        <f>SUM(AY746:AY746)</f>
        <v>0</v>
      </c>
      <c r="AZ747" s="469">
        <f>SUM(AZ746:AZ746)</f>
        <v>0</v>
      </c>
      <c r="BA747" s="469">
        <f>SUM(BA746:BA746)</f>
        <v>0</v>
      </c>
      <c r="BB747" s="469">
        <f>SUM(BB746:BB746)</f>
        <v>0</v>
      </c>
      <c r="BC747" s="469">
        <f>SUM(BC746:BC746)</f>
        <v>0</v>
      </c>
      <c r="BD747" s="469">
        <f>SUM(BD746:BD746)</f>
        <v>0</v>
      </c>
      <c r="BE747" s="469">
        <f>SUM(BE746:BE746)</f>
        <v>0</v>
      </c>
      <c r="BF747" s="469">
        <f>SUM(BF746:BF746)</f>
        <v>0</v>
      </c>
      <c r="BG747" s="469">
        <f>SUM(BG746:BG746)</f>
        <v>0</v>
      </c>
      <c r="BH747" s="469">
        <f>SUM(BH746:BH746)</f>
        <v>0</v>
      </c>
      <c r="BI747" s="469">
        <f>SUM(BI746:BI746)</f>
        <v>0</v>
      </c>
      <c r="BJ747" s="469">
        <f>SUM(BJ746:BJ746)</f>
        <v>0</v>
      </c>
      <c r="BK747" s="469">
        <f>SUM(BK746:BK746)</f>
        <v>0</v>
      </c>
      <c r="BL747" s="469">
        <f>SUM(BL746:BL746)</f>
        <v>0</v>
      </c>
      <c r="BM747" s="469">
        <f>SUM(BM746:BM746)</f>
        <v>0</v>
      </c>
      <c r="BN747" s="469">
        <f>SUM(BN746:BN746)</f>
        <v>0</v>
      </c>
      <c r="BO747" s="469">
        <f>SUM(BO746:BO746)</f>
        <v>0</v>
      </c>
      <c r="BP747" s="469">
        <f>SUM(BP746:BP746)</f>
        <v>0</v>
      </c>
      <c r="BQ747" s="469">
        <f>SUM(BQ746:BQ746)</f>
        <v>0</v>
      </c>
      <c r="BR747" s="469">
        <f>SUM(BR746:BR746)</f>
        <v>0</v>
      </c>
      <c r="BS747" s="469">
        <f>SUM(BS746:BS746)</f>
        <v>0</v>
      </c>
      <c r="BT747" s="469">
        <f>SUM(BT746:BT746)</f>
        <v>0</v>
      </c>
      <c r="BU747" s="469">
        <f>SUM(BU746:BU746)</f>
        <v>0</v>
      </c>
      <c r="BV747" s="469">
        <f>SUM(BV746:BV746)</f>
        <v>0</v>
      </c>
      <c r="BW747" s="469">
        <f>SUM(BW746:BW746)</f>
        <v>0</v>
      </c>
      <c r="BX747" s="469">
        <f>SUM(BX746:BX746)</f>
        <v>0</v>
      </c>
      <c r="BY747" s="469">
        <f>SUM(BY746:BY746)</f>
        <v>0</v>
      </c>
      <c r="BZ747" s="469">
        <f>SUM(BZ746:BZ746)</f>
        <v>0</v>
      </c>
      <c r="CA747" s="469">
        <f>SUM(CA746:CA746)</f>
        <v>0</v>
      </c>
      <c r="CB747" s="469">
        <f>SUM(CB746:CB746)</f>
        <v>0</v>
      </c>
      <c r="CC747" s="469">
        <f>SUM(CC746:CC746)</f>
        <v>0</v>
      </c>
      <c r="CD747" s="469">
        <f>SUM(CD746:CD746)</f>
        <v>0</v>
      </c>
      <c r="CE747" s="469">
        <f>SUM(CE746:CE746)</f>
        <v>0</v>
      </c>
      <c r="CF747" s="469">
        <f>SUM(CF746:CF746)</f>
        <v>0</v>
      </c>
      <c r="CG747" s="469">
        <f>SUM(CG746:CG746)</f>
        <v>0</v>
      </c>
      <c r="CH747" s="469">
        <f>SUM(CH746:CH746)</f>
        <v>0</v>
      </c>
      <c r="CI747" s="469">
        <f>SUM(CI746:CI746)</f>
        <v>0</v>
      </c>
      <c r="CJ747" s="469">
        <f>SUM(CJ746:CJ746)</f>
        <v>0</v>
      </c>
      <c r="CK747" s="469">
        <f>SUM(CK746:CK746)</f>
        <v>0</v>
      </c>
      <c r="CL747" s="469">
        <f>SUM(CL746:CL746)</f>
        <v>0</v>
      </c>
      <c r="CM747" s="469">
        <f>SUM(CM746:CM746)</f>
        <v>0</v>
      </c>
    </row>
    <row r="748" spans="43:91" ht="15" thickBot="1" x14ac:dyDescent="0.35">
      <c r="AR748" t="s">
        <v>1553</v>
      </c>
      <c r="AS748" s="462">
        <f>SUMIFS(AS2:AS698,G2:G698,"AGAH",E2:E698,"0001",F2:F698,"00",AT2:AT698,1)</f>
        <v>0</v>
      </c>
      <c r="AT748" s="462">
        <f>SUMIFS(AS2:AS698,G2:G698,"AGAH",E2:E698,"0001",F2:F698,"00",AT2:AT698,3)</f>
        <v>0</v>
      </c>
      <c r="AU748" s="462">
        <f>SUMIFS(AU2:AU698,G2:G698,"AGAH",E2:E698,"0001",F2:F698,"00")</f>
        <v>0</v>
      </c>
      <c r="AV748" s="462">
        <f>SUMIFS(AV2:AV698,G2:G698,"AGAH",E2:E698,"0001",F2:F698,"00")</f>
        <v>0</v>
      </c>
      <c r="AW748" s="462">
        <f>SUMIFS(AW2:AW698,G2:G698,"AGAH",E2:E698,"0001",F2:F698,"00")</f>
        <v>12</v>
      </c>
      <c r="AX748" s="462">
        <f>SUMIFS(AX2:AX698,G2:G698,"AGAH",E2:E698,"0001",F2:F698,"00")</f>
        <v>0</v>
      </c>
      <c r="AY748" s="462">
        <f>SUMIFS(AY2:AY698,G2:G698,"AGAH",E2:E698,"0001",F2:F698,"00")</f>
        <v>0</v>
      </c>
      <c r="AZ748" s="462">
        <f>SUMIFS(AZ2:AZ698,G2:G698,"AGAH",E2:E698,"0001",F2:F698,"00")</f>
        <v>0</v>
      </c>
      <c r="BA748" s="462">
        <f>SUMIFS(BA2:BA698,G2:G698,"AGAH",E2:E698,"0001",F2:F698,"00")</f>
        <v>0</v>
      </c>
      <c r="BB748" s="462">
        <f>SUMIFS(BB2:BB698,G2:G698,"AGAH",E2:E698,"0001",F2:F698,"00")</f>
        <v>0</v>
      </c>
      <c r="BC748" s="462">
        <f>SUMIFS(BC2:BC698,G2:G698,"AGAH",E2:E698,"0001",F2:F698,"00")</f>
        <v>0</v>
      </c>
      <c r="BD748" s="462">
        <f>SUMIFS(BD2:BD698,G2:G698,"AGAH",E2:E698,"0001",F2:F698,"00")</f>
        <v>0</v>
      </c>
      <c r="BE748" s="462">
        <f>SUMIFS(BE2:BE698,G2:G698,"AGAH",E2:E698,"0001",F2:F698,"00")</f>
        <v>0</v>
      </c>
      <c r="BF748" s="462">
        <f>SUMIFS(BF2:BF698,G2:G698,"AGAH",E2:E698,"0001",F2:F698,"00")</f>
        <v>0</v>
      </c>
      <c r="BG748" s="462">
        <f>SUMIFS(BG2:BG698,G2:G698,"AGAH",E2:E698,"0001",F2:F698,"00")</f>
        <v>0</v>
      </c>
      <c r="BH748" s="462">
        <f>SUMIFS(BH2:BH698,G2:G698,"AGAH",E2:E698,"0001",F2:F698,"00")</f>
        <v>0</v>
      </c>
      <c r="BI748" s="462">
        <f>SUMIFS(BI2:BI698,G2:G698,"AGAH",E2:E698,"0001",F2:F698,"00")</f>
        <v>0</v>
      </c>
      <c r="BJ748" s="462">
        <f>SUMIFS(BJ2:BJ698,G2:G698,"AGAH",E2:E698,"0001",F2:F698,"00")</f>
        <v>0</v>
      </c>
      <c r="BK748" s="462">
        <f>SUMIFS(BK2:BK698,G2:G698,"AGAH",E2:E698,"0001",F2:F698,"00")</f>
        <v>0</v>
      </c>
      <c r="BL748" s="462">
        <f>SUMIFS(BL2:BL698,G2:G698,"AGAH",E2:E698,"0001",F2:F698,"00")</f>
        <v>0</v>
      </c>
      <c r="BM748" s="462">
        <f>SUMIFS(BM2:BM698,G2:G698,"AGAH",E2:E698,"0001",F2:F698,"00")</f>
        <v>0</v>
      </c>
      <c r="BN748" s="462">
        <f>SUMIFS(BN2:BN698,G2:G698,"AGAH",E2:E698,"0001",F2:F698,"00")</f>
        <v>0</v>
      </c>
      <c r="BO748" s="462">
        <f>SUMIFS(BO2:BO698,G2:G698,"AGAH",E2:E698,"0001",F2:F698,"00")</f>
        <v>0</v>
      </c>
      <c r="BP748" s="462">
        <f>SUMIFS(BP2:BP698,G2:G698,"AGAH",E2:E698,"0001",F2:F698,"00")</f>
        <v>0</v>
      </c>
      <c r="BQ748" s="462">
        <f>SUMIFS(BQ2:BQ698,G2:G698,"AGAH",E2:E698,"0001",F2:F698,"00")</f>
        <v>0</v>
      </c>
      <c r="BR748" s="462">
        <f>SUMIFS(BR2:BR698,G2:G698,"AGAH",E2:E698,"0001",F2:F698,"00")</f>
        <v>0</v>
      </c>
      <c r="BS748" s="462">
        <f>SUMIFS(BS2:BS698,G2:G698,"AGAH",E2:E698,"0001",F2:F698,"00")</f>
        <v>0</v>
      </c>
      <c r="BT748" s="462">
        <f>SUMIFS(BT2:BT698,G2:G698,"AGAH",E2:E698,"0001",F2:F698,"00")</f>
        <v>0</v>
      </c>
      <c r="BU748" s="462">
        <f>SUMIFS(BU2:BU698,G2:G698,"AGAH",E2:E698,"0001",F2:F698,"00")</f>
        <v>0</v>
      </c>
      <c r="BV748" s="462">
        <f>SUMIFS(BV2:BV698,G2:G698,"AGAH",E2:E698,"0001",F2:F698,"00")</f>
        <v>0</v>
      </c>
      <c r="BW748" s="462">
        <f>SUMIFS(BW2:BW698,G2:G698,"AGAH",E2:E698,"0001",F2:F698,"00")</f>
        <v>0</v>
      </c>
      <c r="BX748" s="462">
        <f>SUMIFS(BX2:BX698,G2:G698,"AGAH",E2:E698,"0001",F2:F698,"00")</f>
        <v>0</v>
      </c>
      <c r="BY748" s="462">
        <f>SUMIFS(BY2:BY698,G2:G698,"AGAH",E2:E698,"0001",F2:F698,"00")</f>
        <v>0</v>
      </c>
      <c r="BZ748" s="462">
        <f>SUMIFS(BZ2:BZ698,G2:G698,"AGAH",E2:E698,"0001",F2:F698,"00")</f>
        <v>0</v>
      </c>
      <c r="CA748" s="462">
        <f>SUMIFS(CA2:CA698,G2:G698,"AGAH",E2:E698,"0001",F2:F698,"00")</f>
        <v>0</v>
      </c>
      <c r="CB748" s="462">
        <f>SUMIFS(CB2:CB698,G2:G698,"AGAH",E2:E698,"0001",F2:F698,"00")</f>
        <v>0</v>
      </c>
      <c r="CC748" s="462">
        <f>SUMIFS(CC2:CC698,G2:G698,"AGAH",E2:E698,"0001",F2:F698,"00")</f>
        <v>0</v>
      </c>
      <c r="CD748" s="462">
        <f>SUMIFS(CD2:CD698,G2:G698,"AGAH",E2:E698,"0001",F2:F698,"00")</f>
        <v>0</v>
      </c>
      <c r="CE748" s="462">
        <f>SUMIFS(CE2:CE698,G2:G698,"AGAH",E2:E698,"0001",F2:F698,"00")</f>
        <v>0</v>
      </c>
      <c r="CF748" s="462">
        <f>SUMIFS(CF2:CF698,G2:G698,"AGAH",E2:E698,"0001",F2:F698,"00")</f>
        <v>0</v>
      </c>
      <c r="CG748" s="462">
        <f>SUMIFS(CG2:CG698,G2:G698,"AGAH",E2:E698,"0001",F2:F698,"00")</f>
        <v>0</v>
      </c>
      <c r="CH748" s="462">
        <f>SUMIFS(CH2:CH698,G2:G698,"AGAH",E2:E698,"0001",F2:F698,"00")</f>
        <v>0</v>
      </c>
      <c r="CI748" s="462">
        <f>SUMIFS(CI2:CI698,G2:G698,"AGAH",E2:E698,"0001",F2:F698,"00")</f>
        <v>0</v>
      </c>
      <c r="CJ748" s="462">
        <f>SUMIFS(CJ2:CJ698,G2:G698,"AGAH",E2:E698,"0001",F2:F698,"00")</f>
        <v>0</v>
      </c>
      <c r="CK748" s="462">
        <f>SUMIFS(CK2:CK698,G2:G698,"AGAH",E2:E698,"0001",F2:F698,"00")</f>
        <v>0</v>
      </c>
      <c r="CL748" s="462">
        <f>SUMIFS(CL2:CL698,G2:G698,"AGAH",E2:E698,"0001",F2:F698,"00")</f>
        <v>0</v>
      </c>
      <c r="CM748" s="462">
        <f>SUMIFS(CM2:CM698,G2:G698,"AGAH",E2:E698,"0001",F2:F698,"00")</f>
        <v>0</v>
      </c>
    </row>
    <row r="749" spans="43:91" ht="18" x14ac:dyDescent="0.35">
      <c r="AQ749" s="468" t="s">
        <v>1554</v>
      </c>
      <c r="AS749" s="469">
        <f>SUM(AS748:AS748)</f>
        <v>0</v>
      </c>
      <c r="AT749" s="469">
        <f>SUM(AT748:AT748)</f>
        <v>0</v>
      </c>
      <c r="AU749" s="469">
        <f>SUM(AU748:AU748)</f>
        <v>0</v>
      </c>
      <c r="AV749" s="469">
        <f>SUM(AV748:AV748)</f>
        <v>0</v>
      </c>
      <c r="AW749" s="469">
        <f>SUM(AW748:AW748)</f>
        <v>12</v>
      </c>
      <c r="AX749" s="469">
        <f>SUM(AX748:AX748)</f>
        <v>0</v>
      </c>
      <c r="AY749" s="469">
        <f>SUM(AY748:AY748)</f>
        <v>0</v>
      </c>
      <c r="AZ749" s="469">
        <f>SUM(AZ748:AZ748)</f>
        <v>0</v>
      </c>
      <c r="BA749" s="469">
        <f>SUM(BA748:BA748)</f>
        <v>0</v>
      </c>
      <c r="BB749" s="469">
        <f>SUM(BB748:BB748)</f>
        <v>0</v>
      </c>
      <c r="BC749" s="469">
        <f>SUM(BC748:BC748)</f>
        <v>0</v>
      </c>
      <c r="BD749" s="469">
        <f>SUM(BD748:BD748)</f>
        <v>0</v>
      </c>
      <c r="BE749" s="469">
        <f>SUM(BE748:BE748)</f>
        <v>0</v>
      </c>
      <c r="BF749" s="469">
        <f>SUM(BF748:BF748)</f>
        <v>0</v>
      </c>
      <c r="BG749" s="469">
        <f>SUM(BG748:BG748)</f>
        <v>0</v>
      </c>
      <c r="BH749" s="469">
        <f>SUM(BH748:BH748)</f>
        <v>0</v>
      </c>
      <c r="BI749" s="469">
        <f>SUM(BI748:BI748)</f>
        <v>0</v>
      </c>
      <c r="BJ749" s="469">
        <f>SUM(BJ748:BJ748)</f>
        <v>0</v>
      </c>
      <c r="BK749" s="469">
        <f>SUM(BK748:BK748)</f>
        <v>0</v>
      </c>
      <c r="BL749" s="469">
        <f>SUM(BL748:BL748)</f>
        <v>0</v>
      </c>
      <c r="BM749" s="469">
        <f>SUM(BM748:BM748)</f>
        <v>0</v>
      </c>
      <c r="BN749" s="469">
        <f>SUM(BN748:BN748)</f>
        <v>0</v>
      </c>
      <c r="BO749" s="469">
        <f>SUM(BO748:BO748)</f>
        <v>0</v>
      </c>
      <c r="BP749" s="469">
        <f>SUM(BP748:BP748)</f>
        <v>0</v>
      </c>
      <c r="BQ749" s="469">
        <f>SUM(BQ748:BQ748)</f>
        <v>0</v>
      </c>
      <c r="BR749" s="469">
        <f>SUM(BR748:BR748)</f>
        <v>0</v>
      </c>
      <c r="BS749" s="469">
        <f>SUM(BS748:BS748)</f>
        <v>0</v>
      </c>
      <c r="BT749" s="469">
        <f>SUM(BT748:BT748)</f>
        <v>0</v>
      </c>
      <c r="BU749" s="469">
        <f>SUM(BU748:BU748)</f>
        <v>0</v>
      </c>
      <c r="BV749" s="469">
        <f>SUM(BV748:BV748)</f>
        <v>0</v>
      </c>
      <c r="BW749" s="469">
        <f>SUM(BW748:BW748)</f>
        <v>0</v>
      </c>
      <c r="BX749" s="469">
        <f>SUM(BX748:BX748)</f>
        <v>0</v>
      </c>
      <c r="BY749" s="469">
        <f>SUM(BY748:BY748)</f>
        <v>0</v>
      </c>
      <c r="BZ749" s="469">
        <f>SUM(BZ748:BZ748)</f>
        <v>0</v>
      </c>
      <c r="CA749" s="469">
        <f>SUM(CA748:CA748)</f>
        <v>0</v>
      </c>
      <c r="CB749" s="469">
        <f>SUM(CB748:CB748)</f>
        <v>0</v>
      </c>
      <c r="CC749" s="469">
        <f>SUM(CC748:CC748)</f>
        <v>0</v>
      </c>
      <c r="CD749" s="469">
        <f>SUM(CD748:CD748)</f>
        <v>0</v>
      </c>
      <c r="CE749" s="469">
        <f>SUM(CE748:CE748)</f>
        <v>0</v>
      </c>
      <c r="CF749" s="469">
        <f>SUM(CF748:CF748)</f>
        <v>0</v>
      </c>
      <c r="CG749" s="469">
        <f>SUM(CG748:CG748)</f>
        <v>0</v>
      </c>
      <c r="CH749" s="469">
        <f>SUM(CH748:CH748)</f>
        <v>0</v>
      </c>
      <c r="CI749" s="469">
        <f>SUM(CI748:CI748)</f>
        <v>0</v>
      </c>
      <c r="CJ749" s="469">
        <f>SUM(CJ748:CJ748)</f>
        <v>0</v>
      </c>
      <c r="CK749" s="469">
        <f>SUM(CK748:CK748)</f>
        <v>0</v>
      </c>
      <c r="CL749" s="469">
        <f>SUM(CL748:CL748)</f>
        <v>0</v>
      </c>
      <c r="CM749" s="469">
        <f>SUM(CM748:CM748)</f>
        <v>0</v>
      </c>
    </row>
    <row r="750" spans="43:91" ht="15" thickBot="1" x14ac:dyDescent="0.35">
      <c r="AR750" t="s">
        <v>1557</v>
      </c>
      <c r="AS750" s="462">
        <f>SUMIFS(AS2:AS698,G2:G698,"AGAH",E2:E698,"0332",F2:F698,"03",AT2:AT698,1)</f>
        <v>0</v>
      </c>
      <c r="AT750" s="462">
        <f>SUMIFS(AS2:AS698,G2:G698,"AGAH",E2:E698,"0332",F2:F698,"03",AT2:AT698,3)</f>
        <v>0</v>
      </c>
      <c r="AU750" s="462">
        <f>SUMIFS(AU2:AU698,G2:G698,"AGAH",E2:E698,"0332",F2:F698,"03")</f>
        <v>0</v>
      </c>
      <c r="AV750" s="462">
        <f>SUMIFS(AV2:AV698,G2:G698,"AGAH",E2:E698,"0332",F2:F698,"03")</f>
        <v>0</v>
      </c>
      <c r="AW750" s="462">
        <f>SUMIFS(AW2:AW698,G2:G698,"AGAH",E2:E698,"0332",F2:F698,"03")</f>
        <v>23</v>
      </c>
      <c r="AX750" s="462">
        <f>SUMIFS(AX2:AX698,G2:G698,"AGAH",E2:E698,"0332",F2:F698,"03")</f>
        <v>0</v>
      </c>
      <c r="AY750" s="462">
        <f>SUMIFS(AY2:AY698,G2:G698,"AGAH",E2:E698,"0332",F2:F698,"03")</f>
        <v>0</v>
      </c>
      <c r="AZ750" s="462">
        <f>SUMIFS(AZ2:AZ698,G2:G698,"AGAH",E2:E698,"0332",F2:F698,"03")</f>
        <v>0</v>
      </c>
      <c r="BA750" s="462">
        <f>SUMIFS(BA2:BA698,G2:G698,"AGAH",E2:E698,"0332",F2:F698,"03")</f>
        <v>0</v>
      </c>
      <c r="BB750" s="462">
        <f>SUMIFS(BB2:BB698,G2:G698,"AGAH",E2:E698,"0332",F2:F698,"03")</f>
        <v>0</v>
      </c>
      <c r="BC750" s="462">
        <f>SUMIFS(BC2:BC698,G2:G698,"AGAH",E2:E698,"0332",F2:F698,"03")</f>
        <v>0</v>
      </c>
      <c r="BD750" s="462">
        <f>SUMIFS(BD2:BD698,G2:G698,"AGAH",E2:E698,"0332",F2:F698,"03")</f>
        <v>0</v>
      </c>
      <c r="BE750" s="462">
        <f>SUMIFS(BE2:BE698,G2:G698,"AGAH",E2:E698,"0332",F2:F698,"03")</f>
        <v>0</v>
      </c>
      <c r="BF750" s="462">
        <f>SUMIFS(BF2:BF698,G2:G698,"AGAH",E2:E698,"0332",F2:F698,"03")</f>
        <v>0</v>
      </c>
      <c r="BG750" s="462">
        <f>SUMIFS(BG2:BG698,G2:G698,"AGAH",E2:E698,"0332",F2:F698,"03")</f>
        <v>0</v>
      </c>
      <c r="BH750" s="462">
        <f>SUMIFS(BH2:BH698,G2:G698,"AGAH",E2:E698,"0332",F2:F698,"03")</f>
        <v>0</v>
      </c>
      <c r="BI750" s="462">
        <f>SUMIFS(BI2:BI698,G2:G698,"AGAH",E2:E698,"0332",F2:F698,"03")</f>
        <v>0</v>
      </c>
      <c r="BJ750" s="462">
        <f>SUMIFS(BJ2:BJ698,G2:G698,"AGAH",E2:E698,"0332",F2:F698,"03")</f>
        <v>0</v>
      </c>
      <c r="BK750" s="462">
        <f>SUMIFS(BK2:BK698,G2:G698,"AGAH",E2:E698,"0332",F2:F698,"03")</f>
        <v>0</v>
      </c>
      <c r="BL750" s="462">
        <f>SUMIFS(BL2:BL698,G2:G698,"AGAH",E2:E698,"0332",F2:F698,"03")</f>
        <v>0</v>
      </c>
      <c r="BM750" s="462">
        <f>SUMIFS(BM2:BM698,G2:G698,"AGAH",E2:E698,"0332",F2:F698,"03")</f>
        <v>0</v>
      </c>
      <c r="BN750" s="462">
        <f>SUMIFS(BN2:BN698,G2:G698,"AGAH",E2:E698,"0332",F2:F698,"03")</f>
        <v>0</v>
      </c>
      <c r="BO750" s="462">
        <f>SUMIFS(BO2:BO698,G2:G698,"AGAH",E2:E698,"0332",F2:F698,"03")</f>
        <v>0</v>
      </c>
      <c r="BP750" s="462">
        <f>SUMIFS(BP2:BP698,G2:G698,"AGAH",E2:E698,"0332",F2:F698,"03")</f>
        <v>0</v>
      </c>
      <c r="BQ750" s="462">
        <f>SUMIFS(BQ2:BQ698,G2:G698,"AGAH",E2:E698,"0332",F2:F698,"03")</f>
        <v>0</v>
      </c>
      <c r="BR750" s="462">
        <f>SUMIFS(BR2:BR698,G2:G698,"AGAH",E2:E698,"0332",F2:F698,"03")</f>
        <v>0</v>
      </c>
      <c r="BS750" s="462">
        <f>SUMIFS(BS2:BS698,G2:G698,"AGAH",E2:E698,"0332",F2:F698,"03")</f>
        <v>0</v>
      </c>
      <c r="BT750" s="462">
        <f>SUMIFS(BT2:BT698,G2:G698,"AGAH",E2:E698,"0332",F2:F698,"03")</f>
        <v>0</v>
      </c>
      <c r="BU750" s="462">
        <f>SUMIFS(BU2:BU698,G2:G698,"AGAH",E2:E698,"0332",F2:F698,"03")</f>
        <v>0</v>
      </c>
      <c r="BV750" s="462">
        <f>SUMIFS(BV2:BV698,G2:G698,"AGAH",E2:E698,"0332",F2:F698,"03")</f>
        <v>0</v>
      </c>
      <c r="BW750" s="462">
        <f>SUMIFS(BW2:BW698,G2:G698,"AGAH",E2:E698,"0332",F2:F698,"03")</f>
        <v>0</v>
      </c>
      <c r="BX750" s="462">
        <f>SUMIFS(BX2:BX698,G2:G698,"AGAH",E2:E698,"0332",F2:F698,"03")</f>
        <v>0</v>
      </c>
      <c r="BY750" s="462">
        <f>SUMIFS(BY2:BY698,G2:G698,"AGAH",E2:E698,"0332",F2:F698,"03")</f>
        <v>0</v>
      </c>
      <c r="BZ750" s="462">
        <f>SUMIFS(BZ2:BZ698,G2:G698,"AGAH",E2:E698,"0332",F2:F698,"03")</f>
        <v>0</v>
      </c>
      <c r="CA750" s="462">
        <f>SUMIFS(CA2:CA698,G2:G698,"AGAH",E2:E698,"0332",F2:F698,"03")</f>
        <v>0</v>
      </c>
      <c r="CB750" s="462">
        <f>SUMIFS(CB2:CB698,G2:G698,"AGAH",E2:E698,"0332",F2:F698,"03")</f>
        <v>0</v>
      </c>
      <c r="CC750" s="462">
        <f>SUMIFS(CC2:CC698,G2:G698,"AGAH",E2:E698,"0332",F2:F698,"03")</f>
        <v>0</v>
      </c>
      <c r="CD750" s="462">
        <f>SUMIFS(CD2:CD698,G2:G698,"AGAH",E2:E698,"0332",F2:F698,"03")</f>
        <v>0</v>
      </c>
      <c r="CE750" s="462">
        <f>SUMIFS(CE2:CE698,G2:G698,"AGAH",E2:E698,"0332",F2:F698,"03")</f>
        <v>0</v>
      </c>
      <c r="CF750" s="462">
        <f>SUMIFS(CF2:CF698,G2:G698,"AGAH",E2:E698,"0332",F2:F698,"03")</f>
        <v>0</v>
      </c>
      <c r="CG750" s="462">
        <f>SUMIFS(CG2:CG698,G2:G698,"AGAH",E2:E698,"0332",F2:F698,"03")</f>
        <v>0</v>
      </c>
      <c r="CH750" s="462">
        <f>SUMIFS(CH2:CH698,G2:G698,"AGAH",E2:E698,"0332",F2:F698,"03")</f>
        <v>0</v>
      </c>
      <c r="CI750" s="462">
        <f>SUMIFS(CI2:CI698,G2:G698,"AGAH",E2:E698,"0332",F2:F698,"03")</f>
        <v>0</v>
      </c>
      <c r="CJ750" s="462">
        <f>SUMIFS(CJ2:CJ698,G2:G698,"AGAH",E2:E698,"0332",F2:F698,"03")</f>
        <v>0</v>
      </c>
      <c r="CK750" s="462">
        <f>SUMIFS(CK2:CK698,G2:G698,"AGAH",E2:E698,"0332",F2:F698,"03")</f>
        <v>0</v>
      </c>
      <c r="CL750" s="462">
        <f>SUMIFS(CL2:CL698,G2:G698,"AGAH",E2:E698,"0332",F2:F698,"03")</f>
        <v>0</v>
      </c>
      <c r="CM750" s="462">
        <f>SUMIFS(CM2:CM698,G2:G698,"AGAH",E2:E698,"0332",F2:F698,"03")</f>
        <v>0</v>
      </c>
    </row>
    <row r="751" spans="43:91" ht="18" x14ac:dyDescent="0.35">
      <c r="AQ751" s="468" t="s">
        <v>1558</v>
      </c>
      <c r="AS751" s="469">
        <f>SUM(AS750:AS750)</f>
        <v>0</v>
      </c>
      <c r="AT751" s="469">
        <f>SUM(AT750:AT750)</f>
        <v>0</v>
      </c>
      <c r="AU751" s="469">
        <f>SUM(AU750:AU750)</f>
        <v>0</v>
      </c>
      <c r="AV751" s="469">
        <f>SUM(AV750:AV750)</f>
        <v>0</v>
      </c>
      <c r="AW751" s="469">
        <f>SUM(AW750:AW750)</f>
        <v>23</v>
      </c>
      <c r="AX751" s="469">
        <f>SUM(AX750:AX750)</f>
        <v>0</v>
      </c>
      <c r="AY751" s="469">
        <f>SUM(AY750:AY750)</f>
        <v>0</v>
      </c>
      <c r="AZ751" s="469">
        <f>SUM(AZ750:AZ750)</f>
        <v>0</v>
      </c>
      <c r="BA751" s="469">
        <f>SUM(BA750:BA750)</f>
        <v>0</v>
      </c>
      <c r="BB751" s="469">
        <f>SUM(BB750:BB750)</f>
        <v>0</v>
      </c>
      <c r="BC751" s="469">
        <f>SUM(BC750:BC750)</f>
        <v>0</v>
      </c>
      <c r="BD751" s="469">
        <f>SUM(BD750:BD750)</f>
        <v>0</v>
      </c>
      <c r="BE751" s="469">
        <f>SUM(BE750:BE750)</f>
        <v>0</v>
      </c>
      <c r="BF751" s="469">
        <f>SUM(BF750:BF750)</f>
        <v>0</v>
      </c>
      <c r="BG751" s="469">
        <f>SUM(BG750:BG750)</f>
        <v>0</v>
      </c>
      <c r="BH751" s="469">
        <f>SUM(BH750:BH750)</f>
        <v>0</v>
      </c>
      <c r="BI751" s="469">
        <f>SUM(BI750:BI750)</f>
        <v>0</v>
      </c>
      <c r="BJ751" s="469">
        <f>SUM(BJ750:BJ750)</f>
        <v>0</v>
      </c>
      <c r="BK751" s="469">
        <f>SUM(BK750:BK750)</f>
        <v>0</v>
      </c>
      <c r="BL751" s="469">
        <f>SUM(BL750:BL750)</f>
        <v>0</v>
      </c>
      <c r="BM751" s="469">
        <f>SUM(BM750:BM750)</f>
        <v>0</v>
      </c>
      <c r="BN751" s="469">
        <f>SUM(BN750:BN750)</f>
        <v>0</v>
      </c>
      <c r="BO751" s="469">
        <f>SUM(BO750:BO750)</f>
        <v>0</v>
      </c>
      <c r="BP751" s="469">
        <f>SUM(BP750:BP750)</f>
        <v>0</v>
      </c>
      <c r="BQ751" s="469">
        <f>SUM(BQ750:BQ750)</f>
        <v>0</v>
      </c>
      <c r="BR751" s="469">
        <f>SUM(BR750:BR750)</f>
        <v>0</v>
      </c>
      <c r="BS751" s="469">
        <f>SUM(BS750:BS750)</f>
        <v>0</v>
      </c>
      <c r="BT751" s="469">
        <f>SUM(BT750:BT750)</f>
        <v>0</v>
      </c>
      <c r="BU751" s="469">
        <f>SUM(BU750:BU750)</f>
        <v>0</v>
      </c>
      <c r="BV751" s="469">
        <f>SUM(BV750:BV750)</f>
        <v>0</v>
      </c>
      <c r="BW751" s="469">
        <f>SUM(BW750:BW750)</f>
        <v>0</v>
      </c>
      <c r="BX751" s="469">
        <f>SUM(BX750:BX750)</f>
        <v>0</v>
      </c>
      <c r="BY751" s="469">
        <f>SUM(BY750:BY750)</f>
        <v>0</v>
      </c>
      <c r="BZ751" s="469">
        <f>SUM(BZ750:BZ750)</f>
        <v>0</v>
      </c>
      <c r="CA751" s="469">
        <f>SUM(CA750:CA750)</f>
        <v>0</v>
      </c>
      <c r="CB751" s="469">
        <f>SUM(CB750:CB750)</f>
        <v>0</v>
      </c>
      <c r="CC751" s="469">
        <f>SUM(CC750:CC750)</f>
        <v>0</v>
      </c>
      <c r="CD751" s="469">
        <f>SUM(CD750:CD750)</f>
        <v>0</v>
      </c>
      <c r="CE751" s="469">
        <f>SUM(CE750:CE750)</f>
        <v>0</v>
      </c>
      <c r="CF751" s="469">
        <f>SUM(CF750:CF750)</f>
        <v>0</v>
      </c>
      <c r="CG751" s="469">
        <f>SUM(CG750:CG750)</f>
        <v>0</v>
      </c>
      <c r="CH751" s="469">
        <f>SUM(CH750:CH750)</f>
        <v>0</v>
      </c>
      <c r="CI751" s="469">
        <f>SUM(CI750:CI750)</f>
        <v>0</v>
      </c>
      <c r="CJ751" s="469">
        <f>SUM(CJ750:CJ750)</f>
        <v>0</v>
      </c>
      <c r="CK751" s="469">
        <f>SUM(CK750:CK750)</f>
        <v>0</v>
      </c>
      <c r="CL751" s="469">
        <f>SUM(CL750:CL750)</f>
        <v>0</v>
      </c>
      <c r="CM751" s="469">
        <f>SUM(CM750:CM750)</f>
        <v>0</v>
      </c>
    </row>
    <row r="752" spans="43:91" ht="15" thickBot="1" x14ac:dyDescent="0.35">
      <c r="AR752" t="s">
        <v>1563</v>
      </c>
      <c r="AS752" s="462">
        <f>SUMIFS(AS2:AS698,G2:G698,"AGAK",E2:E698,"0331",F2:F698,"00",AT2:AT698,1)</f>
        <v>0</v>
      </c>
      <c r="AT752" s="462">
        <f>SUMIFS(AS2:AS698,G2:G698,"AGAK",E2:E698,"0331",F2:F698,"00",AT2:AT698,3)</f>
        <v>0</v>
      </c>
      <c r="AU752" s="462">
        <f>SUMIFS(AU2:AU698,G2:G698,"AGAK",E2:E698,"0331",F2:F698,"00")</f>
        <v>0</v>
      </c>
      <c r="AV752" s="462">
        <f>SUMIFS(AV2:AV698,G2:G698,"AGAK",E2:E698,"0331",F2:F698,"00")</f>
        <v>0</v>
      </c>
      <c r="AW752" s="462">
        <f>SUMIFS(AW2:AW698,G2:G698,"AGAK",E2:E698,"0331",F2:F698,"00")</f>
        <v>88</v>
      </c>
      <c r="AX752" s="462">
        <f>SUMIFS(AX2:AX698,G2:G698,"AGAK",E2:E698,"0331",F2:F698,"00")</f>
        <v>0</v>
      </c>
      <c r="AY752" s="462">
        <f>SUMIFS(AY2:AY698,G2:G698,"AGAK",E2:E698,"0331",F2:F698,"00")</f>
        <v>0</v>
      </c>
      <c r="AZ752" s="462">
        <f>SUMIFS(AZ2:AZ698,G2:G698,"AGAK",E2:E698,"0331",F2:F698,"00")</f>
        <v>0</v>
      </c>
      <c r="BA752" s="462">
        <f>SUMIFS(BA2:BA698,G2:G698,"AGAK",E2:E698,"0331",F2:F698,"00")</f>
        <v>0</v>
      </c>
      <c r="BB752" s="462">
        <f>SUMIFS(BB2:BB698,G2:G698,"AGAK",E2:E698,"0331",F2:F698,"00")</f>
        <v>0</v>
      </c>
      <c r="BC752" s="462">
        <f>SUMIFS(BC2:BC698,G2:G698,"AGAK",E2:E698,"0331",F2:F698,"00")</f>
        <v>0</v>
      </c>
      <c r="BD752" s="462">
        <f>SUMIFS(BD2:BD698,G2:G698,"AGAK",E2:E698,"0331",F2:F698,"00")</f>
        <v>0</v>
      </c>
      <c r="BE752" s="462">
        <f>SUMIFS(BE2:BE698,G2:G698,"AGAK",E2:E698,"0331",F2:F698,"00")</f>
        <v>0</v>
      </c>
      <c r="BF752" s="462">
        <f>SUMIFS(BF2:BF698,G2:G698,"AGAK",E2:E698,"0331",F2:F698,"00")</f>
        <v>0</v>
      </c>
      <c r="BG752" s="462">
        <f>SUMIFS(BG2:BG698,G2:G698,"AGAK",E2:E698,"0331",F2:F698,"00")</f>
        <v>0</v>
      </c>
      <c r="BH752" s="462">
        <f>SUMIFS(BH2:BH698,G2:G698,"AGAK",E2:E698,"0331",F2:F698,"00")</f>
        <v>0</v>
      </c>
      <c r="BI752" s="462">
        <f>SUMIFS(BI2:BI698,G2:G698,"AGAK",E2:E698,"0331",F2:F698,"00")</f>
        <v>0</v>
      </c>
      <c r="BJ752" s="462">
        <f>SUMIFS(BJ2:BJ698,G2:G698,"AGAK",E2:E698,"0331",F2:F698,"00")</f>
        <v>0</v>
      </c>
      <c r="BK752" s="462">
        <f>SUMIFS(BK2:BK698,G2:G698,"AGAK",E2:E698,"0331",F2:F698,"00")</f>
        <v>0</v>
      </c>
      <c r="BL752" s="462">
        <f>SUMIFS(BL2:BL698,G2:G698,"AGAK",E2:E698,"0331",F2:F698,"00")</f>
        <v>0</v>
      </c>
      <c r="BM752" s="462">
        <f>SUMIFS(BM2:BM698,G2:G698,"AGAK",E2:E698,"0331",F2:F698,"00")</f>
        <v>0</v>
      </c>
      <c r="BN752" s="462">
        <f>SUMIFS(BN2:BN698,G2:G698,"AGAK",E2:E698,"0331",F2:F698,"00")</f>
        <v>0</v>
      </c>
      <c r="BO752" s="462">
        <f>SUMIFS(BO2:BO698,G2:G698,"AGAK",E2:E698,"0331",F2:F698,"00")</f>
        <v>0</v>
      </c>
      <c r="BP752" s="462">
        <f>SUMIFS(BP2:BP698,G2:G698,"AGAK",E2:E698,"0331",F2:F698,"00")</f>
        <v>0</v>
      </c>
      <c r="BQ752" s="462">
        <f>SUMIFS(BQ2:BQ698,G2:G698,"AGAK",E2:E698,"0331",F2:F698,"00")</f>
        <v>0</v>
      </c>
      <c r="BR752" s="462">
        <f>SUMIFS(BR2:BR698,G2:G698,"AGAK",E2:E698,"0331",F2:F698,"00")</f>
        <v>0</v>
      </c>
      <c r="BS752" s="462">
        <f>SUMIFS(BS2:BS698,G2:G698,"AGAK",E2:E698,"0331",F2:F698,"00")</f>
        <v>0</v>
      </c>
      <c r="BT752" s="462">
        <f>SUMIFS(BT2:BT698,G2:G698,"AGAK",E2:E698,"0331",F2:F698,"00")</f>
        <v>0</v>
      </c>
      <c r="BU752" s="462">
        <f>SUMIFS(BU2:BU698,G2:G698,"AGAK",E2:E698,"0331",F2:F698,"00")</f>
        <v>0</v>
      </c>
      <c r="BV752" s="462">
        <f>SUMIFS(BV2:BV698,G2:G698,"AGAK",E2:E698,"0331",F2:F698,"00")</f>
        <v>0</v>
      </c>
      <c r="BW752" s="462">
        <f>SUMIFS(BW2:BW698,G2:G698,"AGAK",E2:E698,"0331",F2:F698,"00")</f>
        <v>0</v>
      </c>
      <c r="BX752" s="462">
        <f>SUMIFS(BX2:BX698,G2:G698,"AGAK",E2:E698,"0331",F2:F698,"00")</f>
        <v>0</v>
      </c>
      <c r="BY752" s="462">
        <f>SUMIFS(BY2:BY698,G2:G698,"AGAK",E2:E698,"0331",F2:F698,"00")</f>
        <v>0</v>
      </c>
      <c r="BZ752" s="462">
        <f>SUMIFS(BZ2:BZ698,G2:G698,"AGAK",E2:E698,"0331",F2:F698,"00")</f>
        <v>0</v>
      </c>
      <c r="CA752" s="462">
        <f>SUMIFS(CA2:CA698,G2:G698,"AGAK",E2:E698,"0331",F2:F698,"00")</f>
        <v>0</v>
      </c>
      <c r="CB752" s="462">
        <f>SUMIFS(CB2:CB698,G2:G698,"AGAK",E2:E698,"0331",F2:F698,"00")</f>
        <v>0</v>
      </c>
      <c r="CC752" s="462">
        <f>SUMIFS(CC2:CC698,G2:G698,"AGAK",E2:E698,"0331",F2:F698,"00")</f>
        <v>0</v>
      </c>
      <c r="CD752" s="462">
        <f>SUMIFS(CD2:CD698,G2:G698,"AGAK",E2:E698,"0331",F2:F698,"00")</f>
        <v>0</v>
      </c>
      <c r="CE752" s="462">
        <f>SUMIFS(CE2:CE698,G2:G698,"AGAK",E2:E698,"0331",F2:F698,"00")</f>
        <v>0</v>
      </c>
      <c r="CF752" s="462">
        <f>SUMIFS(CF2:CF698,G2:G698,"AGAK",E2:E698,"0331",F2:F698,"00")</f>
        <v>0</v>
      </c>
      <c r="CG752" s="462">
        <f>SUMIFS(CG2:CG698,G2:G698,"AGAK",E2:E698,"0331",F2:F698,"00")</f>
        <v>0</v>
      </c>
      <c r="CH752" s="462">
        <f>SUMIFS(CH2:CH698,G2:G698,"AGAK",E2:E698,"0331",F2:F698,"00")</f>
        <v>0</v>
      </c>
      <c r="CI752" s="462">
        <f>SUMIFS(CI2:CI698,G2:G698,"AGAK",E2:E698,"0331",F2:F698,"00")</f>
        <v>0</v>
      </c>
      <c r="CJ752" s="462">
        <f>SUMIFS(CJ2:CJ698,G2:G698,"AGAK",E2:E698,"0331",F2:F698,"00")</f>
        <v>0</v>
      </c>
      <c r="CK752" s="462">
        <f>SUMIFS(CK2:CK698,G2:G698,"AGAK",E2:E698,"0331",F2:F698,"00")</f>
        <v>0</v>
      </c>
      <c r="CL752" s="462">
        <f>SUMIFS(CL2:CL698,G2:G698,"AGAK",E2:E698,"0331",F2:F698,"00")</f>
        <v>19795.379999999997</v>
      </c>
      <c r="CM752" s="462">
        <f>SUMIFS(CM2:CM698,G2:G698,"AGAK",E2:E698,"0331",F2:F698,"00")</f>
        <v>12324.71</v>
      </c>
    </row>
    <row r="753" spans="43:91" ht="18" x14ac:dyDescent="0.35">
      <c r="AQ753" s="468" t="s">
        <v>1564</v>
      </c>
      <c r="AS753" s="469">
        <f>SUM(AS752:AS752)</f>
        <v>0</v>
      </c>
      <c r="AT753" s="469">
        <f>SUM(AT752:AT752)</f>
        <v>0</v>
      </c>
      <c r="AU753" s="469">
        <f>SUM(AU752:AU752)</f>
        <v>0</v>
      </c>
      <c r="AV753" s="469">
        <f>SUM(AV752:AV752)</f>
        <v>0</v>
      </c>
      <c r="AW753" s="469">
        <f>SUM(AW752:AW752)</f>
        <v>88</v>
      </c>
      <c r="AX753" s="469">
        <f>SUM(AX752:AX752)</f>
        <v>0</v>
      </c>
      <c r="AY753" s="469">
        <f>SUM(AY752:AY752)</f>
        <v>0</v>
      </c>
      <c r="AZ753" s="469">
        <f>SUM(AZ752:AZ752)</f>
        <v>0</v>
      </c>
      <c r="BA753" s="469">
        <f>SUM(BA752:BA752)</f>
        <v>0</v>
      </c>
      <c r="BB753" s="469">
        <f>SUM(BB752:BB752)</f>
        <v>0</v>
      </c>
      <c r="BC753" s="469">
        <f>SUM(BC752:BC752)</f>
        <v>0</v>
      </c>
      <c r="BD753" s="469">
        <f>SUM(BD752:BD752)</f>
        <v>0</v>
      </c>
      <c r="BE753" s="469">
        <f>SUM(BE752:BE752)</f>
        <v>0</v>
      </c>
      <c r="BF753" s="469">
        <f>SUM(BF752:BF752)</f>
        <v>0</v>
      </c>
      <c r="BG753" s="469">
        <f>SUM(BG752:BG752)</f>
        <v>0</v>
      </c>
      <c r="BH753" s="469">
        <f>SUM(BH752:BH752)</f>
        <v>0</v>
      </c>
      <c r="BI753" s="469">
        <f>SUM(BI752:BI752)</f>
        <v>0</v>
      </c>
      <c r="BJ753" s="469">
        <f>SUM(BJ752:BJ752)</f>
        <v>0</v>
      </c>
      <c r="BK753" s="469">
        <f>SUM(BK752:BK752)</f>
        <v>0</v>
      </c>
      <c r="BL753" s="469">
        <f>SUM(BL752:BL752)</f>
        <v>0</v>
      </c>
      <c r="BM753" s="469">
        <f>SUM(BM752:BM752)</f>
        <v>0</v>
      </c>
      <c r="BN753" s="469">
        <f>SUM(BN752:BN752)</f>
        <v>0</v>
      </c>
      <c r="BO753" s="469">
        <f>SUM(BO752:BO752)</f>
        <v>0</v>
      </c>
      <c r="BP753" s="469">
        <f>SUM(BP752:BP752)</f>
        <v>0</v>
      </c>
      <c r="BQ753" s="469">
        <f>SUM(BQ752:BQ752)</f>
        <v>0</v>
      </c>
      <c r="BR753" s="469">
        <f>SUM(BR752:BR752)</f>
        <v>0</v>
      </c>
      <c r="BS753" s="469">
        <f>SUM(BS752:BS752)</f>
        <v>0</v>
      </c>
      <c r="BT753" s="469">
        <f>SUM(BT752:BT752)</f>
        <v>0</v>
      </c>
      <c r="BU753" s="469">
        <f>SUM(BU752:BU752)</f>
        <v>0</v>
      </c>
      <c r="BV753" s="469">
        <f>SUM(BV752:BV752)</f>
        <v>0</v>
      </c>
      <c r="BW753" s="469">
        <f>SUM(BW752:BW752)</f>
        <v>0</v>
      </c>
      <c r="BX753" s="469">
        <f>SUM(BX752:BX752)</f>
        <v>0</v>
      </c>
      <c r="BY753" s="469">
        <f>SUM(BY752:BY752)</f>
        <v>0</v>
      </c>
      <c r="BZ753" s="469">
        <f>SUM(BZ752:BZ752)</f>
        <v>0</v>
      </c>
      <c r="CA753" s="469">
        <f>SUM(CA752:CA752)</f>
        <v>0</v>
      </c>
      <c r="CB753" s="469">
        <f>SUM(CB752:CB752)</f>
        <v>0</v>
      </c>
      <c r="CC753" s="469">
        <f>SUM(CC752:CC752)</f>
        <v>0</v>
      </c>
      <c r="CD753" s="469">
        <f>SUM(CD752:CD752)</f>
        <v>0</v>
      </c>
      <c r="CE753" s="469">
        <f>SUM(CE752:CE752)</f>
        <v>0</v>
      </c>
      <c r="CF753" s="469">
        <f>SUM(CF752:CF752)</f>
        <v>0</v>
      </c>
      <c r="CG753" s="469">
        <f>SUM(CG752:CG752)</f>
        <v>0</v>
      </c>
      <c r="CH753" s="469">
        <f>SUM(CH752:CH752)</f>
        <v>0</v>
      </c>
      <c r="CI753" s="469">
        <f>SUM(CI752:CI752)</f>
        <v>0</v>
      </c>
      <c r="CJ753" s="469">
        <f>SUM(CJ752:CJ752)</f>
        <v>0</v>
      </c>
      <c r="CK753" s="469">
        <f>SUM(CK752:CK752)</f>
        <v>0</v>
      </c>
      <c r="CL753" s="469">
        <f>SUM(CL752:CL752)</f>
        <v>19795.379999999997</v>
      </c>
      <c r="CM753" s="469">
        <f>SUM(CM752:CM752)</f>
        <v>12324.71</v>
      </c>
    </row>
    <row r="754" spans="43:91" ht="15" thickBot="1" x14ac:dyDescent="0.35">
      <c r="AR754" t="s">
        <v>1565</v>
      </c>
      <c r="AS754" s="462">
        <f>SUMIFS(AS2:AS698,G2:G698,"AGAL",E2:E698,"0486",F2:F698,"00",AT2:AT698,1)</f>
        <v>13</v>
      </c>
      <c r="AT754" s="462">
        <f>SUMIFS(AS2:AS698,G2:G698,"AGAL",E2:E698,"0486",F2:F698,"00",AT2:AT698,3)</f>
        <v>0</v>
      </c>
      <c r="AU754" s="462">
        <f>SUMIFS(AU2:AU698,G2:G698,"AGAL",E2:E698,"0486",F2:F698,"00")</f>
        <v>13.5</v>
      </c>
      <c r="AV754" s="462">
        <f>SUMIFS(AV2:AV698,G2:G698,"AGAL",E2:E698,"0486",F2:F698,"00")</f>
        <v>0</v>
      </c>
      <c r="AW754" s="462">
        <f>SUMIFS(AW2:AW698,G2:G698,"AGAL",E2:E698,"0486",F2:F698,"00")</f>
        <v>27</v>
      </c>
      <c r="AX754" s="462">
        <f>SUMIFS(AX2:AX698,G2:G698,"AGAL",E2:E698,"0486",F2:F698,"00")</f>
        <v>777691.20000000007</v>
      </c>
      <c r="AY754" s="462">
        <f>SUMIFS(AY2:AY698,G2:G698,"AGAL",E2:E698,"0486",F2:F698,"00")</f>
        <v>748571.20000000007</v>
      </c>
      <c r="AZ754" s="462">
        <f>SUMIFS(AZ2:AZ698,G2:G698,"AGAL",E2:E698,"0486",F2:F698,"00")</f>
        <v>0</v>
      </c>
      <c r="BA754" s="462">
        <f>SUMIFS(BA2:BA698,G2:G698,"AGAL",E2:E698,"0486",F2:F698,"00")</f>
        <v>0</v>
      </c>
      <c r="BB754" s="462">
        <f>SUMIFS(BB2:BB698,G2:G698,"AGAL",E2:E698,"0486",F2:F698,"00")</f>
        <v>154945</v>
      </c>
      <c r="BC754" s="462">
        <f>SUMIFS(BC2:BC698,G2:G698,"AGAL",E2:E698,"0486",F2:F698,"00")</f>
        <v>0</v>
      </c>
      <c r="BD754" s="462">
        <f>SUMIFS(BD2:BD698,G2:G698,"AGAL",E2:E698,"0486",F2:F698,"00")</f>
        <v>46411.414400000009</v>
      </c>
      <c r="BE754" s="462">
        <f>SUMIFS(BE2:BE698,G2:G698,"AGAL",E2:E698,"0486",F2:F698,"00")</f>
        <v>10854.282399999998</v>
      </c>
      <c r="BF754" s="462">
        <f>SUMIFS(BF2:BF698,G2:G698,"AGAL",E2:E698,"0486",F2:F698,"00")</f>
        <v>89379.40128000002</v>
      </c>
      <c r="BG754" s="462">
        <f>SUMIFS(BG2:BG698,G2:G698,"AGAL",E2:E698,"0486",F2:F698,"00")</f>
        <v>5397.1983520000013</v>
      </c>
      <c r="BH754" s="462">
        <f>SUMIFS(BH2:BH698,G2:G698,"AGAL",E2:E698,"0486",F2:F698,"00")</f>
        <v>3667.9988799999992</v>
      </c>
      <c r="BI754" s="462">
        <f>SUMIFS(BI2:BI698,G2:G698,"AGAL",E2:E698,"0486",F2:F698,"00")</f>
        <v>2290.627872</v>
      </c>
      <c r="BJ754" s="462">
        <f>SUMIFS(BJ2:BJ698,G2:G698,"AGAL",E2:E698,"0486",F2:F698,"00")</f>
        <v>11453.139360000001</v>
      </c>
      <c r="BK754" s="462">
        <f>SUMIFS(BK2:BK698,G2:G698,"AGAL",E2:E698,"0486",F2:F698,"00")</f>
        <v>0</v>
      </c>
      <c r="BL754" s="462">
        <f>SUMIFS(BL2:BL698,G2:G698,"AGAL",E2:E698,"0486",F2:F698,"00")</f>
        <v>169454.06254400004</v>
      </c>
      <c r="BM754" s="462">
        <f>SUMIFS(BM2:BM698,G2:G698,"AGAL",E2:E698,"0486",F2:F698,"00")</f>
        <v>0</v>
      </c>
      <c r="BN754" s="462">
        <f>SUMIFS(BN2:BN698,G2:G698,"AGAL",E2:E698,"0486",F2:F698,"00")</f>
        <v>154945</v>
      </c>
      <c r="BO754" s="462">
        <f>SUMIFS(BO2:BO698,G2:G698,"AGAL",E2:E698,"0486",F2:F698,"00")</f>
        <v>0</v>
      </c>
      <c r="BP754" s="462">
        <f>SUMIFS(BP2:BP698,G2:G698,"AGAL",E2:E698,"0486",F2:F698,"00")</f>
        <v>46411.414400000009</v>
      </c>
      <c r="BQ754" s="462">
        <f>SUMIFS(BQ2:BQ698,G2:G698,"AGAL",E2:E698,"0486",F2:F698,"00")</f>
        <v>10854.282399999998</v>
      </c>
      <c r="BR754" s="462">
        <f>SUMIFS(BR2:BR698,G2:G698,"AGAL",E2:E698,"0486",F2:F698,"00")</f>
        <v>89379.40128000002</v>
      </c>
      <c r="BS754" s="462">
        <f>SUMIFS(BS2:BS698,G2:G698,"AGAL",E2:E698,"0486",F2:F698,"00")</f>
        <v>5397.1983520000013</v>
      </c>
      <c r="BT754" s="462">
        <f>SUMIFS(BT2:BT698,G2:G698,"AGAL",E2:E698,"0486",F2:F698,"00")</f>
        <v>0</v>
      </c>
      <c r="BU754" s="462">
        <f>SUMIFS(BU2:BU698,G2:G698,"AGAL",E2:E698,"0486",F2:F698,"00")</f>
        <v>2290.627872</v>
      </c>
      <c r="BV754" s="462">
        <f>SUMIFS(BV2:BV698,G2:G698,"AGAL",E2:E698,"0486",F2:F698,"00")</f>
        <v>13174.853120000002</v>
      </c>
      <c r="BW754" s="462">
        <f>SUMIFS(BW2:BW698,G2:G698,"AGAL",E2:E698,"0486",F2:F698,"00")</f>
        <v>0</v>
      </c>
      <c r="BX754" s="462">
        <f>SUMIFS(BX2:BX698,G2:G698,"AGAL",E2:E698,"0486",F2:F698,"00")</f>
        <v>167507.777424</v>
      </c>
      <c r="BY754" s="462">
        <f>SUMIFS(BY2:BY698,G2:G698,"AGAL",E2:E698,"0486",F2:F698,"00")</f>
        <v>0</v>
      </c>
      <c r="BZ754" s="462">
        <f>SUMIFS(BZ2:BZ698,G2:G698,"AGAL",E2:E698,"0486",F2:F698,"00")</f>
        <v>0</v>
      </c>
      <c r="CA754" s="462">
        <f>SUMIFS(CA2:CA698,G2:G698,"AGAL",E2:E698,"0486",F2:F698,"00")</f>
        <v>0</v>
      </c>
      <c r="CB754" s="462">
        <f>SUMIFS(CB2:CB698,G2:G698,"AGAL",E2:E698,"0486",F2:F698,"00")</f>
        <v>0</v>
      </c>
      <c r="CC754" s="462">
        <f>SUMIFS(CC2:CC698,G2:G698,"AGAL",E2:E698,"0486",F2:F698,"00")</f>
        <v>0</v>
      </c>
      <c r="CD754" s="462">
        <f>SUMIFS(CD2:CD698,G2:G698,"AGAL",E2:E698,"0486",F2:F698,"00")</f>
        <v>0</v>
      </c>
      <c r="CE754" s="462">
        <f>SUMIFS(CE2:CE698,G2:G698,"AGAL",E2:E698,"0486",F2:F698,"00")</f>
        <v>0</v>
      </c>
      <c r="CF754" s="462">
        <f>SUMIFS(CF2:CF698,G2:G698,"AGAL",E2:E698,"0486",F2:F698,"00")</f>
        <v>-3667.9988799999992</v>
      </c>
      <c r="CG754" s="462">
        <f>SUMIFS(CG2:CG698,G2:G698,"AGAL",E2:E698,"0486",F2:F698,"00")</f>
        <v>0</v>
      </c>
      <c r="CH754" s="462">
        <f>SUMIFS(CH2:CH698,G2:G698,"AGAL",E2:E698,"0486",F2:F698,"00")</f>
        <v>1721.7137600000015</v>
      </c>
      <c r="CI754" s="462">
        <f>SUMIFS(CI2:CI698,G2:G698,"AGAL",E2:E698,"0486",F2:F698,"00")</f>
        <v>0</v>
      </c>
      <c r="CJ754" s="462">
        <f>SUMIFS(CJ2:CJ698,G2:G698,"AGAL",E2:E698,"0486",F2:F698,"00")</f>
        <v>-1946.2851199999984</v>
      </c>
      <c r="CK754" s="462">
        <f>SUMIFS(CK2:CK698,G2:G698,"AGAL",E2:E698,"0486",F2:F698,"00")</f>
        <v>0</v>
      </c>
      <c r="CL754" s="462">
        <f>SUMIFS(CL2:CL698,G2:G698,"AGAL",E2:E698,"0486",F2:F698,"00")</f>
        <v>3474080.0999999996</v>
      </c>
      <c r="CM754" s="462">
        <f>SUMIFS(CM2:CM698,G2:G698,"AGAL",E2:E698,"0486",F2:F698,"00")</f>
        <v>1952693.5</v>
      </c>
    </row>
    <row r="755" spans="43:91" ht="18" x14ac:dyDescent="0.35">
      <c r="AQ755" s="468" t="s">
        <v>1566</v>
      </c>
      <c r="AS755" s="469">
        <f>SUM(AS754:AS754)</f>
        <v>13</v>
      </c>
      <c r="AT755" s="469">
        <f>SUM(AT754:AT754)</f>
        <v>0</v>
      </c>
      <c r="AU755" s="469">
        <f>SUM(AU754:AU754)</f>
        <v>13.5</v>
      </c>
      <c r="AV755" s="469">
        <f>SUM(AV754:AV754)</f>
        <v>0</v>
      </c>
      <c r="AW755" s="469">
        <f>SUM(AW754:AW754)</f>
        <v>27</v>
      </c>
      <c r="AX755" s="469">
        <f>SUM(AX754:AX754)</f>
        <v>777691.20000000007</v>
      </c>
      <c r="AY755" s="469">
        <f>SUM(AY754:AY754)</f>
        <v>748571.20000000007</v>
      </c>
      <c r="AZ755" s="469">
        <f>SUM(AZ754:AZ754)</f>
        <v>0</v>
      </c>
      <c r="BA755" s="469">
        <f>SUM(BA754:BA754)</f>
        <v>0</v>
      </c>
      <c r="BB755" s="469">
        <f>SUM(BB754:BB754)</f>
        <v>154945</v>
      </c>
      <c r="BC755" s="469">
        <f>SUM(BC754:BC754)</f>
        <v>0</v>
      </c>
      <c r="BD755" s="469">
        <f>SUM(BD754:BD754)</f>
        <v>46411.414400000009</v>
      </c>
      <c r="BE755" s="469">
        <f>SUM(BE754:BE754)</f>
        <v>10854.282399999998</v>
      </c>
      <c r="BF755" s="469">
        <f>SUM(BF754:BF754)</f>
        <v>89379.40128000002</v>
      </c>
      <c r="BG755" s="469">
        <f>SUM(BG754:BG754)</f>
        <v>5397.1983520000013</v>
      </c>
      <c r="BH755" s="469">
        <f>SUM(BH754:BH754)</f>
        <v>3667.9988799999992</v>
      </c>
      <c r="BI755" s="469">
        <f>SUM(BI754:BI754)</f>
        <v>2290.627872</v>
      </c>
      <c r="BJ755" s="469">
        <f>SUM(BJ754:BJ754)</f>
        <v>11453.139360000001</v>
      </c>
      <c r="BK755" s="469">
        <f>SUM(BK754:BK754)</f>
        <v>0</v>
      </c>
      <c r="BL755" s="469">
        <f>SUM(BL754:BL754)</f>
        <v>169454.06254400004</v>
      </c>
      <c r="BM755" s="469">
        <f>SUM(BM754:BM754)</f>
        <v>0</v>
      </c>
      <c r="BN755" s="469">
        <f>SUM(BN754:BN754)</f>
        <v>154945</v>
      </c>
      <c r="BO755" s="469">
        <f>SUM(BO754:BO754)</f>
        <v>0</v>
      </c>
      <c r="BP755" s="469">
        <f>SUM(BP754:BP754)</f>
        <v>46411.414400000009</v>
      </c>
      <c r="BQ755" s="469">
        <f>SUM(BQ754:BQ754)</f>
        <v>10854.282399999998</v>
      </c>
      <c r="BR755" s="469">
        <f>SUM(BR754:BR754)</f>
        <v>89379.40128000002</v>
      </c>
      <c r="BS755" s="469">
        <f>SUM(BS754:BS754)</f>
        <v>5397.1983520000013</v>
      </c>
      <c r="BT755" s="469">
        <f>SUM(BT754:BT754)</f>
        <v>0</v>
      </c>
      <c r="BU755" s="469">
        <f>SUM(BU754:BU754)</f>
        <v>2290.627872</v>
      </c>
      <c r="BV755" s="469">
        <f>SUM(BV754:BV754)</f>
        <v>13174.853120000002</v>
      </c>
      <c r="BW755" s="469">
        <f>SUM(BW754:BW754)</f>
        <v>0</v>
      </c>
      <c r="BX755" s="469">
        <f>SUM(BX754:BX754)</f>
        <v>167507.777424</v>
      </c>
      <c r="BY755" s="469">
        <f>SUM(BY754:BY754)</f>
        <v>0</v>
      </c>
      <c r="BZ755" s="469">
        <f>SUM(BZ754:BZ754)</f>
        <v>0</v>
      </c>
      <c r="CA755" s="469">
        <f>SUM(CA754:CA754)</f>
        <v>0</v>
      </c>
      <c r="CB755" s="469">
        <f>SUM(CB754:CB754)</f>
        <v>0</v>
      </c>
      <c r="CC755" s="469">
        <f>SUM(CC754:CC754)</f>
        <v>0</v>
      </c>
      <c r="CD755" s="469">
        <f>SUM(CD754:CD754)</f>
        <v>0</v>
      </c>
      <c r="CE755" s="469">
        <f>SUM(CE754:CE754)</f>
        <v>0</v>
      </c>
      <c r="CF755" s="469">
        <f>SUM(CF754:CF754)</f>
        <v>-3667.9988799999992</v>
      </c>
      <c r="CG755" s="469">
        <f>SUM(CG754:CG754)</f>
        <v>0</v>
      </c>
      <c r="CH755" s="469">
        <f>SUM(CH754:CH754)</f>
        <v>1721.7137600000015</v>
      </c>
      <c r="CI755" s="469">
        <f>SUM(CI754:CI754)</f>
        <v>0</v>
      </c>
      <c r="CJ755" s="469">
        <f>SUM(CJ754:CJ754)</f>
        <v>-1946.2851199999984</v>
      </c>
      <c r="CK755" s="469">
        <f>SUM(CK754:CK754)</f>
        <v>0</v>
      </c>
      <c r="CL755" s="469">
        <f>SUM(CL754:CL754)</f>
        <v>3474080.0999999996</v>
      </c>
      <c r="CM755" s="469">
        <f>SUM(CM754:CM754)</f>
        <v>1952693.5</v>
      </c>
    </row>
    <row r="756" spans="43:91" ht="15" thickBot="1" x14ac:dyDescent="0.35">
      <c r="AR756" t="s">
        <v>1571</v>
      </c>
      <c r="AS756" s="462">
        <f>SUMIFS(AS2:AS698,G2:G698,"AGAM",E2:E698,"0348",F2:F698,"00",AT2:AT698,1)</f>
        <v>1</v>
      </c>
      <c r="AT756" s="462">
        <f>SUMIFS(AS2:AS698,G2:G698,"AGAM",E2:E698,"0348",F2:F698,"00",AT2:AT698,3)</f>
        <v>0</v>
      </c>
      <c r="AU756" s="462">
        <f>SUMIFS(AU2:AU698,G2:G698,"AGAM",E2:E698,"0348",F2:F698,"00")</f>
        <v>1</v>
      </c>
      <c r="AV756" s="462">
        <f>SUMIFS(AV2:AV698,G2:G698,"AGAM",E2:E698,"0348",F2:F698,"00")</f>
        <v>0</v>
      </c>
      <c r="AW756" s="462">
        <f>SUMIFS(AW2:AW698,G2:G698,"AGAM",E2:E698,"0348",F2:F698,"00")</f>
        <v>2</v>
      </c>
      <c r="AX756" s="462">
        <f>SUMIFS(AX2:AX698,G2:G698,"AGAM",E2:E698,"0348",F2:F698,"00")</f>
        <v>46800</v>
      </c>
      <c r="AY756" s="462">
        <f>SUMIFS(AY2:AY698,G2:G698,"AGAM",E2:E698,"0348",F2:F698,"00")</f>
        <v>46800</v>
      </c>
      <c r="AZ756" s="462">
        <f>SUMIFS(AZ2:AZ698,G2:G698,"AGAM",E2:E698,"0348",F2:F698,"00")</f>
        <v>0</v>
      </c>
      <c r="BA756" s="462">
        <f>SUMIFS(BA2:BA698,G2:G698,"AGAM",E2:E698,"0348",F2:F698,"00")</f>
        <v>0</v>
      </c>
      <c r="BB756" s="462">
        <f>SUMIFS(BB2:BB698,G2:G698,"AGAM",E2:E698,"0348",F2:F698,"00")</f>
        <v>11650</v>
      </c>
      <c r="BC756" s="462">
        <f>SUMIFS(BC2:BC698,G2:G698,"AGAM",E2:E698,"0348",F2:F698,"00")</f>
        <v>0</v>
      </c>
      <c r="BD756" s="462">
        <f>SUMIFS(BD2:BD698,G2:G698,"AGAM",E2:E698,"0348",F2:F698,"00")</f>
        <v>2901.6</v>
      </c>
      <c r="BE756" s="462">
        <f>SUMIFS(BE2:BE698,G2:G698,"AGAM",E2:E698,"0348",F2:F698,"00")</f>
        <v>678.6</v>
      </c>
      <c r="BF756" s="462">
        <f>SUMIFS(BF2:BF698,G2:G698,"AGAM",E2:E698,"0348",F2:F698,"00")</f>
        <v>5587.92</v>
      </c>
      <c r="BG756" s="462">
        <f>SUMIFS(BG2:BG698,G2:G698,"AGAM",E2:E698,"0348",F2:F698,"00")</f>
        <v>337.428</v>
      </c>
      <c r="BH756" s="462">
        <f>SUMIFS(BH2:BH698,G2:G698,"AGAM",E2:E698,"0348",F2:F698,"00")</f>
        <v>229.32</v>
      </c>
      <c r="BI756" s="462">
        <f>SUMIFS(BI2:BI698,G2:G698,"AGAM",E2:E698,"0348",F2:F698,"00")</f>
        <v>143.208</v>
      </c>
      <c r="BJ756" s="462">
        <f>SUMIFS(BJ2:BJ698,G2:G698,"AGAM",E2:E698,"0348",F2:F698,"00")</f>
        <v>716.04</v>
      </c>
      <c r="BK756" s="462">
        <f>SUMIFS(BK2:BK698,G2:G698,"AGAM",E2:E698,"0348",F2:F698,"00")</f>
        <v>0</v>
      </c>
      <c r="BL756" s="462">
        <f>SUMIFS(BL2:BL698,G2:G698,"AGAM",E2:E698,"0348",F2:F698,"00")</f>
        <v>10594.115999999998</v>
      </c>
      <c r="BM756" s="462">
        <f>SUMIFS(BM2:BM698,G2:G698,"AGAM",E2:E698,"0348",F2:F698,"00")</f>
        <v>0</v>
      </c>
      <c r="BN756" s="462">
        <f>SUMIFS(BN2:BN698,G2:G698,"AGAM",E2:E698,"0348",F2:F698,"00")</f>
        <v>11650</v>
      </c>
      <c r="BO756" s="462">
        <f>SUMIFS(BO2:BO698,G2:G698,"AGAM",E2:E698,"0348",F2:F698,"00")</f>
        <v>0</v>
      </c>
      <c r="BP756" s="462">
        <f>SUMIFS(BP2:BP698,G2:G698,"AGAM",E2:E698,"0348",F2:F698,"00")</f>
        <v>2901.6</v>
      </c>
      <c r="BQ756" s="462">
        <f>SUMIFS(BQ2:BQ698,G2:G698,"AGAM",E2:E698,"0348",F2:F698,"00")</f>
        <v>678.6</v>
      </c>
      <c r="BR756" s="462">
        <f>SUMIFS(BR2:BR698,G2:G698,"AGAM",E2:E698,"0348",F2:F698,"00")</f>
        <v>5587.92</v>
      </c>
      <c r="BS756" s="462">
        <f>SUMIFS(BS2:BS698,G2:G698,"AGAM",E2:E698,"0348",F2:F698,"00")</f>
        <v>337.428</v>
      </c>
      <c r="BT756" s="462">
        <f>SUMIFS(BT2:BT698,G2:G698,"AGAM",E2:E698,"0348",F2:F698,"00")</f>
        <v>0</v>
      </c>
      <c r="BU756" s="462">
        <f>SUMIFS(BU2:BU698,G2:G698,"AGAM",E2:E698,"0348",F2:F698,"00")</f>
        <v>143.208</v>
      </c>
      <c r="BV756" s="462">
        <f>SUMIFS(BV2:BV698,G2:G698,"AGAM",E2:E698,"0348",F2:F698,"00")</f>
        <v>823.68000000000006</v>
      </c>
      <c r="BW756" s="462">
        <f>SUMIFS(BW2:BW698,G2:G698,"AGAM",E2:E698,"0348",F2:F698,"00")</f>
        <v>0</v>
      </c>
      <c r="BX756" s="462">
        <f>SUMIFS(BX2:BX698,G2:G698,"AGAM",E2:E698,"0348",F2:F698,"00")</f>
        <v>10472.436</v>
      </c>
      <c r="BY756" s="462">
        <f>SUMIFS(BY2:BY698,G2:G698,"AGAM",E2:E698,"0348",F2:F698,"00")</f>
        <v>0</v>
      </c>
      <c r="BZ756" s="462">
        <f>SUMIFS(BZ2:BZ698,G2:G698,"AGAM",E2:E698,"0348",F2:F698,"00")</f>
        <v>0</v>
      </c>
      <c r="CA756" s="462">
        <f>SUMIFS(CA2:CA698,G2:G698,"AGAM",E2:E698,"0348",F2:F698,"00")</f>
        <v>0</v>
      </c>
      <c r="CB756" s="462">
        <f>SUMIFS(CB2:CB698,G2:G698,"AGAM",E2:E698,"0348",F2:F698,"00")</f>
        <v>0</v>
      </c>
      <c r="CC756" s="462">
        <f>SUMIFS(CC2:CC698,G2:G698,"AGAM",E2:E698,"0348",F2:F698,"00")</f>
        <v>0</v>
      </c>
      <c r="CD756" s="462">
        <f>SUMIFS(CD2:CD698,G2:G698,"AGAM",E2:E698,"0348",F2:F698,"00")</f>
        <v>0</v>
      </c>
      <c r="CE756" s="462">
        <f>SUMIFS(CE2:CE698,G2:G698,"AGAM",E2:E698,"0348",F2:F698,"00")</f>
        <v>0</v>
      </c>
      <c r="CF756" s="462">
        <f>SUMIFS(CF2:CF698,G2:G698,"AGAM",E2:E698,"0348",F2:F698,"00")</f>
        <v>-229.32</v>
      </c>
      <c r="CG756" s="462">
        <f>SUMIFS(CG2:CG698,G2:G698,"AGAM",E2:E698,"0348",F2:F698,"00")</f>
        <v>0</v>
      </c>
      <c r="CH756" s="462">
        <f>SUMIFS(CH2:CH698,G2:G698,"AGAM",E2:E698,"0348",F2:F698,"00")</f>
        <v>107.64000000000009</v>
      </c>
      <c r="CI756" s="462">
        <f>SUMIFS(CI2:CI698,G2:G698,"AGAM",E2:E698,"0348",F2:F698,"00")</f>
        <v>0</v>
      </c>
      <c r="CJ756" s="462">
        <f>SUMIFS(CJ2:CJ698,G2:G698,"AGAM",E2:E698,"0348",F2:F698,"00")</f>
        <v>-121.67999999999991</v>
      </c>
      <c r="CK756" s="462">
        <f>SUMIFS(CK2:CK698,G2:G698,"AGAM",E2:E698,"0348",F2:F698,"00")</f>
        <v>0</v>
      </c>
      <c r="CL756" s="462">
        <f>SUMIFS(CL2:CL698,G2:G698,"AGAM",E2:E698,"0348",F2:F698,"00")</f>
        <v>0</v>
      </c>
      <c r="CM756" s="462">
        <f>SUMIFS(CM2:CM698,G2:G698,"AGAM",E2:E698,"0348",F2:F698,"00")</f>
        <v>0</v>
      </c>
    </row>
    <row r="757" spans="43:91" ht="18" x14ac:dyDescent="0.35">
      <c r="AQ757" s="468" t="s">
        <v>1572</v>
      </c>
      <c r="AS757" s="469">
        <f>SUM(AS756:AS756)</f>
        <v>1</v>
      </c>
      <c r="AT757" s="469">
        <f>SUM(AT756:AT756)</f>
        <v>0</v>
      </c>
      <c r="AU757" s="469">
        <f>SUM(AU756:AU756)</f>
        <v>1</v>
      </c>
      <c r="AV757" s="469">
        <f>SUM(AV756:AV756)</f>
        <v>0</v>
      </c>
      <c r="AW757" s="469">
        <f>SUM(AW756:AW756)</f>
        <v>2</v>
      </c>
      <c r="AX757" s="469">
        <f>SUM(AX756:AX756)</f>
        <v>46800</v>
      </c>
      <c r="AY757" s="469">
        <f>SUM(AY756:AY756)</f>
        <v>46800</v>
      </c>
      <c r="AZ757" s="469">
        <f>SUM(AZ756:AZ756)</f>
        <v>0</v>
      </c>
      <c r="BA757" s="469">
        <f>SUM(BA756:BA756)</f>
        <v>0</v>
      </c>
      <c r="BB757" s="469">
        <f>SUM(BB756:BB756)</f>
        <v>11650</v>
      </c>
      <c r="BC757" s="469">
        <f>SUM(BC756:BC756)</f>
        <v>0</v>
      </c>
      <c r="BD757" s="469">
        <f>SUM(BD756:BD756)</f>
        <v>2901.6</v>
      </c>
      <c r="BE757" s="469">
        <f>SUM(BE756:BE756)</f>
        <v>678.6</v>
      </c>
      <c r="BF757" s="469">
        <f>SUM(BF756:BF756)</f>
        <v>5587.92</v>
      </c>
      <c r="BG757" s="469">
        <f>SUM(BG756:BG756)</f>
        <v>337.428</v>
      </c>
      <c r="BH757" s="469">
        <f>SUM(BH756:BH756)</f>
        <v>229.32</v>
      </c>
      <c r="BI757" s="469">
        <f>SUM(BI756:BI756)</f>
        <v>143.208</v>
      </c>
      <c r="BJ757" s="469">
        <f>SUM(BJ756:BJ756)</f>
        <v>716.04</v>
      </c>
      <c r="BK757" s="469">
        <f>SUM(BK756:BK756)</f>
        <v>0</v>
      </c>
      <c r="BL757" s="469">
        <f>SUM(BL756:BL756)</f>
        <v>10594.115999999998</v>
      </c>
      <c r="BM757" s="469">
        <f>SUM(BM756:BM756)</f>
        <v>0</v>
      </c>
      <c r="BN757" s="469">
        <f>SUM(BN756:BN756)</f>
        <v>11650</v>
      </c>
      <c r="BO757" s="469">
        <f>SUM(BO756:BO756)</f>
        <v>0</v>
      </c>
      <c r="BP757" s="469">
        <f>SUM(BP756:BP756)</f>
        <v>2901.6</v>
      </c>
      <c r="BQ757" s="469">
        <f>SUM(BQ756:BQ756)</f>
        <v>678.6</v>
      </c>
      <c r="BR757" s="469">
        <f>SUM(BR756:BR756)</f>
        <v>5587.92</v>
      </c>
      <c r="BS757" s="469">
        <f>SUM(BS756:BS756)</f>
        <v>337.428</v>
      </c>
      <c r="BT757" s="469">
        <f>SUM(BT756:BT756)</f>
        <v>0</v>
      </c>
      <c r="BU757" s="469">
        <f>SUM(BU756:BU756)</f>
        <v>143.208</v>
      </c>
      <c r="BV757" s="469">
        <f>SUM(BV756:BV756)</f>
        <v>823.68000000000006</v>
      </c>
      <c r="BW757" s="469">
        <f>SUM(BW756:BW756)</f>
        <v>0</v>
      </c>
      <c r="BX757" s="469">
        <f>SUM(BX756:BX756)</f>
        <v>10472.436</v>
      </c>
      <c r="BY757" s="469">
        <f>SUM(BY756:BY756)</f>
        <v>0</v>
      </c>
      <c r="BZ757" s="469">
        <f>SUM(BZ756:BZ756)</f>
        <v>0</v>
      </c>
      <c r="CA757" s="469">
        <f>SUM(CA756:CA756)</f>
        <v>0</v>
      </c>
      <c r="CB757" s="469">
        <f>SUM(CB756:CB756)</f>
        <v>0</v>
      </c>
      <c r="CC757" s="469">
        <f>SUM(CC756:CC756)</f>
        <v>0</v>
      </c>
      <c r="CD757" s="469">
        <f>SUM(CD756:CD756)</f>
        <v>0</v>
      </c>
      <c r="CE757" s="469">
        <f>SUM(CE756:CE756)</f>
        <v>0</v>
      </c>
      <c r="CF757" s="469">
        <f>SUM(CF756:CF756)</f>
        <v>-229.32</v>
      </c>
      <c r="CG757" s="469">
        <f>SUM(CG756:CG756)</f>
        <v>0</v>
      </c>
      <c r="CH757" s="469">
        <f>SUM(CH756:CH756)</f>
        <v>107.64000000000009</v>
      </c>
      <c r="CI757" s="469">
        <f>SUM(CI756:CI756)</f>
        <v>0</v>
      </c>
      <c r="CJ757" s="469">
        <f>SUM(CJ756:CJ756)</f>
        <v>-121.67999999999991</v>
      </c>
      <c r="CK757" s="469">
        <f>SUM(CK756:CK756)</f>
        <v>0</v>
      </c>
      <c r="CL757" s="469">
        <f>SUM(CL756:CL756)</f>
        <v>0</v>
      </c>
      <c r="CM757" s="469">
        <f>SUM(CM756:CM756)</f>
        <v>0</v>
      </c>
    </row>
    <row r="758" spans="43:91" ht="15" thickBot="1" x14ac:dyDescent="0.35">
      <c r="AR758" t="s">
        <v>1574</v>
      </c>
      <c r="AS758" s="462">
        <f>SUMIFS(AS2:AS698,G2:G698,"AGAM",E2:E698,"0403",F2:F698,"03",AT2:AT698,1)</f>
        <v>0</v>
      </c>
      <c r="AT758" s="462">
        <f>SUMIFS(AS2:AS698,G2:G698,"AGAM",E2:E698,"0403",F2:F698,"03",AT2:AT698,3)</f>
        <v>0</v>
      </c>
      <c r="AU758" s="462">
        <f>SUMIFS(AU2:AU698,G2:G698,"AGAM",E2:E698,"0403",F2:F698,"03")</f>
        <v>0</v>
      </c>
      <c r="AV758" s="462">
        <f>SUMIFS(AV2:AV698,G2:G698,"AGAM",E2:E698,"0403",F2:F698,"03")</f>
        <v>0</v>
      </c>
      <c r="AW758" s="462">
        <f>SUMIFS(AW2:AW698,G2:G698,"AGAM",E2:E698,"0403",F2:F698,"03")</f>
        <v>0</v>
      </c>
      <c r="AX758" s="462">
        <f>SUMIFS(AX2:AX698,G2:G698,"AGAM",E2:E698,"0403",F2:F698,"03")</f>
        <v>0</v>
      </c>
      <c r="AY758" s="462">
        <f>SUMIFS(AY2:AY698,G2:G698,"AGAM",E2:E698,"0403",F2:F698,"03")</f>
        <v>0</v>
      </c>
      <c r="AZ758" s="462">
        <f>SUMIFS(AZ2:AZ698,G2:G698,"AGAM",E2:E698,"0403",F2:F698,"03")</f>
        <v>0</v>
      </c>
      <c r="BA758" s="462">
        <f>SUMIFS(BA2:BA698,G2:G698,"AGAM",E2:E698,"0403",F2:F698,"03")</f>
        <v>0</v>
      </c>
      <c r="BB758" s="462">
        <f>SUMIFS(BB2:BB698,G2:G698,"AGAM",E2:E698,"0403",F2:F698,"03")</f>
        <v>0</v>
      </c>
      <c r="BC758" s="462">
        <f>SUMIFS(BC2:BC698,G2:G698,"AGAM",E2:E698,"0403",F2:F698,"03")</f>
        <v>0</v>
      </c>
      <c r="BD758" s="462">
        <f>SUMIFS(BD2:BD698,G2:G698,"AGAM",E2:E698,"0403",F2:F698,"03")</f>
        <v>0</v>
      </c>
      <c r="BE758" s="462">
        <f>SUMIFS(BE2:BE698,G2:G698,"AGAM",E2:E698,"0403",F2:F698,"03")</f>
        <v>0</v>
      </c>
      <c r="BF758" s="462">
        <f>SUMIFS(BF2:BF698,G2:G698,"AGAM",E2:E698,"0403",F2:F698,"03")</f>
        <v>0</v>
      </c>
      <c r="BG758" s="462">
        <f>SUMIFS(BG2:BG698,G2:G698,"AGAM",E2:E698,"0403",F2:F698,"03")</f>
        <v>0</v>
      </c>
      <c r="BH758" s="462">
        <f>SUMIFS(BH2:BH698,G2:G698,"AGAM",E2:E698,"0403",F2:F698,"03")</f>
        <v>0</v>
      </c>
      <c r="BI758" s="462">
        <f>SUMIFS(BI2:BI698,G2:G698,"AGAM",E2:E698,"0403",F2:F698,"03")</f>
        <v>0</v>
      </c>
      <c r="BJ758" s="462">
        <f>SUMIFS(BJ2:BJ698,G2:G698,"AGAM",E2:E698,"0403",F2:F698,"03")</f>
        <v>0</v>
      </c>
      <c r="BK758" s="462">
        <f>SUMIFS(BK2:BK698,G2:G698,"AGAM",E2:E698,"0403",F2:F698,"03")</f>
        <v>0</v>
      </c>
      <c r="BL758" s="462">
        <f>SUMIFS(BL2:BL698,G2:G698,"AGAM",E2:E698,"0403",F2:F698,"03")</f>
        <v>0</v>
      </c>
      <c r="BM758" s="462">
        <f>SUMIFS(BM2:BM698,G2:G698,"AGAM",E2:E698,"0403",F2:F698,"03")</f>
        <v>0</v>
      </c>
      <c r="BN758" s="462">
        <f>SUMIFS(BN2:BN698,G2:G698,"AGAM",E2:E698,"0403",F2:F698,"03")</f>
        <v>0</v>
      </c>
      <c r="BO758" s="462">
        <f>SUMIFS(BO2:BO698,G2:G698,"AGAM",E2:E698,"0403",F2:F698,"03")</f>
        <v>0</v>
      </c>
      <c r="BP758" s="462">
        <f>SUMIFS(BP2:BP698,G2:G698,"AGAM",E2:E698,"0403",F2:F698,"03")</f>
        <v>0</v>
      </c>
      <c r="BQ758" s="462">
        <f>SUMIFS(BQ2:BQ698,G2:G698,"AGAM",E2:E698,"0403",F2:F698,"03")</f>
        <v>0</v>
      </c>
      <c r="BR758" s="462">
        <f>SUMIFS(BR2:BR698,G2:G698,"AGAM",E2:E698,"0403",F2:F698,"03")</f>
        <v>0</v>
      </c>
      <c r="BS758" s="462">
        <f>SUMIFS(BS2:BS698,G2:G698,"AGAM",E2:E698,"0403",F2:F698,"03")</f>
        <v>0</v>
      </c>
      <c r="BT758" s="462">
        <f>SUMIFS(BT2:BT698,G2:G698,"AGAM",E2:E698,"0403",F2:F698,"03")</f>
        <v>0</v>
      </c>
      <c r="BU758" s="462">
        <f>SUMIFS(BU2:BU698,G2:G698,"AGAM",E2:E698,"0403",F2:F698,"03")</f>
        <v>0</v>
      </c>
      <c r="BV758" s="462">
        <f>SUMIFS(BV2:BV698,G2:G698,"AGAM",E2:E698,"0403",F2:F698,"03")</f>
        <v>0</v>
      </c>
      <c r="BW758" s="462">
        <f>SUMIFS(BW2:BW698,G2:G698,"AGAM",E2:E698,"0403",F2:F698,"03")</f>
        <v>0</v>
      </c>
      <c r="BX758" s="462">
        <f>SUMIFS(BX2:BX698,G2:G698,"AGAM",E2:E698,"0403",F2:F698,"03")</f>
        <v>0</v>
      </c>
      <c r="BY758" s="462">
        <f>SUMIFS(BY2:BY698,G2:G698,"AGAM",E2:E698,"0403",F2:F698,"03")</f>
        <v>0</v>
      </c>
      <c r="BZ758" s="462">
        <f>SUMIFS(BZ2:BZ698,G2:G698,"AGAM",E2:E698,"0403",F2:F698,"03")</f>
        <v>0</v>
      </c>
      <c r="CA758" s="462">
        <f>SUMIFS(CA2:CA698,G2:G698,"AGAM",E2:E698,"0403",F2:F698,"03")</f>
        <v>0</v>
      </c>
      <c r="CB758" s="462">
        <f>SUMIFS(CB2:CB698,G2:G698,"AGAM",E2:E698,"0403",F2:F698,"03")</f>
        <v>0</v>
      </c>
      <c r="CC758" s="462">
        <f>SUMIFS(CC2:CC698,G2:G698,"AGAM",E2:E698,"0403",F2:F698,"03")</f>
        <v>0</v>
      </c>
      <c r="CD758" s="462">
        <f>SUMIFS(CD2:CD698,G2:G698,"AGAM",E2:E698,"0403",F2:F698,"03")</f>
        <v>0</v>
      </c>
      <c r="CE758" s="462">
        <f>SUMIFS(CE2:CE698,G2:G698,"AGAM",E2:E698,"0403",F2:F698,"03")</f>
        <v>0</v>
      </c>
      <c r="CF758" s="462">
        <f>SUMIFS(CF2:CF698,G2:G698,"AGAM",E2:E698,"0403",F2:F698,"03")</f>
        <v>0</v>
      </c>
      <c r="CG758" s="462">
        <f>SUMIFS(CG2:CG698,G2:G698,"AGAM",E2:E698,"0403",F2:F698,"03")</f>
        <v>0</v>
      </c>
      <c r="CH758" s="462">
        <f>SUMIFS(CH2:CH698,G2:G698,"AGAM",E2:E698,"0403",F2:F698,"03")</f>
        <v>0</v>
      </c>
      <c r="CI758" s="462">
        <f>SUMIFS(CI2:CI698,G2:G698,"AGAM",E2:E698,"0403",F2:F698,"03")</f>
        <v>0</v>
      </c>
      <c r="CJ758" s="462">
        <f>SUMIFS(CJ2:CJ698,G2:G698,"AGAM",E2:E698,"0403",F2:F698,"03")</f>
        <v>0</v>
      </c>
      <c r="CK758" s="462">
        <f>SUMIFS(CK2:CK698,G2:G698,"AGAM",E2:E698,"0403",F2:F698,"03")</f>
        <v>0</v>
      </c>
      <c r="CL758" s="462">
        <f>SUMIFS(CL2:CL698,G2:G698,"AGAM",E2:E698,"0403",F2:F698,"03")</f>
        <v>0</v>
      </c>
      <c r="CM758" s="462">
        <f>SUMIFS(CM2:CM698,G2:G698,"AGAM",E2:E698,"0403",F2:F698,"03")</f>
        <v>0</v>
      </c>
    </row>
    <row r="759" spans="43:91" ht="18" x14ac:dyDescent="0.35">
      <c r="AQ759" s="468" t="s">
        <v>1575</v>
      </c>
      <c r="AS759" s="469">
        <f>SUM(AS758:AS758)</f>
        <v>0</v>
      </c>
      <c r="AT759" s="469">
        <f>SUM(AT758:AT758)</f>
        <v>0</v>
      </c>
      <c r="AU759" s="469">
        <f>SUM(AU758:AU758)</f>
        <v>0</v>
      </c>
      <c r="AV759" s="469">
        <f>SUM(AV758:AV758)</f>
        <v>0</v>
      </c>
      <c r="AW759" s="469">
        <f>SUM(AW758:AW758)</f>
        <v>0</v>
      </c>
      <c r="AX759" s="469">
        <f>SUM(AX758:AX758)</f>
        <v>0</v>
      </c>
      <c r="AY759" s="469">
        <f>SUM(AY758:AY758)</f>
        <v>0</v>
      </c>
      <c r="AZ759" s="469">
        <f>SUM(AZ758:AZ758)</f>
        <v>0</v>
      </c>
      <c r="BA759" s="469">
        <f>SUM(BA758:BA758)</f>
        <v>0</v>
      </c>
      <c r="BB759" s="469">
        <f>SUM(BB758:BB758)</f>
        <v>0</v>
      </c>
      <c r="BC759" s="469">
        <f>SUM(BC758:BC758)</f>
        <v>0</v>
      </c>
      <c r="BD759" s="469">
        <f>SUM(BD758:BD758)</f>
        <v>0</v>
      </c>
      <c r="BE759" s="469">
        <f>SUM(BE758:BE758)</f>
        <v>0</v>
      </c>
      <c r="BF759" s="469">
        <f>SUM(BF758:BF758)</f>
        <v>0</v>
      </c>
      <c r="BG759" s="469">
        <f>SUM(BG758:BG758)</f>
        <v>0</v>
      </c>
      <c r="BH759" s="469">
        <f>SUM(BH758:BH758)</f>
        <v>0</v>
      </c>
      <c r="BI759" s="469">
        <f>SUM(BI758:BI758)</f>
        <v>0</v>
      </c>
      <c r="BJ759" s="469">
        <f>SUM(BJ758:BJ758)</f>
        <v>0</v>
      </c>
      <c r="BK759" s="469">
        <f>SUM(BK758:BK758)</f>
        <v>0</v>
      </c>
      <c r="BL759" s="469">
        <f>SUM(BL758:BL758)</f>
        <v>0</v>
      </c>
      <c r="BM759" s="469">
        <f>SUM(BM758:BM758)</f>
        <v>0</v>
      </c>
      <c r="BN759" s="469">
        <f>SUM(BN758:BN758)</f>
        <v>0</v>
      </c>
      <c r="BO759" s="469">
        <f>SUM(BO758:BO758)</f>
        <v>0</v>
      </c>
      <c r="BP759" s="469">
        <f>SUM(BP758:BP758)</f>
        <v>0</v>
      </c>
      <c r="BQ759" s="469">
        <f>SUM(BQ758:BQ758)</f>
        <v>0</v>
      </c>
      <c r="BR759" s="469">
        <f>SUM(BR758:BR758)</f>
        <v>0</v>
      </c>
      <c r="BS759" s="469">
        <f>SUM(BS758:BS758)</f>
        <v>0</v>
      </c>
      <c r="BT759" s="469">
        <f>SUM(BT758:BT758)</f>
        <v>0</v>
      </c>
      <c r="BU759" s="469">
        <f>SUM(BU758:BU758)</f>
        <v>0</v>
      </c>
      <c r="BV759" s="469">
        <f>SUM(BV758:BV758)</f>
        <v>0</v>
      </c>
      <c r="BW759" s="469">
        <f>SUM(BW758:BW758)</f>
        <v>0</v>
      </c>
      <c r="BX759" s="469">
        <f>SUM(BX758:BX758)</f>
        <v>0</v>
      </c>
      <c r="BY759" s="469">
        <f>SUM(BY758:BY758)</f>
        <v>0</v>
      </c>
      <c r="BZ759" s="469">
        <f>SUM(BZ758:BZ758)</f>
        <v>0</v>
      </c>
      <c r="CA759" s="469">
        <f>SUM(CA758:CA758)</f>
        <v>0</v>
      </c>
      <c r="CB759" s="469">
        <f>SUM(CB758:CB758)</f>
        <v>0</v>
      </c>
      <c r="CC759" s="469">
        <f>SUM(CC758:CC758)</f>
        <v>0</v>
      </c>
      <c r="CD759" s="469">
        <f>SUM(CD758:CD758)</f>
        <v>0</v>
      </c>
      <c r="CE759" s="469">
        <f>SUM(CE758:CE758)</f>
        <v>0</v>
      </c>
      <c r="CF759" s="469">
        <f>SUM(CF758:CF758)</f>
        <v>0</v>
      </c>
      <c r="CG759" s="469">
        <f>SUM(CG758:CG758)</f>
        <v>0</v>
      </c>
      <c r="CH759" s="469">
        <f>SUM(CH758:CH758)</f>
        <v>0</v>
      </c>
      <c r="CI759" s="469">
        <f>SUM(CI758:CI758)</f>
        <v>0</v>
      </c>
      <c r="CJ759" s="469">
        <f>SUM(CJ758:CJ758)</f>
        <v>0</v>
      </c>
      <c r="CK759" s="469">
        <f>SUM(CK758:CK758)</f>
        <v>0</v>
      </c>
      <c r="CL759" s="469">
        <f>SUM(CL758:CL758)</f>
        <v>0</v>
      </c>
      <c r="CM759" s="469">
        <f>SUM(CM758:CM758)</f>
        <v>0</v>
      </c>
    </row>
    <row r="760" spans="43:91" ht="15" thickBot="1" x14ac:dyDescent="0.35">
      <c r="AR760" t="s">
        <v>1580</v>
      </c>
      <c r="AS760" s="462">
        <f>SUMIFS(AS2:AS698,G2:G698,"AGAN",E2:E698,"0491",F2:F698,"01",AT2:AT698,1)</f>
        <v>2.89</v>
      </c>
      <c r="AT760" s="462">
        <f>SUMIFS(AS2:AS698,G2:G698,"AGAN",E2:E698,"0491",F2:F698,"01",AT2:AT698,3)</f>
        <v>0</v>
      </c>
      <c r="AU760" s="462">
        <f>SUMIFS(AU2:AU698,G2:G698,"AGAN",E2:E698,"0491",F2:F698,"01")</f>
        <v>5</v>
      </c>
      <c r="AV760" s="462">
        <f>SUMIFS(AV2:AV698,G2:G698,"AGAN",E2:E698,"0491",F2:F698,"01")</f>
        <v>0</v>
      </c>
      <c r="AW760" s="462">
        <f>SUMIFS(AW2:AW698,G2:G698,"AGAN",E2:E698,"0491",F2:F698,"01")</f>
        <v>15</v>
      </c>
      <c r="AX760" s="462">
        <f>SUMIFS(AX2:AX698,G2:G698,"AGAN",E2:E698,"0491",F2:F698,"01")</f>
        <v>271169.59999999998</v>
      </c>
      <c r="AY760" s="462">
        <f>SUMIFS(AY2:AY698,G2:G698,"AGAN",E2:E698,"0491",F2:F698,"01")</f>
        <v>163571.20000000001</v>
      </c>
      <c r="AZ760" s="462">
        <f>SUMIFS(AZ2:AZ698,G2:G698,"AGAN",E2:E698,"0491",F2:F698,"01")</f>
        <v>0</v>
      </c>
      <c r="BA760" s="462">
        <f>SUMIFS(BA2:BA698,G2:G698,"AGAN",E2:E698,"0491",F2:F698,"01")</f>
        <v>0</v>
      </c>
      <c r="BB760" s="462">
        <f>SUMIFS(BB2:BB698,G2:G698,"AGAN",E2:E698,"0491",F2:F698,"01")</f>
        <v>33668.5</v>
      </c>
      <c r="BC760" s="462">
        <f>SUMIFS(BC2:BC698,G2:G698,"AGAN",E2:E698,"0491",F2:F698,"01")</f>
        <v>0</v>
      </c>
      <c r="BD760" s="462">
        <f>SUMIFS(BD2:BD698,G2:G698,"AGAN",E2:E698,"0491",F2:F698,"01")</f>
        <v>10141.414400000001</v>
      </c>
      <c r="BE760" s="462">
        <f>SUMIFS(BE2:BE698,G2:G698,"AGAN",E2:E698,"0491",F2:F698,"01")</f>
        <v>2371.7824000000001</v>
      </c>
      <c r="BF760" s="462">
        <f>SUMIFS(BF2:BF698,G2:G698,"AGAN",E2:E698,"0491",F2:F698,"01")</f>
        <v>19530.401279999998</v>
      </c>
      <c r="BG760" s="462">
        <f>SUMIFS(BG2:BG698,G2:G698,"AGAN",E2:E698,"0491",F2:F698,"01")</f>
        <v>1179.348352</v>
      </c>
      <c r="BH760" s="462">
        <f>SUMIFS(BH2:BH698,G2:G698,"AGAN",E2:E698,"0491",F2:F698,"01")</f>
        <v>801.49887999999999</v>
      </c>
      <c r="BI760" s="462">
        <f>SUMIFS(BI2:BI698,G2:G698,"AGAN",E2:E698,"0491",F2:F698,"01")</f>
        <v>500.52787199999989</v>
      </c>
      <c r="BJ760" s="462">
        <f>SUMIFS(BJ2:BJ698,G2:G698,"AGAN",E2:E698,"0491",F2:F698,"01")</f>
        <v>2502.6393599999997</v>
      </c>
      <c r="BK760" s="462">
        <f>SUMIFS(BK2:BK698,G2:G698,"AGAN",E2:E698,"0491",F2:F698,"01")</f>
        <v>0</v>
      </c>
      <c r="BL760" s="462">
        <f>SUMIFS(BL2:BL698,G2:G698,"AGAN",E2:E698,"0491",F2:F698,"01")</f>
        <v>37027.612544000003</v>
      </c>
      <c r="BM760" s="462">
        <f>SUMIFS(BM2:BM698,G2:G698,"AGAN",E2:E698,"0491",F2:F698,"01")</f>
        <v>0</v>
      </c>
      <c r="BN760" s="462">
        <f>SUMIFS(BN2:BN698,G2:G698,"AGAN",E2:E698,"0491",F2:F698,"01")</f>
        <v>33668.5</v>
      </c>
      <c r="BO760" s="462">
        <f>SUMIFS(BO2:BO698,G2:G698,"AGAN",E2:E698,"0491",F2:F698,"01")</f>
        <v>0</v>
      </c>
      <c r="BP760" s="462">
        <f>SUMIFS(BP2:BP698,G2:G698,"AGAN",E2:E698,"0491",F2:F698,"01")</f>
        <v>10141.414400000001</v>
      </c>
      <c r="BQ760" s="462">
        <f>SUMIFS(BQ2:BQ698,G2:G698,"AGAN",E2:E698,"0491",F2:F698,"01")</f>
        <v>2371.7824000000001</v>
      </c>
      <c r="BR760" s="462">
        <f>SUMIFS(BR2:BR698,G2:G698,"AGAN",E2:E698,"0491",F2:F698,"01")</f>
        <v>19530.401279999998</v>
      </c>
      <c r="BS760" s="462">
        <f>SUMIFS(BS2:BS698,G2:G698,"AGAN",E2:E698,"0491",F2:F698,"01")</f>
        <v>1179.348352</v>
      </c>
      <c r="BT760" s="462">
        <f>SUMIFS(BT2:BT698,G2:G698,"AGAN",E2:E698,"0491",F2:F698,"01")</f>
        <v>0</v>
      </c>
      <c r="BU760" s="462">
        <f>SUMIFS(BU2:BU698,G2:G698,"AGAN",E2:E698,"0491",F2:F698,"01")</f>
        <v>500.52787199999989</v>
      </c>
      <c r="BV760" s="462">
        <f>SUMIFS(BV2:BV698,G2:G698,"AGAN",E2:E698,"0491",F2:F698,"01")</f>
        <v>2878.8531200000007</v>
      </c>
      <c r="BW760" s="462">
        <f>SUMIFS(BW2:BW698,G2:G698,"AGAN",E2:E698,"0491",F2:F698,"01")</f>
        <v>0</v>
      </c>
      <c r="BX760" s="462">
        <f>SUMIFS(BX2:BX698,G2:G698,"AGAN",E2:E698,"0491",F2:F698,"01")</f>
        <v>36602.327423999996</v>
      </c>
      <c r="BY760" s="462">
        <f>SUMIFS(BY2:BY698,G2:G698,"AGAN",E2:E698,"0491",F2:F698,"01")</f>
        <v>0</v>
      </c>
      <c r="BZ760" s="462">
        <f>SUMIFS(BZ2:BZ698,G2:G698,"AGAN",E2:E698,"0491",F2:F698,"01")</f>
        <v>0</v>
      </c>
      <c r="CA760" s="462">
        <f>SUMIFS(CA2:CA698,G2:G698,"AGAN",E2:E698,"0491",F2:F698,"01")</f>
        <v>0</v>
      </c>
      <c r="CB760" s="462">
        <f>SUMIFS(CB2:CB698,G2:G698,"AGAN",E2:E698,"0491",F2:F698,"01")</f>
        <v>0</v>
      </c>
      <c r="CC760" s="462">
        <f>SUMIFS(CC2:CC698,G2:G698,"AGAN",E2:E698,"0491",F2:F698,"01")</f>
        <v>0</v>
      </c>
      <c r="CD760" s="462">
        <f>SUMIFS(CD2:CD698,G2:G698,"AGAN",E2:E698,"0491",F2:F698,"01")</f>
        <v>0</v>
      </c>
      <c r="CE760" s="462">
        <f>SUMIFS(CE2:CE698,G2:G698,"AGAN",E2:E698,"0491",F2:F698,"01")</f>
        <v>0</v>
      </c>
      <c r="CF760" s="462">
        <f>SUMIFS(CF2:CF698,G2:G698,"AGAN",E2:E698,"0491",F2:F698,"01")</f>
        <v>-801.49887999999999</v>
      </c>
      <c r="CG760" s="462">
        <f>SUMIFS(CG2:CG698,G2:G698,"AGAN",E2:E698,"0491",F2:F698,"01")</f>
        <v>0</v>
      </c>
      <c r="CH760" s="462">
        <f>SUMIFS(CH2:CH698,G2:G698,"AGAN",E2:E698,"0491",F2:F698,"01")</f>
        <v>376.21376000000026</v>
      </c>
      <c r="CI760" s="462">
        <f>SUMIFS(CI2:CI698,G2:G698,"AGAN",E2:E698,"0491",F2:F698,"01")</f>
        <v>0</v>
      </c>
      <c r="CJ760" s="462">
        <f>SUMIFS(CJ2:CJ698,G2:G698,"AGAN",E2:E698,"0491",F2:F698,"01")</f>
        <v>-425.28511999999967</v>
      </c>
      <c r="CK760" s="462">
        <f>SUMIFS(CK2:CK698,G2:G698,"AGAN",E2:E698,"0491",F2:F698,"01")</f>
        <v>0</v>
      </c>
      <c r="CL760" s="462">
        <f>SUMIFS(CL2:CL698,G2:G698,"AGAN",E2:E698,"0491",F2:F698,"01")</f>
        <v>0</v>
      </c>
      <c r="CM760" s="462">
        <f>SUMIFS(CM2:CM698,G2:G698,"AGAN",E2:E698,"0491",F2:F698,"01")</f>
        <v>0</v>
      </c>
    </row>
    <row r="761" spans="43:91" ht="18" x14ac:dyDescent="0.35">
      <c r="AQ761" s="468" t="s">
        <v>1581</v>
      </c>
      <c r="AS761" s="469">
        <f>SUM(AS760:AS760)</f>
        <v>2.89</v>
      </c>
      <c r="AT761" s="469">
        <f>SUM(AT760:AT760)</f>
        <v>0</v>
      </c>
      <c r="AU761" s="469">
        <f>SUM(AU760:AU760)</f>
        <v>5</v>
      </c>
      <c r="AV761" s="469">
        <f>SUM(AV760:AV760)</f>
        <v>0</v>
      </c>
      <c r="AW761" s="469">
        <f>SUM(AW760:AW760)</f>
        <v>15</v>
      </c>
      <c r="AX761" s="469">
        <f>SUM(AX760:AX760)</f>
        <v>271169.59999999998</v>
      </c>
      <c r="AY761" s="469">
        <f>SUM(AY760:AY760)</f>
        <v>163571.20000000001</v>
      </c>
      <c r="AZ761" s="469">
        <f>SUM(AZ760:AZ760)</f>
        <v>0</v>
      </c>
      <c r="BA761" s="469">
        <f>SUM(BA760:BA760)</f>
        <v>0</v>
      </c>
      <c r="BB761" s="469">
        <f>SUM(BB760:BB760)</f>
        <v>33668.5</v>
      </c>
      <c r="BC761" s="469">
        <f>SUM(BC760:BC760)</f>
        <v>0</v>
      </c>
      <c r="BD761" s="469">
        <f>SUM(BD760:BD760)</f>
        <v>10141.414400000001</v>
      </c>
      <c r="BE761" s="469">
        <f>SUM(BE760:BE760)</f>
        <v>2371.7824000000001</v>
      </c>
      <c r="BF761" s="469">
        <f>SUM(BF760:BF760)</f>
        <v>19530.401279999998</v>
      </c>
      <c r="BG761" s="469">
        <f>SUM(BG760:BG760)</f>
        <v>1179.348352</v>
      </c>
      <c r="BH761" s="469">
        <f>SUM(BH760:BH760)</f>
        <v>801.49887999999999</v>
      </c>
      <c r="BI761" s="469">
        <f>SUM(BI760:BI760)</f>
        <v>500.52787199999989</v>
      </c>
      <c r="BJ761" s="469">
        <f>SUM(BJ760:BJ760)</f>
        <v>2502.6393599999997</v>
      </c>
      <c r="BK761" s="469">
        <f>SUM(BK760:BK760)</f>
        <v>0</v>
      </c>
      <c r="BL761" s="469">
        <f>SUM(BL760:BL760)</f>
        <v>37027.612544000003</v>
      </c>
      <c r="BM761" s="469">
        <f>SUM(BM760:BM760)</f>
        <v>0</v>
      </c>
      <c r="BN761" s="469">
        <f>SUM(BN760:BN760)</f>
        <v>33668.5</v>
      </c>
      <c r="BO761" s="469">
        <f>SUM(BO760:BO760)</f>
        <v>0</v>
      </c>
      <c r="BP761" s="469">
        <f>SUM(BP760:BP760)</f>
        <v>10141.414400000001</v>
      </c>
      <c r="BQ761" s="469">
        <f>SUM(BQ760:BQ760)</f>
        <v>2371.7824000000001</v>
      </c>
      <c r="BR761" s="469">
        <f>SUM(BR760:BR760)</f>
        <v>19530.401279999998</v>
      </c>
      <c r="BS761" s="469">
        <f>SUM(BS760:BS760)</f>
        <v>1179.348352</v>
      </c>
      <c r="BT761" s="469">
        <f>SUM(BT760:BT760)</f>
        <v>0</v>
      </c>
      <c r="BU761" s="469">
        <f>SUM(BU760:BU760)</f>
        <v>500.52787199999989</v>
      </c>
      <c r="BV761" s="469">
        <f>SUM(BV760:BV760)</f>
        <v>2878.8531200000007</v>
      </c>
      <c r="BW761" s="469">
        <f>SUM(BW760:BW760)</f>
        <v>0</v>
      </c>
      <c r="BX761" s="469">
        <f>SUM(BX760:BX760)</f>
        <v>36602.327423999996</v>
      </c>
      <c r="BY761" s="469">
        <f>SUM(BY760:BY760)</f>
        <v>0</v>
      </c>
      <c r="BZ761" s="469">
        <f>SUM(BZ760:BZ760)</f>
        <v>0</v>
      </c>
      <c r="CA761" s="469">
        <f>SUM(CA760:CA760)</f>
        <v>0</v>
      </c>
      <c r="CB761" s="469">
        <f>SUM(CB760:CB760)</f>
        <v>0</v>
      </c>
      <c r="CC761" s="469">
        <f>SUM(CC760:CC760)</f>
        <v>0</v>
      </c>
      <c r="CD761" s="469">
        <f>SUM(CD760:CD760)</f>
        <v>0</v>
      </c>
      <c r="CE761" s="469">
        <f>SUM(CE760:CE760)</f>
        <v>0</v>
      </c>
      <c r="CF761" s="469">
        <f>SUM(CF760:CF760)</f>
        <v>-801.49887999999999</v>
      </c>
      <c r="CG761" s="469">
        <f>SUM(CG760:CG760)</f>
        <v>0</v>
      </c>
      <c r="CH761" s="469">
        <f>SUM(CH760:CH760)</f>
        <v>376.21376000000026</v>
      </c>
      <c r="CI761" s="469">
        <f>SUM(CI760:CI760)</f>
        <v>0</v>
      </c>
      <c r="CJ761" s="469">
        <f>SUM(CJ760:CJ760)</f>
        <v>-425.28511999999967</v>
      </c>
      <c r="CK761" s="469">
        <f>SUM(CK760:CK760)</f>
        <v>0</v>
      </c>
      <c r="CL761" s="469">
        <f>SUM(CL760:CL760)</f>
        <v>0</v>
      </c>
      <c r="CM761" s="469">
        <f>SUM(CM760:CM760)</f>
        <v>0</v>
      </c>
    </row>
    <row r="762" spans="43:91" ht="15" thickBot="1" x14ac:dyDescent="0.35">
      <c r="AR762" t="s">
        <v>1582</v>
      </c>
      <c r="AS762" s="462">
        <f>SUMIFS(AS2:AS698,G2:G698,"AGAN",E2:E698,"0491",F2:F698,"02",AT2:AT698,1)</f>
        <v>1.1600000000000001</v>
      </c>
      <c r="AT762" s="462">
        <f>SUMIFS(AS2:AS698,G2:G698,"AGAN",E2:E698,"0491",F2:F698,"02",AT2:AT698,3)</f>
        <v>0</v>
      </c>
      <c r="AU762" s="462">
        <f>SUMIFS(AU2:AU698,G2:G698,"AGAN",E2:E698,"0491",F2:F698,"02")</f>
        <v>5</v>
      </c>
      <c r="AV762" s="462">
        <f>SUMIFS(AV2:AV698,G2:G698,"AGAN",E2:E698,"0491",F2:F698,"02")</f>
        <v>0</v>
      </c>
      <c r="AW762" s="462">
        <f>SUMIFS(AW2:AW698,G2:G698,"AGAN",E2:E698,"0491",F2:F698,"02")</f>
        <v>15</v>
      </c>
      <c r="AX762" s="462">
        <f>SUMIFS(AX2:AX698,G2:G698,"AGAN",E2:E698,"0491",F2:F698,"02")</f>
        <v>271169.59999999998</v>
      </c>
      <c r="AY762" s="462">
        <f>SUMIFS(AY2:AY698,G2:G698,"AGAN",E2:E698,"0491",F2:F698,"02")</f>
        <v>76970.399999999994</v>
      </c>
      <c r="AZ762" s="462">
        <f>SUMIFS(AZ2:AZ698,G2:G698,"AGAN",E2:E698,"0491",F2:F698,"02")</f>
        <v>0</v>
      </c>
      <c r="BA762" s="462">
        <f>SUMIFS(BA2:BA698,G2:G698,"AGAN",E2:E698,"0491",F2:F698,"02")</f>
        <v>0</v>
      </c>
      <c r="BB762" s="462">
        <f>SUMIFS(BB2:BB698,G2:G698,"AGAN",E2:E698,"0491",F2:F698,"02")</f>
        <v>13514</v>
      </c>
      <c r="BC762" s="462">
        <f>SUMIFS(BC2:BC698,G2:G698,"AGAN",E2:E698,"0491",F2:F698,"02")</f>
        <v>0</v>
      </c>
      <c r="BD762" s="462">
        <f>SUMIFS(BD2:BD698,G2:G698,"AGAN",E2:E698,"0491",F2:F698,"02")</f>
        <v>4772.1648000000005</v>
      </c>
      <c r="BE762" s="462">
        <f>SUMIFS(BE2:BE698,G2:G698,"AGAN",E2:E698,"0491",F2:F698,"02")</f>
        <v>1116.0708</v>
      </c>
      <c r="BF762" s="462">
        <f>SUMIFS(BF2:BF698,G2:G698,"AGAN",E2:E698,"0491",F2:F698,"02")</f>
        <v>9190.2657600000002</v>
      </c>
      <c r="BG762" s="462">
        <f>SUMIFS(BG2:BG698,G2:G698,"AGAN",E2:E698,"0491",F2:F698,"02")</f>
        <v>554.95658400000002</v>
      </c>
      <c r="BH762" s="462">
        <f>SUMIFS(BH2:BH698,G2:G698,"AGAN",E2:E698,"0491",F2:F698,"02")</f>
        <v>377.15495999999996</v>
      </c>
      <c r="BI762" s="462">
        <f>SUMIFS(BI2:BI698,G2:G698,"AGAN",E2:E698,"0491",F2:F698,"02")</f>
        <v>235.52942399999995</v>
      </c>
      <c r="BJ762" s="462">
        <f>SUMIFS(BJ2:BJ698,G2:G698,"AGAN",E2:E698,"0491",F2:F698,"02")</f>
        <v>1177.6471199999999</v>
      </c>
      <c r="BK762" s="462">
        <f>SUMIFS(BK2:BK698,G2:G698,"AGAN",E2:E698,"0491",F2:F698,"02")</f>
        <v>0</v>
      </c>
      <c r="BL762" s="462">
        <f>SUMIFS(BL2:BL698,G2:G698,"AGAN",E2:E698,"0491",F2:F698,"02")</f>
        <v>17423.789448000003</v>
      </c>
      <c r="BM762" s="462">
        <f>SUMIFS(BM2:BM698,G2:G698,"AGAN",E2:E698,"0491",F2:F698,"02")</f>
        <v>0</v>
      </c>
      <c r="BN762" s="462">
        <f>SUMIFS(BN2:BN698,G2:G698,"AGAN",E2:E698,"0491",F2:F698,"02")</f>
        <v>13514</v>
      </c>
      <c r="BO762" s="462">
        <f>SUMIFS(BO2:BO698,G2:G698,"AGAN",E2:E698,"0491",F2:F698,"02")</f>
        <v>0</v>
      </c>
      <c r="BP762" s="462">
        <f>SUMIFS(BP2:BP698,G2:G698,"AGAN",E2:E698,"0491",F2:F698,"02")</f>
        <v>4772.1648000000005</v>
      </c>
      <c r="BQ762" s="462">
        <f>SUMIFS(BQ2:BQ698,G2:G698,"AGAN",E2:E698,"0491",F2:F698,"02")</f>
        <v>1116.0708</v>
      </c>
      <c r="BR762" s="462">
        <f>SUMIFS(BR2:BR698,G2:G698,"AGAN",E2:E698,"0491",F2:F698,"02")</f>
        <v>9190.2657600000002</v>
      </c>
      <c r="BS762" s="462">
        <f>SUMIFS(BS2:BS698,G2:G698,"AGAN",E2:E698,"0491",F2:F698,"02")</f>
        <v>554.95658400000002</v>
      </c>
      <c r="BT762" s="462">
        <f>SUMIFS(BT2:BT698,G2:G698,"AGAN",E2:E698,"0491",F2:F698,"02")</f>
        <v>0</v>
      </c>
      <c r="BU762" s="462">
        <f>SUMIFS(BU2:BU698,G2:G698,"AGAN",E2:E698,"0491",F2:F698,"02")</f>
        <v>235.52942399999995</v>
      </c>
      <c r="BV762" s="462">
        <f>SUMIFS(BV2:BV698,G2:G698,"AGAN",E2:E698,"0491",F2:F698,"02")</f>
        <v>1354.67904</v>
      </c>
      <c r="BW762" s="462">
        <f>SUMIFS(BW2:BW698,G2:G698,"AGAN",E2:E698,"0491",F2:F698,"02")</f>
        <v>0</v>
      </c>
      <c r="BX762" s="462">
        <f>SUMIFS(BX2:BX698,G2:G698,"AGAN",E2:E698,"0491",F2:F698,"02")</f>
        <v>17223.666407999997</v>
      </c>
      <c r="BY762" s="462">
        <f>SUMIFS(BY2:BY698,G2:G698,"AGAN",E2:E698,"0491",F2:F698,"02")</f>
        <v>0</v>
      </c>
      <c r="BZ762" s="462">
        <f>SUMIFS(BZ2:BZ698,G2:G698,"AGAN",E2:E698,"0491",F2:F698,"02")</f>
        <v>0</v>
      </c>
      <c r="CA762" s="462">
        <f>SUMIFS(CA2:CA698,G2:G698,"AGAN",E2:E698,"0491",F2:F698,"02")</f>
        <v>0</v>
      </c>
      <c r="CB762" s="462">
        <f>SUMIFS(CB2:CB698,G2:G698,"AGAN",E2:E698,"0491",F2:F698,"02")</f>
        <v>0</v>
      </c>
      <c r="CC762" s="462">
        <f>SUMIFS(CC2:CC698,G2:G698,"AGAN",E2:E698,"0491",F2:F698,"02")</f>
        <v>0</v>
      </c>
      <c r="CD762" s="462">
        <f>SUMIFS(CD2:CD698,G2:G698,"AGAN",E2:E698,"0491",F2:F698,"02")</f>
        <v>0</v>
      </c>
      <c r="CE762" s="462">
        <f>SUMIFS(CE2:CE698,G2:G698,"AGAN",E2:E698,"0491",F2:F698,"02")</f>
        <v>0</v>
      </c>
      <c r="CF762" s="462">
        <f>SUMIFS(CF2:CF698,G2:G698,"AGAN",E2:E698,"0491",F2:F698,"02")</f>
        <v>-377.15495999999996</v>
      </c>
      <c r="CG762" s="462">
        <f>SUMIFS(CG2:CG698,G2:G698,"AGAN",E2:E698,"0491",F2:F698,"02")</f>
        <v>0</v>
      </c>
      <c r="CH762" s="462">
        <f>SUMIFS(CH2:CH698,G2:G698,"AGAN",E2:E698,"0491",F2:F698,"02")</f>
        <v>177.03192000000013</v>
      </c>
      <c r="CI762" s="462">
        <f>SUMIFS(CI2:CI698,G2:G698,"AGAN",E2:E698,"0491",F2:F698,"02")</f>
        <v>0</v>
      </c>
      <c r="CJ762" s="462">
        <f>SUMIFS(CJ2:CJ698,G2:G698,"AGAN",E2:E698,"0491",F2:F698,"02")</f>
        <v>-200.12303999999986</v>
      </c>
      <c r="CK762" s="462">
        <f>SUMIFS(CK2:CK698,G2:G698,"AGAN",E2:E698,"0491",F2:F698,"02")</f>
        <v>0</v>
      </c>
      <c r="CL762" s="462">
        <f>SUMIFS(CL2:CL698,G2:G698,"AGAN",E2:E698,"0491",F2:F698,"02")</f>
        <v>0</v>
      </c>
      <c r="CM762" s="462">
        <f>SUMIFS(CM2:CM698,G2:G698,"AGAN",E2:E698,"0491",F2:F698,"02")</f>
        <v>0</v>
      </c>
    </row>
    <row r="763" spans="43:91" ht="18" x14ac:dyDescent="0.35">
      <c r="AQ763" s="468" t="s">
        <v>1581</v>
      </c>
      <c r="AS763" s="469">
        <f>SUM(AS762:AS762)</f>
        <v>1.1600000000000001</v>
      </c>
      <c r="AT763" s="469">
        <f>SUM(AT762:AT762)</f>
        <v>0</v>
      </c>
      <c r="AU763" s="469">
        <f>SUM(AU762:AU762)</f>
        <v>5</v>
      </c>
      <c r="AV763" s="469">
        <f>SUM(AV762:AV762)</f>
        <v>0</v>
      </c>
      <c r="AW763" s="469">
        <f>SUM(AW762:AW762)</f>
        <v>15</v>
      </c>
      <c r="AX763" s="469">
        <f>SUM(AX762:AX762)</f>
        <v>271169.59999999998</v>
      </c>
      <c r="AY763" s="469">
        <f>SUM(AY762:AY762)</f>
        <v>76970.399999999994</v>
      </c>
      <c r="AZ763" s="469">
        <f>SUM(AZ762:AZ762)</f>
        <v>0</v>
      </c>
      <c r="BA763" s="469">
        <f>SUM(BA762:BA762)</f>
        <v>0</v>
      </c>
      <c r="BB763" s="469">
        <f>SUM(BB762:BB762)</f>
        <v>13514</v>
      </c>
      <c r="BC763" s="469">
        <f>SUM(BC762:BC762)</f>
        <v>0</v>
      </c>
      <c r="BD763" s="469">
        <f>SUM(BD762:BD762)</f>
        <v>4772.1648000000005</v>
      </c>
      <c r="BE763" s="469">
        <f>SUM(BE762:BE762)</f>
        <v>1116.0708</v>
      </c>
      <c r="BF763" s="469">
        <f>SUM(BF762:BF762)</f>
        <v>9190.2657600000002</v>
      </c>
      <c r="BG763" s="469">
        <f>SUM(BG762:BG762)</f>
        <v>554.95658400000002</v>
      </c>
      <c r="BH763" s="469">
        <f>SUM(BH762:BH762)</f>
        <v>377.15495999999996</v>
      </c>
      <c r="BI763" s="469">
        <f>SUM(BI762:BI762)</f>
        <v>235.52942399999995</v>
      </c>
      <c r="BJ763" s="469">
        <f>SUM(BJ762:BJ762)</f>
        <v>1177.6471199999999</v>
      </c>
      <c r="BK763" s="469">
        <f>SUM(BK762:BK762)</f>
        <v>0</v>
      </c>
      <c r="BL763" s="469">
        <f>SUM(BL762:BL762)</f>
        <v>17423.789448000003</v>
      </c>
      <c r="BM763" s="469">
        <f>SUM(BM762:BM762)</f>
        <v>0</v>
      </c>
      <c r="BN763" s="469">
        <f>SUM(BN762:BN762)</f>
        <v>13514</v>
      </c>
      <c r="BO763" s="469">
        <f>SUM(BO762:BO762)</f>
        <v>0</v>
      </c>
      <c r="BP763" s="469">
        <f>SUM(BP762:BP762)</f>
        <v>4772.1648000000005</v>
      </c>
      <c r="BQ763" s="469">
        <f>SUM(BQ762:BQ762)</f>
        <v>1116.0708</v>
      </c>
      <c r="BR763" s="469">
        <f>SUM(BR762:BR762)</f>
        <v>9190.2657600000002</v>
      </c>
      <c r="BS763" s="469">
        <f>SUM(BS762:BS762)</f>
        <v>554.95658400000002</v>
      </c>
      <c r="BT763" s="469">
        <f>SUM(BT762:BT762)</f>
        <v>0</v>
      </c>
      <c r="BU763" s="469">
        <f>SUM(BU762:BU762)</f>
        <v>235.52942399999995</v>
      </c>
      <c r="BV763" s="469">
        <f>SUM(BV762:BV762)</f>
        <v>1354.67904</v>
      </c>
      <c r="BW763" s="469">
        <f>SUM(BW762:BW762)</f>
        <v>0</v>
      </c>
      <c r="BX763" s="469">
        <f>SUM(BX762:BX762)</f>
        <v>17223.666407999997</v>
      </c>
      <c r="BY763" s="469">
        <f>SUM(BY762:BY762)</f>
        <v>0</v>
      </c>
      <c r="BZ763" s="469">
        <f>SUM(BZ762:BZ762)</f>
        <v>0</v>
      </c>
      <c r="CA763" s="469">
        <f>SUM(CA762:CA762)</f>
        <v>0</v>
      </c>
      <c r="CB763" s="469">
        <f>SUM(CB762:CB762)</f>
        <v>0</v>
      </c>
      <c r="CC763" s="469">
        <f>SUM(CC762:CC762)</f>
        <v>0</v>
      </c>
      <c r="CD763" s="469">
        <f>SUM(CD762:CD762)</f>
        <v>0</v>
      </c>
      <c r="CE763" s="469">
        <f>SUM(CE762:CE762)</f>
        <v>0</v>
      </c>
      <c r="CF763" s="469">
        <f>SUM(CF762:CF762)</f>
        <v>-377.15495999999996</v>
      </c>
      <c r="CG763" s="469">
        <f>SUM(CG762:CG762)</f>
        <v>0</v>
      </c>
      <c r="CH763" s="469">
        <f>SUM(CH762:CH762)</f>
        <v>177.03192000000013</v>
      </c>
      <c r="CI763" s="469">
        <f>SUM(CI762:CI762)</f>
        <v>0</v>
      </c>
      <c r="CJ763" s="469">
        <f>SUM(CJ762:CJ762)</f>
        <v>-200.12303999999986</v>
      </c>
      <c r="CK763" s="469">
        <f>SUM(CK762:CK762)</f>
        <v>0</v>
      </c>
      <c r="CL763" s="469">
        <f>SUM(CL762:CL762)</f>
        <v>0</v>
      </c>
      <c r="CM763" s="469">
        <f>SUM(CM762:CM762)</f>
        <v>0</v>
      </c>
    </row>
    <row r="764" spans="43:91" x14ac:dyDescent="0.3">
      <c r="AR764" t="s">
        <v>1583</v>
      </c>
      <c r="AS764" s="462">
        <f>SUMIFS(AS2:AS698,G2:G698,"AGAO",E2:E698,"0330",F2:F698,"00",AT2:AT698,1)</f>
        <v>0</v>
      </c>
      <c r="AT764" s="462">
        <f>SUMIFS(AS2:AS698,G2:G698,"AGAO",E2:E698,"0330",F2:F698,"00",AT2:AT698,3)</f>
        <v>0</v>
      </c>
      <c r="AU764" s="462">
        <f>SUMIFS(AU2:AU698,G2:G698,"AGAO",E2:E698,"0330",F2:F698,"00")</f>
        <v>0</v>
      </c>
      <c r="AV764" s="462">
        <f>SUMIFS(AV2:AV698,G2:G698,"AGAO",E2:E698,"0330",F2:F698,"00")</f>
        <v>0</v>
      </c>
      <c r="AW764" s="462">
        <f>SUMIFS(AW2:AW698,G2:G698,"AGAO",E2:E698,"0330",F2:F698,"00")</f>
        <v>0</v>
      </c>
      <c r="AX764" s="462">
        <f>SUMIFS(AX2:AX698,G2:G698,"AGAO",E2:E698,"0330",F2:F698,"00")</f>
        <v>0</v>
      </c>
      <c r="AY764" s="462">
        <f>SUMIFS(AY2:AY698,G2:G698,"AGAO",E2:E698,"0330",F2:F698,"00")</f>
        <v>0</v>
      </c>
      <c r="AZ764" s="462">
        <f>SUMIFS(AZ2:AZ698,G2:G698,"AGAO",E2:E698,"0330",F2:F698,"00")</f>
        <v>0</v>
      </c>
      <c r="BA764" s="462">
        <f>SUMIFS(BA2:BA698,G2:G698,"AGAO",E2:E698,"0330",F2:F698,"00")</f>
        <v>0</v>
      </c>
      <c r="BB764" s="462">
        <f>SUMIFS(BB2:BB698,G2:G698,"AGAO",E2:E698,"0330",F2:F698,"00")</f>
        <v>0</v>
      </c>
      <c r="BC764" s="462">
        <f>SUMIFS(BC2:BC698,G2:G698,"AGAO",E2:E698,"0330",F2:F698,"00")</f>
        <v>0</v>
      </c>
      <c r="BD764" s="462">
        <f>SUMIFS(BD2:BD698,G2:G698,"AGAO",E2:E698,"0330",F2:F698,"00")</f>
        <v>0</v>
      </c>
      <c r="BE764" s="462">
        <f>SUMIFS(BE2:BE698,G2:G698,"AGAO",E2:E698,"0330",F2:F698,"00")</f>
        <v>0</v>
      </c>
      <c r="BF764" s="462">
        <f>SUMIFS(BF2:BF698,G2:G698,"AGAO",E2:E698,"0330",F2:F698,"00")</f>
        <v>0</v>
      </c>
      <c r="BG764" s="462">
        <f>SUMIFS(BG2:BG698,G2:G698,"AGAO",E2:E698,"0330",F2:F698,"00")</f>
        <v>0</v>
      </c>
      <c r="BH764" s="462">
        <f>SUMIFS(BH2:BH698,G2:G698,"AGAO",E2:E698,"0330",F2:F698,"00")</f>
        <v>0</v>
      </c>
      <c r="BI764" s="462">
        <f>SUMIFS(BI2:BI698,G2:G698,"AGAO",E2:E698,"0330",F2:F698,"00")</f>
        <v>0</v>
      </c>
      <c r="BJ764" s="462">
        <f>SUMIFS(BJ2:BJ698,G2:G698,"AGAO",E2:E698,"0330",F2:F698,"00")</f>
        <v>0</v>
      </c>
      <c r="BK764" s="462">
        <f>SUMIFS(BK2:BK698,G2:G698,"AGAO",E2:E698,"0330",F2:F698,"00")</f>
        <v>0</v>
      </c>
      <c r="BL764" s="462">
        <f>SUMIFS(BL2:BL698,G2:G698,"AGAO",E2:E698,"0330",F2:F698,"00")</f>
        <v>0</v>
      </c>
      <c r="BM764" s="462">
        <f>SUMIFS(BM2:BM698,G2:G698,"AGAO",E2:E698,"0330",F2:F698,"00")</f>
        <v>0</v>
      </c>
      <c r="BN764" s="462">
        <f>SUMIFS(BN2:BN698,G2:G698,"AGAO",E2:E698,"0330",F2:F698,"00")</f>
        <v>0</v>
      </c>
      <c r="BO764" s="462">
        <f>SUMIFS(BO2:BO698,G2:G698,"AGAO",E2:E698,"0330",F2:F698,"00")</f>
        <v>0</v>
      </c>
      <c r="BP764" s="462">
        <f>SUMIFS(BP2:BP698,G2:G698,"AGAO",E2:E698,"0330",F2:F698,"00")</f>
        <v>0</v>
      </c>
      <c r="BQ764" s="462">
        <f>SUMIFS(BQ2:BQ698,G2:G698,"AGAO",E2:E698,"0330",F2:F698,"00")</f>
        <v>0</v>
      </c>
      <c r="BR764" s="462">
        <f>SUMIFS(BR2:BR698,G2:G698,"AGAO",E2:E698,"0330",F2:F698,"00")</f>
        <v>0</v>
      </c>
      <c r="BS764" s="462">
        <f>SUMIFS(BS2:BS698,G2:G698,"AGAO",E2:E698,"0330",F2:F698,"00")</f>
        <v>0</v>
      </c>
      <c r="BT764" s="462">
        <f>SUMIFS(BT2:BT698,G2:G698,"AGAO",E2:E698,"0330",F2:F698,"00")</f>
        <v>0</v>
      </c>
      <c r="BU764" s="462">
        <f>SUMIFS(BU2:BU698,G2:G698,"AGAO",E2:E698,"0330",F2:F698,"00")</f>
        <v>0</v>
      </c>
      <c r="BV764" s="462">
        <f>SUMIFS(BV2:BV698,G2:G698,"AGAO",E2:E698,"0330",F2:F698,"00")</f>
        <v>0</v>
      </c>
      <c r="BW764" s="462">
        <f>SUMIFS(BW2:BW698,G2:G698,"AGAO",E2:E698,"0330",F2:F698,"00")</f>
        <v>0</v>
      </c>
      <c r="BX764" s="462">
        <f>SUMIFS(BX2:BX698,G2:G698,"AGAO",E2:E698,"0330",F2:F698,"00")</f>
        <v>0</v>
      </c>
      <c r="BY764" s="462">
        <f>SUMIFS(BY2:BY698,G2:G698,"AGAO",E2:E698,"0330",F2:F698,"00")</f>
        <v>0</v>
      </c>
      <c r="BZ764" s="462">
        <f>SUMIFS(BZ2:BZ698,G2:G698,"AGAO",E2:E698,"0330",F2:F698,"00")</f>
        <v>0</v>
      </c>
      <c r="CA764" s="462">
        <f>SUMIFS(CA2:CA698,G2:G698,"AGAO",E2:E698,"0330",F2:F698,"00")</f>
        <v>0</v>
      </c>
      <c r="CB764" s="462">
        <f>SUMIFS(CB2:CB698,G2:G698,"AGAO",E2:E698,"0330",F2:F698,"00")</f>
        <v>0</v>
      </c>
      <c r="CC764" s="462">
        <f>SUMIFS(CC2:CC698,G2:G698,"AGAO",E2:E698,"0330",F2:F698,"00")</f>
        <v>0</v>
      </c>
      <c r="CD764" s="462">
        <f>SUMIFS(CD2:CD698,G2:G698,"AGAO",E2:E698,"0330",F2:F698,"00")</f>
        <v>0</v>
      </c>
      <c r="CE764" s="462">
        <f>SUMIFS(CE2:CE698,G2:G698,"AGAO",E2:E698,"0330",F2:F698,"00")</f>
        <v>0</v>
      </c>
      <c r="CF764" s="462">
        <f>SUMIFS(CF2:CF698,G2:G698,"AGAO",E2:E698,"0330",F2:F698,"00")</f>
        <v>0</v>
      </c>
      <c r="CG764" s="462">
        <f>SUMIFS(CG2:CG698,G2:G698,"AGAO",E2:E698,"0330",F2:F698,"00")</f>
        <v>0</v>
      </c>
      <c r="CH764" s="462">
        <f>SUMIFS(CH2:CH698,G2:G698,"AGAO",E2:E698,"0330",F2:F698,"00")</f>
        <v>0</v>
      </c>
      <c r="CI764" s="462">
        <f>SUMIFS(CI2:CI698,G2:G698,"AGAO",E2:E698,"0330",F2:F698,"00")</f>
        <v>0</v>
      </c>
      <c r="CJ764" s="462">
        <f>SUMIFS(CJ2:CJ698,G2:G698,"AGAO",E2:E698,"0330",F2:F698,"00")</f>
        <v>0</v>
      </c>
      <c r="CK764" s="462">
        <f>SUMIFS(CK2:CK698,G2:G698,"AGAO",E2:E698,"0330",F2:F698,"00")</f>
        <v>0</v>
      </c>
      <c r="CL764" s="462">
        <f>SUMIFS(CL2:CL698,G2:G698,"AGAO",E2:E698,"0330",F2:F698,"00")</f>
        <v>0</v>
      </c>
      <c r="CM764" s="462">
        <f>SUMIFS(CM2:CM698,G2:G698,"AGAO",E2:E698,"0330",F2:F698,"00")</f>
        <v>0</v>
      </c>
    </row>
    <row r="765" spans="43:91" ht="15" thickBot="1" x14ac:dyDescent="0.35">
      <c r="AR765" t="s">
        <v>1584</v>
      </c>
      <c r="AS765" s="462">
        <f>SUMIFS(AS2:AS698,G2:G698,"AGAO",E2:E698,"0330",F2:F698,"09",AT2:AT698,1)</f>
        <v>0</v>
      </c>
      <c r="AT765" s="462">
        <f>SUMIFS(AS2:AS698,G2:G698,"AGAO",E2:E698,"0330",F2:F698,"09",AT2:AT698,3)</f>
        <v>0</v>
      </c>
      <c r="AU765" s="462">
        <f>SUMIFS(AU2:AU698,G2:G698,"AGAO",E2:E698,"0330",F2:F698,"09")</f>
        <v>0</v>
      </c>
      <c r="AV765" s="462">
        <f>SUMIFS(AV2:AV698,G2:G698,"AGAO",E2:E698,"0330",F2:F698,"09")</f>
        <v>0</v>
      </c>
      <c r="AW765" s="462">
        <f>SUMIFS(AW2:AW698,G2:G698,"AGAO",E2:E698,"0330",F2:F698,"09")</f>
        <v>6</v>
      </c>
      <c r="AX765" s="462">
        <f>SUMIFS(AX2:AX698,G2:G698,"AGAO",E2:E698,"0330",F2:F698,"09")</f>
        <v>0</v>
      </c>
      <c r="AY765" s="462">
        <f>SUMIFS(AY2:AY698,G2:G698,"AGAO",E2:E698,"0330",F2:F698,"09")</f>
        <v>0</v>
      </c>
      <c r="AZ765" s="462">
        <f>SUMIFS(AZ2:AZ698,G2:G698,"AGAO",E2:E698,"0330",F2:F698,"09")</f>
        <v>0</v>
      </c>
      <c r="BA765" s="462">
        <f>SUMIFS(BA2:BA698,G2:G698,"AGAO",E2:E698,"0330",F2:F698,"09")</f>
        <v>0</v>
      </c>
      <c r="BB765" s="462">
        <f>SUMIFS(BB2:BB698,G2:G698,"AGAO",E2:E698,"0330",F2:F698,"09")</f>
        <v>0</v>
      </c>
      <c r="BC765" s="462">
        <f>SUMIFS(BC2:BC698,G2:G698,"AGAO",E2:E698,"0330",F2:F698,"09")</f>
        <v>0</v>
      </c>
      <c r="BD765" s="462">
        <f>SUMIFS(BD2:BD698,G2:G698,"AGAO",E2:E698,"0330",F2:F698,"09")</f>
        <v>0</v>
      </c>
      <c r="BE765" s="462">
        <f>SUMIFS(BE2:BE698,G2:G698,"AGAO",E2:E698,"0330",F2:F698,"09")</f>
        <v>0</v>
      </c>
      <c r="BF765" s="462">
        <f>SUMIFS(BF2:BF698,G2:G698,"AGAO",E2:E698,"0330",F2:F698,"09")</f>
        <v>0</v>
      </c>
      <c r="BG765" s="462">
        <f>SUMIFS(BG2:BG698,G2:G698,"AGAO",E2:E698,"0330",F2:F698,"09")</f>
        <v>0</v>
      </c>
      <c r="BH765" s="462">
        <f>SUMIFS(BH2:BH698,G2:G698,"AGAO",E2:E698,"0330",F2:F698,"09")</f>
        <v>0</v>
      </c>
      <c r="BI765" s="462">
        <f>SUMIFS(BI2:BI698,G2:G698,"AGAO",E2:E698,"0330",F2:F698,"09")</f>
        <v>0</v>
      </c>
      <c r="BJ765" s="462">
        <f>SUMIFS(BJ2:BJ698,G2:G698,"AGAO",E2:E698,"0330",F2:F698,"09")</f>
        <v>0</v>
      </c>
      <c r="BK765" s="462">
        <f>SUMIFS(BK2:BK698,G2:G698,"AGAO",E2:E698,"0330",F2:F698,"09")</f>
        <v>0</v>
      </c>
      <c r="BL765" s="462">
        <f>SUMIFS(BL2:BL698,G2:G698,"AGAO",E2:E698,"0330",F2:F698,"09")</f>
        <v>0</v>
      </c>
      <c r="BM765" s="462">
        <f>SUMIFS(BM2:BM698,G2:G698,"AGAO",E2:E698,"0330",F2:F698,"09")</f>
        <v>0</v>
      </c>
      <c r="BN765" s="462">
        <f>SUMIFS(BN2:BN698,G2:G698,"AGAO",E2:E698,"0330",F2:F698,"09")</f>
        <v>0</v>
      </c>
      <c r="BO765" s="462">
        <f>SUMIFS(BO2:BO698,G2:G698,"AGAO",E2:E698,"0330",F2:F698,"09")</f>
        <v>0</v>
      </c>
      <c r="BP765" s="462">
        <f>SUMIFS(BP2:BP698,G2:G698,"AGAO",E2:E698,"0330",F2:F698,"09")</f>
        <v>0</v>
      </c>
      <c r="BQ765" s="462">
        <f>SUMIFS(BQ2:BQ698,G2:G698,"AGAO",E2:E698,"0330",F2:F698,"09")</f>
        <v>0</v>
      </c>
      <c r="BR765" s="462">
        <f>SUMIFS(BR2:BR698,G2:G698,"AGAO",E2:E698,"0330",F2:F698,"09")</f>
        <v>0</v>
      </c>
      <c r="BS765" s="462">
        <f>SUMIFS(BS2:BS698,G2:G698,"AGAO",E2:E698,"0330",F2:F698,"09")</f>
        <v>0</v>
      </c>
      <c r="BT765" s="462">
        <f>SUMIFS(BT2:BT698,G2:G698,"AGAO",E2:E698,"0330",F2:F698,"09")</f>
        <v>0</v>
      </c>
      <c r="BU765" s="462">
        <f>SUMIFS(BU2:BU698,G2:G698,"AGAO",E2:E698,"0330",F2:F698,"09")</f>
        <v>0</v>
      </c>
      <c r="BV765" s="462">
        <f>SUMIFS(BV2:BV698,G2:G698,"AGAO",E2:E698,"0330",F2:F698,"09")</f>
        <v>0</v>
      </c>
      <c r="BW765" s="462">
        <f>SUMIFS(BW2:BW698,G2:G698,"AGAO",E2:E698,"0330",F2:F698,"09")</f>
        <v>0</v>
      </c>
      <c r="BX765" s="462">
        <f>SUMIFS(BX2:BX698,G2:G698,"AGAO",E2:E698,"0330",F2:F698,"09")</f>
        <v>0</v>
      </c>
      <c r="BY765" s="462">
        <f>SUMIFS(BY2:BY698,G2:G698,"AGAO",E2:E698,"0330",F2:F698,"09")</f>
        <v>0</v>
      </c>
      <c r="BZ765" s="462">
        <f>SUMIFS(BZ2:BZ698,G2:G698,"AGAO",E2:E698,"0330",F2:F698,"09")</f>
        <v>0</v>
      </c>
      <c r="CA765" s="462">
        <f>SUMIFS(CA2:CA698,G2:G698,"AGAO",E2:E698,"0330",F2:F698,"09")</f>
        <v>0</v>
      </c>
      <c r="CB765" s="462">
        <f>SUMIFS(CB2:CB698,G2:G698,"AGAO",E2:E698,"0330",F2:F698,"09")</f>
        <v>0</v>
      </c>
      <c r="CC765" s="462">
        <f>SUMIFS(CC2:CC698,G2:G698,"AGAO",E2:E698,"0330",F2:F698,"09")</f>
        <v>0</v>
      </c>
      <c r="CD765" s="462">
        <f>SUMIFS(CD2:CD698,G2:G698,"AGAO",E2:E698,"0330",F2:F698,"09")</f>
        <v>0</v>
      </c>
      <c r="CE765" s="462">
        <f>SUMIFS(CE2:CE698,G2:G698,"AGAO",E2:E698,"0330",F2:F698,"09")</f>
        <v>0</v>
      </c>
      <c r="CF765" s="462">
        <f>SUMIFS(CF2:CF698,G2:G698,"AGAO",E2:E698,"0330",F2:F698,"09")</f>
        <v>0</v>
      </c>
      <c r="CG765" s="462">
        <f>SUMIFS(CG2:CG698,G2:G698,"AGAO",E2:E698,"0330",F2:F698,"09")</f>
        <v>0</v>
      </c>
      <c r="CH765" s="462">
        <f>SUMIFS(CH2:CH698,G2:G698,"AGAO",E2:E698,"0330",F2:F698,"09")</f>
        <v>0</v>
      </c>
      <c r="CI765" s="462">
        <f>SUMIFS(CI2:CI698,G2:G698,"AGAO",E2:E698,"0330",F2:F698,"09")</f>
        <v>0</v>
      </c>
      <c r="CJ765" s="462">
        <f>SUMIFS(CJ2:CJ698,G2:G698,"AGAO",E2:E698,"0330",F2:F698,"09")</f>
        <v>0</v>
      </c>
      <c r="CK765" s="462">
        <f>SUMIFS(CK2:CK698,G2:G698,"AGAO",E2:E698,"0330",F2:F698,"09")</f>
        <v>0</v>
      </c>
      <c r="CL765" s="462">
        <f>SUMIFS(CL2:CL698,G2:G698,"AGAO",E2:E698,"0330",F2:F698,"09")</f>
        <v>0</v>
      </c>
      <c r="CM765" s="462">
        <f>SUMIFS(CM2:CM698,G2:G698,"AGAO",E2:E698,"0330",F2:F698,"09")</f>
        <v>0</v>
      </c>
    </row>
    <row r="766" spans="43:91" ht="18" x14ac:dyDescent="0.35">
      <c r="AQ766" s="468" t="s">
        <v>1585</v>
      </c>
      <c r="AS766" s="469">
        <f>SUM(AS764:AS765)</f>
        <v>0</v>
      </c>
      <c r="AT766" s="469">
        <f>SUM(AT764:AT765)</f>
        <v>0</v>
      </c>
      <c r="AU766" s="469">
        <f>SUM(AU764:AU765)</f>
        <v>0</v>
      </c>
      <c r="AV766" s="469">
        <f>SUM(AV764:AV765)</f>
        <v>0</v>
      </c>
      <c r="AW766" s="469">
        <f>SUM(AW764:AW765)</f>
        <v>6</v>
      </c>
      <c r="AX766" s="469">
        <f>SUM(AX764:AX765)</f>
        <v>0</v>
      </c>
      <c r="AY766" s="469">
        <f>SUM(AY764:AY765)</f>
        <v>0</v>
      </c>
      <c r="AZ766" s="469">
        <f>SUM(AZ764:AZ765)</f>
        <v>0</v>
      </c>
      <c r="BA766" s="469">
        <f>SUM(BA764:BA765)</f>
        <v>0</v>
      </c>
      <c r="BB766" s="469">
        <f>SUM(BB764:BB765)</f>
        <v>0</v>
      </c>
      <c r="BC766" s="469">
        <f>SUM(BC764:BC765)</f>
        <v>0</v>
      </c>
      <c r="BD766" s="469">
        <f>SUM(BD764:BD765)</f>
        <v>0</v>
      </c>
      <c r="BE766" s="469">
        <f>SUM(BE764:BE765)</f>
        <v>0</v>
      </c>
      <c r="BF766" s="469">
        <f>SUM(BF764:BF765)</f>
        <v>0</v>
      </c>
      <c r="BG766" s="469">
        <f>SUM(BG764:BG765)</f>
        <v>0</v>
      </c>
      <c r="BH766" s="469">
        <f>SUM(BH764:BH765)</f>
        <v>0</v>
      </c>
      <c r="BI766" s="469">
        <f>SUM(BI764:BI765)</f>
        <v>0</v>
      </c>
      <c r="BJ766" s="469">
        <f>SUM(BJ764:BJ765)</f>
        <v>0</v>
      </c>
      <c r="BK766" s="469">
        <f>SUM(BK764:BK765)</f>
        <v>0</v>
      </c>
      <c r="BL766" s="469">
        <f>SUM(BL764:BL765)</f>
        <v>0</v>
      </c>
      <c r="BM766" s="469">
        <f>SUM(BM764:BM765)</f>
        <v>0</v>
      </c>
      <c r="BN766" s="469">
        <f>SUM(BN764:BN765)</f>
        <v>0</v>
      </c>
      <c r="BO766" s="469">
        <f>SUM(BO764:BO765)</f>
        <v>0</v>
      </c>
      <c r="BP766" s="469">
        <f>SUM(BP764:BP765)</f>
        <v>0</v>
      </c>
      <c r="BQ766" s="469">
        <f>SUM(BQ764:BQ765)</f>
        <v>0</v>
      </c>
      <c r="BR766" s="469">
        <f>SUM(BR764:BR765)</f>
        <v>0</v>
      </c>
      <c r="BS766" s="469">
        <f>SUM(BS764:BS765)</f>
        <v>0</v>
      </c>
      <c r="BT766" s="469">
        <f>SUM(BT764:BT765)</f>
        <v>0</v>
      </c>
      <c r="BU766" s="469">
        <f>SUM(BU764:BU765)</f>
        <v>0</v>
      </c>
      <c r="BV766" s="469">
        <f>SUM(BV764:BV765)</f>
        <v>0</v>
      </c>
      <c r="BW766" s="469">
        <f>SUM(BW764:BW765)</f>
        <v>0</v>
      </c>
      <c r="BX766" s="469">
        <f>SUM(BX764:BX765)</f>
        <v>0</v>
      </c>
      <c r="BY766" s="469">
        <f>SUM(BY764:BY765)</f>
        <v>0</v>
      </c>
      <c r="BZ766" s="469">
        <f>SUM(BZ764:BZ765)</f>
        <v>0</v>
      </c>
      <c r="CA766" s="469">
        <f>SUM(CA764:CA765)</f>
        <v>0</v>
      </c>
      <c r="CB766" s="469">
        <f>SUM(CB764:CB765)</f>
        <v>0</v>
      </c>
      <c r="CC766" s="469">
        <f>SUM(CC764:CC765)</f>
        <v>0</v>
      </c>
      <c r="CD766" s="469">
        <f>SUM(CD764:CD765)</f>
        <v>0</v>
      </c>
      <c r="CE766" s="469">
        <f>SUM(CE764:CE765)</f>
        <v>0</v>
      </c>
      <c r="CF766" s="469">
        <f>SUM(CF764:CF765)</f>
        <v>0</v>
      </c>
      <c r="CG766" s="469">
        <f>SUM(CG764:CG765)</f>
        <v>0</v>
      </c>
      <c r="CH766" s="469">
        <f>SUM(CH764:CH765)</f>
        <v>0</v>
      </c>
      <c r="CI766" s="469">
        <f>SUM(CI764:CI765)</f>
        <v>0</v>
      </c>
      <c r="CJ766" s="469">
        <f>SUM(CJ764:CJ765)</f>
        <v>0</v>
      </c>
      <c r="CK766" s="469">
        <f>SUM(CK764:CK765)</f>
        <v>0</v>
      </c>
      <c r="CL766" s="469">
        <f>SUM(CL764:CL765)</f>
        <v>0</v>
      </c>
      <c r="CM766" s="469">
        <f>SUM(CM764:CM765)</f>
        <v>0</v>
      </c>
    </row>
    <row r="767" spans="43:91" ht="15" thickBot="1" x14ac:dyDescent="0.35">
      <c r="AR767" t="s">
        <v>1587</v>
      </c>
      <c r="AS767" s="462">
        <f>SUMIFS(AS2:AS698,G2:G698,"AGAO",E2:E698,"0332",F2:F698,"11",AT2:AT698,1)</f>
        <v>0</v>
      </c>
      <c r="AT767" s="462">
        <f>SUMIFS(AS2:AS698,G2:G698,"AGAO",E2:E698,"0332",F2:F698,"11",AT2:AT698,3)</f>
        <v>0</v>
      </c>
      <c r="AU767" s="462">
        <f>SUMIFS(AU2:AU698,G2:G698,"AGAO",E2:E698,"0332",F2:F698,"11")</f>
        <v>0</v>
      </c>
      <c r="AV767" s="462">
        <f>SUMIFS(AV2:AV698,G2:G698,"AGAO",E2:E698,"0332",F2:F698,"11")</f>
        <v>0</v>
      </c>
      <c r="AW767" s="462">
        <f>SUMIFS(AW2:AW698,G2:G698,"AGAO",E2:E698,"0332",F2:F698,"11")</f>
        <v>0</v>
      </c>
      <c r="AX767" s="462">
        <f>SUMIFS(AX2:AX698,G2:G698,"AGAO",E2:E698,"0332",F2:F698,"11")</f>
        <v>0</v>
      </c>
      <c r="AY767" s="462">
        <f>SUMIFS(AY2:AY698,G2:G698,"AGAO",E2:E698,"0332",F2:F698,"11")</f>
        <v>0</v>
      </c>
      <c r="AZ767" s="462">
        <f>SUMIFS(AZ2:AZ698,G2:G698,"AGAO",E2:E698,"0332",F2:F698,"11")</f>
        <v>0</v>
      </c>
      <c r="BA767" s="462">
        <f>SUMIFS(BA2:BA698,G2:G698,"AGAO",E2:E698,"0332",F2:F698,"11")</f>
        <v>0</v>
      </c>
      <c r="BB767" s="462">
        <f>SUMIFS(BB2:BB698,G2:G698,"AGAO",E2:E698,"0332",F2:F698,"11")</f>
        <v>0</v>
      </c>
      <c r="BC767" s="462">
        <f>SUMIFS(BC2:BC698,G2:G698,"AGAO",E2:E698,"0332",F2:F698,"11")</f>
        <v>0</v>
      </c>
      <c r="BD767" s="462">
        <f>SUMIFS(BD2:BD698,G2:G698,"AGAO",E2:E698,"0332",F2:F698,"11")</f>
        <v>0</v>
      </c>
      <c r="BE767" s="462">
        <f>SUMIFS(BE2:BE698,G2:G698,"AGAO",E2:E698,"0332",F2:F698,"11")</f>
        <v>0</v>
      </c>
      <c r="BF767" s="462">
        <f>SUMIFS(BF2:BF698,G2:G698,"AGAO",E2:E698,"0332",F2:F698,"11")</f>
        <v>0</v>
      </c>
      <c r="BG767" s="462">
        <f>SUMIFS(BG2:BG698,G2:G698,"AGAO",E2:E698,"0332",F2:F698,"11")</f>
        <v>0</v>
      </c>
      <c r="BH767" s="462">
        <f>SUMIFS(BH2:BH698,G2:G698,"AGAO",E2:E698,"0332",F2:F698,"11")</f>
        <v>0</v>
      </c>
      <c r="BI767" s="462">
        <f>SUMIFS(BI2:BI698,G2:G698,"AGAO",E2:E698,"0332",F2:F698,"11")</f>
        <v>0</v>
      </c>
      <c r="BJ767" s="462">
        <f>SUMIFS(BJ2:BJ698,G2:G698,"AGAO",E2:E698,"0332",F2:F698,"11")</f>
        <v>0</v>
      </c>
      <c r="BK767" s="462">
        <f>SUMIFS(BK2:BK698,G2:G698,"AGAO",E2:E698,"0332",F2:F698,"11")</f>
        <v>0</v>
      </c>
      <c r="BL767" s="462">
        <f>SUMIFS(BL2:BL698,G2:G698,"AGAO",E2:E698,"0332",F2:F698,"11")</f>
        <v>0</v>
      </c>
      <c r="BM767" s="462">
        <f>SUMIFS(BM2:BM698,G2:G698,"AGAO",E2:E698,"0332",F2:F698,"11")</f>
        <v>0</v>
      </c>
      <c r="BN767" s="462">
        <f>SUMIFS(BN2:BN698,G2:G698,"AGAO",E2:E698,"0332",F2:F698,"11")</f>
        <v>0</v>
      </c>
      <c r="BO767" s="462">
        <f>SUMIFS(BO2:BO698,G2:G698,"AGAO",E2:E698,"0332",F2:F698,"11")</f>
        <v>0</v>
      </c>
      <c r="BP767" s="462">
        <f>SUMIFS(BP2:BP698,G2:G698,"AGAO",E2:E698,"0332",F2:F698,"11")</f>
        <v>0</v>
      </c>
      <c r="BQ767" s="462">
        <f>SUMIFS(BQ2:BQ698,G2:G698,"AGAO",E2:E698,"0332",F2:F698,"11")</f>
        <v>0</v>
      </c>
      <c r="BR767" s="462">
        <f>SUMIFS(BR2:BR698,G2:G698,"AGAO",E2:E698,"0332",F2:F698,"11")</f>
        <v>0</v>
      </c>
      <c r="BS767" s="462">
        <f>SUMIFS(BS2:BS698,G2:G698,"AGAO",E2:E698,"0332",F2:F698,"11")</f>
        <v>0</v>
      </c>
      <c r="BT767" s="462">
        <f>SUMIFS(BT2:BT698,G2:G698,"AGAO",E2:E698,"0332",F2:F698,"11")</f>
        <v>0</v>
      </c>
      <c r="BU767" s="462">
        <f>SUMIFS(BU2:BU698,G2:G698,"AGAO",E2:E698,"0332",F2:F698,"11")</f>
        <v>0</v>
      </c>
      <c r="BV767" s="462">
        <f>SUMIFS(BV2:BV698,G2:G698,"AGAO",E2:E698,"0332",F2:F698,"11")</f>
        <v>0</v>
      </c>
      <c r="BW767" s="462">
        <f>SUMIFS(BW2:BW698,G2:G698,"AGAO",E2:E698,"0332",F2:F698,"11")</f>
        <v>0</v>
      </c>
      <c r="BX767" s="462">
        <f>SUMIFS(BX2:BX698,G2:G698,"AGAO",E2:E698,"0332",F2:F698,"11")</f>
        <v>0</v>
      </c>
      <c r="BY767" s="462">
        <f>SUMIFS(BY2:BY698,G2:G698,"AGAO",E2:E698,"0332",F2:F698,"11")</f>
        <v>0</v>
      </c>
      <c r="BZ767" s="462">
        <f>SUMIFS(BZ2:BZ698,G2:G698,"AGAO",E2:E698,"0332",F2:F698,"11")</f>
        <v>0</v>
      </c>
      <c r="CA767" s="462">
        <f>SUMIFS(CA2:CA698,G2:G698,"AGAO",E2:E698,"0332",F2:F698,"11")</f>
        <v>0</v>
      </c>
      <c r="CB767" s="462">
        <f>SUMIFS(CB2:CB698,G2:G698,"AGAO",E2:E698,"0332",F2:F698,"11")</f>
        <v>0</v>
      </c>
      <c r="CC767" s="462">
        <f>SUMIFS(CC2:CC698,G2:G698,"AGAO",E2:E698,"0332",F2:F698,"11")</f>
        <v>0</v>
      </c>
      <c r="CD767" s="462">
        <f>SUMIFS(CD2:CD698,G2:G698,"AGAO",E2:E698,"0332",F2:F698,"11")</f>
        <v>0</v>
      </c>
      <c r="CE767" s="462">
        <f>SUMIFS(CE2:CE698,G2:G698,"AGAO",E2:E698,"0332",F2:F698,"11")</f>
        <v>0</v>
      </c>
      <c r="CF767" s="462">
        <f>SUMIFS(CF2:CF698,G2:G698,"AGAO",E2:E698,"0332",F2:F698,"11")</f>
        <v>0</v>
      </c>
      <c r="CG767" s="462">
        <f>SUMIFS(CG2:CG698,G2:G698,"AGAO",E2:E698,"0332",F2:F698,"11")</f>
        <v>0</v>
      </c>
      <c r="CH767" s="462">
        <f>SUMIFS(CH2:CH698,G2:G698,"AGAO",E2:E698,"0332",F2:F698,"11")</f>
        <v>0</v>
      </c>
      <c r="CI767" s="462">
        <f>SUMIFS(CI2:CI698,G2:G698,"AGAO",E2:E698,"0332",F2:F698,"11")</f>
        <v>0</v>
      </c>
      <c r="CJ767" s="462">
        <f>SUMIFS(CJ2:CJ698,G2:G698,"AGAO",E2:E698,"0332",F2:F698,"11")</f>
        <v>0</v>
      </c>
      <c r="CK767" s="462">
        <f>SUMIFS(CK2:CK698,G2:G698,"AGAO",E2:E698,"0332",F2:F698,"11")</f>
        <v>0</v>
      </c>
      <c r="CL767" s="462">
        <f>SUMIFS(CL2:CL698,G2:G698,"AGAO",E2:E698,"0332",F2:F698,"11")</f>
        <v>0</v>
      </c>
      <c r="CM767" s="462">
        <f>SUMIFS(CM2:CM698,G2:G698,"AGAO",E2:E698,"0332",F2:F698,"11")</f>
        <v>0</v>
      </c>
    </row>
    <row r="768" spans="43:91" ht="18" x14ac:dyDescent="0.35">
      <c r="AQ768" s="468" t="s">
        <v>1588</v>
      </c>
      <c r="AS768" s="469">
        <f>SUM(AS767:AS767)</f>
        <v>0</v>
      </c>
      <c r="AT768" s="469">
        <f>SUM(AT767:AT767)</f>
        <v>0</v>
      </c>
      <c r="AU768" s="469">
        <f>SUM(AU767:AU767)</f>
        <v>0</v>
      </c>
      <c r="AV768" s="469">
        <f>SUM(AV767:AV767)</f>
        <v>0</v>
      </c>
      <c r="AW768" s="469">
        <f>SUM(AW767:AW767)</f>
        <v>0</v>
      </c>
      <c r="AX768" s="469">
        <f>SUM(AX767:AX767)</f>
        <v>0</v>
      </c>
      <c r="AY768" s="469">
        <f>SUM(AY767:AY767)</f>
        <v>0</v>
      </c>
      <c r="AZ768" s="469">
        <f>SUM(AZ767:AZ767)</f>
        <v>0</v>
      </c>
      <c r="BA768" s="469">
        <f>SUM(BA767:BA767)</f>
        <v>0</v>
      </c>
      <c r="BB768" s="469">
        <f>SUM(BB767:BB767)</f>
        <v>0</v>
      </c>
      <c r="BC768" s="469">
        <f>SUM(BC767:BC767)</f>
        <v>0</v>
      </c>
      <c r="BD768" s="469">
        <f>SUM(BD767:BD767)</f>
        <v>0</v>
      </c>
      <c r="BE768" s="469">
        <f>SUM(BE767:BE767)</f>
        <v>0</v>
      </c>
      <c r="BF768" s="469">
        <f>SUM(BF767:BF767)</f>
        <v>0</v>
      </c>
      <c r="BG768" s="469">
        <f>SUM(BG767:BG767)</f>
        <v>0</v>
      </c>
      <c r="BH768" s="469">
        <f>SUM(BH767:BH767)</f>
        <v>0</v>
      </c>
      <c r="BI768" s="469">
        <f>SUM(BI767:BI767)</f>
        <v>0</v>
      </c>
      <c r="BJ768" s="469">
        <f>SUM(BJ767:BJ767)</f>
        <v>0</v>
      </c>
      <c r="BK768" s="469">
        <f>SUM(BK767:BK767)</f>
        <v>0</v>
      </c>
      <c r="BL768" s="469">
        <f>SUM(BL767:BL767)</f>
        <v>0</v>
      </c>
      <c r="BM768" s="469">
        <f>SUM(BM767:BM767)</f>
        <v>0</v>
      </c>
      <c r="BN768" s="469">
        <f>SUM(BN767:BN767)</f>
        <v>0</v>
      </c>
      <c r="BO768" s="469">
        <f>SUM(BO767:BO767)</f>
        <v>0</v>
      </c>
      <c r="BP768" s="469">
        <f>SUM(BP767:BP767)</f>
        <v>0</v>
      </c>
      <c r="BQ768" s="469">
        <f>SUM(BQ767:BQ767)</f>
        <v>0</v>
      </c>
      <c r="BR768" s="469">
        <f>SUM(BR767:BR767)</f>
        <v>0</v>
      </c>
      <c r="BS768" s="469">
        <f>SUM(BS767:BS767)</f>
        <v>0</v>
      </c>
      <c r="BT768" s="469">
        <f>SUM(BT767:BT767)</f>
        <v>0</v>
      </c>
      <c r="BU768" s="469">
        <f>SUM(BU767:BU767)</f>
        <v>0</v>
      </c>
      <c r="BV768" s="469">
        <f>SUM(BV767:BV767)</f>
        <v>0</v>
      </c>
      <c r="BW768" s="469">
        <f>SUM(BW767:BW767)</f>
        <v>0</v>
      </c>
      <c r="BX768" s="469">
        <f>SUM(BX767:BX767)</f>
        <v>0</v>
      </c>
      <c r="BY768" s="469">
        <f>SUM(BY767:BY767)</f>
        <v>0</v>
      </c>
      <c r="BZ768" s="469">
        <f>SUM(BZ767:BZ767)</f>
        <v>0</v>
      </c>
      <c r="CA768" s="469">
        <f>SUM(CA767:CA767)</f>
        <v>0</v>
      </c>
      <c r="CB768" s="469">
        <f>SUM(CB767:CB767)</f>
        <v>0</v>
      </c>
      <c r="CC768" s="469">
        <f>SUM(CC767:CC767)</f>
        <v>0</v>
      </c>
      <c r="CD768" s="469">
        <f>SUM(CD767:CD767)</f>
        <v>0</v>
      </c>
      <c r="CE768" s="469">
        <f>SUM(CE767:CE767)</f>
        <v>0</v>
      </c>
      <c r="CF768" s="469">
        <f>SUM(CF767:CF767)</f>
        <v>0</v>
      </c>
      <c r="CG768" s="469">
        <f>SUM(CG767:CG767)</f>
        <v>0</v>
      </c>
      <c r="CH768" s="469">
        <f>SUM(CH767:CH767)</f>
        <v>0</v>
      </c>
      <c r="CI768" s="469">
        <f>SUM(CI767:CI767)</f>
        <v>0</v>
      </c>
      <c r="CJ768" s="469">
        <f>SUM(CJ767:CJ767)</f>
        <v>0</v>
      </c>
      <c r="CK768" s="469">
        <f>SUM(CK767:CK767)</f>
        <v>0</v>
      </c>
      <c r="CL768" s="469">
        <f>SUM(CL767:CL767)</f>
        <v>0</v>
      </c>
      <c r="CM768" s="469">
        <f>SUM(CM767:CM767)</f>
        <v>0</v>
      </c>
    </row>
    <row r="769" spans="41:91" ht="15" thickBot="1" x14ac:dyDescent="0.35">
      <c r="AR769" t="s">
        <v>1593</v>
      </c>
      <c r="AS769" s="462">
        <f>SUMIFS(AS2:AS698,G2:G698,"AGAO",E2:E698,"0332",F2:F698,"12",AT2:AT698,1)</f>
        <v>0</v>
      </c>
      <c r="AT769" s="462">
        <f>SUMIFS(AS2:AS698,G2:G698,"AGAO",E2:E698,"0332",F2:F698,"12",AT2:AT698,3)</f>
        <v>0</v>
      </c>
      <c r="AU769" s="462">
        <f>SUMIFS(AU2:AU698,G2:G698,"AGAO",E2:E698,"0332",F2:F698,"12")</f>
        <v>0</v>
      </c>
      <c r="AV769" s="462">
        <f>SUMIFS(AV2:AV698,G2:G698,"AGAO",E2:E698,"0332",F2:F698,"12")</f>
        <v>0</v>
      </c>
      <c r="AW769" s="462">
        <f>SUMIFS(AW2:AW698,G2:G698,"AGAO",E2:E698,"0332",F2:F698,"12")</f>
        <v>2</v>
      </c>
      <c r="AX769" s="462">
        <f>SUMIFS(AX2:AX698,G2:G698,"AGAO",E2:E698,"0332",F2:F698,"12")</f>
        <v>0</v>
      </c>
      <c r="AY769" s="462">
        <f>SUMIFS(AY2:AY698,G2:G698,"AGAO",E2:E698,"0332",F2:F698,"12")</f>
        <v>0</v>
      </c>
      <c r="AZ769" s="462">
        <f>SUMIFS(AZ2:AZ698,G2:G698,"AGAO",E2:E698,"0332",F2:F698,"12")</f>
        <v>0</v>
      </c>
      <c r="BA769" s="462">
        <f>SUMIFS(BA2:BA698,G2:G698,"AGAO",E2:E698,"0332",F2:F698,"12")</f>
        <v>0</v>
      </c>
      <c r="BB769" s="462">
        <f>SUMIFS(BB2:BB698,G2:G698,"AGAO",E2:E698,"0332",F2:F698,"12")</f>
        <v>0</v>
      </c>
      <c r="BC769" s="462">
        <f>SUMIFS(BC2:BC698,G2:G698,"AGAO",E2:E698,"0332",F2:F698,"12")</f>
        <v>0</v>
      </c>
      <c r="BD769" s="462">
        <f>SUMIFS(BD2:BD698,G2:G698,"AGAO",E2:E698,"0332",F2:F698,"12")</f>
        <v>0</v>
      </c>
      <c r="BE769" s="462">
        <f>SUMIFS(BE2:BE698,G2:G698,"AGAO",E2:E698,"0332",F2:F698,"12")</f>
        <v>0</v>
      </c>
      <c r="BF769" s="462">
        <f>SUMIFS(BF2:BF698,G2:G698,"AGAO",E2:E698,"0332",F2:F698,"12")</f>
        <v>0</v>
      </c>
      <c r="BG769" s="462">
        <f>SUMIFS(BG2:BG698,G2:G698,"AGAO",E2:E698,"0332",F2:F698,"12")</f>
        <v>0</v>
      </c>
      <c r="BH769" s="462">
        <f>SUMIFS(BH2:BH698,G2:G698,"AGAO",E2:E698,"0332",F2:F698,"12")</f>
        <v>0</v>
      </c>
      <c r="BI769" s="462">
        <f>SUMIFS(BI2:BI698,G2:G698,"AGAO",E2:E698,"0332",F2:F698,"12")</f>
        <v>0</v>
      </c>
      <c r="BJ769" s="462">
        <f>SUMIFS(BJ2:BJ698,G2:G698,"AGAO",E2:E698,"0332",F2:F698,"12")</f>
        <v>0</v>
      </c>
      <c r="BK769" s="462">
        <f>SUMIFS(BK2:BK698,G2:G698,"AGAO",E2:E698,"0332",F2:F698,"12")</f>
        <v>0</v>
      </c>
      <c r="BL769" s="462">
        <f>SUMIFS(BL2:BL698,G2:G698,"AGAO",E2:E698,"0332",F2:F698,"12")</f>
        <v>0</v>
      </c>
      <c r="BM769" s="462">
        <f>SUMIFS(BM2:BM698,G2:G698,"AGAO",E2:E698,"0332",F2:F698,"12")</f>
        <v>0</v>
      </c>
      <c r="BN769" s="462">
        <f>SUMIFS(BN2:BN698,G2:G698,"AGAO",E2:E698,"0332",F2:F698,"12")</f>
        <v>0</v>
      </c>
      <c r="BO769" s="462">
        <f>SUMIFS(BO2:BO698,G2:G698,"AGAO",E2:E698,"0332",F2:F698,"12")</f>
        <v>0</v>
      </c>
      <c r="BP769" s="462">
        <f>SUMIFS(BP2:BP698,G2:G698,"AGAO",E2:E698,"0332",F2:F698,"12")</f>
        <v>0</v>
      </c>
      <c r="BQ769" s="462">
        <f>SUMIFS(BQ2:BQ698,G2:G698,"AGAO",E2:E698,"0332",F2:F698,"12")</f>
        <v>0</v>
      </c>
      <c r="BR769" s="462">
        <f>SUMIFS(BR2:BR698,G2:G698,"AGAO",E2:E698,"0332",F2:F698,"12")</f>
        <v>0</v>
      </c>
      <c r="BS769" s="462">
        <f>SUMIFS(BS2:BS698,G2:G698,"AGAO",E2:E698,"0332",F2:F698,"12")</f>
        <v>0</v>
      </c>
      <c r="BT769" s="462">
        <f>SUMIFS(BT2:BT698,G2:G698,"AGAO",E2:E698,"0332",F2:F698,"12")</f>
        <v>0</v>
      </c>
      <c r="BU769" s="462">
        <f>SUMIFS(BU2:BU698,G2:G698,"AGAO",E2:E698,"0332",F2:F698,"12")</f>
        <v>0</v>
      </c>
      <c r="BV769" s="462">
        <f>SUMIFS(BV2:BV698,G2:G698,"AGAO",E2:E698,"0332",F2:F698,"12")</f>
        <v>0</v>
      </c>
      <c r="BW769" s="462">
        <f>SUMIFS(BW2:BW698,G2:G698,"AGAO",E2:E698,"0332",F2:F698,"12")</f>
        <v>0</v>
      </c>
      <c r="BX769" s="462">
        <f>SUMIFS(BX2:BX698,G2:G698,"AGAO",E2:E698,"0332",F2:F698,"12")</f>
        <v>0</v>
      </c>
      <c r="BY769" s="462">
        <f>SUMIFS(BY2:BY698,G2:G698,"AGAO",E2:E698,"0332",F2:F698,"12")</f>
        <v>0</v>
      </c>
      <c r="BZ769" s="462">
        <f>SUMIFS(BZ2:BZ698,G2:G698,"AGAO",E2:E698,"0332",F2:F698,"12")</f>
        <v>0</v>
      </c>
      <c r="CA769" s="462">
        <f>SUMIFS(CA2:CA698,G2:G698,"AGAO",E2:E698,"0332",F2:F698,"12")</f>
        <v>0</v>
      </c>
      <c r="CB769" s="462">
        <f>SUMIFS(CB2:CB698,G2:G698,"AGAO",E2:E698,"0332",F2:F698,"12")</f>
        <v>0</v>
      </c>
      <c r="CC769" s="462">
        <f>SUMIFS(CC2:CC698,G2:G698,"AGAO",E2:E698,"0332",F2:F698,"12")</f>
        <v>0</v>
      </c>
      <c r="CD769" s="462">
        <f>SUMIFS(CD2:CD698,G2:G698,"AGAO",E2:E698,"0332",F2:F698,"12")</f>
        <v>0</v>
      </c>
      <c r="CE769" s="462">
        <f>SUMIFS(CE2:CE698,G2:G698,"AGAO",E2:E698,"0332",F2:F698,"12")</f>
        <v>0</v>
      </c>
      <c r="CF769" s="462">
        <f>SUMIFS(CF2:CF698,G2:G698,"AGAO",E2:E698,"0332",F2:F698,"12")</f>
        <v>0</v>
      </c>
      <c r="CG769" s="462">
        <f>SUMIFS(CG2:CG698,G2:G698,"AGAO",E2:E698,"0332",F2:F698,"12")</f>
        <v>0</v>
      </c>
      <c r="CH769" s="462">
        <f>SUMIFS(CH2:CH698,G2:G698,"AGAO",E2:E698,"0332",F2:F698,"12")</f>
        <v>0</v>
      </c>
      <c r="CI769" s="462">
        <f>SUMIFS(CI2:CI698,G2:G698,"AGAO",E2:E698,"0332",F2:F698,"12")</f>
        <v>0</v>
      </c>
      <c r="CJ769" s="462">
        <f>SUMIFS(CJ2:CJ698,G2:G698,"AGAO",E2:E698,"0332",F2:F698,"12")</f>
        <v>0</v>
      </c>
      <c r="CK769" s="462">
        <f>SUMIFS(CK2:CK698,G2:G698,"AGAO",E2:E698,"0332",F2:F698,"12")</f>
        <v>0</v>
      </c>
      <c r="CL769" s="462">
        <f>SUMIFS(CL2:CL698,G2:G698,"AGAO",E2:E698,"0332",F2:F698,"12")</f>
        <v>0</v>
      </c>
      <c r="CM769" s="462">
        <f>SUMIFS(CM2:CM698,G2:G698,"AGAO",E2:E698,"0332",F2:F698,"12")</f>
        <v>0</v>
      </c>
    </row>
    <row r="770" spans="41:91" ht="18" x14ac:dyDescent="0.35">
      <c r="AQ770" s="468" t="s">
        <v>1588</v>
      </c>
      <c r="AS770" s="469">
        <f>SUM(AS769:AS769)</f>
        <v>0</v>
      </c>
      <c r="AT770" s="469">
        <f>SUM(AT769:AT769)</f>
        <v>0</v>
      </c>
      <c r="AU770" s="469">
        <f>SUM(AU769:AU769)</f>
        <v>0</v>
      </c>
      <c r="AV770" s="469">
        <f>SUM(AV769:AV769)</f>
        <v>0</v>
      </c>
      <c r="AW770" s="469">
        <f>SUM(AW769:AW769)</f>
        <v>2</v>
      </c>
      <c r="AX770" s="469">
        <f>SUM(AX769:AX769)</f>
        <v>0</v>
      </c>
      <c r="AY770" s="469">
        <f>SUM(AY769:AY769)</f>
        <v>0</v>
      </c>
      <c r="AZ770" s="469">
        <f>SUM(AZ769:AZ769)</f>
        <v>0</v>
      </c>
      <c r="BA770" s="469">
        <f>SUM(BA769:BA769)</f>
        <v>0</v>
      </c>
      <c r="BB770" s="469">
        <f>SUM(BB769:BB769)</f>
        <v>0</v>
      </c>
      <c r="BC770" s="469">
        <f>SUM(BC769:BC769)</f>
        <v>0</v>
      </c>
      <c r="BD770" s="469">
        <f>SUM(BD769:BD769)</f>
        <v>0</v>
      </c>
      <c r="BE770" s="469">
        <f>SUM(BE769:BE769)</f>
        <v>0</v>
      </c>
      <c r="BF770" s="469">
        <f>SUM(BF769:BF769)</f>
        <v>0</v>
      </c>
      <c r="BG770" s="469">
        <f>SUM(BG769:BG769)</f>
        <v>0</v>
      </c>
      <c r="BH770" s="469">
        <f>SUM(BH769:BH769)</f>
        <v>0</v>
      </c>
      <c r="BI770" s="469">
        <f>SUM(BI769:BI769)</f>
        <v>0</v>
      </c>
      <c r="BJ770" s="469">
        <f>SUM(BJ769:BJ769)</f>
        <v>0</v>
      </c>
      <c r="BK770" s="469">
        <f>SUM(BK769:BK769)</f>
        <v>0</v>
      </c>
      <c r="BL770" s="469">
        <f>SUM(BL769:BL769)</f>
        <v>0</v>
      </c>
      <c r="BM770" s="469">
        <f>SUM(BM769:BM769)</f>
        <v>0</v>
      </c>
      <c r="BN770" s="469">
        <f>SUM(BN769:BN769)</f>
        <v>0</v>
      </c>
      <c r="BO770" s="469">
        <f>SUM(BO769:BO769)</f>
        <v>0</v>
      </c>
      <c r="BP770" s="469">
        <f>SUM(BP769:BP769)</f>
        <v>0</v>
      </c>
      <c r="BQ770" s="469">
        <f>SUM(BQ769:BQ769)</f>
        <v>0</v>
      </c>
      <c r="BR770" s="469">
        <f>SUM(BR769:BR769)</f>
        <v>0</v>
      </c>
      <c r="BS770" s="469">
        <f>SUM(BS769:BS769)</f>
        <v>0</v>
      </c>
      <c r="BT770" s="469">
        <f>SUM(BT769:BT769)</f>
        <v>0</v>
      </c>
      <c r="BU770" s="469">
        <f>SUM(BU769:BU769)</f>
        <v>0</v>
      </c>
      <c r="BV770" s="469">
        <f>SUM(BV769:BV769)</f>
        <v>0</v>
      </c>
      <c r="BW770" s="469">
        <f>SUM(BW769:BW769)</f>
        <v>0</v>
      </c>
      <c r="BX770" s="469">
        <f>SUM(BX769:BX769)</f>
        <v>0</v>
      </c>
      <c r="BY770" s="469">
        <f>SUM(BY769:BY769)</f>
        <v>0</v>
      </c>
      <c r="BZ770" s="469">
        <f>SUM(BZ769:BZ769)</f>
        <v>0</v>
      </c>
      <c r="CA770" s="469">
        <f>SUM(CA769:CA769)</f>
        <v>0</v>
      </c>
      <c r="CB770" s="469">
        <f>SUM(CB769:CB769)</f>
        <v>0</v>
      </c>
      <c r="CC770" s="469">
        <f>SUM(CC769:CC769)</f>
        <v>0</v>
      </c>
      <c r="CD770" s="469">
        <f>SUM(CD769:CD769)</f>
        <v>0</v>
      </c>
      <c r="CE770" s="469">
        <f>SUM(CE769:CE769)</f>
        <v>0</v>
      </c>
      <c r="CF770" s="469">
        <f>SUM(CF769:CF769)</f>
        <v>0</v>
      </c>
      <c r="CG770" s="469">
        <f>SUM(CG769:CG769)</f>
        <v>0</v>
      </c>
      <c r="CH770" s="469">
        <f>SUM(CH769:CH769)</f>
        <v>0</v>
      </c>
      <c r="CI770" s="469">
        <f>SUM(CI769:CI769)</f>
        <v>0</v>
      </c>
      <c r="CJ770" s="469">
        <f>SUM(CJ769:CJ769)</f>
        <v>0</v>
      </c>
      <c r="CK770" s="469">
        <f>SUM(CK769:CK769)</f>
        <v>0</v>
      </c>
      <c r="CL770" s="469">
        <f>SUM(CL769:CL769)</f>
        <v>0</v>
      </c>
      <c r="CM770" s="469">
        <f>SUM(CM769:CM769)</f>
        <v>0</v>
      </c>
    </row>
    <row r="771" spans="41:91" ht="15" thickBot="1" x14ac:dyDescent="0.35">
      <c r="AR771" t="s">
        <v>1598</v>
      </c>
      <c r="AS771" s="462">
        <f>SUMIFS(AS2:AS698,G2:G698,"AGAO",E2:E698,"0348",F2:F698,"00",AT2:AT698,1)</f>
        <v>0.5</v>
      </c>
      <c r="AT771" s="462">
        <f>SUMIFS(AS2:AS698,G2:G698,"AGAO",E2:E698,"0348",F2:F698,"00",AT2:AT698,3)</f>
        <v>0</v>
      </c>
      <c r="AU771" s="462">
        <f>SUMIFS(AU2:AU698,G2:G698,"AGAO",E2:E698,"0348",F2:F698,"00")</f>
        <v>1</v>
      </c>
      <c r="AV771" s="462">
        <f>SUMIFS(AV2:AV698,G2:G698,"AGAO",E2:E698,"0348",F2:F698,"00")</f>
        <v>0</v>
      </c>
      <c r="AW771" s="462">
        <f>SUMIFS(AW2:AW698,G2:G698,"AGAO",E2:E698,"0348",F2:F698,"00")</f>
        <v>79</v>
      </c>
      <c r="AX771" s="462">
        <f>SUMIFS(AX2:AX698,G2:G698,"AGAO",E2:E698,"0348",F2:F698,"00")</f>
        <v>61235.199999999997</v>
      </c>
      <c r="AY771" s="462">
        <f>SUMIFS(AY2:AY698,G2:G698,"AGAO",E2:E698,"0348",F2:F698,"00")</f>
        <v>30617.599999999999</v>
      </c>
      <c r="AZ771" s="462">
        <f>SUMIFS(AZ2:AZ698,G2:G698,"AGAO",E2:E698,"0348",F2:F698,"00")</f>
        <v>0</v>
      </c>
      <c r="BA771" s="462">
        <f>SUMIFS(BA2:BA698,G2:G698,"AGAO",E2:E698,"0348",F2:F698,"00")</f>
        <v>0</v>
      </c>
      <c r="BB771" s="462">
        <f>SUMIFS(BB2:BB698,G2:G698,"AGAO",E2:E698,"0348",F2:F698,"00")</f>
        <v>5825</v>
      </c>
      <c r="BC771" s="462">
        <f>SUMIFS(BC2:BC698,G2:G698,"AGAO",E2:E698,"0348",F2:F698,"00")</f>
        <v>0</v>
      </c>
      <c r="BD771" s="462">
        <f>SUMIFS(BD2:BD698,G2:G698,"AGAO",E2:E698,"0348",F2:F698,"00")</f>
        <v>1898.2911999999999</v>
      </c>
      <c r="BE771" s="462">
        <f>SUMIFS(BE2:BE698,G2:G698,"AGAO",E2:E698,"0348",F2:F698,"00")</f>
        <v>443.95519999999999</v>
      </c>
      <c r="BF771" s="462">
        <f>SUMIFS(BF2:BF698,G2:G698,"AGAO",E2:E698,"0348",F2:F698,"00")</f>
        <v>3655.7414400000002</v>
      </c>
      <c r="BG771" s="462">
        <f>SUMIFS(BG2:BG698,G2:G698,"AGAO",E2:E698,"0348",F2:F698,"00")</f>
        <v>220.75289599999999</v>
      </c>
      <c r="BH771" s="462">
        <f>SUMIFS(BH2:BH698,G2:G698,"AGAO",E2:E698,"0348",F2:F698,"00")</f>
        <v>150.02624</v>
      </c>
      <c r="BI771" s="462">
        <f>SUMIFS(BI2:BI698,G2:G698,"AGAO",E2:E698,"0348",F2:F698,"00")</f>
        <v>93.689855999999992</v>
      </c>
      <c r="BJ771" s="462">
        <f>SUMIFS(BJ2:BJ698,G2:G698,"AGAO",E2:E698,"0348",F2:F698,"00")</f>
        <v>468.44927999999993</v>
      </c>
      <c r="BK771" s="462">
        <f>SUMIFS(BK2:BK698,G2:G698,"AGAO",E2:E698,"0348",F2:F698,"00")</f>
        <v>0</v>
      </c>
      <c r="BL771" s="462">
        <f>SUMIFS(BL2:BL698,G2:G698,"AGAO",E2:E698,"0348",F2:F698,"00")</f>
        <v>6930.9061119999997</v>
      </c>
      <c r="BM771" s="462">
        <f>SUMIFS(BM2:BM698,G2:G698,"AGAO",E2:E698,"0348",F2:F698,"00")</f>
        <v>0</v>
      </c>
      <c r="BN771" s="462">
        <f>SUMIFS(BN2:BN698,G2:G698,"AGAO",E2:E698,"0348",F2:F698,"00")</f>
        <v>5825</v>
      </c>
      <c r="BO771" s="462">
        <f>SUMIFS(BO2:BO698,G2:G698,"AGAO",E2:E698,"0348",F2:F698,"00")</f>
        <v>0</v>
      </c>
      <c r="BP771" s="462">
        <f>SUMIFS(BP2:BP698,G2:G698,"AGAO",E2:E698,"0348",F2:F698,"00")</f>
        <v>1898.2911999999999</v>
      </c>
      <c r="BQ771" s="462">
        <f>SUMIFS(BQ2:BQ698,G2:G698,"AGAO",E2:E698,"0348",F2:F698,"00")</f>
        <v>443.95519999999999</v>
      </c>
      <c r="BR771" s="462">
        <f>SUMIFS(BR2:BR698,G2:G698,"AGAO",E2:E698,"0348",F2:F698,"00")</f>
        <v>3655.7414400000002</v>
      </c>
      <c r="BS771" s="462">
        <f>SUMIFS(BS2:BS698,G2:G698,"AGAO",E2:E698,"0348",F2:F698,"00")</f>
        <v>220.75289599999999</v>
      </c>
      <c r="BT771" s="462">
        <f>SUMIFS(BT2:BT698,G2:G698,"AGAO",E2:E698,"0348",F2:F698,"00")</f>
        <v>0</v>
      </c>
      <c r="BU771" s="462">
        <f>SUMIFS(BU2:BU698,G2:G698,"AGAO",E2:E698,"0348",F2:F698,"00")</f>
        <v>93.689855999999992</v>
      </c>
      <c r="BV771" s="462">
        <f>SUMIFS(BV2:BV698,G2:G698,"AGAO",E2:E698,"0348",F2:F698,"00")</f>
        <v>538.86976000000004</v>
      </c>
      <c r="BW771" s="462">
        <f>SUMIFS(BW2:BW698,G2:G698,"AGAO",E2:E698,"0348",F2:F698,"00")</f>
        <v>0</v>
      </c>
      <c r="BX771" s="462">
        <f>SUMIFS(BX2:BX698,G2:G698,"AGAO",E2:E698,"0348",F2:F698,"00")</f>
        <v>6851.3003520000002</v>
      </c>
      <c r="BY771" s="462">
        <f>SUMIFS(BY2:BY698,G2:G698,"AGAO",E2:E698,"0348",F2:F698,"00")</f>
        <v>0</v>
      </c>
      <c r="BZ771" s="462">
        <f>SUMIFS(BZ2:BZ698,G2:G698,"AGAO",E2:E698,"0348",F2:F698,"00")</f>
        <v>0</v>
      </c>
      <c r="CA771" s="462">
        <f>SUMIFS(CA2:CA698,G2:G698,"AGAO",E2:E698,"0348",F2:F698,"00")</f>
        <v>0</v>
      </c>
      <c r="CB771" s="462">
        <f>SUMIFS(CB2:CB698,G2:G698,"AGAO",E2:E698,"0348",F2:F698,"00")</f>
        <v>0</v>
      </c>
      <c r="CC771" s="462">
        <f>SUMIFS(CC2:CC698,G2:G698,"AGAO",E2:E698,"0348",F2:F698,"00")</f>
        <v>0</v>
      </c>
      <c r="CD771" s="462">
        <f>SUMIFS(CD2:CD698,G2:G698,"AGAO",E2:E698,"0348",F2:F698,"00")</f>
        <v>0</v>
      </c>
      <c r="CE771" s="462">
        <f>SUMIFS(CE2:CE698,G2:G698,"AGAO",E2:E698,"0348",F2:F698,"00")</f>
        <v>0</v>
      </c>
      <c r="CF771" s="462">
        <f>SUMIFS(CF2:CF698,G2:G698,"AGAO",E2:E698,"0348",F2:F698,"00")</f>
        <v>-150.02624</v>
      </c>
      <c r="CG771" s="462">
        <f>SUMIFS(CG2:CG698,G2:G698,"AGAO",E2:E698,"0348",F2:F698,"00")</f>
        <v>0</v>
      </c>
      <c r="CH771" s="462">
        <f>SUMIFS(CH2:CH698,G2:G698,"AGAO",E2:E698,"0348",F2:F698,"00")</f>
        <v>70.420480000000055</v>
      </c>
      <c r="CI771" s="462">
        <f>SUMIFS(CI2:CI698,G2:G698,"AGAO",E2:E698,"0348",F2:F698,"00")</f>
        <v>0</v>
      </c>
      <c r="CJ771" s="462">
        <f>SUMIFS(CJ2:CJ698,G2:G698,"AGAO",E2:E698,"0348",F2:F698,"00")</f>
        <v>-79.605759999999947</v>
      </c>
      <c r="CK771" s="462">
        <f>SUMIFS(CK2:CK698,G2:G698,"AGAO",E2:E698,"0348",F2:F698,"00")</f>
        <v>0</v>
      </c>
      <c r="CL771" s="462">
        <f>SUMIFS(CL2:CL698,G2:G698,"AGAO",E2:E698,"0348",F2:F698,"00")</f>
        <v>33830.11</v>
      </c>
      <c r="CM771" s="462">
        <f>SUMIFS(CM2:CM698,G2:G698,"AGAO",E2:E698,"0348",F2:F698,"00")</f>
        <v>3685.08</v>
      </c>
    </row>
    <row r="772" spans="41:91" ht="18" x14ac:dyDescent="0.35">
      <c r="AQ772" s="468" t="s">
        <v>1599</v>
      </c>
      <c r="AS772" s="469">
        <f>SUM(AS771:AS771)</f>
        <v>0.5</v>
      </c>
      <c r="AT772" s="469">
        <f>SUM(AT771:AT771)</f>
        <v>0</v>
      </c>
      <c r="AU772" s="469">
        <f>SUM(AU771:AU771)</f>
        <v>1</v>
      </c>
      <c r="AV772" s="469">
        <f>SUM(AV771:AV771)</f>
        <v>0</v>
      </c>
      <c r="AW772" s="469">
        <f>SUM(AW771:AW771)</f>
        <v>79</v>
      </c>
      <c r="AX772" s="469">
        <f>SUM(AX771:AX771)</f>
        <v>61235.199999999997</v>
      </c>
      <c r="AY772" s="469">
        <f>SUM(AY771:AY771)</f>
        <v>30617.599999999999</v>
      </c>
      <c r="AZ772" s="469">
        <f>SUM(AZ771:AZ771)</f>
        <v>0</v>
      </c>
      <c r="BA772" s="469">
        <f>SUM(BA771:BA771)</f>
        <v>0</v>
      </c>
      <c r="BB772" s="469">
        <f>SUM(BB771:BB771)</f>
        <v>5825</v>
      </c>
      <c r="BC772" s="469">
        <f>SUM(BC771:BC771)</f>
        <v>0</v>
      </c>
      <c r="BD772" s="469">
        <f>SUM(BD771:BD771)</f>
        <v>1898.2911999999999</v>
      </c>
      <c r="BE772" s="469">
        <f>SUM(BE771:BE771)</f>
        <v>443.95519999999999</v>
      </c>
      <c r="BF772" s="469">
        <f>SUM(BF771:BF771)</f>
        <v>3655.7414400000002</v>
      </c>
      <c r="BG772" s="469">
        <f>SUM(BG771:BG771)</f>
        <v>220.75289599999999</v>
      </c>
      <c r="BH772" s="469">
        <f>SUM(BH771:BH771)</f>
        <v>150.02624</v>
      </c>
      <c r="BI772" s="469">
        <f>SUM(BI771:BI771)</f>
        <v>93.689855999999992</v>
      </c>
      <c r="BJ772" s="469">
        <f>SUM(BJ771:BJ771)</f>
        <v>468.44927999999993</v>
      </c>
      <c r="BK772" s="469">
        <f>SUM(BK771:BK771)</f>
        <v>0</v>
      </c>
      <c r="BL772" s="469">
        <f>SUM(BL771:BL771)</f>
        <v>6930.9061119999997</v>
      </c>
      <c r="BM772" s="469">
        <f>SUM(BM771:BM771)</f>
        <v>0</v>
      </c>
      <c r="BN772" s="469">
        <f>SUM(BN771:BN771)</f>
        <v>5825</v>
      </c>
      <c r="BO772" s="469">
        <f>SUM(BO771:BO771)</f>
        <v>0</v>
      </c>
      <c r="BP772" s="469">
        <f>SUM(BP771:BP771)</f>
        <v>1898.2911999999999</v>
      </c>
      <c r="BQ772" s="469">
        <f>SUM(BQ771:BQ771)</f>
        <v>443.95519999999999</v>
      </c>
      <c r="BR772" s="469">
        <f>SUM(BR771:BR771)</f>
        <v>3655.7414400000002</v>
      </c>
      <c r="BS772" s="469">
        <f>SUM(BS771:BS771)</f>
        <v>220.75289599999999</v>
      </c>
      <c r="BT772" s="469">
        <f>SUM(BT771:BT771)</f>
        <v>0</v>
      </c>
      <c r="BU772" s="469">
        <f>SUM(BU771:BU771)</f>
        <v>93.689855999999992</v>
      </c>
      <c r="BV772" s="469">
        <f>SUM(BV771:BV771)</f>
        <v>538.86976000000004</v>
      </c>
      <c r="BW772" s="469">
        <f>SUM(BW771:BW771)</f>
        <v>0</v>
      </c>
      <c r="BX772" s="469">
        <f>SUM(BX771:BX771)</f>
        <v>6851.3003520000002</v>
      </c>
      <c r="BY772" s="469">
        <f>SUM(BY771:BY771)</f>
        <v>0</v>
      </c>
      <c r="BZ772" s="469">
        <f>SUM(BZ771:BZ771)</f>
        <v>0</v>
      </c>
      <c r="CA772" s="469">
        <f>SUM(CA771:CA771)</f>
        <v>0</v>
      </c>
      <c r="CB772" s="469">
        <f>SUM(CB771:CB771)</f>
        <v>0</v>
      </c>
      <c r="CC772" s="469">
        <f>SUM(CC771:CC771)</f>
        <v>0</v>
      </c>
      <c r="CD772" s="469">
        <f>SUM(CD771:CD771)</f>
        <v>0</v>
      </c>
      <c r="CE772" s="469">
        <f>SUM(CE771:CE771)</f>
        <v>0</v>
      </c>
      <c r="CF772" s="469">
        <f>SUM(CF771:CF771)</f>
        <v>-150.02624</v>
      </c>
      <c r="CG772" s="469">
        <f>SUM(CG771:CG771)</f>
        <v>0</v>
      </c>
      <c r="CH772" s="469">
        <f>SUM(CH771:CH771)</f>
        <v>70.420480000000055</v>
      </c>
      <c r="CI772" s="469">
        <f>SUM(CI771:CI771)</f>
        <v>0</v>
      </c>
      <c r="CJ772" s="469">
        <f>SUM(CJ771:CJ771)</f>
        <v>-79.605759999999947</v>
      </c>
      <c r="CK772" s="469">
        <f>SUM(CK771:CK771)</f>
        <v>0</v>
      </c>
      <c r="CL772" s="469">
        <f>SUM(CL771:CL771)</f>
        <v>33830.11</v>
      </c>
      <c r="CM772" s="469">
        <f>SUM(CM771:CM771)</f>
        <v>3685.08</v>
      </c>
    </row>
    <row r="773" spans="41:91" ht="15" thickBot="1" x14ac:dyDescent="0.35">
      <c r="AR773" t="s">
        <v>1601</v>
      </c>
      <c r="AS773" s="462">
        <f>SUMIFS(AS2:AS698,G2:G698,"AGAP",E2:E698,"0348",F2:F698,"00",AT2:AT698,1)</f>
        <v>4</v>
      </c>
      <c r="AT773" s="462">
        <f>SUMIFS(AS2:AS698,G2:G698,"AGAP",E2:E698,"0348",F2:F698,"00",AT2:AT698,3)</f>
        <v>0</v>
      </c>
      <c r="AU773" s="462">
        <f>SUMIFS(AU2:AU698,G2:G698,"AGAP",E2:E698,"0348",F2:F698,"00")</f>
        <v>4</v>
      </c>
      <c r="AV773" s="462">
        <f>SUMIFS(AV2:AV698,G2:G698,"AGAP",E2:E698,"0348",F2:F698,"00")</f>
        <v>0</v>
      </c>
      <c r="AW773" s="462">
        <f>SUMIFS(AW2:AW698,G2:G698,"AGAP",E2:E698,"0348",F2:F698,"00")</f>
        <v>90</v>
      </c>
      <c r="AX773" s="462">
        <f>SUMIFS(AX2:AX698,G2:G698,"AGAP",E2:E698,"0348",F2:F698,"00")</f>
        <v>228924.79999999999</v>
      </c>
      <c r="AY773" s="462">
        <f>SUMIFS(AY2:AY698,G2:G698,"AGAP",E2:E698,"0348",F2:F698,"00")</f>
        <v>228924.79999999999</v>
      </c>
      <c r="AZ773" s="462">
        <f>SUMIFS(AZ2:AZ698,G2:G698,"AGAP",E2:E698,"0348",F2:F698,"00")</f>
        <v>0</v>
      </c>
      <c r="BA773" s="462">
        <f>SUMIFS(BA2:BA698,G2:G698,"AGAP",E2:E698,"0348",F2:F698,"00")</f>
        <v>0</v>
      </c>
      <c r="BB773" s="462">
        <f>SUMIFS(BB2:BB698,G2:G698,"AGAP",E2:E698,"0348",F2:F698,"00")</f>
        <v>46600</v>
      </c>
      <c r="BC773" s="462">
        <f>SUMIFS(BC2:BC698,G2:G698,"AGAP",E2:E698,"0348",F2:F698,"00")</f>
        <v>0</v>
      </c>
      <c r="BD773" s="462">
        <f>SUMIFS(BD2:BD698,G2:G698,"AGAP",E2:E698,"0348",F2:F698,"00")</f>
        <v>14193.337600000001</v>
      </c>
      <c r="BE773" s="462">
        <f>SUMIFS(BE2:BE698,G2:G698,"AGAP",E2:E698,"0348",F2:F698,"00")</f>
        <v>3319.4096</v>
      </c>
      <c r="BF773" s="462">
        <f>SUMIFS(BF2:BF698,G2:G698,"AGAP",E2:E698,"0348",F2:F698,"00")</f>
        <v>27333.621119999996</v>
      </c>
      <c r="BG773" s="462">
        <f>SUMIFS(BG2:BG698,G2:G698,"AGAP",E2:E698,"0348",F2:F698,"00")</f>
        <v>1650.5478079999998</v>
      </c>
      <c r="BH773" s="462">
        <f>SUMIFS(BH2:BH698,G2:G698,"AGAP",E2:E698,"0348",F2:F698,"00")</f>
        <v>1121.7315199999998</v>
      </c>
      <c r="BI773" s="462">
        <f>SUMIFS(BI2:BI698,G2:G698,"AGAP",E2:E698,"0348",F2:F698,"00")</f>
        <v>700.50988799999993</v>
      </c>
      <c r="BJ773" s="462">
        <f>SUMIFS(BJ2:BJ698,G2:G698,"AGAP",E2:E698,"0348",F2:F698,"00")</f>
        <v>3502.5494399999998</v>
      </c>
      <c r="BK773" s="462">
        <f>SUMIFS(BK2:BK698,G2:G698,"AGAP",E2:E698,"0348",F2:F698,"00")</f>
        <v>0</v>
      </c>
      <c r="BL773" s="462">
        <f>SUMIFS(BL2:BL698,G2:G698,"AGAP",E2:E698,"0348",F2:F698,"00")</f>
        <v>51821.706976000001</v>
      </c>
      <c r="BM773" s="462">
        <f>SUMIFS(BM2:BM698,G2:G698,"AGAP",E2:E698,"0348",F2:F698,"00")</f>
        <v>0</v>
      </c>
      <c r="BN773" s="462">
        <f>SUMIFS(BN2:BN698,G2:G698,"AGAP",E2:E698,"0348",F2:F698,"00")</f>
        <v>46600</v>
      </c>
      <c r="BO773" s="462">
        <f>SUMIFS(BO2:BO698,G2:G698,"AGAP",E2:E698,"0348",F2:F698,"00")</f>
        <v>0</v>
      </c>
      <c r="BP773" s="462">
        <f>SUMIFS(BP2:BP698,G2:G698,"AGAP",E2:E698,"0348",F2:F698,"00")</f>
        <v>14193.337600000001</v>
      </c>
      <c r="BQ773" s="462">
        <f>SUMIFS(BQ2:BQ698,G2:G698,"AGAP",E2:E698,"0348",F2:F698,"00")</f>
        <v>3319.4096</v>
      </c>
      <c r="BR773" s="462">
        <f>SUMIFS(BR2:BR698,G2:G698,"AGAP",E2:E698,"0348",F2:F698,"00")</f>
        <v>27333.621119999996</v>
      </c>
      <c r="BS773" s="462">
        <f>SUMIFS(BS2:BS698,G2:G698,"AGAP",E2:E698,"0348",F2:F698,"00")</f>
        <v>1650.5478079999998</v>
      </c>
      <c r="BT773" s="462">
        <f>SUMIFS(BT2:BT698,G2:G698,"AGAP",E2:E698,"0348",F2:F698,"00")</f>
        <v>0</v>
      </c>
      <c r="BU773" s="462">
        <f>SUMIFS(BU2:BU698,G2:G698,"AGAP",E2:E698,"0348",F2:F698,"00")</f>
        <v>700.50988799999993</v>
      </c>
      <c r="BV773" s="462">
        <f>SUMIFS(BV2:BV698,G2:G698,"AGAP",E2:E698,"0348",F2:F698,"00")</f>
        <v>4029.0764800000006</v>
      </c>
      <c r="BW773" s="462">
        <f>SUMIFS(BW2:BW698,G2:G698,"AGAP",E2:E698,"0348",F2:F698,"00")</f>
        <v>0</v>
      </c>
      <c r="BX773" s="462">
        <f>SUMIFS(BX2:BX698,G2:G698,"AGAP",E2:E698,"0348",F2:F698,"00")</f>
        <v>51226.502496000008</v>
      </c>
      <c r="BY773" s="462">
        <f>SUMIFS(BY2:BY698,G2:G698,"AGAP",E2:E698,"0348",F2:F698,"00")</f>
        <v>0</v>
      </c>
      <c r="BZ773" s="462">
        <f>SUMIFS(BZ2:BZ698,G2:G698,"AGAP",E2:E698,"0348",F2:F698,"00")</f>
        <v>0</v>
      </c>
      <c r="CA773" s="462">
        <f>SUMIFS(CA2:CA698,G2:G698,"AGAP",E2:E698,"0348",F2:F698,"00")</f>
        <v>0</v>
      </c>
      <c r="CB773" s="462">
        <f>SUMIFS(CB2:CB698,G2:G698,"AGAP",E2:E698,"0348",F2:F698,"00")</f>
        <v>0</v>
      </c>
      <c r="CC773" s="462">
        <f>SUMIFS(CC2:CC698,G2:G698,"AGAP",E2:E698,"0348",F2:F698,"00")</f>
        <v>0</v>
      </c>
      <c r="CD773" s="462">
        <f>SUMIFS(CD2:CD698,G2:G698,"AGAP",E2:E698,"0348",F2:F698,"00")</f>
        <v>0</v>
      </c>
      <c r="CE773" s="462">
        <f>SUMIFS(CE2:CE698,G2:G698,"AGAP",E2:E698,"0348",F2:F698,"00")</f>
        <v>0</v>
      </c>
      <c r="CF773" s="462">
        <f>SUMIFS(CF2:CF698,G2:G698,"AGAP",E2:E698,"0348",F2:F698,"00")</f>
        <v>-1121.7315199999998</v>
      </c>
      <c r="CG773" s="462">
        <f>SUMIFS(CG2:CG698,G2:G698,"AGAP",E2:E698,"0348",F2:F698,"00")</f>
        <v>0</v>
      </c>
      <c r="CH773" s="462">
        <f>SUMIFS(CH2:CH698,G2:G698,"AGAP",E2:E698,"0348",F2:F698,"00")</f>
        <v>526.5270400000004</v>
      </c>
      <c r="CI773" s="462">
        <f>SUMIFS(CI2:CI698,G2:G698,"AGAP",E2:E698,"0348",F2:F698,"00")</f>
        <v>0</v>
      </c>
      <c r="CJ773" s="462">
        <f>SUMIFS(CJ2:CJ698,G2:G698,"AGAP",E2:E698,"0348",F2:F698,"00")</f>
        <v>-595.20447999999953</v>
      </c>
      <c r="CK773" s="462">
        <f>SUMIFS(CK2:CK698,G2:G698,"AGAP",E2:E698,"0348",F2:F698,"00")</f>
        <v>0</v>
      </c>
      <c r="CL773" s="462">
        <f>SUMIFS(CL2:CL698,G2:G698,"AGAP",E2:E698,"0348",F2:F698,"00")</f>
        <v>20881.37</v>
      </c>
      <c r="CM773" s="462">
        <f>SUMIFS(CM2:CM698,G2:G698,"AGAP",E2:E698,"0348",F2:F698,"00")</f>
        <v>2599.4499999999998</v>
      </c>
    </row>
    <row r="774" spans="41:91" ht="18" x14ac:dyDescent="0.35">
      <c r="AQ774" s="468" t="s">
        <v>1602</v>
      </c>
      <c r="AS774" s="469">
        <f>SUM(AS773:AS773)</f>
        <v>4</v>
      </c>
      <c r="AT774" s="469">
        <f>SUM(AT773:AT773)</f>
        <v>0</v>
      </c>
      <c r="AU774" s="469">
        <f>SUM(AU773:AU773)</f>
        <v>4</v>
      </c>
      <c r="AV774" s="469">
        <f>SUM(AV773:AV773)</f>
        <v>0</v>
      </c>
      <c r="AW774" s="469">
        <f>SUM(AW773:AW773)</f>
        <v>90</v>
      </c>
      <c r="AX774" s="469">
        <f>SUM(AX773:AX773)</f>
        <v>228924.79999999999</v>
      </c>
      <c r="AY774" s="469">
        <f>SUM(AY773:AY773)</f>
        <v>228924.79999999999</v>
      </c>
      <c r="AZ774" s="469">
        <f>SUM(AZ773:AZ773)</f>
        <v>0</v>
      </c>
      <c r="BA774" s="469">
        <f>SUM(BA773:BA773)</f>
        <v>0</v>
      </c>
      <c r="BB774" s="469">
        <f>SUM(BB773:BB773)</f>
        <v>46600</v>
      </c>
      <c r="BC774" s="469">
        <f>SUM(BC773:BC773)</f>
        <v>0</v>
      </c>
      <c r="BD774" s="469">
        <f>SUM(BD773:BD773)</f>
        <v>14193.337600000001</v>
      </c>
      <c r="BE774" s="469">
        <f>SUM(BE773:BE773)</f>
        <v>3319.4096</v>
      </c>
      <c r="BF774" s="469">
        <f>SUM(BF773:BF773)</f>
        <v>27333.621119999996</v>
      </c>
      <c r="BG774" s="469">
        <f>SUM(BG773:BG773)</f>
        <v>1650.5478079999998</v>
      </c>
      <c r="BH774" s="469">
        <f>SUM(BH773:BH773)</f>
        <v>1121.7315199999998</v>
      </c>
      <c r="BI774" s="469">
        <f>SUM(BI773:BI773)</f>
        <v>700.50988799999993</v>
      </c>
      <c r="BJ774" s="469">
        <f>SUM(BJ773:BJ773)</f>
        <v>3502.5494399999998</v>
      </c>
      <c r="BK774" s="469">
        <f>SUM(BK773:BK773)</f>
        <v>0</v>
      </c>
      <c r="BL774" s="469">
        <f>SUM(BL773:BL773)</f>
        <v>51821.706976000001</v>
      </c>
      <c r="BM774" s="469">
        <f>SUM(BM773:BM773)</f>
        <v>0</v>
      </c>
      <c r="BN774" s="469">
        <f>SUM(BN773:BN773)</f>
        <v>46600</v>
      </c>
      <c r="BO774" s="469">
        <f>SUM(BO773:BO773)</f>
        <v>0</v>
      </c>
      <c r="BP774" s="469">
        <f>SUM(BP773:BP773)</f>
        <v>14193.337600000001</v>
      </c>
      <c r="BQ774" s="469">
        <f>SUM(BQ773:BQ773)</f>
        <v>3319.4096</v>
      </c>
      <c r="BR774" s="469">
        <f>SUM(BR773:BR773)</f>
        <v>27333.621119999996</v>
      </c>
      <c r="BS774" s="469">
        <f>SUM(BS773:BS773)</f>
        <v>1650.5478079999998</v>
      </c>
      <c r="BT774" s="469">
        <f>SUM(BT773:BT773)</f>
        <v>0</v>
      </c>
      <c r="BU774" s="469">
        <f>SUM(BU773:BU773)</f>
        <v>700.50988799999993</v>
      </c>
      <c r="BV774" s="469">
        <f>SUM(BV773:BV773)</f>
        <v>4029.0764800000006</v>
      </c>
      <c r="BW774" s="469">
        <f>SUM(BW773:BW773)</f>
        <v>0</v>
      </c>
      <c r="BX774" s="469">
        <f>SUM(BX773:BX773)</f>
        <v>51226.502496000008</v>
      </c>
      <c r="BY774" s="469">
        <f>SUM(BY773:BY773)</f>
        <v>0</v>
      </c>
      <c r="BZ774" s="469">
        <f>SUM(BZ773:BZ773)</f>
        <v>0</v>
      </c>
      <c r="CA774" s="469">
        <f>SUM(CA773:CA773)</f>
        <v>0</v>
      </c>
      <c r="CB774" s="469">
        <f>SUM(CB773:CB773)</f>
        <v>0</v>
      </c>
      <c r="CC774" s="469">
        <f>SUM(CC773:CC773)</f>
        <v>0</v>
      </c>
      <c r="CD774" s="469">
        <f>SUM(CD773:CD773)</f>
        <v>0</v>
      </c>
      <c r="CE774" s="469">
        <f>SUM(CE773:CE773)</f>
        <v>0</v>
      </c>
      <c r="CF774" s="469">
        <f>SUM(CF773:CF773)</f>
        <v>-1121.7315199999998</v>
      </c>
      <c r="CG774" s="469">
        <f>SUM(CG773:CG773)</f>
        <v>0</v>
      </c>
      <c r="CH774" s="469">
        <f>SUM(CH773:CH773)</f>
        <v>526.5270400000004</v>
      </c>
      <c r="CI774" s="469">
        <f>SUM(CI773:CI773)</f>
        <v>0</v>
      </c>
      <c r="CJ774" s="469">
        <f>SUM(CJ773:CJ773)</f>
        <v>-595.20447999999953</v>
      </c>
      <c r="CK774" s="469">
        <f>SUM(CK773:CK773)</f>
        <v>0</v>
      </c>
      <c r="CL774" s="469">
        <f>SUM(CL773:CL773)</f>
        <v>20881.37</v>
      </c>
      <c r="CM774" s="469">
        <f>SUM(CM773:CM773)</f>
        <v>2599.4499999999998</v>
      </c>
    </row>
    <row r="775" spans="41:91" ht="15" thickBot="1" x14ac:dyDescent="0.35">
      <c r="AR775" t="s">
        <v>1604</v>
      </c>
      <c r="AS775" s="462">
        <f>SUMIFS(AS2:AS698,G2:G698,"AGAP",E2:E698,"0402",F2:F698,"00",AT2:AT698,1)</f>
        <v>3.35</v>
      </c>
      <c r="AT775" s="462">
        <f>SUMIFS(AS2:AS698,G2:G698,"AGAP",E2:E698,"0402",F2:F698,"00",AT2:AT698,3)</f>
        <v>0</v>
      </c>
      <c r="AU775" s="462">
        <f>SUMIFS(AU2:AU698,G2:G698,"AGAP",E2:E698,"0402",F2:F698,"00")</f>
        <v>4.75</v>
      </c>
      <c r="AV775" s="462">
        <f>SUMIFS(AV2:AV698,G2:G698,"AGAP",E2:E698,"0402",F2:F698,"00")</f>
        <v>0</v>
      </c>
      <c r="AW775" s="462">
        <f>SUMIFS(AW2:AW698,G2:G698,"AGAP",E2:E698,"0402",F2:F698,"00")</f>
        <v>18</v>
      </c>
      <c r="AX775" s="462">
        <f>SUMIFS(AX2:AX698,G2:G698,"AGAP",E2:E698,"0402",F2:F698,"00")</f>
        <v>191926.8</v>
      </c>
      <c r="AY775" s="462">
        <f>SUMIFS(AY2:AY698,G2:G698,"AGAP",E2:E698,"0402",F2:F698,"00")</f>
        <v>146718</v>
      </c>
      <c r="AZ775" s="462">
        <f>SUMIFS(AZ2:AZ698,G2:G698,"AGAP",E2:E698,"0402",F2:F698,"00")</f>
        <v>0</v>
      </c>
      <c r="BA775" s="462">
        <f>SUMIFS(BA2:BA698,G2:G698,"AGAP",E2:E698,"0402",F2:F698,"00")</f>
        <v>0</v>
      </c>
      <c r="BB775" s="462">
        <f>SUMIFS(BB2:BB698,G2:G698,"AGAP",E2:E698,"0402",F2:F698,"00")</f>
        <v>41940</v>
      </c>
      <c r="BC775" s="462">
        <f>SUMIFS(BC2:BC698,G2:G698,"AGAP",E2:E698,"0402",F2:F698,"00")</f>
        <v>0</v>
      </c>
      <c r="BD775" s="462">
        <f>SUMIFS(BD2:BD698,G2:G698,"AGAP",E2:E698,"0402",F2:F698,"00")</f>
        <v>9096.5159999999996</v>
      </c>
      <c r="BE775" s="462">
        <f>SUMIFS(BE2:BE698,G2:G698,"AGAP",E2:E698,"0402",F2:F698,"00")</f>
        <v>2127.4110000000001</v>
      </c>
      <c r="BF775" s="462">
        <f>SUMIFS(BF2:BF698,G2:G698,"AGAP",E2:E698,"0402",F2:F698,"00")</f>
        <v>17518.129199999999</v>
      </c>
      <c r="BG775" s="462">
        <f>SUMIFS(BG2:BG698,G2:G698,"AGAP",E2:E698,"0402",F2:F698,"00")</f>
        <v>1057.8367800000001</v>
      </c>
      <c r="BH775" s="462">
        <f>SUMIFS(BH2:BH698,G2:G698,"AGAP",E2:E698,"0402",F2:F698,"00")</f>
        <v>718.91819999999996</v>
      </c>
      <c r="BI775" s="462">
        <f>SUMIFS(BI2:BI698,G2:G698,"AGAP",E2:E698,"0402",F2:F698,"00")</f>
        <v>448.95707999999996</v>
      </c>
      <c r="BJ775" s="462">
        <f>SUMIFS(BJ2:BJ698,G2:G698,"AGAP",E2:E698,"0402",F2:F698,"00")</f>
        <v>2244.7854000000002</v>
      </c>
      <c r="BK775" s="462">
        <f>SUMIFS(BK2:BK698,G2:G698,"AGAP",E2:E698,"0402",F2:F698,"00")</f>
        <v>0</v>
      </c>
      <c r="BL775" s="462">
        <f>SUMIFS(BL2:BL698,G2:G698,"AGAP",E2:E698,"0402",F2:F698,"00")</f>
        <v>33212.553659999998</v>
      </c>
      <c r="BM775" s="462">
        <f>SUMIFS(BM2:BM698,G2:G698,"AGAP",E2:E698,"0402",F2:F698,"00")</f>
        <v>0</v>
      </c>
      <c r="BN775" s="462">
        <f>SUMIFS(BN2:BN698,G2:G698,"AGAP",E2:E698,"0402",F2:F698,"00")</f>
        <v>41940</v>
      </c>
      <c r="BO775" s="462">
        <f>SUMIFS(BO2:BO698,G2:G698,"AGAP",E2:E698,"0402",F2:F698,"00")</f>
        <v>0</v>
      </c>
      <c r="BP775" s="462">
        <f>SUMIFS(BP2:BP698,G2:G698,"AGAP",E2:E698,"0402",F2:F698,"00")</f>
        <v>9096.5159999999996</v>
      </c>
      <c r="BQ775" s="462">
        <f>SUMIFS(BQ2:BQ698,G2:G698,"AGAP",E2:E698,"0402",F2:F698,"00")</f>
        <v>2127.4110000000001</v>
      </c>
      <c r="BR775" s="462">
        <f>SUMIFS(BR2:BR698,G2:G698,"AGAP",E2:E698,"0402",F2:F698,"00")</f>
        <v>17518.129199999999</v>
      </c>
      <c r="BS775" s="462">
        <f>SUMIFS(BS2:BS698,G2:G698,"AGAP",E2:E698,"0402",F2:F698,"00")</f>
        <v>1057.8367800000001</v>
      </c>
      <c r="BT775" s="462">
        <f>SUMIFS(BT2:BT698,G2:G698,"AGAP",E2:E698,"0402",F2:F698,"00")</f>
        <v>0</v>
      </c>
      <c r="BU775" s="462">
        <f>SUMIFS(BU2:BU698,G2:G698,"AGAP",E2:E698,"0402",F2:F698,"00")</f>
        <v>448.95707999999996</v>
      </c>
      <c r="BV775" s="462">
        <f>SUMIFS(BV2:BV698,G2:G698,"AGAP",E2:E698,"0402",F2:F698,"00")</f>
        <v>2582.2368000000001</v>
      </c>
      <c r="BW775" s="462">
        <f>SUMIFS(BW2:BW698,G2:G698,"AGAP",E2:E698,"0402",F2:F698,"00")</f>
        <v>0</v>
      </c>
      <c r="BX775" s="462">
        <f>SUMIFS(BX2:BX698,G2:G698,"AGAP",E2:E698,"0402",F2:F698,"00")</f>
        <v>32831.086860000003</v>
      </c>
      <c r="BY775" s="462">
        <f>SUMIFS(BY2:BY698,G2:G698,"AGAP",E2:E698,"0402",F2:F698,"00")</f>
        <v>0</v>
      </c>
      <c r="BZ775" s="462">
        <f>SUMIFS(BZ2:BZ698,G2:G698,"AGAP",E2:E698,"0402",F2:F698,"00")</f>
        <v>0</v>
      </c>
      <c r="CA775" s="462">
        <f>SUMIFS(CA2:CA698,G2:G698,"AGAP",E2:E698,"0402",F2:F698,"00")</f>
        <v>0</v>
      </c>
      <c r="CB775" s="462">
        <f>SUMIFS(CB2:CB698,G2:G698,"AGAP",E2:E698,"0402",F2:F698,"00")</f>
        <v>0</v>
      </c>
      <c r="CC775" s="462">
        <f>SUMIFS(CC2:CC698,G2:G698,"AGAP",E2:E698,"0402",F2:F698,"00")</f>
        <v>0</v>
      </c>
      <c r="CD775" s="462">
        <f>SUMIFS(CD2:CD698,G2:G698,"AGAP",E2:E698,"0402",F2:F698,"00")</f>
        <v>0</v>
      </c>
      <c r="CE775" s="462">
        <f>SUMIFS(CE2:CE698,G2:G698,"AGAP",E2:E698,"0402",F2:F698,"00")</f>
        <v>0</v>
      </c>
      <c r="CF775" s="462">
        <f>SUMIFS(CF2:CF698,G2:G698,"AGAP",E2:E698,"0402",F2:F698,"00")</f>
        <v>-718.91819999999996</v>
      </c>
      <c r="CG775" s="462">
        <f>SUMIFS(CG2:CG698,G2:G698,"AGAP",E2:E698,"0402",F2:F698,"00")</f>
        <v>0</v>
      </c>
      <c r="CH775" s="462">
        <f>SUMIFS(CH2:CH698,G2:G698,"AGAP",E2:E698,"0402",F2:F698,"00")</f>
        <v>337.45140000000026</v>
      </c>
      <c r="CI775" s="462">
        <f>SUMIFS(CI2:CI698,G2:G698,"AGAP",E2:E698,"0402",F2:F698,"00")</f>
        <v>0</v>
      </c>
      <c r="CJ775" s="462">
        <f>SUMIFS(CJ2:CJ698,G2:G698,"AGAP",E2:E698,"0402",F2:F698,"00")</f>
        <v>-381.46679999999975</v>
      </c>
      <c r="CK775" s="462">
        <f>SUMIFS(CK2:CK698,G2:G698,"AGAP",E2:E698,"0402",F2:F698,"00")</f>
        <v>0</v>
      </c>
      <c r="CL775" s="462">
        <f>SUMIFS(CL2:CL698,G2:G698,"AGAP",E2:E698,"0402",F2:F698,"00")</f>
        <v>6149.25</v>
      </c>
      <c r="CM775" s="462">
        <f>SUMIFS(CM2:CM698,G2:G698,"AGAP",E2:E698,"0402",F2:F698,"00")</f>
        <v>723.41</v>
      </c>
    </row>
    <row r="776" spans="41:91" ht="18" x14ac:dyDescent="0.35">
      <c r="AQ776" s="468" t="s">
        <v>1605</v>
      </c>
      <c r="AS776" s="469">
        <f>SUM(AS775:AS775)</f>
        <v>3.35</v>
      </c>
      <c r="AT776" s="469">
        <f>SUM(AT775:AT775)</f>
        <v>0</v>
      </c>
      <c r="AU776" s="469">
        <f>SUM(AU775:AU775)</f>
        <v>4.75</v>
      </c>
      <c r="AV776" s="469">
        <f>SUM(AV775:AV775)</f>
        <v>0</v>
      </c>
      <c r="AW776" s="469">
        <f>SUM(AW775:AW775)</f>
        <v>18</v>
      </c>
      <c r="AX776" s="469">
        <f>SUM(AX775:AX775)</f>
        <v>191926.8</v>
      </c>
      <c r="AY776" s="469">
        <f>SUM(AY775:AY775)</f>
        <v>146718</v>
      </c>
      <c r="AZ776" s="469">
        <f>SUM(AZ775:AZ775)</f>
        <v>0</v>
      </c>
      <c r="BA776" s="469">
        <f>SUM(BA775:BA775)</f>
        <v>0</v>
      </c>
      <c r="BB776" s="469">
        <f>SUM(BB775:BB775)</f>
        <v>41940</v>
      </c>
      <c r="BC776" s="469">
        <f>SUM(BC775:BC775)</f>
        <v>0</v>
      </c>
      <c r="BD776" s="469">
        <f>SUM(BD775:BD775)</f>
        <v>9096.5159999999996</v>
      </c>
      <c r="BE776" s="469">
        <f>SUM(BE775:BE775)</f>
        <v>2127.4110000000001</v>
      </c>
      <c r="BF776" s="469">
        <f>SUM(BF775:BF775)</f>
        <v>17518.129199999999</v>
      </c>
      <c r="BG776" s="469">
        <f>SUM(BG775:BG775)</f>
        <v>1057.8367800000001</v>
      </c>
      <c r="BH776" s="469">
        <f>SUM(BH775:BH775)</f>
        <v>718.91819999999996</v>
      </c>
      <c r="BI776" s="469">
        <f>SUM(BI775:BI775)</f>
        <v>448.95707999999996</v>
      </c>
      <c r="BJ776" s="469">
        <f>SUM(BJ775:BJ775)</f>
        <v>2244.7854000000002</v>
      </c>
      <c r="BK776" s="469">
        <f>SUM(BK775:BK775)</f>
        <v>0</v>
      </c>
      <c r="BL776" s="469">
        <f>SUM(BL775:BL775)</f>
        <v>33212.553659999998</v>
      </c>
      <c r="BM776" s="469">
        <f>SUM(BM775:BM775)</f>
        <v>0</v>
      </c>
      <c r="BN776" s="469">
        <f>SUM(BN775:BN775)</f>
        <v>41940</v>
      </c>
      <c r="BO776" s="469">
        <f>SUM(BO775:BO775)</f>
        <v>0</v>
      </c>
      <c r="BP776" s="469">
        <f>SUM(BP775:BP775)</f>
        <v>9096.5159999999996</v>
      </c>
      <c r="BQ776" s="469">
        <f>SUM(BQ775:BQ775)</f>
        <v>2127.4110000000001</v>
      </c>
      <c r="BR776" s="469">
        <f>SUM(BR775:BR775)</f>
        <v>17518.129199999999</v>
      </c>
      <c r="BS776" s="469">
        <f>SUM(BS775:BS775)</f>
        <v>1057.8367800000001</v>
      </c>
      <c r="BT776" s="469">
        <f>SUM(BT775:BT775)</f>
        <v>0</v>
      </c>
      <c r="BU776" s="469">
        <f>SUM(BU775:BU775)</f>
        <v>448.95707999999996</v>
      </c>
      <c r="BV776" s="469">
        <f>SUM(BV775:BV775)</f>
        <v>2582.2368000000001</v>
      </c>
      <c r="BW776" s="469">
        <f>SUM(BW775:BW775)</f>
        <v>0</v>
      </c>
      <c r="BX776" s="469">
        <f>SUM(BX775:BX775)</f>
        <v>32831.086860000003</v>
      </c>
      <c r="BY776" s="469">
        <f>SUM(BY775:BY775)</f>
        <v>0</v>
      </c>
      <c r="BZ776" s="469">
        <f>SUM(BZ775:BZ775)</f>
        <v>0</v>
      </c>
      <c r="CA776" s="469">
        <f>SUM(CA775:CA775)</f>
        <v>0</v>
      </c>
      <c r="CB776" s="469">
        <f>SUM(CB775:CB775)</f>
        <v>0</v>
      </c>
      <c r="CC776" s="469">
        <f>SUM(CC775:CC775)</f>
        <v>0</v>
      </c>
      <c r="CD776" s="469">
        <f>SUM(CD775:CD775)</f>
        <v>0</v>
      </c>
      <c r="CE776" s="469">
        <f>SUM(CE775:CE775)</f>
        <v>0</v>
      </c>
      <c r="CF776" s="469">
        <f>SUM(CF775:CF775)</f>
        <v>-718.91819999999996</v>
      </c>
      <c r="CG776" s="469">
        <f>SUM(CG775:CG775)</f>
        <v>0</v>
      </c>
      <c r="CH776" s="469">
        <f>SUM(CH775:CH775)</f>
        <v>337.45140000000026</v>
      </c>
      <c r="CI776" s="469">
        <f>SUM(CI775:CI775)</f>
        <v>0</v>
      </c>
      <c r="CJ776" s="469">
        <f>SUM(CJ775:CJ775)</f>
        <v>-381.46679999999975</v>
      </c>
      <c r="CK776" s="469">
        <f>SUM(CK775:CK775)</f>
        <v>0</v>
      </c>
      <c r="CL776" s="469">
        <f>SUM(CL775:CL775)</f>
        <v>6149.25</v>
      </c>
      <c r="CM776" s="469">
        <f>SUM(CM775:CM775)</f>
        <v>723.41</v>
      </c>
    </row>
    <row r="778" spans="41:91" ht="21" x14ac:dyDescent="0.4">
      <c r="AO778" s="251" t="s">
        <v>97</v>
      </c>
      <c r="AP778" s="251"/>
      <c r="AQ778" s="251"/>
    </row>
    <row r="780" spans="41:91" ht="21" x14ac:dyDescent="0.4">
      <c r="AO780" s="252"/>
      <c r="AP780" s="252"/>
      <c r="AQ780" s="252"/>
    </row>
    <row r="781" spans="41:91" ht="15.6" x14ac:dyDescent="0.3">
      <c r="AS781" s="373" t="s">
        <v>83</v>
      </c>
      <c r="AT781" s="455" t="s">
        <v>1613</v>
      </c>
      <c r="AU781" s="455"/>
      <c r="AV781" s="456" t="s">
        <v>1611</v>
      </c>
      <c r="AW781" s="455" t="s">
        <v>1614</v>
      </c>
      <c r="AX781" s="455"/>
      <c r="AY781" s="456" t="s">
        <v>1612</v>
      </c>
      <c r="AZ781" s="455" t="s">
        <v>1615</v>
      </c>
      <c r="BA781" s="455"/>
    </row>
    <row r="782" spans="41:91" ht="15.6" x14ac:dyDescent="0.3">
      <c r="AS782" s="249"/>
      <c r="AT782" s="373" t="s">
        <v>94</v>
      </c>
      <c r="AU782" s="372" t="s">
        <v>96</v>
      </c>
      <c r="AV782" s="457"/>
      <c r="AW782" s="373" t="s">
        <v>98</v>
      </c>
      <c r="AX782" s="372" t="s">
        <v>95</v>
      </c>
      <c r="AY782" s="457"/>
      <c r="AZ782" s="373" t="s">
        <v>98</v>
      </c>
      <c r="BA782" s="372" t="s">
        <v>95</v>
      </c>
    </row>
    <row r="783" spans="41:91" x14ac:dyDescent="0.3">
      <c r="AO783" s="467" t="s">
        <v>1616</v>
      </c>
    </row>
    <row r="784" spans="41:91" x14ac:dyDescent="0.3">
      <c r="AQ784" t="s">
        <v>1443</v>
      </c>
      <c r="AS784" s="462">
        <f>SUM(SUMIFS(AS2:AS698,CN2:CN698,AQ784,E2:E698,"0001",F2:F698,"00",AT2:AT698,{1,3}))</f>
        <v>59.914999999999992</v>
      </c>
      <c r="AT784" s="462">
        <f>SUMPRODUCT(--(CN2:CN698=AQ784),--(N2:N698&lt;&gt;"NG"),--(AG2:AG698&lt;&gt;"D"),--(AR2:AR698&lt;&gt;6),--(AR2:AR698&lt;&gt;36),--(AR2:AR698&lt;&gt;56),T2:T698)+SUMPRODUCT(--(CN2:CN698=AQ784),--(N2:N698&lt;&gt;"NG"),--(AG2:AG698&lt;&gt;"D"),--(AR2:AR698&lt;&gt;6),--(AR2:AR698&lt;&gt;36),--(AR2:AR698&lt;&gt;56),U2:U698)</f>
        <v>3908202.3499999973</v>
      </c>
      <c r="AU784" s="462">
        <f>SUMPRODUCT(--(CN2:CN698=AQ784),--(N2:N698&lt;&gt;"NG"),--(AG2:AG698&lt;&gt;"D"),--(AR2:AR698&lt;&gt;6),--(AR2:AR698&lt;&gt;36),--(AR2:AR698&lt;&gt;56),V2:V698)</f>
        <v>1593211.3600000008</v>
      </c>
      <c r="AV784" s="462">
        <f>SUMPRODUCT(--(CN2:CN698=AQ784),AY2:AY698)+SUMPRODUCT(--(CN2:CN698=AQ784),AZ2:AZ698)</f>
        <v>3604911.41</v>
      </c>
      <c r="AW784" s="462">
        <f>SUMPRODUCT(--(CN2:CN698=AQ784),BB2:BB698)+SUMPRODUCT(--(CN2:CN698=AQ784),BC2:BC698)</f>
        <v>702961</v>
      </c>
      <c r="AX784" s="462">
        <f>SUMPRODUCT(--(CN2:CN698=AQ784),BL2:BL698)+SUMPRODUCT(--(CN2:CN698=AQ784),BM2:BM698)</f>
        <v>811387.19598730037</v>
      </c>
      <c r="AY784" s="462">
        <f>SUMPRODUCT(--(CN2:CN698=AQ784),AY2:AY698)+SUMPRODUCT(--(CN2:CN698=AQ784),AZ2:AZ698)+SUMPRODUCT(--(CN2:CN698=AQ784),BA2:BA698)</f>
        <v>3604911.41</v>
      </c>
      <c r="AZ784" s="462">
        <f>SUMPRODUCT(--(CN2:CN698=AQ784),BN2:BN698)+SUMPRODUCT(--(CN2:CN698=AQ784),BO2:BO698)</f>
        <v>702961</v>
      </c>
      <c r="BA784" s="462">
        <f>SUMPRODUCT(--(CN2:CN698=AQ784),BX2:BX698)+SUMPRODUCT(--(CN2:CN698=AQ784),BY2:BY698)</f>
        <v>803106.54328129999</v>
      </c>
    </row>
    <row r="785" spans="42:53" x14ac:dyDescent="0.3">
      <c r="AP785" t="s">
        <v>1617</v>
      </c>
      <c r="AS785" s="473">
        <f>SUM(AS784:AS784)</f>
        <v>59.914999999999992</v>
      </c>
      <c r="AT785" s="473">
        <f>SUM(AT784:AT784)</f>
        <v>3908202.3499999973</v>
      </c>
      <c r="AU785" s="473">
        <f>SUM(AU784:AU784)</f>
        <v>1593211.3600000008</v>
      </c>
      <c r="AV785" s="473">
        <f>SUM(AV784:AV784)</f>
        <v>3604911.41</v>
      </c>
      <c r="AW785" s="473">
        <f>SUM(AW784:AW784)</f>
        <v>702961</v>
      </c>
      <c r="AX785" s="473">
        <f>SUM(AX784:AX784)</f>
        <v>811387.19598730037</v>
      </c>
      <c r="AY785" s="473">
        <f>SUM(AY784:AY784)</f>
        <v>3604911.41</v>
      </c>
      <c r="AZ785" s="473">
        <f>SUM(AZ784:AZ784)</f>
        <v>702961</v>
      </c>
      <c r="BA785" s="473">
        <f>SUM(BA784:BA784)</f>
        <v>803106.54328129999</v>
      </c>
    </row>
    <row r="786" spans="42:53" x14ac:dyDescent="0.3">
      <c r="AQ786" t="s">
        <v>1449</v>
      </c>
      <c r="AS786" s="462">
        <f>SUM(SUMIFS(AS2:AS698,CN2:CN698,AQ786,E2:E698,"0125",F2:F698,"01",AT2:AT698,{1,3}))</f>
        <v>10.34</v>
      </c>
      <c r="AT786" s="462">
        <f>SUMPRODUCT(--(CN2:CN698=AQ786),--(N2:N698&lt;&gt;"NG"),--(AG2:AG698&lt;&gt;"D"),--(AR2:AR698&lt;&gt;6),--(AR2:AR698&lt;&gt;36),--(AR2:AR698&lt;&gt;56),T2:T698)+SUMPRODUCT(--(CN2:CN698=AQ786),--(N2:N698&lt;&gt;"NG"),--(AG2:AG698&lt;&gt;"D"),--(AR2:AR698&lt;&gt;6),--(AR2:AR698&lt;&gt;36),--(AR2:AR698&lt;&gt;56),U2:U698)</f>
        <v>552987.53</v>
      </c>
      <c r="AU786" s="462">
        <f>SUMPRODUCT(--(CN2:CN698=AQ786),--(N2:N698&lt;&gt;"NG"),--(AG2:AG698&lt;&gt;"D"),--(AR2:AR698&lt;&gt;6),--(AR2:AR698&lt;&gt;36),--(AR2:AR698&lt;&gt;56),V2:V698)</f>
        <v>239836.90999999997</v>
      </c>
      <c r="AV786" s="462">
        <f>SUMPRODUCT(--(CN2:CN698=AQ786),AY2:AY698)+SUMPRODUCT(--(CN2:CN698=AQ786),AZ2:AZ698)</f>
        <v>643493.12</v>
      </c>
      <c r="AW786" s="462">
        <f>SUMPRODUCT(--(CN2:CN698=AQ786),BB2:BB698)+SUMPRODUCT(--(CN2:CN698=AQ786),BC2:BC698)</f>
        <v>123373.5</v>
      </c>
      <c r="AX786" s="462">
        <f>SUMPRODUCT(--(CN2:CN698=AQ786),BL2:BL698)+SUMPRODUCT(--(CN2:CN698=AQ786),BM2:BM698)</f>
        <v>145166.16954879998</v>
      </c>
      <c r="AY786" s="462">
        <f>SUMPRODUCT(--(CN2:CN698=AQ786),AY2:AY698)+SUMPRODUCT(--(CN2:CN698=AQ786),AZ2:AZ698)+SUMPRODUCT(--(CN2:CN698=AQ786),BA2:BA698)</f>
        <v>643493.12</v>
      </c>
      <c r="AZ786" s="462">
        <f>SUMPRODUCT(--(CN2:CN698=AQ786),BN2:BN698)+SUMPRODUCT(--(CN2:CN698=AQ786),BO2:BO698)</f>
        <v>123373.5</v>
      </c>
      <c r="BA786" s="462">
        <f>SUMPRODUCT(--(CN2:CN698=AQ786),BX2:BX698)+SUMPRODUCT(--(CN2:CN698=AQ786),BY2:BY698)</f>
        <v>143493.08743680001</v>
      </c>
    </row>
    <row r="787" spans="42:53" x14ac:dyDescent="0.3">
      <c r="AQ787" t="s">
        <v>1454</v>
      </c>
      <c r="AS787" s="462">
        <f>SUM(SUMIFS(AS2:AS698,CN2:CN698,AQ787,E2:E698,"0125",F2:F698,"02",AT2:AT698,{1,3}))</f>
        <v>2</v>
      </c>
      <c r="AT787" s="462">
        <f>SUMPRODUCT(--(CN2:CN698=AQ787),--(N2:N698&lt;&gt;"NG"),--(AG2:AG698&lt;&gt;"D"),--(AR2:AR698&lt;&gt;6),--(AR2:AR698&lt;&gt;36),--(AR2:AR698&lt;&gt;56),T2:T698)+SUMPRODUCT(--(CN2:CN698=AQ787),--(N2:N698&lt;&gt;"NG"),--(AG2:AG698&lt;&gt;"D"),--(AR2:AR698&lt;&gt;6),--(AR2:AR698&lt;&gt;36),--(AR2:AR698&lt;&gt;56),U2:U698)</f>
        <v>72596.83</v>
      </c>
      <c r="AU787" s="462">
        <f>SUMPRODUCT(--(CN2:CN698=AQ787),--(N2:N698&lt;&gt;"NG"),--(AG2:AG698&lt;&gt;"D"),--(AR2:AR698&lt;&gt;6),--(AR2:AR698&lt;&gt;36),--(AR2:AR698&lt;&gt;56),V2:V698)</f>
        <v>40525.39</v>
      </c>
      <c r="AV787" s="462">
        <f>SUMPRODUCT(--(CN2:CN698=AQ787),AY2:AY698)+SUMPRODUCT(--(CN2:CN698=AQ787),AZ2:AZ698)</f>
        <v>76356.799999999988</v>
      </c>
      <c r="AW787" s="462">
        <f>SUMPRODUCT(--(CN2:CN698=AQ787),BB2:BB698)+SUMPRODUCT(--(CN2:CN698=AQ787),BC2:BC698)</f>
        <v>23300</v>
      </c>
      <c r="AX787" s="462">
        <f>SUMPRODUCT(--(CN2:CN698=AQ787),BL2:BL698)+SUMPRODUCT(--(CN2:CN698=AQ787),BM2:BM698)</f>
        <v>17284.888815999999</v>
      </c>
      <c r="AY787" s="462">
        <f>SUMPRODUCT(--(CN2:CN698=AQ787),AY2:AY698)+SUMPRODUCT(--(CN2:CN698=AQ787),AZ2:AZ698)+SUMPRODUCT(--(CN2:CN698=AQ787),BA2:BA698)</f>
        <v>76356.799999999988</v>
      </c>
      <c r="AZ787" s="462">
        <f>SUMPRODUCT(--(CN2:CN698=AQ787),BN2:BN698)+SUMPRODUCT(--(CN2:CN698=AQ787),BO2:BO698)</f>
        <v>23300</v>
      </c>
      <c r="BA787" s="462">
        <f>SUMPRODUCT(--(CN2:CN698=AQ787),BX2:BX698)+SUMPRODUCT(--(CN2:CN698=AQ787),BY2:BY698)</f>
        <v>17086.361136</v>
      </c>
    </row>
    <row r="788" spans="42:53" x14ac:dyDescent="0.3">
      <c r="AP788" t="s">
        <v>1618</v>
      </c>
      <c r="AS788" s="473">
        <f>SUM(AS786:AS787)</f>
        <v>12.34</v>
      </c>
      <c r="AT788" s="473">
        <f>SUM(AT786:AT787)</f>
        <v>625584.36</v>
      </c>
      <c r="AU788" s="473">
        <f>SUM(AU786:AU787)</f>
        <v>280362.3</v>
      </c>
      <c r="AV788" s="473">
        <f>SUM(AV786:AV787)</f>
        <v>719849.91999999993</v>
      </c>
      <c r="AW788" s="473">
        <f>SUM(AW786:AW787)</f>
        <v>146673.5</v>
      </c>
      <c r="AX788" s="473">
        <f>SUM(AX786:AX787)</f>
        <v>162451.05836479997</v>
      </c>
      <c r="AY788" s="473">
        <f>SUM(AY786:AY787)</f>
        <v>719849.91999999993</v>
      </c>
      <c r="AZ788" s="473">
        <f>SUM(AZ786:AZ787)</f>
        <v>146673.5</v>
      </c>
      <c r="BA788" s="473">
        <f>SUM(BA786:BA787)</f>
        <v>160579.4485728</v>
      </c>
    </row>
    <row r="789" spans="42:53" x14ac:dyDescent="0.3">
      <c r="AQ789" t="s">
        <v>1619</v>
      </c>
      <c r="AS789" s="462">
        <f>SUM(SUMIFS(AS2:AS698,CN2:CN698,AQ789,E2:E698,"0330",F2:F698,"01",AT2:AT698,{1,3}))</f>
        <v>8.44</v>
      </c>
      <c r="AT789" s="462">
        <f>SUMPRODUCT(--(CN2:CN698=AQ789),--(N2:N698&lt;&gt;"NG"),--(AG2:AG698&lt;&gt;"D"),--(AR2:AR698&lt;&gt;6),--(AR2:AR698&lt;&gt;36),--(AR2:AR698&lt;&gt;56),T2:T698)+SUMPRODUCT(--(CN2:CN698=AQ789),--(N2:N698&lt;&gt;"NG"),--(AG2:AG698&lt;&gt;"D"),--(AR2:AR698&lt;&gt;6),--(AR2:AR698&lt;&gt;36),--(AR2:AR698&lt;&gt;56),U2:U698)</f>
        <v>375784.95000000007</v>
      </c>
      <c r="AU789" s="462">
        <f>SUMPRODUCT(--(CN2:CN698=AQ789),--(N2:N698&lt;&gt;"NG"),--(AG2:AG698&lt;&gt;"D"),--(AR2:AR698&lt;&gt;6),--(AR2:AR698&lt;&gt;36),--(AR2:AR698&lt;&gt;56),V2:V698)</f>
        <v>179999.88</v>
      </c>
      <c r="AV789" s="462">
        <f>SUMPRODUCT(--(CN2:CN698=AQ789),AY2:AY698)+SUMPRODUCT(--(CN2:CN698=AQ789),AZ2:AZ698)</f>
        <v>387316.17000000004</v>
      </c>
      <c r="AW789" s="462">
        <f>SUMPRODUCT(--(CN2:CN698=AQ789),BB2:BB698)+SUMPRODUCT(--(CN2:CN698=AQ789),BC2:BC698)</f>
        <v>98326</v>
      </c>
      <c r="AX789" s="462">
        <f>SUMPRODUCT(--(CN2:CN698=AQ789),BL2:BL698)+SUMPRODUCT(--(CN2:CN698=AQ789),BM2:BM698)</f>
        <v>87676.761402900011</v>
      </c>
      <c r="AY789" s="462">
        <f>SUMPRODUCT(--(CN2:CN698=AQ789),AY2:AY698)+SUMPRODUCT(--(CN2:CN698=AQ789),AZ2:AZ698)+SUMPRODUCT(--(CN2:CN698=AQ789),BA2:BA698)</f>
        <v>387316.17000000004</v>
      </c>
      <c r="AZ789" s="462">
        <f>SUMPRODUCT(--(CN2:CN698=AQ789),BN2:BN698)+SUMPRODUCT(--(CN2:CN698=AQ789),BO2:BO698)</f>
        <v>98326</v>
      </c>
      <c r="BA789" s="462">
        <f>SUMPRODUCT(--(CN2:CN698=AQ789),BX2:BX698)+SUMPRODUCT(--(CN2:CN698=AQ789),BY2:BY698)</f>
        <v>86669.739360900014</v>
      </c>
    </row>
    <row r="790" spans="42:53" x14ac:dyDescent="0.3">
      <c r="AQ790" t="s">
        <v>1620</v>
      </c>
      <c r="AS790" s="462">
        <f>SUM(SUMIFS(AS2:AS698,CN2:CN698,AQ790,E2:E698,"0330",F2:F698,"02",AT2:AT698,{1,3}))</f>
        <v>0.35</v>
      </c>
      <c r="AT790" s="462">
        <f>SUMPRODUCT(--(CN2:CN698=AQ790),--(N2:N698&lt;&gt;"NG"),--(AG2:AG698&lt;&gt;"D"),--(AR2:AR698&lt;&gt;6),--(AR2:AR698&lt;&gt;36),--(AR2:AR698&lt;&gt;56),T2:T698)+SUMPRODUCT(--(CN2:CN698=AQ790),--(N2:N698&lt;&gt;"NG"),--(AG2:AG698&lt;&gt;"D"),--(AR2:AR698&lt;&gt;6),--(AR2:AR698&lt;&gt;36),--(AR2:AR698&lt;&gt;56),U2:U698)</f>
        <v>97599.409999999974</v>
      </c>
      <c r="AU790" s="462">
        <f>SUMPRODUCT(--(CN2:CN698=AQ790),--(N2:N698&lt;&gt;"NG"),--(AG2:AG698&lt;&gt;"D"),--(AR2:AR698&lt;&gt;6),--(AR2:AR698&lt;&gt;36),--(AR2:AR698&lt;&gt;56),V2:V698)</f>
        <v>30549.75</v>
      </c>
      <c r="AV790" s="462">
        <f>SUMPRODUCT(--(CN2:CN698=AQ790),AY2:AY698)+SUMPRODUCT(--(CN2:CN698=AQ790),AZ2:AZ698)</f>
        <v>23550.799999999999</v>
      </c>
      <c r="AW790" s="462">
        <f>SUMPRODUCT(--(CN2:CN698=AQ790),BB2:BB698)+SUMPRODUCT(--(CN2:CN698=AQ790),BC2:BC698)</f>
        <v>4077.4999999999995</v>
      </c>
      <c r="AX790" s="462">
        <f>SUMPRODUCT(--(CN2:CN698=AQ790),BL2:BL698)+SUMPRODUCT(--(CN2:CN698=AQ790),BM2:BM698)</f>
        <v>5331.1945960000003</v>
      </c>
      <c r="AY790" s="462">
        <f>SUMPRODUCT(--(CN2:CN698=AQ790),AY2:AY698)+SUMPRODUCT(--(CN2:CN698=AQ790),AZ2:AZ698)+SUMPRODUCT(--(CN2:CN698=AQ790),BA2:BA698)</f>
        <v>23550.799999999999</v>
      </c>
      <c r="AZ790" s="462">
        <f>SUMPRODUCT(--(CN2:CN698=AQ790),BN2:BN698)+SUMPRODUCT(--(CN2:CN698=AQ790),BO2:BO698)</f>
        <v>4077.4999999999995</v>
      </c>
      <c r="BA790" s="462">
        <f>SUMPRODUCT(--(CN2:CN698=AQ790),BX2:BX698)+SUMPRODUCT(--(CN2:CN698=AQ790),BY2:BY698)</f>
        <v>5269.9625160000014</v>
      </c>
    </row>
    <row r="791" spans="42:53" x14ac:dyDescent="0.3">
      <c r="AQ791" t="s">
        <v>1621</v>
      </c>
      <c r="AS791" s="462">
        <f>SUM(SUMIFS(AS2:AS698,CN2:CN698,AQ791,E2:E698,"0330",F2:F698,"05",AT2:AT698,{1,3}))</f>
        <v>0</v>
      </c>
      <c r="AT791" s="462">
        <f>SUMPRODUCT(--(CN2:CN698=AQ791),--(N2:N698&lt;&gt;"NG"),--(AG2:AG698&lt;&gt;"D"),--(AR2:AR698&lt;&gt;6),--(AR2:AR698&lt;&gt;36),--(AR2:AR698&lt;&gt;56),T2:T698)+SUMPRODUCT(--(CN2:CN698=AQ791),--(N2:N698&lt;&gt;"NG"),--(AG2:AG698&lt;&gt;"D"),--(AR2:AR698&lt;&gt;6),--(AR2:AR698&lt;&gt;36),--(AR2:AR698&lt;&gt;56),U2:U698)</f>
        <v>18282.920000000002</v>
      </c>
      <c r="AU791" s="462">
        <f>SUMPRODUCT(--(CN2:CN698=AQ791),--(N2:N698&lt;&gt;"NG"),--(AG2:AG698&lt;&gt;"D"),--(AR2:AR698&lt;&gt;6),--(AR2:AR698&lt;&gt;36),--(AR2:AR698&lt;&gt;56),V2:V698)</f>
        <v>8552.7199999999975</v>
      </c>
      <c r="AV791" s="462">
        <f>SUMPRODUCT(--(CN2:CN698=AQ791),AY2:AY698)+SUMPRODUCT(--(CN2:CN698=AQ791),AZ2:AZ698)</f>
        <v>0</v>
      </c>
      <c r="AW791" s="462">
        <f>SUMPRODUCT(--(CN2:CN698=AQ791),BB2:BB698)+SUMPRODUCT(--(CN2:CN698=AQ791),BC2:BC698)</f>
        <v>0</v>
      </c>
      <c r="AX791" s="462">
        <f>SUMPRODUCT(--(CN2:CN698=AQ791),BL2:BL698)+SUMPRODUCT(--(CN2:CN698=AQ791),BM2:BM698)</f>
        <v>0</v>
      </c>
      <c r="AY791" s="462">
        <f>SUMPRODUCT(--(CN2:CN698=AQ791),AY2:AY698)+SUMPRODUCT(--(CN2:CN698=AQ791),AZ2:AZ698)+SUMPRODUCT(--(CN2:CN698=AQ791),BA2:BA698)</f>
        <v>0</v>
      </c>
      <c r="AZ791" s="462">
        <f>SUMPRODUCT(--(CN2:CN698=AQ791),BN2:BN698)+SUMPRODUCT(--(CN2:CN698=AQ791),BO2:BO698)</f>
        <v>0</v>
      </c>
      <c r="BA791" s="462">
        <f>SUMPRODUCT(--(CN2:CN698=AQ791),BX2:BX698)+SUMPRODUCT(--(CN2:CN698=AQ791),BY2:BY698)</f>
        <v>0</v>
      </c>
    </row>
    <row r="792" spans="42:53" x14ac:dyDescent="0.3">
      <c r="AQ792" t="s">
        <v>1622</v>
      </c>
      <c r="AS792" s="462">
        <f>SUM(SUMIFS(AS2:AS698,CN2:CN698,AQ792,E2:E698,"0330",F2:F698,"07",AT2:AT698,{1,3}))</f>
        <v>0.05</v>
      </c>
      <c r="AT792" s="462">
        <f>SUMPRODUCT(--(CN2:CN698=AQ792),--(N2:N698&lt;&gt;"NG"),--(AG2:AG698&lt;&gt;"D"),--(AR2:AR698&lt;&gt;6),--(AR2:AR698&lt;&gt;36),--(AR2:AR698&lt;&gt;56),T2:T698)+SUMPRODUCT(--(CN2:CN698=AQ792),--(N2:N698&lt;&gt;"NG"),--(AG2:AG698&lt;&gt;"D"),--(AR2:AR698&lt;&gt;6),--(AR2:AR698&lt;&gt;36),--(AR2:AR698&lt;&gt;56),U2:U698)</f>
        <v>107.62</v>
      </c>
      <c r="AU792" s="462">
        <f>SUMPRODUCT(--(CN2:CN698=AQ792),--(N2:N698&lt;&gt;"NG"),--(AG2:AG698&lt;&gt;"D"),--(AR2:AR698&lt;&gt;6),--(AR2:AR698&lt;&gt;36),--(AR2:AR698&lt;&gt;56),V2:V698)</f>
        <v>57.22</v>
      </c>
      <c r="AV792" s="462">
        <f>SUMPRODUCT(--(CN2:CN698=AQ792),AY2:AY698)+SUMPRODUCT(--(CN2:CN698=AQ792),AZ2:AZ698)</f>
        <v>1731.6</v>
      </c>
      <c r="AW792" s="462">
        <f>SUMPRODUCT(--(CN2:CN698=AQ792),BB2:BB698)+SUMPRODUCT(--(CN2:CN698=AQ792),BC2:BC698)</f>
        <v>582.5</v>
      </c>
      <c r="AX792" s="462">
        <f>SUMPRODUCT(--(CN2:CN698=AQ792),BL2:BL698)+SUMPRODUCT(--(CN2:CN698=AQ792),BM2:BM698)</f>
        <v>391.98229199999997</v>
      </c>
      <c r="AY792" s="462">
        <f>SUMPRODUCT(--(CN2:CN698=AQ792),AY2:AY698)+SUMPRODUCT(--(CN2:CN698=AQ792),AZ2:AZ698)+SUMPRODUCT(--(CN2:CN698=AQ792),BA2:BA698)</f>
        <v>1731.6</v>
      </c>
      <c r="AZ792" s="462">
        <f>SUMPRODUCT(--(CN2:CN698=AQ792),BN2:BN698)+SUMPRODUCT(--(CN2:CN698=AQ792),BO2:BO698)</f>
        <v>582.5</v>
      </c>
      <c r="BA792" s="462">
        <f>SUMPRODUCT(--(CN2:CN698=AQ792),BX2:BX698)+SUMPRODUCT(--(CN2:CN698=AQ792),BY2:BY698)</f>
        <v>387.48013199999997</v>
      </c>
    </row>
    <row r="793" spans="42:53" x14ac:dyDescent="0.3">
      <c r="AQ793" t="s">
        <v>1623</v>
      </c>
      <c r="AS793" s="462">
        <f>SUM(SUMIFS(AS2:AS698,CN2:CN698,AQ793,E2:E698,"0330",F2:F698,"08",AT2:AT698,{1,3}))</f>
        <v>0.1</v>
      </c>
      <c r="AT793" s="462">
        <f>SUMPRODUCT(--(CN2:CN698=AQ793),--(N2:N698&lt;&gt;"NG"),--(AG2:AG698&lt;&gt;"D"),--(AR2:AR698&lt;&gt;6),--(AR2:AR698&lt;&gt;36),--(AR2:AR698&lt;&gt;56),T2:T698)+SUMPRODUCT(--(CN2:CN698=AQ793),--(N2:N698&lt;&gt;"NG"),--(AG2:AG698&lt;&gt;"D"),--(AR2:AR698&lt;&gt;6),--(AR2:AR698&lt;&gt;36),--(AR2:AR698&lt;&gt;56),U2:U698)</f>
        <v>6572.39</v>
      </c>
      <c r="AU793" s="462">
        <f>SUMPRODUCT(--(CN2:CN698=AQ793),--(N2:N698&lt;&gt;"NG"),--(AG2:AG698&lt;&gt;"D"),--(AR2:AR698&lt;&gt;6),--(AR2:AR698&lt;&gt;36),--(AR2:AR698&lt;&gt;56),V2:V698)</f>
        <v>3334.0600000000004</v>
      </c>
      <c r="AV793" s="462">
        <f>SUMPRODUCT(--(CN2:CN698=AQ793),AY2:AY698)+SUMPRODUCT(--(CN2:CN698=AQ793),AZ2:AZ698)</f>
        <v>3839.68</v>
      </c>
      <c r="AW793" s="462">
        <f>SUMPRODUCT(--(CN2:CN698=AQ793),BB2:BB698)+SUMPRODUCT(--(CN2:CN698=AQ793),BC2:BC698)</f>
        <v>1165</v>
      </c>
      <c r="AX793" s="462">
        <f>SUMPRODUCT(--(CN2:CN698=AQ793),BL2:BL698)+SUMPRODUCT(--(CN2:CN698=AQ793),BM2:BM698)</f>
        <v>869.18836160000012</v>
      </c>
      <c r="AY793" s="462">
        <f>SUMPRODUCT(--(CN2:CN698=AQ793),AY2:AY698)+SUMPRODUCT(--(CN2:CN698=AQ793),AZ2:AZ698)+SUMPRODUCT(--(CN2:CN698=AQ793),BA2:BA698)</f>
        <v>3839.68</v>
      </c>
      <c r="AZ793" s="462">
        <f>SUMPRODUCT(--(CN2:CN698=AQ793),BN2:BN698)+SUMPRODUCT(--(CN2:CN698=AQ793),BO2:BO698)</f>
        <v>1165</v>
      </c>
      <c r="BA793" s="462">
        <f>SUMPRODUCT(--(CN2:CN698=AQ793),BX2:BX698)+SUMPRODUCT(--(CN2:CN698=AQ793),BY2:BY698)</f>
        <v>859.20519360000003</v>
      </c>
    </row>
    <row r="794" spans="42:53" x14ac:dyDescent="0.3">
      <c r="AQ794" t="s">
        <v>1624</v>
      </c>
      <c r="AS794" s="462">
        <f>SUM(SUMIFS(AS2:AS698,CN2:CN698,AQ794,E2:E698,"0330",F2:F698,"09",AT2:AT698,{1,3}))</f>
        <v>0</v>
      </c>
      <c r="AT794" s="462">
        <f>SUMPRODUCT(--(CN2:CN698=AQ794),--(N2:N698&lt;&gt;"NG"),--(AG2:AG698&lt;&gt;"D"),--(AR2:AR698&lt;&gt;6),--(AR2:AR698&lt;&gt;36),--(AR2:AR698&lt;&gt;56),T2:T698)+SUMPRODUCT(--(CN2:CN698=AQ794),--(N2:N698&lt;&gt;"NG"),--(AG2:AG698&lt;&gt;"D"),--(AR2:AR698&lt;&gt;6),--(AR2:AR698&lt;&gt;36),--(AR2:AR698&lt;&gt;56),U2:U698)</f>
        <v>47.3</v>
      </c>
      <c r="AU794" s="462">
        <f>SUMPRODUCT(--(CN2:CN698=AQ794),--(N2:N698&lt;&gt;"NG"),--(AG2:AG698&lt;&gt;"D"),--(AR2:AR698&lt;&gt;6),--(AR2:AR698&lt;&gt;36),--(AR2:AR698&lt;&gt;56),V2:V698)</f>
        <v>11.88</v>
      </c>
      <c r="AV794" s="462">
        <f>SUMPRODUCT(--(CN2:CN698=AQ794),AY2:AY698)+SUMPRODUCT(--(CN2:CN698=AQ794),AZ2:AZ698)</f>
        <v>0</v>
      </c>
      <c r="AW794" s="462">
        <f>SUMPRODUCT(--(CN2:CN698=AQ794),BB2:BB698)+SUMPRODUCT(--(CN2:CN698=AQ794),BC2:BC698)</f>
        <v>0</v>
      </c>
      <c r="AX794" s="462">
        <f>SUMPRODUCT(--(CN2:CN698=AQ794),BL2:BL698)+SUMPRODUCT(--(CN2:CN698=AQ794),BM2:BM698)</f>
        <v>0</v>
      </c>
      <c r="AY794" s="462">
        <f>SUMPRODUCT(--(CN2:CN698=AQ794),AY2:AY698)+SUMPRODUCT(--(CN2:CN698=AQ794),AZ2:AZ698)+SUMPRODUCT(--(CN2:CN698=AQ794),BA2:BA698)</f>
        <v>0</v>
      </c>
      <c r="AZ794" s="462">
        <f>SUMPRODUCT(--(CN2:CN698=AQ794),BN2:BN698)+SUMPRODUCT(--(CN2:CN698=AQ794),BO2:BO698)</f>
        <v>0</v>
      </c>
      <c r="BA794" s="462">
        <f>SUMPRODUCT(--(CN2:CN698=AQ794),BX2:BX698)+SUMPRODUCT(--(CN2:CN698=AQ794),BY2:BY698)</f>
        <v>0</v>
      </c>
    </row>
    <row r="795" spans="42:53" x14ac:dyDescent="0.3">
      <c r="AQ795" t="s">
        <v>1530</v>
      </c>
      <c r="AS795" s="462">
        <f>SUM(SUMIFS(AS2:AS698,CN2:CN698,AQ795,E2:E698,"0330",F2:F698,"12",AT2:AT698,{1,3}))</f>
        <v>3.7</v>
      </c>
      <c r="AT795" s="462">
        <f>SUMPRODUCT(--(CN2:CN698=AQ795),--(N2:N698&lt;&gt;"NG"),--(AG2:AG698&lt;&gt;"D"),--(AR2:AR698&lt;&gt;6),--(AR2:AR698&lt;&gt;36),--(AR2:AR698&lt;&gt;56),T2:T698)+SUMPRODUCT(--(CN2:CN698=AQ795),--(N2:N698&lt;&gt;"NG"),--(AG2:AG698&lt;&gt;"D"),--(AR2:AR698&lt;&gt;6),--(AR2:AR698&lt;&gt;36),--(AR2:AR698&lt;&gt;56),U2:U698)</f>
        <v>265339.27</v>
      </c>
      <c r="AU795" s="462">
        <f>SUMPRODUCT(--(CN2:CN698=AQ795),--(N2:N698&lt;&gt;"NG"),--(AG2:AG698&lt;&gt;"D"),--(AR2:AR698&lt;&gt;6),--(AR2:AR698&lt;&gt;36),--(AR2:AR698&lt;&gt;56),V2:V698)</f>
        <v>104030.85</v>
      </c>
      <c r="AV795" s="462">
        <f>SUMPRODUCT(--(CN2:CN698=AQ795),AY2:AY698)+SUMPRODUCT(--(CN2:CN698=AQ795),AZ2:AZ698)</f>
        <v>219941.28</v>
      </c>
      <c r="AW795" s="462">
        <f>SUMPRODUCT(--(CN2:CN698=AQ795),BB2:BB698)+SUMPRODUCT(--(CN2:CN698=AQ795),BC2:BC698)</f>
        <v>43105</v>
      </c>
      <c r="AX795" s="462">
        <f>SUMPRODUCT(--(CN2:CN698=AQ795),BL2:BL698)+SUMPRODUCT(--(CN2:CN698=AQ795),BM2:BM698)</f>
        <v>49788.107553599984</v>
      </c>
      <c r="AY795" s="462">
        <f>SUMPRODUCT(--(CN2:CN698=AQ795),AY2:AY698)+SUMPRODUCT(--(CN2:CN698=AQ795),AZ2:AZ698)+SUMPRODUCT(--(CN2:CN698=AQ795),BA2:BA698)</f>
        <v>219941.28</v>
      </c>
      <c r="AZ795" s="462">
        <f>SUMPRODUCT(--(CN2:CN698=AQ795),BN2:BN698)+SUMPRODUCT(--(CN2:CN698=AQ795),BO2:BO698)</f>
        <v>43105</v>
      </c>
      <c r="BA795" s="462">
        <f>SUMPRODUCT(--(CN2:CN698=AQ795),BX2:BX698)+SUMPRODUCT(--(CN2:CN698=AQ795),BY2:BY698)</f>
        <v>49216.260225599995</v>
      </c>
    </row>
    <row r="796" spans="42:53" x14ac:dyDescent="0.3">
      <c r="AQ796" t="s">
        <v>1509</v>
      </c>
      <c r="AS796" s="462">
        <f>SUM(SUMIFS(AS2:AS698,CN2:CN698,AQ796,E2:E698,"0330",F2:F698,"13",AT2:AT698,{1,3}))</f>
        <v>3.34</v>
      </c>
      <c r="AT796" s="462">
        <f>SUMPRODUCT(--(CN2:CN698=AQ796),--(N2:N698&lt;&gt;"NG"),--(AG2:AG698&lt;&gt;"D"),--(AR2:AR698&lt;&gt;6),--(AR2:AR698&lt;&gt;36),--(AR2:AR698&lt;&gt;56),T2:T698)+SUMPRODUCT(--(CN2:CN698=AQ796),--(N2:N698&lt;&gt;"NG"),--(AG2:AG698&lt;&gt;"D"),--(AR2:AR698&lt;&gt;6),--(AR2:AR698&lt;&gt;36),--(AR2:AR698&lt;&gt;56),U2:U698)</f>
        <v>106388.98</v>
      </c>
      <c r="AU796" s="462">
        <f>SUMPRODUCT(--(CN2:CN698=AQ796),--(N2:N698&lt;&gt;"NG"),--(AG2:AG698&lt;&gt;"D"),--(AR2:AR698&lt;&gt;6),--(AR2:AR698&lt;&gt;36),--(AR2:AR698&lt;&gt;56),V2:V698)</f>
        <v>41417.25</v>
      </c>
      <c r="AV796" s="462">
        <f>SUMPRODUCT(--(CN2:CN698=AQ796),AY2:AY698)+SUMPRODUCT(--(CN2:CN698=AQ796),AZ2:AZ698)</f>
        <v>214840.28</v>
      </c>
      <c r="AW796" s="462">
        <f>SUMPRODUCT(--(CN2:CN698=AQ796),BB2:BB698)+SUMPRODUCT(--(CN2:CN698=AQ796),BC2:BC698)</f>
        <v>38911</v>
      </c>
      <c r="AX796" s="462">
        <f>SUMPRODUCT(--(CN2:CN698=AQ796),BL2:BL698)+SUMPRODUCT(--(CN2:CN698=AQ796),BM2:BM698)</f>
        <v>48633.394183599994</v>
      </c>
      <c r="AY796" s="462">
        <f>SUMPRODUCT(--(CN2:CN698=AQ796),AY2:AY698)+SUMPRODUCT(--(CN2:CN698=AQ796),AZ2:AZ698)+SUMPRODUCT(--(CN2:CN698=AQ796),BA2:BA698)</f>
        <v>214840.28</v>
      </c>
      <c r="AZ796" s="462">
        <f>SUMPRODUCT(--(CN2:CN698=AQ796),BN2:BN698)+SUMPRODUCT(--(CN2:CN698=AQ796),BO2:BO698)</f>
        <v>38911</v>
      </c>
      <c r="BA796" s="462">
        <f>SUMPRODUCT(--(CN2:CN698=AQ796),BX2:BX698)+SUMPRODUCT(--(CN2:CN698=AQ796),BY2:BY698)</f>
        <v>48074.8094556</v>
      </c>
    </row>
    <row r="797" spans="42:53" x14ac:dyDescent="0.3">
      <c r="AP797" t="s">
        <v>1625</v>
      </c>
      <c r="AS797" s="473">
        <f>SUM(AS789:AS796)</f>
        <v>15.98</v>
      </c>
      <c r="AT797" s="473">
        <f>SUM(AT789:AT796)</f>
        <v>870122.84000000008</v>
      </c>
      <c r="AU797" s="473">
        <f>SUM(AU789:AU796)</f>
        <v>367953.61</v>
      </c>
      <c r="AV797" s="473">
        <f>SUM(AV789:AV796)</f>
        <v>851219.81</v>
      </c>
      <c r="AW797" s="473">
        <f>SUM(AW789:AW796)</f>
        <v>186167</v>
      </c>
      <c r="AX797" s="473">
        <f>SUM(AX789:AX796)</f>
        <v>192690.6283897</v>
      </c>
      <c r="AY797" s="473">
        <f>SUM(AY789:AY796)</f>
        <v>851219.81</v>
      </c>
      <c r="AZ797" s="473">
        <f>SUM(AZ789:AZ796)</f>
        <v>186167</v>
      </c>
      <c r="BA797" s="473">
        <f>SUM(BA789:BA796)</f>
        <v>190477.45688369998</v>
      </c>
    </row>
    <row r="798" spans="42:53" x14ac:dyDescent="0.3">
      <c r="AQ798" t="s">
        <v>1560</v>
      </c>
      <c r="AS798" s="462">
        <f>SUM(SUMIFS(AS2:AS698,CN2:CN698,AQ798,E2:E698,"0332",F2:F698,"03",AT2:AT698,{1,3}))</f>
        <v>0</v>
      </c>
      <c r="AT798" s="462">
        <f>SUMPRODUCT(--(CN2:CN698=AQ798),--(N2:N698&lt;&gt;"NG"),--(AG2:AG698&lt;&gt;"D"),--(AR2:AR698&lt;&gt;6),--(AR2:AR698&lt;&gt;36),--(AR2:AR698&lt;&gt;56),T2:T698)+SUMPRODUCT(--(CN2:CN698=AQ798),--(N2:N698&lt;&gt;"NG"),--(AG2:AG698&lt;&gt;"D"),--(AR2:AR698&lt;&gt;6),--(AR2:AR698&lt;&gt;36),--(AR2:AR698&lt;&gt;56),U2:U698)</f>
        <v>229.51999999999998</v>
      </c>
      <c r="AU798" s="462">
        <f>SUMPRODUCT(--(CN2:CN698=AQ798),--(N2:N698&lt;&gt;"NG"),--(AG2:AG698&lt;&gt;"D"),--(AR2:AR698&lt;&gt;6),--(AR2:AR698&lt;&gt;36),--(AR2:AR698&lt;&gt;56),V2:V698)</f>
        <v>121.98000000000002</v>
      </c>
      <c r="AV798" s="462">
        <f>SUMPRODUCT(--(CN2:CN698=AQ798),AY2:AY698)+SUMPRODUCT(--(CN2:CN698=AQ798),AZ2:AZ698)</f>
        <v>0</v>
      </c>
      <c r="AW798" s="462">
        <f>SUMPRODUCT(--(CN2:CN698=AQ798),BB2:BB698)+SUMPRODUCT(--(CN2:CN698=AQ798),BC2:BC698)</f>
        <v>0</v>
      </c>
      <c r="AX798" s="462">
        <f>SUMPRODUCT(--(CN2:CN698=AQ798),BL2:BL698)+SUMPRODUCT(--(CN2:CN698=AQ798),BM2:BM698)</f>
        <v>0</v>
      </c>
      <c r="AY798" s="462">
        <f>SUMPRODUCT(--(CN2:CN698=AQ798),AY2:AY698)+SUMPRODUCT(--(CN2:CN698=AQ798),AZ2:AZ698)+SUMPRODUCT(--(CN2:CN698=AQ798),BA2:BA698)</f>
        <v>0</v>
      </c>
      <c r="AZ798" s="462">
        <f>SUMPRODUCT(--(CN2:CN698=AQ798),BN2:BN698)+SUMPRODUCT(--(CN2:CN698=AQ798),BO2:BO698)</f>
        <v>0</v>
      </c>
      <c r="BA798" s="462">
        <f>SUMPRODUCT(--(CN2:CN698=AQ798),BX2:BX698)+SUMPRODUCT(--(CN2:CN698=AQ798),BY2:BY698)</f>
        <v>0</v>
      </c>
    </row>
    <row r="799" spans="42:53" x14ac:dyDescent="0.3">
      <c r="AQ799" t="s">
        <v>1515</v>
      </c>
      <c r="AS799" s="462">
        <f>SUM(SUMIFS(AS2:AS698,CN2:CN698,AQ799,E2:E698,"0332",F2:F698,"04",AT2:AT698,{1,3}))</f>
        <v>15.920000000000002</v>
      </c>
      <c r="AT799" s="462">
        <f>SUMPRODUCT(--(CN2:CN698=AQ799),--(N2:N698&lt;&gt;"NG"),--(AG2:AG698&lt;&gt;"D"),--(AR2:AR698&lt;&gt;6),--(AR2:AR698&lt;&gt;36),--(AR2:AR698&lt;&gt;56),T2:T698)+SUMPRODUCT(--(CN2:CN698=AQ799),--(N2:N698&lt;&gt;"NG"),--(AG2:AG698&lt;&gt;"D"),--(AR2:AR698&lt;&gt;6),--(AR2:AR698&lt;&gt;36),--(AR2:AR698&lt;&gt;56),U2:U698)</f>
        <v>712115.48999999987</v>
      </c>
      <c r="AU799" s="462">
        <f>SUMPRODUCT(--(CN2:CN698=AQ799),--(N2:N698&lt;&gt;"NG"),--(AG2:AG698&lt;&gt;"D"),--(AR2:AR698&lt;&gt;6),--(AR2:AR698&lt;&gt;36),--(AR2:AR698&lt;&gt;56),V2:V698)</f>
        <v>304460.73000000004</v>
      </c>
      <c r="AV799" s="462">
        <f>SUMPRODUCT(--(CN2:CN698=AQ799),AY2:AY698)+SUMPRODUCT(--(CN2:CN698=AQ799),AZ2:AZ698)</f>
        <v>844871.85000000009</v>
      </c>
      <c r="AW799" s="462">
        <f>SUMPRODUCT(--(CN2:CN698=AQ799),BB2:BB698)+SUMPRODUCT(--(CN2:CN698=AQ799),BC2:BC698)</f>
        <v>185468</v>
      </c>
      <c r="AX799" s="462">
        <f>SUMPRODUCT(--(CN2:CN698=AQ799),BL2:BL698)+SUMPRODUCT(--(CN2:CN698=AQ799),BM2:BM698)</f>
        <v>191253.64068450002</v>
      </c>
      <c r="AY799" s="462">
        <f>SUMPRODUCT(--(CN2:CN698=AQ799),AY2:AY698)+SUMPRODUCT(--(CN2:CN698=AQ799),AZ2:AZ698)+SUMPRODUCT(--(CN2:CN698=AQ799),BA2:BA698)</f>
        <v>844871.85000000009</v>
      </c>
      <c r="AZ799" s="462">
        <f>SUMPRODUCT(--(CN2:CN698=AQ799),BN2:BN698)+SUMPRODUCT(--(CN2:CN698=AQ799),BO2:BO698)</f>
        <v>185468</v>
      </c>
      <c r="BA799" s="462">
        <f>SUMPRODUCT(--(CN2:CN698=AQ799),BX2:BX698)+SUMPRODUCT(--(CN2:CN698=AQ799),BY2:BY698)</f>
        <v>189056.97387450002</v>
      </c>
    </row>
    <row r="800" spans="42:53" x14ac:dyDescent="0.3">
      <c r="AQ800" t="s">
        <v>1484</v>
      </c>
      <c r="AS800" s="462">
        <f>SUM(SUMIFS(AS2:AS698,CN2:CN698,AQ800,E2:E698,"0332",F2:F698,"05",AT2:AT698,{1,3}))</f>
        <v>23.6</v>
      </c>
      <c r="AT800" s="462">
        <f>SUMPRODUCT(--(CN2:CN698=AQ800),--(N2:N698&lt;&gt;"NG"),--(AG2:AG698&lt;&gt;"D"),--(AR2:AR698&lt;&gt;6),--(AR2:AR698&lt;&gt;36),--(AR2:AR698&lt;&gt;56),T2:T698)+SUMPRODUCT(--(CN2:CN698=AQ800),--(N2:N698&lt;&gt;"NG"),--(AG2:AG698&lt;&gt;"D"),--(AR2:AR698&lt;&gt;6),--(AR2:AR698&lt;&gt;36),--(AR2:AR698&lt;&gt;56),U2:U698)</f>
        <v>971353.09</v>
      </c>
      <c r="AU800" s="462">
        <f>SUMPRODUCT(--(CN2:CN698=AQ800),--(N2:N698&lt;&gt;"NG"),--(AG2:AG698&lt;&gt;"D"),--(AR2:AR698&lt;&gt;6),--(AR2:AR698&lt;&gt;36),--(AR2:AR698&lt;&gt;56),V2:V698)</f>
        <v>403999.70000000007</v>
      </c>
      <c r="AV800" s="462">
        <f>SUMPRODUCT(--(CN2:CN698=AQ800),AY2:AY698)+SUMPRODUCT(--(CN2:CN698=AQ800),AZ2:AZ698)</f>
        <v>1285984.96</v>
      </c>
      <c r="AW800" s="462">
        <f>SUMPRODUCT(--(CN2:CN698=AQ800),BB2:BB698)+SUMPRODUCT(--(CN2:CN698=AQ800),BC2:BC698)</f>
        <v>274940</v>
      </c>
      <c r="AX800" s="462">
        <f>SUMPRODUCT(--(CN2:CN698=AQ800),BL2:BL698)+SUMPRODUCT(--(CN2:CN698=AQ800),BM2:BM698)</f>
        <v>291108.41539519996</v>
      </c>
      <c r="AY800" s="462">
        <f>SUMPRODUCT(--(CN2:CN698=AQ800),AY2:AY698)+SUMPRODUCT(--(CN2:CN698=AQ800),AZ2:AZ698)+SUMPRODUCT(--(CN2:CN698=AQ800),BA2:BA698)</f>
        <v>1285984.96</v>
      </c>
      <c r="AZ800" s="462">
        <f>SUMPRODUCT(--(CN2:CN698=AQ800),BN2:BN698)+SUMPRODUCT(--(CN2:CN698=AQ800),BO2:BO698)</f>
        <v>274940</v>
      </c>
      <c r="BA800" s="462">
        <f>SUMPRODUCT(--(CN2:CN698=AQ800),BX2:BX698)+SUMPRODUCT(--(CN2:CN698=AQ800),BY2:BY698)</f>
        <v>287764.85449919995</v>
      </c>
    </row>
    <row r="801" spans="41:53" x14ac:dyDescent="0.3">
      <c r="AQ801" t="s">
        <v>1464</v>
      </c>
      <c r="AS801" s="462">
        <f>SUM(SUMIFS(AS2:AS698,CN2:CN698,AQ801,E2:E698,"0332",F2:F698,"06",AT2:AT698,{1,3}))</f>
        <v>12.1325</v>
      </c>
      <c r="AT801" s="462">
        <f>SUMPRODUCT(--(CN2:CN698=AQ801),--(N2:N698&lt;&gt;"NG"),--(AG2:AG698&lt;&gt;"D"),--(AR2:AR698&lt;&gt;6),--(AR2:AR698&lt;&gt;36),--(AR2:AR698&lt;&gt;56),T2:T698)+SUMPRODUCT(--(CN2:CN698=AQ801),--(N2:N698&lt;&gt;"NG"),--(AG2:AG698&lt;&gt;"D"),--(AR2:AR698&lt;&gt;6),--(AR2:AR698&lt;&gt;36),--(AR2:AR698&lt;&gt;56),U2:U698)</f>
        <v>164303.16999999998</v>
      </c>
      <c r="AU801" s="462">
        <f>SUMPRODUCT(--(CN2:CN698=AQ801),--(N2:N698&lt;&gt;"NG"),--(AG2:AG698&lt;&gt;"D"),--(AR2:AR698&lt;&gt;6),--(AR2:AR698&lt;&gt;36),--(AR2:AR698&lt;&gt;56),V2:V698)</f>
        <v>62315.41</v>
      </c>
      <c r="AV801" s="462">
        <f>SUMPRODUCT(--(CN2:CN698=AQ801),AY2:AY698)+SUMPRODUCT(--(CN2:CN698=AQ801),AZ2:AZ698)</f>
        <v>661767.79</v>
      </c>
      <c r="AW801" s="462">
        <f>SUMPRODUCT(--(CN2:CN698=AQ801),BB2:BB698)+SUMPRODUCT(--(CN2:CN698=AQ801),BC2:BC698)</f>
        <v>143528</v>
      </c>
      <c r="AX801" s="462">
        <f>SUMPRODUCT(--(CN2:CN698=AQ801),BL2:BL698)+SUMPRODUCT(--(CN2:CN698=AQ801),BM2:BM698)</f>
        <v>149768.69991829997</v>
      </c>
      <c r="AY801" s="462">
        <f>SUMPRODUCT(--(CN2:CN698=AQ801),AY2:AY698)+SUMPRODUCT(--(CN2:CN698=AQ801),AZ2:AZ698)+SUMPRODUCT(--(CN2:CN698=AQ801),BA2:BA698)</f>
        <v>661767.79</v>
      </c>
      <c r="AZ801" s="462">
        <f>SUMPRODUCT(--(CN2:CN698=AQ801),BN2:BN698)+SUMPRODUCT(--(CN2:CN698=AQ801),BO2:BO698)</f>
        <v>143528</v>
      </c>
      <c r="BA801" s="462">
        <f>SUMPRODUCT(--(CN2:CN698=AQ801),BX2:BX698)+SUMPRODUCT(--(CN2:CN698=AQ801),BY2:BY698)</f>
        <v>148048.1036643</v>
      </c>
    </row>
    <row r="802" spans="41:53" x14ac:dyDescent="0.3">
      <c r="AQ802" t="s">
        <v>1469</v>
      </c>
      <c r="AS802" s="462">
        <f>SUM(SUMIFS(AS2:AS698,CN2:CN698,AQ802,E2:E698,"0332",F2:F698,"07",AT2:AT698,{1,3}))</f>
        <v>20.399999999999999</v>
      </c>
      <c r="AT802" s="462">
        <f>SUMPRODUCT(--(CN2:CN698=AQ802),--(N2:N698&lt;&gt;"NG"),--(AG2:AG698&lt;&gt;"D"),--(AR2:AR698&lt;&gt;6),--(AR2:AR698&lt;&gt;36),--(AR2:AR698&lt;&gt;56),T2:T698)+SUMPRODUCT(--(CN2:CN698=AQ802),--(N2:N698&lt;&gt;"NG"),--(AG2:AG698&lt;&gt;"D"),--(AR2:AR698&lt;&gt;6),--(AR2:AR698&lt;&gt;36),--(AR2:AR698&lt;&gt;56),U2:U698)</f>
        <v>1092542.9100000001</v>
      </c>
      <c r="AU802" s="462">
        <f>SUMPRODUCT(--(CN2:CN698=AQ802),--(N2:N698&lt;&gt;"NG"),--(AG2:AG698&lt;&gt;"D"),--(AR2:AR698&lt;&gt;6),--(AR2:AR698&lt;&gt;36),--(AR2:AR698&lt;&gt;56),V2:V698)</f>
        <v>475149.18000000017</v>
      </c>
      <c r="AV802" s="462">
        <f>SUMPRODUCT(--(CN2:CN698=AQ802),AY2:AY698)+SUMPRODUCT(--(CN2:CN698=AQ802),AZ2:AZ698)</f>
        <v>1072878.5599999998</v>
      </c>
      <c r="AW802" s="462">
        <f>SUMPRODUCT(--(CN2:CN698=AQ802),BB2:BB698)+SUMPRODUCT(--(CN2:CN698=AQ802),BC2:BC698)</f>
        <v>237660</v>
      </c>
      <c r="AX802" s="462">
        <f>SUMPRODUCT(--(CN2:CN698=AQ802),BL2:BL698)+SUMPRODUCT(--(CN2:CN698=AQ802),BM2:BM698)</f>
        <v>242867.51962719997</v>
      </c>
      <c r="AY802" s="462">
        <f>SUMPRODUCT(--(CN2:CN698=AQ802),AY2:AY698)+SUMPRODUCT(--(CN2:CN698=AQ802),AZ2:AZ698)+SUMPRODUCT(--(CN2:CN698=AQ802),BA2:BA698)</f>
        <v>1072878.5599999998</v>
      </c>
      <c r="AZ802" s="462">
        <f>SUMPRODUCT(--(CN2:CN698=AQ802),BN2:BN698)+SUMPRODUCT(--(CN2:CN698=AQ802),BO2:BO698)</f>
        <v>237660</v>
      </c>
      <c r="BA802" s="462">
        <f>SUMPRODUCT(--(CN2:CN698=AQ802),BX2:BX698)+SUMPRODUCT(--(CN2:CN698=AQ802),BY2:BY698)</f>
        <v>240078.03537119998</v>
      </c>
    </row>
    <row r="803" spans="41:53" x14ac:dyDescent="0.3">
      <c r="AQ803" t="s">
        <v>1474</v>
      </c>
      <c r="AS803" s="462">
        <f>SUM(SUMIFS(AS2:AS698,CN2:CN698,AQ803,E2:E698,"0332",F2:F698,"09",AT2:AT698,{1,3}))</f>
        <v>0.2</v>
      </c>
      <c r="AT803" s="462">
        <f>SUMPRODUCT(--(CN2:CN698=AQ803),--(N2:N698&lt;&gt;"NG"),--(AG2:AG698&lt;&gt;"D"),--(AR2:AR698&lt;&gt;6),--(AR2:AR698&lt;&gt;36),--(AR2:AR698&lt;&gt;56),T2:T698)+SUMPRODUCT(--(CN2:CN698=AQ803),--(N2:N698&lt;&gt;"NG"),--(AG2:AG698&lt;&gt;"D"),--(AR2:AR698&lt;&gt;6),--(AR2:AR698&lt;&gt;36),--(AR2:AR698&lt;&gt;56),U2:U698)</f>
        <v>33238.380000000005</v>
      </c>
      <c r="AU803" s="462">
        <f>SUMPRODUCT(--(CN2:CN698=AQ803),--(N2:N698&lt;&gt;"NG"),--(AG2:AG698&lt;&gt;"D"),--(AR2:AR698&lt;&gt;6),--(AR2:AR698&lt;&gt;36),--(AR2:AR698&lt;&gt;56),V2:V698)</f>
        <v>8029.38</v>
      </c>
      <c r="AV803" s="462">
        <f>SUMPRODUCT(--(CN2:CN698=AQ803),AY2:AY698)+SUMPRODUCT(--(CN2:CN698=AQ803),AZ2:AZ698)</f>
        <v>10333.44</v>
      </c>
      <c r="AW803" s="462">
        <f>SUMPRODUCT(--(CN2:CN698=AQ803),BB2:BB698)+SUMPRODUCT(--(CN2:CN698=AQ803),BC2:BC698)</f>
        <v>2330</v>
      </c>
      <c r="AX803" s="462">
        <f>SUMPRODUCT(--(CN2:CN698=AQ803),BL2:BL698)+SUMPRODUCT(--(CN2:CN698=AQ803),BM2:BM698)</f>
        <v>2339.1808128000002</v>
      </c>
      <c r="AY803" s="462">
        <f>SUMPRODUCT(--(CN2:CN698=AQ803),AY2:AY698)+SUMPRODUCT(--(CN2:CN698=AQ803),AZ2:AZ698)+SUMPRODUCT(--(CN2:CN698=AQ803),BA2:BA698)</f>
        <v>10333.44</v>
      </c>
      <c r="AZ803" s="462">
        <f>SUMPRODUCT(--(CN2:CN698=AQ803),BN2:BN698)+SUMPRODUCT(--(CN2:CN698=AQ803),BO2:BO698)</f>
        <v>2330</v>
      </c>
      <c r="BA803" s="462">
        <f>SUMPRODUCT(--(CN2:CN698=AQ803),BX2:BX698)+SUMPRODUCT(--(CN2:CN698=AQ803),BY2:BY698)</f>
        <v>2312.3138688000004</v>
      </c>
    </row>
    <row r="804" spans="41:53" x14ac:dyDescent="0.3">
      <c r="AQ804" t="s">
        <v>1536</v>
      </c>
      <c r="AS804" s="462">
        <f>SUM(SUMIFS(AS2:AS698,CN2:CN698,AQ804,E2:E698,"0332",F2:F698,"10",AT2:AT698,{1,3}))</f>
        <v>8</v>
      </c>
      <c r="AT804" s="462">
        <f>SUMPRODUCT(--(CN2:CN698=AQ804),--(N2:N698&lt;&gt;"NG"),--(AG2:AG698&lt;&gt;"D"),--(AR2:AR698&lt;&gt;6),--(AR2:AR698&lt;&gt;36),--(AR2:AR698&lt;&gt;56),T2:T698)+SUMPRODUCT(--(CN2:CN698=AQ804),--(N2:N698&lt;&gt;"NG"),--(AG2:AG698&lt;&gt;"D"),--(AR2:AR698&lt;&gt;6),--(AR2:AR698&lt;&gt;36),--(AR2:AR698&lt;&gt;56),U2:U698)</f>
        <v>350675.31</v>
      </c>
      <c r="AU804" s="462">
        <f>SUMPRODUCT(--(CN2:CN698=AQ804),--(N2:N698&lt;&gt;"NG"),--(AG2:AG698&lt;&gt;"D"),--(AR2:AR698&lt;&gt;6),--(AR2:AR698&lt;&gt;36),--(AR2:AR698&lt;&gt;56),V2:V698)</f>
        <v>159880.88000000003</v>
      </c>
      <c r="AV804" s="462">
        <f>SUMPRODUCT(--(CN2:CN698=AQ804),AY2:AY698)+SUMPRODUCT(--(CN2:CN698=AQ804),AZ2:AZ698)</f>
        <v>397737.6</v>
      </c>
      <c r="AW804" s="462">
        <f>SUMPRODUCT(--(CN2:CN698=AQ804),BB2:BB698)+SUMPRODUCT(--(CN2:CN698=AQ804),BC2:BC698)</f>
        <v>93200</v>
      </c>
      <c r="AX804" s="462">
        <f>SUMPRODUCT(--(CN2:CN698=AQ804),BL2:BL698)+SUMPRODUCT(--(CN2:CN698=AQ804),BM2:BM698)</f>
        <v>90035.860511999985</v>
      </c>
      <c r="AY804" s="462">
        <f>SUMPRODUCT(--(CN2:CN698=AQ804),AY2:AY698)+SUMPRODUCT(--(CN2:CN698=AQ804),AZ2:AZ698)+SUMPRODUCT(--(CN2:CN698=AQ804),BA2:BA698)</f>
        <v>397737.6</v>
      </c>
      <c r="AZ804" s="462">
        <f>SUMPRODUCT(--(CN2:CN698=AQ804),BN2:BN698)+SUMPRODUCT(--(CN2:CN698=AQ804),BO2:BO698)</f>
        <v>93200</v>
      </c>
      <c r="BA804" s="462">
        <f>SUMPRODUCT(--(CN2:CN698=AQ804),BX2:BX698)+SUMPRODUCT(--(CN2:CN698=AQ804),BY2:BY698)</f>
        <v>89001.742752000006</v>
      </c>
    </row>
    <row r="805" spans="41:53" x14ac:dyDescent="0.3">
      <c r="AQ805" t="s">
        <v>1595</v>
      </c>
      <c r="AS805" s="462">
        <f>SUM(SUMIFS(AS2:AS698,CN2:CN698,AQ805,E2:E698,"0332",F2:F698,"12",AT2:AT698,{1,3}))</f>
        <v>0</v>
      </c>
      <c r="AT805" s="462">
        <f>SUMPRODUCT(--(CN2:CN698=AQ805),--(N2:N698&lt;&gt;"NG"),--(AG2:AG698&lt;&gt;"D"),--(AR2:AR698&lt;&gt;6),--(AR2:AR698&lt;&gt;36),--(AR2:AR698&lt;&gt;56),T2:T698)+SUMPRODUCT(--(CN2:CN698=AQ805),--(N2:N698&lt;&gt;"NG"),--(AG2:AG698&lt;&gt;"D"),--(AR2:AR698&lt;&gt;6),--(AR2:AR698&lt;&gt;36),--(AR2:AR698&lt;&gt;56),U2:U698)</f>
        <v>3500</v>
      </c>
      <c r="AU805" s="462">
        <f>SUMPRODUCT(--(CN2:CN698=AQ805),--(N2:N698&lt;&gt;"NG"),--(AG2:AG698&lt;&gt;"D"),--(AR2:AR698&lt;&gt;6),--(AR2:AR698&lt;&gt;36),--(AR2:AR698&lt;&gt;56),V2:V698)</f>
        <v>500</v>
      </c>
      <c r="AV805" s="462">
        <f>SUMPRODUCT(--(CN2:CN698=AQ805),AY2:AY698)+SUMPRODUCT(--(CN2:CN698=AQ805),AZ2:AZ698)</f>
        <v>0</v>
      </c>
      <c r="AW805" s="462">
        <f>SUMPRODUCT(--(CN2:CN698=AQ805),BB2:BB698)+SUMPRODUCT(--(CN2:CN698=AQ805),BC2:BC698)</f>
        <v>0</v>
      </c>
      <c r="AX805" s="462">
        <f>SUMPRODUCT(--(CN2:CN698=AQ805),BL2:BL698)+SUMPRODUCT(--(CN2:CN698=AQ805),BM2:BM698)</f>
        <v>0</v>
      </c>
      <c r="AY805" s="462">
        <f>SUMPRODUCT(--(CN2:CN698=AQ805),AY2:AY698)+SUMPRODUCT(--(CN2:CN698=AQ805),AZ2:AZ698)+SUMPRODUCT(--(CN2:CN698=AQ805),BA2:BA698)</f>
        <v>0</v>
      </c>
      <c r="AZ805" s="462">
        <f>SUMPRODUCT(--(CN2:CN698=AQ805),BN2:BN698)+SUMPRODUCT(--(CN2:CN698=AQ805),BO2:BO698)</f>
        <v>0</v>
      </c>
      <c r="BA805" s="462">
        <f>SUMPRODUCT(--(CN2:CN698=AQ805),BX2:BX698)+SUMPRODUCT(--(CN2:CN698=AQ805),BY2:BY698)</f>
        <v>0</v>
      </c>
    </row>
    <row r="806" spans="41:53" x14ac:dyDescent="0.3">
      <c r="AP806" t="s">
        <v>1626</v>
      </c>
      <c r="AS806" s="473">
        <f>SUM(AS798:AS805)</f>
        <v>80.252500000000012</v>
      </c>
      <c r="AT806" s="473">
        <f>SUM(AT798:AT805)</f>
        <v>3327957.8699999996</v>
      </c>
      <c r="AU806" s="473">
        <f>SUM(AU798:AU805)</f>
        <v>1414457.2600000005</v>
      </c>
      <c r="AV806" s="473">
        <f>SUM(AV798:AV805)</f>
        <v>4273574.2</v>
      </c>
      <c r="AW806" s="473">
        <f>SUM(AW798:AW805)</f>
        <v>937126</v>
      </c>
      <c r="AX806" s="473">
        <f>SUM(AX798:AX805)</f>
        <v>967373.31694999989</v>
      </c>
      <c r="AY806" s="473">
        <f>SUM(AY798:AY805)</f>
        <v>4273574.2</v>
      </c>
      <c r="AZ806" s="473">
        <f>SUM(AZ798:AZ805)</f>
        <v>937126</v>
      </c>
      <c r="BA806" s="473">
        <f>SUM(BA798:BA805)</f>
        <v>956262.02402999985</v>
      </c>
    </row>
    <row r="807" spans="41:53" x14ac:dyDescent="0.3">
      <c r="AQ807" t="s">
        <v>1490</v>
      </c>
      <c r="AS807" s="462">
        <f>SUM(SUMIFS(AS2:AS698,CN2:CN698,AQ807,E2:E698,"0348",F2:F698,"00",AT2:AT698,{1,3}))</f>
        <v>5.5</v>
      </c>
      <c r="AT807" s="462">
        <f>SUMPRODUCT(--(CN2:CN698=AQ807),--(N2:N698&lt;&gt;"NG"),--(AG2:AG698&lt;&gt;"D"),--(AR2:AR698&lt;&gt;6),--(AR2:AR698&lt;&gt;36),--(AR2:AR698&lt;&gt;56),T2:T698)+SUMPRODUCT(--(CN2:CN698=AQ807),--(N2:N698&lt;&gt;"NG"),--(AG2:AG698&lt;&gt;"D"),--(AR2:AR698&lt;&gt;6),--(AR2:AR698&lt;&gt;36),--(AR2:AR698&lt;&gt;56),U2:U698)</f>
        <v>779604.19</v>
      </c>
      <c r="AU807" s="462">
        <f>SUMPRODUCT(--(CN2:CN698=AQ807),--(N2:N698&lt;&gt;"NG"),--(AG2:AG698&lt;&gt;"D"),--(AR2:AR698&lt;&gt;6),--(AR2:AR698&lt;&gt;36),--(AR2:AR698&lt;&gt;56),V2:V698)</f>
        <v>342431.80999999994</v>
      </c>
      <c r="AV807" s="462">
        <f>SUMPRODUCT(--(CN2:CN698=AQ807),AY2:AY698)+SUMPRODUCT(--(CN2:CN698=AQ807),AZ2:AZ698)</f>
        <v>306342.40000000002</v>
      </c>
      <c r="AW807" s="462">
        <f>SUMPRODUCT(--(CN2:CN698=AQ807),BB2:BB698)+SUMPRODUCT(--(CN2:CN698=AQ807),BC2:BC698)</f>
        <v>64075</v>
      </c>
      <c r="AX807" s="462">
        <f>SUMPRODUCT(--(CN2:CN698=AQ807),BL2:BL698)+SUMPRODUCT(--(CN2:CN698=AQ807),BM2:BM698)</f>
        <v>69346.729087999993</v>
      </c>
      <c r="AY807" s="462">
        <f>SUMPRODUCT(--(CN2:CN698=AQ807),AY2:AY698)+SUMPRODUCT(--(CN2:CN698=AQ807),AZ2:AZ698)+SUMPRODUCT(--(CN2:CN698=AQ807),BA2:BA698)</f>
        <v>306342.40000000002</v>
      </c>
      <c r="AZ807" s="462">
        <f>SUMPRODUCT(--(CN2:CN698=AQ807),BN2:BN698)+SUMPRODUCT(--(CN2:CN698=AQ807),BO2:BO698)</f>
        <v>64075</v>
      </c>
      <c r="BA807" s="462">
        <f>SUMPRODUCT(--(CN2:CN698=AQ807),BX2:BX698)+SUMPRODUCT(--(CN2:CN698=AQ807),BY2:BY698)</f>
        <v>68550.238848000008</v>
      </c>
    </row>
    <row r="808" spans="41:53" x14ac:dyDescent="0.3">
      <c r="AP808" t="s">
        <v>1627</v>
      </c>
      <c r="AS808" s="473">
        <f>SUM(AS807:AS807)</f>
        <v>5.5</v>
      </c>
      <c r="AT808" s="473">
        <f>SUM(AT807:AT807)</f>
        <v>779604.19</v>
      </c>
      <c r="AU808" s="473">
        <f>SUM(AU807:AU807)</f>
        <v>342431.80999999994</v>
      </c>
      <c r="AV808" s="473">
        <f>SUM(AV807:AV807)</f>
        <v>306342.40000000002</v>
      </c>
      <c r="AW808" s="473">
        <f>SUM(AW807:AW807)</f>
        <v>64075</v>
      </c>
      <c r="AX808" s="473">
        <f>SUM(AX807:AX807)</f>
        <v>69346.729087999993</v>
      </c>
      <c r="AY808" s="473">
        <f>SUM(AY807:AY807)</f>
        <v>306342.40000000002</v>
      </c>
      <c r="AZ808" s="473">
        <f>SUM(AZ807:AZ807)</f>
        <v>64075</v>
      </c>
      <c r="BA808" s="473">
        <f>SUM(BA807:BA807)</f>
        <v>68550.238848000008</v>
      </c>
    </row>
    <row r="809" spans="41:53" x14ac:dyDescent="0.3">
      <c r="AQ809" t="s">
        <v>1607</v>
      </c>
      <c r="AS809" s="462">
        <f>SUM(SUMIFS(AS2:AS698,CN2:CN698,AQ809,E2:E698,"0402",F2:F698,"00",AT2:AT698,{1,3}))</f>
        <v>3.35</v>
      </c>
      <c r="AT809" s="462">
        <f>SUMPRODUCT(--(CN2:CN698=AQ809),--(N2:N698&lt;&gt;"NG"),--(AG2:AG698&lt;&gt;"D"),--(AR2:AR698&lt;&gt;6),--(AR2:AR698&lt;&gt;36),--(AR2:AR698&lt;&gt;56),T2:T698)+SUMPRODUCT(--(CN2:CN698=AQ809),--(N2:N698&lt;&gt;"NG"),--(AG2:AG698&lt;&gt;"D"),--(AR2:AR698&lt;&gt;6),--(AR2:AR698&lt;&gt;36),--(AR2:AR698&lt;&gt;56),U2:U698)</f>
        <v>154474.16000000003</v>
      </c>
      <c r="AU809" s="462">
        <f>SUMPRODUCT(--(CN2:CN698=AQ809),--(N2:N698&lt;&gt;"NG"),--(AG2:AG698&lt;&gt;"D"),--(AR2:AR698&lt;&gt;6),--(AR2:AR698&lt;&gt;36),--(AR2:AR698&lt;&gt;56),V2:V698)</f>
        <v>77135.320000000007</v>
      </c>
      <c r="AV809" s="462">
        <f>SUMPRODUCT(--(CN2:CN698=AQ809),AY2:AY698)+SUMPRODUCT(--(CN2:CN698=AQ809),AZ2:AZ698)</f>
        <v>146718</v>
      </c>
      <c r="AW809" s="462">
        <f>SUMPRODUCT(--(CN2:CN698=AQ809),BB2:BB698)+SUMPRODUCT(--(CN2:CN698=AQ809),BC2:BC698)</f>
        <v>41940</v>
      </c>
      <c r="AX809" s="462">
        <f>SUMPRODUCT(--(CN2:CN698=AQ809),BL2:BL698)+SUMPRODUCT(--(CN2:CN698=AQ809),BM2:BM698)</f>
        <v>33212.553659999998</v>
      </c>
      <c r="AY809" s="462">
        <f>SUMPRODUCT(--(CN2:CN698=AQ809),AY2:AY698)+SUMPRODUCT(--(CN2:CN698=AQ809),AZ2:AZ698)+SUMPRODUCT(--(CN2:CN698=AQ809),BA2:BA698)</f>
        <v>146718</v>
      </c>
      <c r="AZ809" s="462">
        <f>SUMPRODUCT(--(CN2:CN698=AQ809),BN2:BN698)+SUMPRODUCT(--(CN2:CN698=AQ809),BO2:BO698)</f>
        <v>41940</v>
      </c>
      <c r="BA809" s="462">
        <f>SUMPRODUCT(--(CN2:CN698=AQ809),BX2:BX698)+SUMPRODUCT(--(CN2:CN698=AQ809),BY2:BY698)</f>
        <v>32831.086860000003</v>
      </c>
    </row>
    <row r="810" spans="41:53" x14ac:dyDescent="0.3">
      <c r="AP810" t="s">
        <v>1628</v>
      </c>
      <c r="AS810" s="473">
        <f>SUM(AS809:AS809)</f>
        <v>3.35</v>
      </c>
      <c r="AT810" s="473">
        <f>SUM(AT809:AT809)</f>
        <v>154474.16000000003</v>
      </c>
      <c r="AU810" s="473">
        <f>SUM(AU809:AU809)</f>
        <v>77135.320000000007</v>
      </c>
      <c r="AV810" s="473">
        <f>SUM(AV809:AV809)</f>
        <v>146718</v>
      </c>
      <c r="AW810" s="473">
        <f>SUM(AW809:AW809)</f>
        <v>41940</v>
      </c>
      <c r="AX810" s="473">
        <f>SUM(AX809:AX809)</f>
        <v>33212.553659999998</v>
      </c>
      <c r="AY810" s="473">
        <f>SUM(AY809:AY809)</f>
        <v>146718</v>
      </c>
      <c r="AZ810" s="473">
        <f>SUM(AZ809:AZ809)</f>
        <v>41940</v>
      </c>
      <c r="BA810" s="473">
        <f>SUM(BA809:BA809)</f>
        <v>32831.086860000003</v>
      </c>
    </row>
    <row r="811" spans="41:53" x14ac:dyDescent="0.3">
      <c r="AQ811" t="s">
        <v>1568</v>
      </c>
      <c r="AS811" s="462">
        <f>SUM(SUMIFS(AS2:AS698,CN2:CN698,AQ811,E2:E698,"0486",F2:F698,"00",AT2:AT698,{1,3}))</f>
        <v>13</v>
      </c>
      <c r="AT811" s="462">
        <f>SUMPRODUCT(--(CN2:CN698=AQ811),--(N2:N698&lt;&gt;"NG"),--(AG2:AG698&lt;&gt;"D"),--(AR2:AR698&lt;&gt;6),--(AR2:AR698&lt;&gt;36),--(AR2:AR698&lt;&gt;56),T2:T698)+SUMPRODUCT(--(CN2:CN698=AQ811),--(N2:N698&lt;&gt;"NG"),--(AG2:AG698&lt;&gt;"D"),--(AR2:AR698&lt;&gt;6),--(AR2:AR698&lt;&gt;36),--(AR2:AR698&lt;&gt;56),U2:U698)</f>
        <v>798822.37000000011</v>
      </c>
      <c r="AU811" s="462">
        <f>SUMPRODUCT(--(CN2:CN698=AQ811),--(N2:N698&lt;&gt;"NG"),--(AG2:AG698&lt;&gt;"D"),--(AR2:AR698&lt;&gt;6),--(AR2:AR698&lt;&gt;36),--(AR2:AR698&lt;&gt;56),V2:V698)</f>
        <v>331051.52000000002</v>
      </c>
      <c r="AV811" s="462">
        <f>SUMPRODUCT(--(CN2:CN698=AQ811),AY2:AY698)+SUMPRODUCT(--(CN2:CN698=AQ811),AZ2:AZ698)</f>
        <v>748571.20000000007</v>
      </c>
      <c r="AW811" s="462">
        <f>SUMPRODUCT(--(CN2:CN698=AQ811),BB2:BB698)+SUMPRODUCT(--(CN2:CN698=AQ811),BC2:BC698)</f>
        <v>154945</v>
      </c>
      <c r="AX811" s="462">
        <f>SUMPRODUCT(--(CN2:CN698=AQ811),BL2:BL698)+SUMPRODUCT(--(CN2:CN698=AQ811),BM2:BM698)</f>
        <v>169454.06254400004</v>
      </c>
      <c r="AY811" s="462">
        <f>SUMPRODUCT(--(CN2:CN698=AQ811),AY2:AY698)+SUMPRODUCT(--(CN2:CN698=AQ811),AZ2:AZ698)+SUMPRODUCT(--(CN2:CN698=AQ811),BA2:BA698)</f>
        <v>748571.20000000007</v>
      </c>
      <c r="AZ811" s="462">
        <f>SUMPRODUCT(--(CN2:CN698=AQ811),BN2:BN698)+SUMPRODUCT(--(CN2:CN698=AQ811),BO2:BO698)</f>
        <v>154945</v>
      </c>
      <c r="BA811" s="462">
        <f>SUMPRODUCT(--(CN2:CN698=AQ811),BX2:BX698)+SUMPRODUCT(--(CN2:CN698=AQ811),BY2:BY698)</f>
        <v>167507.777424</v>
      </c>
    </row>
    <row r="812" spans="41:53" x14ac:dyDescent="0.3">
      <c r="AP812" t="s">
        <v>1629</v>
      </c>
      <c r="AS812" s="473">
        <f>SUM(AS811:AS811)</f>
        <v>13</v>
      </c>
      <c r="AT812" s="473">
        <f>SUM(AT811:AT811)</f>
        <v>798822.37000000011</v>
      </c>
      <c r="AU812" s="473">
        <f>SUM(AU811:AU811)</f>
        <v>331051.52000000002</v>
      </c>
      <c r="AV812" s="473">
        <f>SUM(AV811:AV811)</f>
        <v>748571.20000000007</v>
      </c>
      <c r="AW812" s="473">
        <f>SUM(AW811:AW811)</f>
        <v>154945</v>
      </c>
      <c r="AX812" s="473">
        <f>SUM(AX811:AX811)</f>
        <v>169454.06254400004</v>
      </c>
      <c r="AY812" s="473">
        <f>SUM(AY811:AY811)</f>
        <v>748571.20000000007</v>
      </c>
      <c r="AZ812" s="473">
        <f>SUM(AZ811:AZ811)</f>
        <v>154945</v>
      </c>
      <c r="BA812" s="473">
        <f>SUM(BA811:BA811)</f>
        <v>167507.777424</v>
      </c>
    </row>
    <row r="813" spans="41:53" x14ac:dyDescent="0.3">
      <c r="AS813" s="462"/>
      <c r="AT813" s="462"/>
      <c r="AU813" s="462"/>
      <c r="AV813" s="462"/>
      <c r="AW813" s="462"/>
      <c r="AX813" s="462"/>
      <c r="AY813" s="462"/>
      <c r="AZ813" s="462"/>
      <c r="BA813" s="462"/>
    </row>
    <row r="814" spans="41:53" x14ac:dyDescent="0.3">
      <c r="AO814" s="471" t="s">
        <v>1630</v>
      </c>
      <c r="AS814" s="474">
        <f>SUM(AS785,AS788,AS797,AS806,AS808,AS810,AS812)</f>
        <v>190.33750000000001</v>
      </c>
      <c r="AT814" s="474">
        <f>SUM(AT785,AT788,AT797,AT806,AT808,AT810,AT812)</f>
        <v>10464768.139999997</v>
      </c>
      <c r="AU814" s="474">
        <f>SUM(AU785,AU788,AU797,AU806,AU808,AU810,AU812)</f>
        <v>4406603.1800000016</v>
      </c>
      <c r="AV814" s="474">
        <f>SUM(AV785,AV788,AV797,AV806,AV808,AV810,AV812)</f>
        <v>10651186.939999999</v>
      </c>
      <c r="AW814" s="474">
        <f>SUM(AW785,AW788,AW797,AW806,AW808,AW810,AW812)</f>
        <v>2233887.5</v>
      </c>
      <c r="AX814" s="474">
        <f>SUM(AX785,AX788,AX797,AX806,AX808,AX810,AX812)</f>
        <v>2405915.5449838005</v>
      </c>
      <c r="AY814" s="474">
        <f>SUM(AY785,AY788,AY797,AY806,AY808,AY810,AY812)</f>
        <v>10651186.939999999</v>
      </c>
      <c r="AZ814" s="474">
        <f>SUM(AZ785,AZ788,AZ797,AZ806,AZ808,AZ810,AZ812)</f>
        <v>2233887.5</v>
      </c>
      <c r="BA814" s="474">
        <f>SUM(BA785,BA788,BA797,BA806,BA808,BA810,BA812)</f>
        <v>2379314.5758998003</v>
      </c>
    </row>
    <row r="815" spans="41:53" x14ac:dyDescent="0.3">
      <c r="AS815" s="462"/>
      <c r="AT815" s="462"/>
      <c r="AU815" s="462"/>
      <c r="AV815" s="462"/>
      <c r="AW815" s="462"/>
      <c r="AX815" s="462"/>
      <c r="AY815" s="462"/>
      <c r="AZ815" s="462"/>
      <c r="BA815" s="462"/>
    </row>
    <row r="816" spans="41:53" x14ac:dyDescent="0.3">
      <c r="AO816" s="467" t="s">
        <v>1631</v>
      </c>
      <c r="AS816" s="462"/>
      <c r="AT816" s="462"/>
      <c r="AU816" s="462"/>
      <c r="AV816" s="462"/>
      <c r="AW816" s="462"/>
      <c r="AX816" s="462"/>
      <c r="AY816" s="462"/>
      <c r="AZ816" s="462"/>
      <c r="BA816" s="462"/>
    </row>
    <row r="817" spans="42:53" x14ac:dyDescent="0.3">
      <c r="AQ817" t="s">
        <v>1443</v>
      </c>
      <c r="AS817" s="462"/>
      <c r="AT817" s="462">
        <f>SUMIF(CN2:CN698,AQ817,CL2:CL698)</f>
        <v>49244.639999999999</v>
      </c>
      <c r="AU817" s="462">
        <f>SUMIF(CN2:CN698,AQ817,CM2:CM698)</f>
        <v>18781.969999999998</v>
      </c>
      <c r="AV817" s="462">
        <f>SUMIF(CN2:CN698,AQ817,CL2:CL698)</f>
        <v>49244.639999999999</v>
      </c>
      <c r="AW817" s="462">
        <v>0</v>
      </c>
      <c r="AX817" s="462">
        <f>SUMIF(CN2:CN698,AQ817,CM2:CM698)</f>
        <v>18781.969999999998</v>
      </c>
      <c r="AY817" s="462">
        <f>SUMIF(CN2:CN698,AQ817,CL2:CL698)</f>
        <v>49244.639999999999</v>
      </c>
      <c r="AZ817" s="462">
        <v>0</v>
      </c>
      <c r="BA817" s="462">
        <f>SUMIF(CN2:CN698,AQ817,CM2:CM698)</f>
        <v>18781.969999999998</v>
      </c>
    </row>
    <row r="818" spans="42:53" x14ac:dyDescent="0.3">
      <c r="AP818" t="s">
        <v>1617</v>
      </c>
      <c r="AS818" s="473"/>
      <c r="AT818" s="473">
        <f>SUM(AT817:AT817)</f>
        <v>49244.639999999999</v>
      </c>
      <c r="AU818" s="473">
        <f>SUM(AU817:AU817)</f>
        <v>18781.969999999998</v>
      </c>
      <c r="AV818" s="473">
        <f>SUM(AV817:AV817)</f>
        <v>49244.639999999999</v>
      </c>
      <c r="AW818" s="473">
        <f>SUM(AW817:AW817)</f>
        <v>0</v>
      </c>
      <c r="AX818" s="473">
        <f>SUM(AX817:AX817)</f>
        <v>18781.969999999998</v>
      </c>
      <c r="AY818" s="473">
        <f>SUM(AY817:AY817)</f>
        <v>49244.639999999999</v>
      </c>
      <c r="AZ818" s="473">
        <f>SUM(AZ817:AZ817)</f>
        <v>0</v>
      </c>
      <c r="BA818" s="473">
        <f>SUM(BA817:BA817)</f>
        <v>18781.969999999998</v>
      </c>
    </row>
    <row r="819" spans="42:53" x14ac:dyDescent="0.3">
      <c r="AQ819" t="s">
        <v>1449</v>
      </c>
      <c r="AS819" s="462"/>
      <c r="AT819" s="462">
        <f>SUMIF(CN2:CN698,AQ819,CL2:CL698)</f>
        <v>7210</v>
      </c>
      <c r="AU819" s="462">
        <f>SUMIF(CN2:CN698,AQ819,CM2:CM698)</f>
        <v>855.24</v>
      </c>
      <c r="AV819" s="462">
        <f>SUMIF(CN2:CN698,AQ819,CL2:CL698)</f>
        <v>7210</v>
      </c>
      <c r="AW819" s="462">
        <v>0</v>
      </c>
      <c r="AX819" s="462">
        <f>SUMIF(CN2:CN698,AQ819,CM2:CM698)</f>
        <v>855.24</v>
      </c>
      <c r="AY819" s="462">
        <f>SUMIF(CN2:CN698,AQ819,CL2:CL698)</f>
        <v>7210</v>
      </c>
      <c r="AZ819" s="462">
        <v>0</v>
      </c>
      <c r="BA819" s="462">
        <f>SUMIF(CN2:CN698,AQ819,CM2:CM698)</f>
        <v>855.24</v>
      </c>
    </row>
    <row r="820" spans="42:53" x14ac:dyDescent="0.3">
      <c r="AQ820" t="s">
        <v>1454</v>
      </c>
      <c r="AS820" s="462"/>
      <c r="AT820" s="462">
        <f>SUMIF(CN2:CN698,AQ820,CL2:CL698)</f>
        <v>40107.97</v>
      </c>
      <c r="AU820" s="462">
        <f>SUMIF(CN2:CN698,AQ820,CM2:CM698)</f>
        <v>8669.81</v>
      </c>
      <c r="AV820" s="462">
        <f>SUMIF(CN2:CN698,AQ820,CL2:CL698)</f>
        <v>40107.97</v>
      </c>
      <c r="AW820" s="462">
        <v>0</v>
      </c>
      <c r="AX820" s="462">
        <f>SUMIF(CN2:CN698,AQ820,CM2:CM698)</f>
        <v>8669.81</v>
      </c>
      <c r="AY820" s="462">
        <f>SUMIF(CN2:CN698,AQ820,CL2:CL698)</f>
        <v>40107.97</v>
      </c>
      <c r="AZ820" s="462">
        <v>0</v>
      </c>
      <c r="BA820" s="462">
        <f>SUMIF(CN2:CN698,AQ820,CM2:CM698)</f>
        <v>8669.81</v>
      </c>
    </row>
    <row r="821" spans="42:53" x14ac:dyDescent="0.3">
      <c r="AP821" t="s">
        <v>1618</v>
      </c>
      <c r="AS821" s="473"/>
      <c r="AT821" s="473">
        <f>SUM(AT819:AT820)</f>
        <v>47317.97</v>
      </c>
      <c r="AU821" s="473">
        <f>SUM(AU819:AU820)</f>
        <v>9525.0499999999993</v>
      </c>
      <c r="AV821" s="473">
        <f>SUM(AV819:AV820)</f>
        <v>47317.97</v>
      </c>
      <c r="AW821" s="473">
        <f>SUM(AW819:AW820)</f>
        <v>0</v>
      </c>
      <c r="AX821" s="473">
        <f>SUM(AX819:AX820)</f>
        <v>9525.0499999999993</v>
      </c>
      <c r="AY821" s="473">
        <f>SUM(AY819:AY820)</f>
        <v>47317.97</v>
      </c>
      <c r="AZ821" s="473">
        <f>SUM(AZ819:AZ820)</f>
        <v>0</v>
      </c>
      <c r="BA821" s="473">
        <f>SUM(BA819:BA820)</f>
        <v>9525.0499999999993</v>
      </c>
    </row>
    <row r="822" spans="42:53" x14ac:dyDescent="0.3">
      <c r="AQ822" t="s">
        <v>1619</v>
      </c>
      <c r="AS822" s="462"/>
      <c r="AT822" s="462">
        <f>SUMIF(CN2:CN698,AQ822,CL2:CL698)</f>
        <v>217549.05000000002</v>
      </c>
      <c r="AU822" s="462">
        <f>SUMIF(CN2:CN698,AQ822,CM2:CM698)</f>
        <v>40675.759999999995</v>
      </c>
      <c r="AV822" s="462">
        <f>SUMIF(CN2:CN698,AQ822,CL2:CL698)</f>
        <v>217549.05000000002</v>
      </c>
      <c r="AW822" s="462">
        <v>0</v>
      </c>
      <c r="AX822" s="462">
        <f>SUMIF(CN2:CN698,AQ822,CM2:CM698)</f>
        <v>40675.759999999995</v>
      </c>
      <c r="AY822" s="462">
        <f>SUMIF(CN2:CN698,AQ822,CL2:CL698)</f>
        <v>217549.05000000002</v>
      </c>
      <c r="AZ822" s="462">
        <v>0</v>
      </c>
      <c r="BA822" s="462">
        <f>SUMIF(CN2:CN698,AQ822,CM2:CM698)</f>
        <v>40675.759999999995</v>
      </c>
    </row>
    <row r="823" spans="42:53" x14ac:dyDescent="0.3">
      <c r="AQ823" t="s">
        <v>1620</v>
      </c>
      <c r="AS823" s="462"/>
      <c r="AT823" s="462">
        <f>SUMIF(CN2:CN698,AQ823,CL2:CL698)</f>
        <v>11.55</v>
      </c>
      <c r="AU823" s="462">
        <f>SUMIF(CN2:CN698,AQ823,CM2:CM698)</f>
        <v>6.22</v>
      </c>
      <c r="AV823" s="462">
        <f>SUMIF(CN2:CN698,AQ823,CL2:CL698)</f>
        <v>11.55</v>
      </c>
      <c r="AW823" s="462">
        <v>0</v>
      </c>
      <c r="AX823" s="462">
        <f>SUMIF(CN2:CN698,AQ823,CM2:CM698)</f>
        <v>6.22</v>
      </c>
      <c r="AY823" s="462">
        <f>SUMIF(CN2:CN698,AQ823,CL2:CL698)</f>
        <v>11.55</v>
      </c>
      <c r="AZ823" s="462">
        <v>0</v>
      </c>
      <c r="BA823" s="462">
        <f>SUMIF(CN2:CN698,AQ823,CM2:CM698)</f>
        <v>6.22</v>
      </c>
    </row>
    <row r="824" spans="42:53" x14ac:dyDescent="0.3">
      <c r="AQ824" t="s">
        <v>1621</v>
      </c>
      <c r="AS824" s="462"/>
      <c r="AT824" s="462">
        <f>SUMIF(CN2:CN698,AQ824,CL2:CL698)</f>
        <v>27429</v>
      </c>
      <c r="AU824" s="462">
        <f>SUMIF(CN2:CN698,AQ824,CM2:CM698)</f>
        <v>3333.64</v>
      </c>
      <c r="AV824" s="462">
        <f>SUMIF(CN2:CN698,AQ824,CL2:CL698)</f>
        <v>27429</v>
      </c>
      <c r="AW824" s="462">
        <v>0</v>
      </c>
      <c r="AX824" s="462">
        <f>SUMIF(CN2:CN698,AQ824,CM2:CM698)</f>
        <v>3333.64</v>
      </c>
      <c r="AY824" s="462">
        <f>SUMIF(CN2:CN698,AQ824,CL2:CL698)</f>
        <v>27429</v>
      </c>
      <c r="AZ824" s="462">
        <v>0</v>
      </c>
      <c r="BA824" s="462">
        <f>SUMIF(CN2:CN698,AQ824,CM2:CM698)</f>
        <v>3333.64</v>
      </c>
    </row>
    <row r="825" spans="42:53" x14ac:dyDescent="0.3">
      <c r="AQ825" t="s">
        <v>1622</v>
      </c>
      <c r="AS825" s="462"/>
      <c r="AT825" s="462">
        <f>SUMIF(CN2:CN698,AQ825,CL2:CL698)</f>
        <v>12.5</v>
      </c>
      <c r="AU825" s="462">
        <f>SUMIF(CN2:CN698,AQ825,CM2:CM698)</f>
        <v>1.34</v>
      </c>
      <c r="AV825" s="462">
        <f>SUMIF(CN2:CN698,AQ825,CL2:CL698)</f>
        <v>12.5</v>
      </c>
      <c r="AW825" s="462">
        <v>0</v>
      </c>
      <c r="AX825" s="462">
        <f>SUMIF(CN2:CN698,AQ825,CM2:CM698)</f>
        <v>1.34</v>
      </c>
      <c r="AY825" s="462">
        <f>SUMIF(CN2:CN698,AQ825,CL2:CL698)</f>
        <v>12.5</v>
      </c>
      <c r="AZ825" s="462">
        <v>0</v>
      </c>
      <c r="BA825" s="462">
        <f>SUMIF(CN2:CN698,AQ825,CM2:CM698)</f>
        <v>1.34</v>
      </c>
    </row>
    <row r="826" spans="42:53" x14ac:dyDescent="0.3">
      <c r="AQ826" t="s">
        <v>1530</v>
      </c>
      <c r="AS826" s="462"/>
      <c r="AT826" s="462">
        <f>SUMIF(CN2:CN698,AQ826,CL2:CL698)</f>
        <v>4536</v>
      </c>
      <c r="AU826" s="462">
        <f>SUMIF(CN2:CN698,AQ826,CM2:CM698)</f>
        <v>385.59</v>
      </c>
      <c r="AV826" s="462">
        <f>SUMIF(CN2:CN698,AQ826,CL2:CL698)</f>
        <v>4536</v>
      </c>
      <c r="AW826" s="462">
        <v>0</v>
      </c>
      <c r="AX826" s="462">
        <f>SUMIF(CN2:CN698,AQ826,CM2:CM698)</f>
        <v>385.59</v>
      </c>
      <c r="AY826" s="462">
        <f>SUMIF(CN2:CN698,AQ826,CL2:CL698)</f>
        <v>4536</v>
      </c>
      <c r="AZ826" s="462">
        <v>0</v>
      </c>
      <c r="BA826" s="462">
        <f>SUMIF(CN2:CN698,AQ826,CM2:CM698)</f>
        <v>385.59</v>
      </c>
    </row>
    <row r="827" spans="42:53" x14ac:dyDescent="0.3">
      <c r="AQ827" t="s">
        <v>1509</v>
      </c>
      <c r="AS827" s="462"/>
      <c r="AT827" s="462">
        <f>SUMIF(CN2:CN698,AQ827,CL2:CL698)</f>
        <v>9786.2000000000007</v>
      </c>
      <c r="AU827" s="462">
        <f>SUMIF(CN2:CN698,AQ827,CM2:CM698)</f>
        <v>1849.98</v>
      </c>
      <c r="AV827" s="462">
        <f>SUMIF(CN2:CN698,AQ827,CL2:CL698)</f>
        <v>9786.2000000000007</v>
      </c>
      <c r="AW827" s="462">
        <v>0</v>
      </c>
      <c r="AX827" s="462">
        <f>SUMIF(CN2:CN698,AQ827,CM2:CM698)</f>
        <v>1849.98</v>
      </c>
      <c r="AY827" s="462">
        <f>SUMIF(CN2:CN698,AQ827,CL2:CL698)</f>
        <v>9786.2000000000007</v>
      </c>
      <c r="AZ827" s="462">
        <v>0</v>
      </c>
      <c r="BA827" s="462">
        <f>SUMIF(CN2:CN698,AQ827,CM2:CM698)</f>
        <v>1849.98</v>
      </c>
    </row>
    <row r="828" spans="42:53" x14ac:dyDescent="0.3">
      <c r="AP828" t="s">
        <v>1625</v>
      </c>
      <c r="AS828" s="473"/>
      <c r="AT828" s="473">
        <f>SUM(AT822:AT827)</f>
        <v>259324.30000000002</v>
      </c>
      <c r="AU828" s="473">
        <f>SUM(AU822:AU827)</f>
        <v>46252.529999999992</v>
      </c>
      <c r="AV828" s="473">
        <f>SUM(AV822:AV827)</f>
        <v>259324.30000000002</v>
      </c>
      <c r="AW828" s="473">
        <f>SUM(AW822:AW827)</f>
        <v>0</v>
      </c>
      <c r="AX828" s="473">
        <f>SUM(AX822:AX827)</f>
        <v>46252.529999999992</v>
      </c>
      <c r="AY828" s="473">
        <f>SUM(AY822:AY827)</f>
        <v>259324.30000000002</v>
      </c>
      <c r="AZ828" s="473">
        <f>SUM(AZ822:AZ827)</f>
        <v>0</v>
      </c>
      <c r="BA828" s="473">
        <f>SUM(BA822:BA827)</f>
        <v>46252.529999999992</v>
      </c>
    </row>
    <row r="829" spans="42:53" x14ac:dyDescent="0.3">
      <c r="AQ829" t="s">
        <v>1469</v>
      </c>
      <c r="AS829" s="462"/>
      <c r="AT829" s="462">
        <f>SUMIF(CN2:CN698,AQ829,CL2:CL698)</f>
        <v>8376</v>
      </c>
      <c r="AU829" s="462">
        <f>SUMIF(CN2:CN698,AQ829,CM2:CM698)</f>
        <v>1154.31</v>
      </c>
      <c r="AV829" s="462">
        <f>SUMIF(CN2:CN698,AQ829,CL2:CL698)</f>
        <v>8376</v>
      </c>
      <c r="AW829" s="462">
        <v>0</v>
      </c>
      <c r="AX829" s="462">
        <f>SUMIF(CN2:CN698,AQ829,CM2:CM698)</f>
        <v>1154.31</v>
      </c>
      <c r="AY829" s="462">
        <f>SUMIF(CN2:CN698,AQ829,CL2:CL698)</f>
        <v>8376</v>
      </c>
      <c r="AZ829" s="462">
        <v>0</v>
      </c>
      <c r="BA829" s="462">
        <f>SUMIF(CN2:CN698,AQ829,CM2:CM698)</f>
        <v>1154.31</v>
      </c>
    </row>
    <row r="830" spans="42:53" x14ac:dyDescent="0.3">
      <c r="AQ830" t="s">
        <v>1474</v>
      </c>
      <c r="AS830" s="462"/>
      <c r="AT830" s="462">
        <f>SUMIF(CN2:CN698,AQ830,CL2:CL698)</f>
        <v>699.37</v>
      </c>
      <c r="AU830" s="462">
        <f>SUMIF(CN2:CN698,AQ830,CM2:CM698)</f>
        <v>459.88</v>
      </c>
      <c r="AV830" s="462">
        <f>SUMIF(CN2:CN698,AQ830,CL2:CL698)</f>
        <v>699.37</v>
      </c>
      <c r="AW830" s="462">
        <v>0</v>
      </c>
      <c r="AX830" s="462">
        <f>SUMIF(CN2:CN698,AQ830,CM2:CM698)</f>
        <v>459.88</v>
      </c>
      <c r="AY830" s="462">
        <f>SUMIF(CN2:CN698,AQ830,CL2:CL698)</f>
        <v>699.37</v>
      </c>
      <c r="AZ830" s="462">
        <v>0</v>
      </c>
      <c r="BA830" s="462">
        <f>SUMIF(CN2:CN698,AQ830,CM2:CM698)</f>
        <v>459.88</v>
      </c>
    </row>
    <row r="831" spans="42:53" x14ac:dyDescent="0.3">
      <c r="AQ831" t="s">
        <v>1536</v>
      </c>
      <c r="AS831" s="462"/>
      <c r="AT831" s="462">
        <f>SUMIF(CN2:CN698,AQ831,CL2:CL698)</f>
        <v>24.75</v>
      </c>
      <c r="AU831" s="462">
        <f>SUMIF(CN2:CN698,AQ831,CM2:CM698)</f>
        <v>14.92</v>
      </c>
      <c r="AV831" s="462">
        <f>SUMIF(CN2:CN698,AQ831,CL2:CL698)</f>
        <v>24.75</v>
      </c>
      <c r="AW831" s="462">
        <v>0</v>
      </c>
      <c r="AX831" s="462">
        <f>SUMIF(CN2:CN698,AQ831,CM2:CM698)</f>
        <v>14.92</v>
      </c>
      <c r="AY831" s="462">
        <f>SUMIF(CN2:CN698,AQ831,CL2:CL698)</f>
        <v>24.75</v>
      </c>
      <c r="AZ831" s="462">
        <v>0</v>
      </c>
      <c r="BA831" s="462">
        <f>SUMIF(CN2:CN698,AQ831,CM2:CM698)</f>
        <v>14.92</v>
      </c>
    </row>
    <row r="832" spans="42:53" x14ac:dyDescent="0.3">
      <c r="AP832" t="s">
        <v>1626</v>
      </c>
      <c r="AS832" s="473"/>
      <c r="AT832" s="473">
        <f>SUM(AT829:AT831)</f>
        <v>9100.1200000000008</v>
      </c>
      <c r="AU832" s="473">
        <f>SUM(AU829:AU831)</f>
        <v>1629.1100000000001</v>
      </c>
      <c r="AV832" s="473">
        <f>SUM(AV829:AV831)</f>
        <v>9100.1200000000008</v>
      </c>
      <c r="AW832" s="473">
        <f>SUM(AW829:AW831)</f>
        <v>0</v>
      </c>
      <c r="AX832" s="473">
        <f>SUM(AX829:AX831)</f>
        <v>1629.1100000000001</v>
      </c>
      <c r="AY832" s="473">
        <f>SUM(AY829:AY831)</f>
        <v>9100.1200000000008</v>
      </c>
      <c r="AZ832" s="473">
        <f>SUM(AZ829:AZ831)</f>
        <v>0</v>
      </c>
      <c r="BA832" s="473">
        <f>SUM(BA829:BA831)</f>
        <v>1629.1100000000001</v>
      </c>
    </row>
    <row r="833" spans="41:885" x14ac:dyDescent="0.3">
      <c r="AQ833" t="s">
        <v>1490</v>
      </c>
      <c r="AS833" s="462"/>
      <c r="AT833" s="462">
        <f>SUMIF(CN2:CN698,AQ833,CL2:CL698)</f>
        <v>54711.48</v>
      </c>
      <c r="AU833" s="462">
        <f>SUMIF(CN2:CN698,AQ833,CM2:CM698)</f>
        <v>6284.53</v>
      </c>
      <c r="AV833" s="462">
        <f>SUMIF(CN2:CN698,AQ833,CL2:CL698)</f>
        <v>54711.48</v>
      </c>
      <c r="AW833" s="462">
        <v>0</v>
      </c>
      <c r="AX833" s="462">
        <f>SUMIF(CN2:CN698,AQ833,CM2:CM698)</f>
        <v>6284.53</v>
      </c>
      <c r="AY833" s="462">
        <f>SUMIF(CN2:CN698,AQ833,CL2:CL698)</f>
        <v>54711.48</v>
      </c>
      <c r="AZ833" s="462">
        <v>0</v>
      </c>
      <c r="BA833" s="462">
        <f>SUMIF(CN2:CN698,AQ833,CM2:CM698)</f>
        <v>6284.53</v>
      </c>
    </row>
    <row r="834" spans="41:885" x14ac:dyDescent="0.3">
      <c r="AP834" t="s">
        <v>1627</v>
      </c>
      <c r="AS834" s="473"/>
      <c r="AT834" s="473">
        <f>SUM(AT833:AT833)</f>
        <v>54711.48</v>
      </c>
      <c r="AU834" s="473">
        <f>SUM(AU833:AU833)</f>
        <v>6284.53</v>
      </c>
      <c r="AV834" s="473">
        <f>SUM(AV833:AV833)</f>
        <v>54711.48</v>
      </c>
      <c r="AW834" s="473">
        <f>SUM(AW833:AW833)</f>
        <v>0</v>
      </c>
      <c r="AX834" s="473">
        <f>SUM(AX833:AX833)</f>
        <v>6284.53</v>
      </c>
      <c r="AY834" s="473">
        <f>SUM(AY833:AY833)</f>
        <v>54711.48</v>
      </c>
      <c r="AZ834" s="473">
        <f>SUM(AZ833:AZ833)</f>
        <v>0</v>
      </c>
      <c r="BA834" s="473">
        <f>SUM(BA833:BA833)</f>
        <v>6284.53</v>
      </c>
    </row>
    <row r="835" spans="41:885" x14ac:dyDescent="0.3">
      <c r="AQ835" t="s">
        <v>1607</v>
      </c>
      <c r="AS835" s="462"/>
      <c r="AT835" s="462">
        <f>SUMIF(CN2:CN698,AQ835,CL2:CL698)</f>
        <v>6149.25</v>
      </c>
      <c r="AU835" s="462">
        <f>SUMIF(CN2:CN698,AQ835,CM2:CM698)</f>
        <v>723.41</v>
      </c>
      <c r="AV835" s="462">
        <f>SUMIF(CN2:CN698,AQ835,CL2:CL698)</f>
        <v>6149.25</v>
      </c>
      <c r="AW835" s="462">
        <v>0</v>
      </c>
      <c r="AX835" s="462">
        <f>SUMIF(CN2:CN698,AQ835,CM2:CM698)</f>
        <v>723.41</v>
      </c>
      <c r="AY835" s="462">
        <f>SUMIF(CN2:CN698,AQ835,CL2:CL698)</f>
        <v>6149.25</v>
      </c>
      <c r="AZ835" s="462">
        <v>0</v>
      </c>
      <c r="BA835" s="462">
        <f>SUMIF(CN2:CN698,AQ835,CM2:CM698)</f>
        <v>723.41</v>
      </c>
    </row>
    <row r="836" spans="41:885" x14ac:dyDescent="0.3">
      <c r="AP836" t="s">
        <v>1628</v>
      </c>
      <c r="AS836" s="473"/>
      <c r="AT836" s="473">
        <f>SUM(AT835:AT835)</f>
        <v>6149.25</v>
      </c>
      <c r="AU836" s="473">
        <f>SUM(AU835:AU835)</f>
        <v>723.41</v>
      </c>
      <c r="AV836" s="473">
        <f>SUM(AV835:AV835)</f>
        <v>6149.25</v>
      </c>
      <c r="AW836" s="473">
        <f>SUM(AW835:AW835)</f>
        <v>0</v>
      </c>
      <c r="AX836" s="473">
        <f>SUM(AX835:AX835)</f>
        <v>723.41</v>
      </c>
      <c r="AY836" s="473">
        <f>SUM(AY835:AY835)</f>
        <v>6149.25</v>
      </c>
      <c r="AZ836" s="473">
        <f>SUM(AZ835:AZ835)</f>
        <v>0</v>
      </c>
      <c r="BA836" s="473">
        <f>SUM(BA835:BA835)</f>
        <v>723.41</v>
      </c>
    </row>
    <row r="837" spans="41:885" x14ac:dyDescent="0.3">
      <c r="AQ837" t="s">
        <v>1568</v>
      </c>
      <c r="AS837" s="462"/>
      <c r="AT837" s="462">
        <f>SUMIF(CN2:CN698,AQ837,CL2:CL698)</f>
        <v>3474080.0999999996</v>
      </c>
      <c r="AU837" s="462">
        <f>SUMIF(CN2:CN698,AQ837,CM2:CM698)</f>
        <v>1952693.5</v>
      </c>
      <c r="AV837" s="462">
        <f>SUMIF(CN2:CN698,AQ837,CL2:CL698)</f>
        <v>3474080.0999999996</v>
      </c>
      <c r="AW837" s="462">
        <v>0</v>
      </c>
      <c r="AX837" s="462">
        <f>SUMIF(CN2:CN698,AQ837,CM2:CM698)</f>
        <v>1952693.5</v>
      </c>
      <c r="AY837" s="462">
        <f>SUMIF(CN2:CN698,AQ837,CL2:CL698)</f>
        <v>3474080.0999999996</v>
      </c>
      <c r="AZ837" s="462">
        <v>0</v>
      </c>
      <c r="BA837" s="462">
        <f>SUMIF(CN2:CN698,AQ837,CM2:CM698)</f>
        <v>1952693.5</v>
      </c>
    </row>
    <row r="838" spans="41:885" x14ac:dyDescent="0.3">
      <c r="AP838" t="s">
        <v>1629</v>
      </c>
      <c r="AS838" s="473"/>
      <c r="AT838" s="473">
        <f>SUM(AT837:AT837)</f>
        <v>3474080.0999999996</v>
      </c>
      <c r="AU838" s="473">
        <f>SUM(AU837:AU837)</f>
        <v>1952693.5</v>
      </c>
      <c r="AV838" s="473">
        <f>SUM(AV837:AV837)</f>
        <v>3474080.0999999996</v>
      </c>
      <c r="AW838" s="473">
        <f>SUM(AW837:AW837)</f>
        <v>0</v>
      </c>
      <c r="AX838" s="473">
        <f>SUM(AX837:AX837)</f>
        <v>1952693.5</v>
      </c>
      <c r="AY838" s="473">
        <f>SUM(AY837:AY837)</f>
        <v>3474080.0999999996</v>
      </c>
      <c r="AZ838" s="473">
        <f>SUM(AZ837:AZ837)</f>
        <v>0</v>
      </c>
      <c r="BA838" s="473">
        <f>SUM(BA837:BA837)</f>
        <v>1952693.5</v>
      </c>
    </row>
    <row r="839" spans="41:885" x14ac:dyDescent="0.3">
      <c r="AS839" s="462"/>
      <c r="AT839" s="462"/>
      <c r="AU839" s="462"/>
      <c r="AV839" s="462"/>
      <c r="AW839" s="462"/>
      <c r="AX839" s="462"/>
      <c r="AY839" s="462"/>
      <c r="AZ839" s="462"/>
      <c r="BA839" s="462"/>
    </row>
    <row r="840" spans="41:885" x14ac:dyDescent="0.3">
      <c r="AO840" s="471" t="s">
        <v>1632</v>
      </c>
      <c r="AS840" s="474">
        <f>SUM(AS818,AS821,AS828,AS832,AS834,AS836,AS838)</f>
        <v>0</v>
      </c>
      <c r="AT840" s="474">
        <f>SUM(AT818,AT821,AT828,AT832,AT834,AT836,AT838)</f>
        <v>3899927.8599999994</v>
      </c>
      <c r="AU840" s="474">
        <f>SUM(AU818,AU821,AU828,AU832,AU834,AU836,AU838)</f>
        <v>2035890.1</v>
      </c>
      <c r="AV840" s="474">
        <f>SUM(AV818,AV821,AV828,AV832,AV834,AV836,AV838)</f>
        <v>3899927.8599999994</v>
      </c>
      <c r="AW840" s="474">
        <f>SUM(AW818,AW821,AW828,AW832,AW834,AW836,AW838)</f>
        <v>0</v>
      </c>
      <c r="AX840" s="474">
        <f>SUM(AX818,AX821,AX828,AX832,AX834,AX836,AX838)</f>
        <v>2035890.1</v>
      </c>
      <c r="AY840" s="474">
        <f>SUM(AY818,AY821,AY828,AY832,AY834,AY836,AY838)</f>
        <v>3899927.8599999994</v>
      </c>
      <c r="AZ840" s="474">
        <f>SUM(AZ818,AZ821,AZ828,AZ832,AZ834,AZ836,AZ838)</f>
        <v>0</v>
      </c>
      <c r="BA840" s="474">
        <f>SUM(BA818,BA821,BA828,BA832,BA834,BA836,BA838)</f>
        <v>2035890.1</v>
      </c>
      <c r="AGA840" s="467"/>
      <c r="AHA840" s="467"/>
    </row>
    <row r="841" spans="41:885" x14ac:dyDescent="0.3">
      <c r="AS841" s="462"/>
      <c r="AT841" s="462"/>
      <c r="AU841" s="462"/>
      <c r="AV841" s="462"/>
      <c r="AW841" s="462"/>
      <c r="AX841" s="462"/>
      <c r="AY841" s="462"/>
      <c r="AZ841" s="462"/>
      <c r="BA841" s="462"/>
    </row>
    <row r="842" spans="41:885" x14ac:dyDescent="0.3">
      <c r="AO842" s="472" t="s">
        <v>1633</v>
      </c>
      <c r="AS842" s="475">
        <f>SUM(AS814,AS840)</f>
        <v>190.33750000000001</v>
      </c>
      <c r="AT842" s="476">
        <f>SUM(AT814,AT840)</f>
        <v>14364695.999999996</v>
      </c>
      <c r="AU842" s="476">
        <f>SUM(AU814,AU840)</f>
        <v>6442493.2800000012</v>
      </c>
      <c r="AV842" s="476">
        <f>SUM(AV814,AV840)</f>
        <v>14551114.799999999</v>
      </c>
      <c r="AW842" s="476">
        <f>SUM(AW814,AW840)</f>
        <v>2233887.5</v>
      </c>
      <c r="AX842" s="476">
        <f>SUM(AX814,AX840)</f>
        <v>4441805.6449838001</v>
      </c>
      <c r="AY842" s="476">
        <f>SUM(AY814,AY840)</f>
        <v>14551114.799999999</v>
      </c>
      <c r="AZ842" s="476">
        <f>SUM(AZ814,AZ840)</f>
        <v>2233887.5</v>
      </c>
      <c r="BA842" s="476">
        <f>SUM(BA814,BA840)</f>
        <v>4415204.6758997999</v>
      </c>
    </row>
  </sheetData>
  <mergeCells count="5">
    <mergeCell ref="AT781:AU781"/>
    <mergeCell ref="AV781:AV782"/>
    <mergeCell ref="AW781:AX781"/>
    <mergeCell ref="AY781:AY782"/>
    <mergeCell ref="AZ781:BA781"/>
  </mergeCells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pageSetUpPr fitToPage="1"/>
  </sheetPr>
  <dimension ref="A1:O40"/>
  <sheetViews>
    <sheetView topLeftCell="A19" zoomScaleNormal="100" workbookViewId="0">
      <selection activeCell="C39" sqref="C39"/>
    </sheetView>
  </sheetViews>
  <sheetFormatPr defaultColWidth="9.109375" defaultRowHeight="19.2" x14ac:dyDescent="0.35"/>
  <cols>
    <col min="1" max="1" width="4" style="1" customWidth="1"/>
    <col min="2" max="2" width="42" style="1" bestFit="1" customWidth="1"/>
    <col min="3" max="3" width="20.33203125" style="1" customWidth="1"/>
    <col min="4" max="4" width="21.44140625" style="1" bestFit="1" customWidth="1"/>
    <col min="5" max="5" width="20.5546875" style="1" customWidth="1"/>
    <col min="6" max="6" width="14.33203125" style="1" bestFit="1" customWidth="1"/>
    <col min="7" max="7" width="12" style="1" bestFit="1" customWidth="1"/>
    <col min="8" max="8" width="15" style="1" bestFit="1" customWidth="1"/>
    <col min="9" max="10" width="9.109375" style="1"/>
    <col min="11" max="11" width="9.88671875" style="1" bestFit="1" customWidth="1"/>
    <col min="12" max="12" width="16.44140625" style="1" bestFit="1" customWidth="1"/>
    <col min="13" max="14" width="15.88671875" style="1" bestFit="1" customWidth="1"/>
    <col min="15" max="15" width="16.44140625" style="1" bestFit="1" customWidth="1"/>
    <col min="16" max="16384" width="9.109375" style="1"/>
  </cols>
  <sheetData>
    <row r="1" spans="1:15" x14ac:dyDescent="0.35">
      <c r="A1" s="383"/>
      <c r="B1" s="383"/>
      <c r="C1" s="383"/>
      <c r="D1" s="383"/>
      <c r="E1" s="383"/>
    </row>
    <row r="2" spans="1:15" ht="28.5" customHeight="1" x14ac:dyDescent="0.35">
      <c r="A2" s="2" t="s">
        <v>10</v>
      </c>
      <c r="B2" s="2"/>
      <c r="C2" s="2"/>
      <c r="D2" s="2"/>
      <c r="E2" s="2"/>
    </row>
    <row r="3" spans="1:15" x14ac:dyDescent="0.35">
      <c r="A3" s="3"/>
      <c r="B3" s="3"/>
      <c r="C3" s="4" t="s">
        <v>0</v>
      </c>
      <c r="D3" s="4" t="s">
        <v>1</v>
      </c>
      <c r="E3" s="3"/>
    </row>
    <row r="4" spans="1:15" ht="37.799999999999997" x14ac:dyDescent="0.35">
      <c r="A4" s="3"/>
      <c r="B4" s="225"/>
      <c r="C4" s="5">
        <f>D4-1</f>
        <v>2022</v>
      </c>
      <c r="D4" s="6">
        <f>FiscalYear</f>
        <v>2023</v>
      </c>
      <c r="E4" s="7" t="str">
        <f>"DIFFERENCE "&amp;D4&amp;" - "&amp;C4</f>
        <v>DIFFERENCE 2023 - 2022</v>
      </c>
      <c r="F4" s="247" t="str">
        <f>"MAX "&amp;C4</f>
        <v>MAX 2022</v>
      </c>
      <c r="G4" s="247" t="str">
        <f>"MAX "&amp;D4</f>
        <v>MAX 2023</v>
      </c>
    </row>
    <row r="5" spans="1:15" x14ac:dyDescent="0.35">
      <c r="A5" s="3"/>
      <c r="B5" s="130" t="s">
        <v>2</v>
      </c>
      <c r="C5" s="226">
        <v>6.2E-2</v>
      </c>
      <c r="D5" s="226">
        <v>6.2E-2</v>
      </c>
      <c r="E5" s="313">
        <f>D5-C5</f>
        <v>0</v>
      </c>
      <c r="F5" s="248">
        <v>137700</v>
      </c>
      <c r="G5" s="248">
        <v>142800</v>
      </c>
    </row>
    <row r="6" spans="1:15" x14ac:dyDescent="0.35">
      <c r="A6" s="3"/>
      <c r="B6" s="130" t="s">
        <v>3</v>
      </c>
      <c r="C6" s="226">
        <v>1.4500000000000001E-2</v>
      </c>
      <c r="D6" s="226">
        <v>1.4500000000000001E-2</v>
      </c>
      <c r="E6" s="313">
        <f t="shared" ref="E6:E15" si="0">D6-C6</f>
        <v>0</v>
      </c>
    </row>
    <row r="7" spans="1:15" x14ac:dyDescent="0.35">
      <c r="A7" s="3"/>
      <c r="B7" s="130" t="s">
        <v>4</v>
      </c>
      <c r="C7" s="226">
        <v>4.8999999999999998E-3</v>
      </c>
      <c r="D7" s="226">
        <v>0</v>
      </c>
      <c r="E7" s="313">
        <f t="shared" si="0"/>
        <v>-4.8999999999999998E-3</v>
      </c>
    </row>
    <row r="8" spans="1:15" x14ac:dyDescent="0.35">
      <c r="A8" s="3"/>
      <c r="B8" s="130" t="s">
        <v>5</v>
      </c>
      <c r="C8" s="235">
        <v>1.5299999999999999E-2</v>
      </c>
      <c r="D8" s="234">
        <v>1.7600000000000001E-2</v>
      </c>
      <c r="E8" s="314">
        <f t="shared" si="0"/>
        <v>2.3000000000000017E-3</v>
      </c>
    </row>
    <row r="9" spans="1:15" x14ac:dyDescent="0.35">
      <c r="A9" s="3"/>
      <c r="B9" s="130" t="s">
        <v>6</v>
      </c>
      <c r="C9" s="226">
        <v>7.2100000000000003E-3</v>
      </c>
      <c r="D9" s="226">
        <v>7.2100000000000003E-3</v>
      </c>
      <c r="E9" s="313">
        <f t="shared" si="0"/>
        <v>0</v>
      </c>
    </row>
    <row r="10" spans="1:15" x14ac:dyDescent="0.35">
      <c r="A10" s="3"/>
      <c r="B10" s="130" t="s">
        <v>7</v>
      </c>
      <c r="C10" s="226">
        <v>0</v>
      </c>
      <c r="D10" s="226">
        <v>0</v>
      </c>
      <c r="E10" s="313">
        <f t="shared" si="0"/>
        <v>0</v>
      </c>
    </row>
    <row r="11" spans="1:15" x14ac:dyDescent="0.35">
      <c r="A11" s="3"/>
      <c r="B11" s="130" t="s">
        <v>8</v>
      </c>
      <c r="C11" s="348">
        <v>3.0599999999999998E-3</v>
      </c>
      <c r="D11" s="348">
        <v>3.0599999999999998E-3</v>
      </c>
      <c r="E11" s="313">
        <f t="shared" si="0"/>
        <v>0</v>
      </c>
    </row>
    <row r="12" spans="1:15" x14ac:dyDescent="0.35">
      <c r="A12" s="3"/>
      <c r="B12" s="233" t="s">
        <v>11</v>
      </c>
      <c r="C12" s="234">
        <f>SUM(C5:C11)</f>
        <v>0.10696999999999998</v>
      </c>
      <c r="D12" s="234">
        <f>SUM(D5:D11)</f>
        <v>0.10436999999999999</v>
      </c>
      <c r="E12" s="315">
        <f>D12-C12</f>
        <v>-2.5999999999999912E-3</v>
      </c>
      <c r="M12" s="320"/>
    </row>
    <row r="13" spans="1:15" x14ac:dyDescent="0.35">
      <c r="A13" s="3"/>
      <c r="B13" s="231" t="s">
        <v>9</v>
      </c>
      <c r="C13" s="226">
        <f>SUM(C5:C8)</f>
        <v>9.6699999999999994E-2</v>
      </c>
      <c r="D13" s="226">
        <f>SUM(D5:D8)</f>
        <v>9.4100000000000003E-2</v>
      </c>
      <c r="E13" s="313">
        <f t="shared" si="0"/>
        <v>-2.5999999999999912E-3</v>
      </c>
      <c r="F13" s="8"/>
    </row>
    <row r="14" spans="1:15" x14ac:dyDescent="0.35">
      <c r="A14" s="230"/>
      <c r="B14" s="232" t="s">
        <v>102</v>
      </c>
      <c r="C14" s="226">
        <f>SUM(C5:C6,C8:C9)</f>
        <v>9.9009999999999987E-2</v>
      </c>
      <c r="D14" s="226">
        <f>SUM(D5:D6,D8:D9)</f>
        <v>0.10131</v>
      </c>
      <c r="E14" s="313">
        <f>D14-C14</f>
        <v>2.3000000000000104E-3</v>
      </c>
      <c r="M14" s="320"/>
    </row>
    <row r="15" spans="1:15" x14ac:dyDescent="0.35">
      <c r="A15" s="3"/>
      <c r="B15" s="231" t="s">
        <v>12</v>
      </c>
      <c r="C15" s="228">
        <v>11650</v>
      </c>
      <c r="D15" s="228">
        <v>11650</v>
      </c>
      <c r="E15" s="311">
        <f t="shared" si="0"/>
        <v>0</v>
      </c>
      <c r="L15" s="8"/>
      <c r="O15" s="9"/>
    </row>
    <row r="16" spans="1:15" x14ac:dyDescent="0.35">
      <c r="A16" s="3"/>
      <c r="B16" s="231" t="s">
        <v>82</v>
      </c>
      <c r="C16" s="229">
        <v>9320</v>
      </c>
      <c r="D16" s="229">
        <v>9320</v>
      </c>
      <c r="E16" s="312">
        <f>PTHealthBY-PTHealth</f>
        <v>0</v>
      </c>
      <c r="H16" s="319"/>
      <c r="L16" s="8"/>
      <c r="O16" s="9"/>
    </row>
    <row r="17" spans="1:11" x14ac:dyDescent="0.35">
      <c r="B17" s="130"/>
      <c r="D17" s="1" t="s">
        <v>45</v>
      </c>
      <c r="K17" s="319"/>
    </row>
    <row r="18" spans="1:11" ht="12" customHeight="1" x14ac:dyDescent="0.35">
      <c r="C18" s="1" t="s">
        <v>45</v>
      </c>
    </row>
    <row r="19" spans="1:11" ht="37.799999999999997" x14ac:dyDescent="0.35">
      <c r="B19" s="10" t="s">
        <v>81</v>
      </c>
      <c r="C19" s="227">
        <f>C4</f>
        <v>2022</v>
      </c>
      <c r="D19" s="227">
        <f>BudgetYear</f>
        <v>2023</v>
      </c>
      <c r="E19" s="11" t="str">
        <f>E4</f>
        <v>DIFFERENCE 2023 - 2022</v>
      </c>
    </row>
    <row r="20" spans="1:11" x14ac:dyDescent="0.35">
      <c r="A20" s="1" t="s">
        <v>68</v>
      </c>
      <c r="B20" s="216" t="s">
        <v>75</v>
      </c>
      <c r="C20" s="362">
        <v>0.11940000000000001</v>
      </c>
      <c r="D20" s="362">
        <v>0.11940000000000001</v>
      </c>
      <c r="E20" s="363">
        <f>D20-C20</f>
        <v>0</v>
      </c>
    </row>
    <row r="21" spans="1:11" x14ac:dyDescent="0.35">
      <c r="A21" s="1" t="s">
        <v>70</v>
      </c>
      <c r="B21" s="1" t="s">
        <v>76</v>
      </c>
      <c r="C21" s="362">
        <v>0.12280000000000001</v>
      </c>
      <c r="D21" s="362">
        <v>0.12280000000000001</v>
      </c>
      <c r="E21" s="363">
        <f t="shared" ref="E21" si="1">D21-C21</f>
        <v>0</v>
      </c>
    </row>
    <row r="22" spans="1:11" x14ac:dyDescent="0.35">
      <c r="A22" s="1" t="s">
        <v>71</v>
      </c>
      <c r="B22" s="1" t="s">
        <v>77</v>
      </c>
      <c r="C22" s="362">
        <v>0.11940000000000001</v>
      </c>
      <c r="D22" s="362">
        <v>0.11940000000000001</v>
      </c>
      <c r="E22" s="363">
        <f>D22-C22</f>
        <v>0</v>
      </c>
    </row>
    <row r="23" spans="1:11" hidden="1" x14ac:dyDescent="0.35">
      <c r="A23" s="1" t="s">
        <v>72</v>
      </c>
      <c r="B23" s="1" t="s">
        <v>78</v>
      </c>
      <c r="C23" s="362">
        <v>0</v>
      </c>
      <c r="D23" s="362">
        <v>0</v>
      </c>
      <c r="E23" s="363">
        <v>0</v>
      </c>
    </row>
    <row r="24" spans="1:11" x14ac:dyDescent="0.35">
      <c r="A24" s="1" t="s">
        <v>69</v>
      </c>
      <c r="B24" s="1" t="s">
        <v>79</v>
      </c>
      <c r="C24" s="362">
        <v>0.62529999999999997</v>
      </c>
      <c r="D24" s="362">
        <v>0.62529999999999997</v>
      </c>
      <c r="E24" s="363">
        <f>D24-C24</f>
        <v>0</v>
      </c>
    </row>
    <row r="25" spans="1:11" x14ac:dyDescent="0.35">
      <c r="A25" s="1" t="s">
        <v>74</v>
      </c>
      <c r="B25" s="1" t="s">
        <v>80</v>
      </c>
      <c r="C25" s="362">
        <v>0.1084</v>
      </c>
      <c r="D25" s="362">
        <v>0.1084</v>
      </c>
      <c r="E25" s="363">
        <f>D25-C25</f>
        <v>0</v>
      </c>
    </row>
    <row r="26" spans="1:11" x14ac:dyDescent="0.35">
      <c r="A26" s="1" t="s">
        <v>73</v>
      </c>
      <c r="B26" s="1" t="s">
        <v>80</v>
      </c>
      <c r="C26" s="362">
        <v>0.1084</v>
      </c>
      <c r="D26" s="362">
        <v>0.1084</v>
      </c>
      <c r="E26" s="363">
        <f>D26-C26</f>
        <v>0</v>
      </c>
    </row>
    <row r="28" spans="1:11" x14ac:dyDescent="0.35">
      <c r="A28" s="384" t="s">
        <v>110</v>
      </c>
      <c r="B28" s="384"/>
      <c r="C28" s="384"/>
      <c r="D28" s="384"/>
      <c r="E28" s="384"/>
    </row>
    <row r="29" spans="1:11" x14ac:dyDescent="0.35">
      <c r="A29" s="384" t="s">
        <v>111</v>
      </c>
      <c r="B29" s="384"/>
      <c r="C29" s="384"/>
      <c r="D29" s="384"/>
      <c r="E29" s="384"/>
    </row>
    <row r="30" spans="1:11" ht="12.75" customHeight="1" x14ac:dyDescent="0.35">
      <c r="A30" s="247"/>
      <c r="B30" s="247"/>
      <c r="C30" s="247"/>
      <c r="D30" s="247"/>
      <c r="E30" s="247"/>
    </row>
    <row r="31" spans="1:11" x14ac:dyDescent="0.35">
      <c r="A31" s="316" t="s">
        <v>88</v>
      </c>
      <c r="B31" s="316"/>
      <c r="C31" s="247"/>
      <c r="D31" s="247"/>
      <c r="E31" s="247"/>
    </row>
    <row r="32" spans="1:11" x14ac:dyDescent="0.35">
      <c r="A32" s="316"/>
      <c r="B32" s="316" t="s">
        <v>89</v>
      </c>
      <c r="C32" s="247"/>
      <c r="D32" s="247"/>
      <c r="E32" s="247"/>
    </row>
    <row r="33" spans="1:5" x14ac:dyDescent="0.35">
      <c r="A33" s="316"/>
      <c r="B33" s="316" t="s">
        <v>90</v>
      </c>
      <c r="C33" s="247"/>
      <c r="D33" s="247"/>
      <c r="E33" s="247"/>
    </row>
    <row r="34" spans="1:5" x14ac:dyDescent="0.35">
      <c r="A34" s="316"/>
      <c r="B34" s="316" t="s">
        <v>91</v>
      </c>
      <c r="C34" s="247"/>
      <c r="D34" s="247"/>
      <c r="E34" s="247"/>
    </row>
    <row r="35" spans="1:5" x14ac:dyDescent="0.35">
      <c r="A35" s="316"/>
      <c r="B35" s="316" t="s">
        <v>92</v>
      </c>
      <c r="C35" s="247"/>
      <c r="D35" s="247"/>
      <c r="E35" s="247"/>
    </row>
    <row r="36" spans="1:5" x14ac:dyDescent="0.35">
      <c r="A36" s="316"/>
      <c r="B36" s="316" t="s">
        <v>93</v>
      </c>
      <c r="C36" s="247"/>
      <c r="D36" s="247"/>
      <c r="E36" s="247"/>
    </row>
    <row r="38" spans="1:5" x14ac:dyDescent="0.35">
      <c r="B38" s="317" t="s">
        <v>103</v>
      </c>
      <c r="C38" s="318">
        <v>0.01</v>
      </c>
    </row>
    <row r="39" spans="1:5" x14ac:dyDescent="0.35">
      <c r="B39" s="341" t="s">
        <v>104</v>
      </c>
      <c r="C39" s="340">
        <v>0.01</v>
      </c>
    </row>
    <row r="40" spans="1:5" x14ac:dyDescent="0.35">
      <c r="B40" s="342" t="s">
        <v>109</v>
      </c>
      <c r="C40" s="343">
        <v>1</v>
      </c>
    </row>
  </sheetData>
  <mergeCells count="3">
    <mergeCell ref="A1:E1"/>
    <mergeCell ref="A28:E28"/>
    <mergeCell ref="A29:E29"/>
  </mergeCells>
  <pageMargins left="0.7" right="0.7" top="0.75" bottom="0.75" header="0.3" footer="0.3"/>
  <pageSetup scale="71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CP80"/>
  <sheetViews>
    <sheetView showGridLines="0" zoomScaleNormal="100" workbookViewId="0">
      <selection sqref="A1:XFD104857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/>
      <c r="E1" s="15"/>
      <c r="F1" s="15"/>
      <c r="G1" s="15"/>
      <c r="H1" s="15"/>
      <c r="I1" s="15"/>
      <c r="J1" s="15"/>
      <c r="K1" s="15"/>
      <c r="L1" s="16" t="s">
        <v>14</v>
      </c>
      <c r="M1" s="400"/>
      <c r="N1" s="401"/>
      <c r="AA1" s="337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/>
      <c r="E2" s="21"/>
      <c r="F2" s="21"/>
      <c r="G2" s="21"/>
      <c r="H2" s="21"/>
      <c r="I2" s="21"/>
      <c r="J2" s="20"/>
      <c r="K2" s="20"/>
      <c r="L2" s="22" t="s">
        <v>113</v>
      </c>
      <c r="M2" s="402"/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/>
      <c r="E3" s="24"/>
      <c r="F3" s="25"/>
      <c r="G3" s="25"/>
      <c r="H3" s="25"/>
      <c r="I3" s="26"/>
      <c r="J3" s="20"/>
      <c r="K3" s="20"/>
      <c r="L3" s="22" t="s">
        <v>114</v>
      </c>
      <c r="M3" s="400"/>
      <c r="N3" s="401"/>
      <c r="AA3" s="337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37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/>
      <c r="J5" s="404"/>
      <c r="K5" s="404"/>
      <c r="L5" s="403"/>
      <c r="M5" s="352" t="s">
        <v>115</v>
      </c>
      <c r="N5" s="32"/>
      <c r="O5"/>
      <c r="P5"/>
      <c r="Q5"/>
      <c r="R5"/>
      <c r="S5"/>
      <c r="T5"/>
      <c r="U5"/>
      <c r="V5"/>
      <c r="W5"/>
      <c r="X5"/>
      <c r="Y5"/>
      <c r="Z5" s="344"/>
      <c r="AA5" s="337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37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256" t="s">
        <v>21</v>
      </c>
      <c r="C8" s="387" t="s">
        <v>22</v>
      </c>
      <c r="D8" s="388"/>
      <c r="E8" s="332" t="s">
        <v>23</v>
      </c>
      <c r="F8" s="49" t="s">
        <v>24</v>
      </c>
      <c r="G8" s="50" t="str">
        <f>"FY "&amp;[0]!FiscalYear-1&amp;" SALARY"</f>
        <v>FY 2022 SALARY</v>
      </c>
      <c r="H8" s="50" t="str">
        <f>"FY "&amp;[0]!FiscalYear-1&amp;" HEALTH BENEFITS"</f>
        <v>FY 2022 HEALTH BENEFITS</v>
      </c>
      <c r="I8" s="50" t="str">
        <f>"FY "&amp;[0]!FiscalYear-1&amp;" VAR BENEFITS"</f>
        <v>FY 2022 VAR BENEFITS</v>
      </c>
      <c r="J8" s="50" t="str">
        <f>"FY "&amp;[0]!FiscalYear-1&amp;" TOTAL"</f>
        <v>FY 2022 TOTAL</v>
      </c>
      <c r="K8" s="50" t="str">
        <f>"FY "&amp;[0]!FiscalYear&amp;" SALARY CHANGE"</f>
        <v>FY 2023 SALARY CHANGE</v>
      </c>
      <c r="L8" s="50" t="str">
        <f>"FY "&amp;[0]!FiscalYear&amp;" CHG HEALTH BENEFITS"</f>
        <v>FY 2023 CHG HEALTH BENEFITS</v>
      </c>
      <c r="M8" s="50" t="str">
        <f>"FY "&amp;[0]!FiscalYear&amp;"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37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v>0</v>
      </c>
      <c r="G10" s="218">
        <v>0</v>
      </c>
      <c r="H10" s="218">
        <v>0</v>
      </c>
      <c r="I10" s="218">
        <v>0</v>
      </c>
      <c r="J10" s="219">
        <f>SUM(G10:I10)</f>
        <v>0</v>
      </c>
      <c r="K10" s="219">
        <v>0</v>
      </c>
      <c r="L10" s="218">
        <v>0</v>
      </c>
      <c r="M10" s="218"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v>0</v>
      </c>
      <c r="H11" s="218">
        <v>0</v>
      </c>
      <c r="I11" s="218"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v>0</v>
      </c>
      <c r="G12" s="218">
        <v>0</v>
      </c>
      <c r="H12" s="218">
        <v>0</v>
      </c>
      <c r="I12" s="218">
        <v>0</v>
      </c>
      <c r="J12" s="219">
        <f>SUM(G12:I12)</f>
        <v>0</v>
      </c>
      <c r="K12" s="268"/>
      <c r="L12" s="218">
        <v>0</v>
      </c>
      <c r="M12" s="218"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154"/>
      <c r="D14" s="155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"&amp;[0]!FiscalYear-1</f>
        <v>FY 2022</v>
      </c>
      <c r="D15" s="158" t="s">
        <v>31</v>
      </c>
      <c r="E15" s="355">
        <v>0</v>
      </c>
      <c r="F15" s="55">
        <v>0</v>
      </c>
      <c r="G15" s="223">
        <f>IF(OrigApprop=0,0,(G13/$J$13)*OrigApprop)</f>
        <v>0</v>
      </c>
      <c r="H15" s="223">
        <f>IF(OrigApprop=0,0,(H13/$J$13)*OrigApprop)</f>
        <v>0</v>
      </c>
      <c r="I15" s="223">
        <f>IF(G15=0,0,(I13/$J$13)*OrigApprop)</f>
        <v>0</v>
      </c>
      <c r="J15" s="223">
        <f>SUM(G15:I15)</f>
        <v>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0</v>
      </c>
      <c r="G16" s="162">
        <f>G15-G13</f>
        <v>0</v>
      </c>
      <c r="H16" s="162">
        <f>H15-H13</f>
        <v>0</v>
      </c>
      <c r="I16" s="162">
        <f>I15-I13</f>
        <v>0</v>
      </c>
      <c r="J16" s="162">
        <f>J15-J13</f>
        <v>0</v>
      </c>
      <c r="K16" s="269"/>
      <c r="L16" s="56" t="str">
        <f>IF([0]!OrigApprop=0,"ERROR! Enter Original Appropriation amount in DU 3.00!","Calculated "&amp;IF([0]!AdjustedTotal&gt;0,"overfunding ","underfunding ")&amp;"is "&amp;TEXT([0]!AdjustedTotal/[0]!AppropTotal,"#.0%;(#.0% );0% ;")&amp;" of Original Appropriation")</f>
        <v>ERROR! Enter Original Appropriation amount in DU 3.00!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37"/>
      <c r="AB19" s="337"/>
      <c r="AC19" s="337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37"/>
      <c r="AB20" s="337"/>
      <c r="AC20" s="337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37"/>
      <c r="AB21" s="337"/>
      <c r="AC21" s="337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37"/>
      <c r="AB22" s="337"/>
      <c r="AC22" s="337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37"/>
      <c r="AB23" s="337"/>
      <c r="AC23" s="337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37"/>
      <c r="AC24" s="337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37"/>
      <c r="AC25" s="337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37"/>
      <c r="AC26" s="337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37"/>
      <c r="AB27" s="337"/>
      <c r="AC27" s="337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37"/>
      <c r="AB28" s="337"/>
      <c r="AC28" s="337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37"/>
      <c r="AB29" s="337"/>
      <c r="AC29" s="337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37"/>
      <c r="AB30" s="337"/>
      <c r="AC30" s="337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37"/>
      <c r="AB31" s="337"/>
      <c r="AC31" s="337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37"/>
      <c r="AB32" s="337"/>
      <c r="AC32" s="337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37"/>
      <c r="AB33" s="337"/>
      <c r="AC33" s="337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37"/>
      <c r="AB34" s="337"/>
      <c r="AC34" s="337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37"/>
      <c r="AB35" s="337"/>
      <c r="AC35" s="337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37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154" t="str">
        <f>Elect_name</f>
        <v>Elected Officials &amp; Full Time Commissioners</v>
      </c>
      <c r="D40" s="194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37"/>
      <c r="AB40" s="337"/>
      <c r="AC40" s="337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37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37"/>
      <c r="AB42" s="337"/>
      <c r="AC42" s="337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0</v>
      </c>
      <c r="G43" s="206">
        <f>ROUND(G51-G41,-2)</f>
        <v>0</v>
      </c>
      <c r="H43" s="159">
        <f>ROUND(H51-H41,-2)</f>
        <v>0</v>
      </c>
      <c r="I43" s="159">
        <f>ROUND(I51-I41,-2)</f>
        <v>0</v>
      </c>
      <c r="J43" s="159">
        <f>SUM(G43:I43)</f>
        <v>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ERROR! Enter Original Appropriation amount in DU 3.00!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0</v>
      </c>
      <c r="G44" s="206">
        <f>ROUND(G60-G41,-2)</f>
        <v>0</v>
      </c>
      <c r="H44" s="159">
        <f>ROUND(H60-H41,-2)</f>
        <v>0</v>
      </c>
      <c r="I44" s="159">
        <f>ROUND(I60-I41,-2)</f>
        <v>0</v>
      </c>
      <c r="J44" s="159">
        <f>SUM(G44:I44)</f>
        <v>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ERROR! Enter Original Appropriation amount in DU 3.00!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>
        <f>ROUND(G67-G41-G63,-2)</f>
        <v>0</v>
      </c>
      <c r="H45" s="206">
        <f>ROUND(H67-H41-H63,-2)</f>
        <v>0</v>
      </c>
      <c r="I45" s="206">
        <f>ROUND(I67-I41-I63,-2)</f>
        <v>0</v>
      </c>
      <c r="J45" s="159">
        <f>SUM(G45:I45)</f>
        <v>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Program has a zero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/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37"/>
      <c r="AB46" s="337"/>
      <c r="AC46" s="337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37"/>
      <c r="AB47" s="337"/>
      <c r="AC47" s="337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37"/>
      <c r="AB49" s="337"/>
      <c r="AC49" s="337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37"/>
      <c r="AB50" s="337"/>
      <c r="AC50" s="337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0</v>
      </c>
      <c r="F51" s="272">
        <f>AppropFTP</f>
        <v>0</v>
      </c>
      <c r="G51" s="274">
        <f>IF(E51=0,0,(G41/$J$41)*$E$51)</f>
        <v>0</v>
      </c>
      <c r="H51" s="274">
        <f>IF(E51=0,0,(H41/$J$41)*$E$51)</f>
        <v>0</v>
      </c>
      <c r="I51" s="275">
        <f>IF(E51=0,0,(I41/$J$41)*$E$51)</f>
        <v>0</v>
      </c>
      <c r="J51" s="90">
        <f>SUM(G51:I51)</f>
        <v>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37"/>
      <c r="AC51" s="337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0</v>
      </c>
      <c r="G52" s="79">
        <f>ROUND(G51,-2)</f>
        <v>0</v>
      </c>
      <c r="H52" s="79">
        <f>ROUND(H51,-2)</f>
        <v>0</v>
      </c>
      <c r="I52" s="266">
        <f>ROUND(I51,-2)</f>
        <v>0</v>
      </c>
      <c r="J52" s="80">
        <f>ROUND(J51,-2)</f>
        <v>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37"/>
      <c r="AC52" s="337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37"/>
      <c r="AB53" s="337"/>
      <c r="AC53" s="337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37"/>
      <c r="AB54" s="337"/>
      <c r="AC54" s="337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37"/>
      <c r="AB55" s="337"/>
      <c r="AC55" s="337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>
        <f>SUM(G52:G55)</f>
        <v>0</v>
      </c>
      <c r="H56" s="80">
        <f>SUM(H52:H55)</f>
        <v>0</v>
      </c>
      <c r="I56" s="260">
        <f>SUM(I52:I55)</f>
        <v>0</v>
      </c>
      <c r="J56" s="80">
        <f>SUM(J52:J55)</f>
        <v>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37"/>
      <c r="AB56" s="337"/>
      <c r="AC56" s="337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31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37"/>
      <c r="AB57" s="337"/>
      <c r="AC57" s="337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37"/>
      <c r="AB58" s="337"/>
      <c r="AC58" s="337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37"/>
      <c r="AB59" s="337"/>
      <c r="AC59" s="337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>
        <f>SUM(G56:G59)</f>
        <v>0</v>
      </c>
      <c r="H60" s="80">
        <f>SUM(H56:H59)</f>
        <v>0</v>
      </c>
      <c r="I60" s="260">
        <f>SUM(I56:I59)</f>
        <v>0</v>
      </c>
      <c r="J60" s="80">
        <f>SUM(J56:J59)</f>
        <v>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37"/>
      <c r="AB60" s="337"/>
      <c r="AC60" s="337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31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37"/>
      <c r="AB61" s="337"/>
      <c r="AC61" s="337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37"/>
      <c r="AB62" s="337"/>
      <c r="AC62" s="337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/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37"/>
      <c r="AB63" s="337"/>
      <c r="AC63" s="337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37"/>
      <c r="AB64" s="337"/>
      <c r="AC64" s="337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37"/>
      <c r="AB65" s="337"/>
      <c r="AC65" s="337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>
        <f>SUM(G60:G64)</f>
        <v>0</v>
      </c>
      <c r="H67" s="80">
        <f>SUM(H60:H64)</f>
        <v>0</v>
      </c>
      <c r="I67" s="80">
        <f>SUM(I60:I64)</f>
        <v>0</v>
      </c>
      <c r="J67" s="80">
        <f>SUM(J60:J64)</f>
        <v>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37"/>
      <c r="AB67" s="337"/>
      <c r="AC67" s="337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37"/>
      <c r="AB68" s="337"/>
      <c r="AC68" s="337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37"/>
      <c r="AB69" s="337"/>
      <c r="AC69" s="337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37"/>
      <c r="AB70" s="337"/>
      <c r="AC70" s="337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37"/>
      <c r="AB71" s="337"/>
      <c r="AC71" s="337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0</v>
      </c>
      <c r="H72" s="287"/>
      <c r="I72" s="287">
        <f>ROUND(($G72*PermVBBY+$G72*Retire1BY),-2)</f>
        <v>0</v>
      </c>
      <c r="J72" s="113">
        <f>SUM(G72:I72)</f>
        <v>0</v>
      </c>
      <c r="K72" s="296"/>
      <c r="L72" s="298"/>
      <c r="M72" s="350">
        <f>IF(DUNine=0,0,IF(((#REF!-G39-G40)*E72)&lt;0,0,ROUND(((#REF!-G39-G40)*E72),-2)))</f>
        <v>0</v>
      </c>
      <c r="N72" s="359"/>
      <c r="O72" s="358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0</v>
      </c>
      <c r="P72" s="358"/>
      <c r="Q72"/>
      <c r="R72"/>
      <c r="S72"/>
      <c r="T72"/>
      <c r="U72"/>
      <c r="V72"/>
      <c r="W72"/>
      <c r="X72"/>
      <c r="Y72"/>
      <c r="Z72" s="344"/>
      <c r="AA72" s="337"/>
      <c r="AB72" s="337"/>
      <c r="AC72" s="337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37"/>
      <c r="AB73" s="337"/>
      <c r="AC73" s="337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114" t="s">
        <v>62</v>
      </c>
      <c r="D74" s="115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37"/>
      <c r="AB74" s="337"/>
      <c r="AC74" s="337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>
        <f>SUM(G67:G74)</f>
        <v>0</v>
      </c>
      <c r="H75" s="80">
        <f>SUM(H67:H74)</f>
        <v>0</v>
      </c>
      <c r="I75" s="80">
        <f>SUM(I67:I74)</f>
        <v>0</v>
      </c>
      <c r="J75" s="80">
        <f>SUM(J67:K74)</f>
        <v>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37"/>
      <c r="AB75" s="337"/>
      <c r="AC75" s="337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37"/>
      <c r="AB76" s="337"/>
      <c r="AC76" s="337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37"/>
      <c r="AB77" s="337"/>
      <c r="AC77" s="337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37"/>
      <c r="AB78" s="337"/>
      <c r="AC78" s="337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37"/>
      <c r="AB79" s="337"/>
      <c r="AC79" s="337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>
        <f>SUM(G75:G79)</f>
        <v>0</v>
      </c>
      <c r="H80" s="80">
        <f>SUM(H75:H79)</f>
        <v>0</v>
      </c>
      <c r="I80" s="80">
        <f>SUM(I75:I79)</f>
        <v>0</v>
      </c>
      <c r="J80" s="80">
        <f>SUM(J75:J79)</f>
        <v>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37"/>
      <c r="AB80" s="337"/>
      <c r="AC80" s="337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AA8:AC8"/>
    <mergeCell ref="AA37:AC37"/>
    <mergeCell ref="AA43:AC43"/>
    <mergeCell ref="C65:D65"/>
    <mergeCell ref="C53:D53"/>
    <mergeCell ref="C61:D61"/>
    <mergeCell ref="C41:D41"/>
    <mergeCell ref="C42:D42"/>
    <mergeCell ref="C43:D44"/>
    <mergeCell ref="C54:D54"/>
    <mergeCell ref="C55:D55"/>
    <mergeCell ref="C50:D50"/>
    <mergeCell ref="K43:N43"/>
    <mergeCell ref="K44:N44"/>
    <mergeCell ref="C62:D62"/>
    <mergeCell ref="C63:D63"/>
    <mergeCell ref="C79:D79"/>
    <mergeCell ref="C78:D78"/>
    <mergeCell ref="C66:D66"/>
    <mergeCell ref="C68:D68"/>
    <mergeCell ref="C69:D69"/>
    <mergeCell ref="C70:D70"/>
    <mergeCell ref="C77:D77"/>
    <mergeCell ref="C71:D71"/>
    <mergeCell ref="C73:D73"/>
    <mergeCell ref="C76:D76"/>
    <mergeCell ref="C72:D72"/>
    <mergeCell ref="C64:D64"/>
    <mergeCell ref="C57:D57"/>
    <mergeCell ref="C58:D58"/>
    <mergeCell ref="C59:D59"/>
    <mergeCell ref="K45:N45"/>
    <mergeCell ref="K46:N47"/>
    <mergeCell ref="E46:J47"/>
    <mergeCell ref="M1:N1"/>
    <mergeCell ref="M2:N2"/>
    <mergeCell ref="M3:N3"/>
    <mergeCell ref="M4:N4"/>
    <mergeCell ref="I5:L5"/>
    <mergeCell ref="C39:D39"/>
    <mergeCell ref="C8:D8"/>
    <mergeCell ref="C9:D9"/>
    <mergeCell ref="C10:D10"/>
    <mergeCell ref="C11:D11"/>
    <mergeCell ref="C12:D12"/>
    <mergeCell ref="C13:D13"/>
    <mergeCell ref="C16:D16"/>
    <mergeCell ref="C17:D17"/>
    <mergeCell ref="C18:D18"/>
    <mergeCell ref="C38:D38"/>
    <mergeCell ref="C37:D37"/>
  </mergeCells>
  <conditionalFormatting sqref="K44">
    <cfRule type="expression" dxfId="36" priority="5">
      <formula>$J$44&lt;0</formula>
    </cfRule>
  </conditionalFormatting>
  <conditionalFormatting sqref="K43">
    <cfRule type="expression" dxfId="35" priority="4">
      <formula>$J$43&lt;0</formula>
    </cfRule>
  </conditionalFormatting>
  <conditionalFormatting sqref="L16">
    <cfRule type="expression" dxfId="34" priority="3">
      <formula>$J$16&lt;0</formula>
    </cfRule>
  </conditionalFormatting>
  <conditionalFormatting sqref="K45">
    <cfRule type="expression" dxfId="33" priority="2">
      <formula>$J$44&lt;0</formula>
    </cfRule>
  </conditionalFormatting>
  <conditionalFormatting sqref="K43:N45">
    <cfRule type="containsText" dxfId="3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pageSetUpPr fitToPage="1"/>
  </sheetPr>
  <dimension ref="A1:L351"/>
  <sheetViews>
    <sheetView topLeftCell="A335" workbookViewId="0">
      <selection activeCell="A343" sqref="A343:L351"/>
    </sheetView>
  </sheetViews>
  <sheetFormatPr defaultRowHeight="14.4" x14ac:dyDescent="0.3"/>
  <cols>
    <col min="1" max="1" width="9" customWidth="1"/>
    <col min="2" max="2" width="39.33203125" customWidth="1"/>
    <col min="3" max="3" width="13" customWidth="1"/>
    <col min="4" max="4" width="12.33203125" customWidth="1"/>
    <col min="5" max="5" width="12.109375" customWidth="1"/>
    <col min="6" max="6" width="14.5546875" customWidth="1"/>
    <col min="7" max="7" width="19.5546875" customWidth="1"/>
    <col min="8" max="8" width="13.6640625" customWidth="1"/>
    <col min="9" max="9" width="0" hidden="1" customWidth="1"/>
    <col min="10" max="10" width="18.44140625" customWidth="1"/>
    <col min="11" max="11" width="16.44140625" customWidth="1"/>
    <col min="12" max="12" width="16.109375" customWidth="1"/>
  </cols>
  <sheetData>
    <row r="1" spans="1:12" x14ac:dyDescent="0.3">
      <c r="A1" s="470" t="s">
        <v>1445</v>
      </c>
      <c r="B1" s="470"/>
      <c r="C1" s="470"/>
      <c r="D1" s="470"/>
      <c r="E1" s="470"/>
      <c r="F1" s="470"/>
      <c r="G1" s="470"/>
      <c r="H1" s="470"/>
      <c r="I1" s="470"/>
      <c r="J1" s="470"/>
      <c r="K1" s="470"/>
      <c r="L1" s="470"/>
    </row>
    <row r="2" spans="1:12" ht="66.599999999999994" x14ac:dyDescent="0.3">
      <c r="A2" s="387" t="s">
        <v>22</v>
      </c>
      <c r="B2" s="388"/>
      <c r="C2" s="370" t="s">
        <v>23</v>
      </c>
      <c r="D2" s="49" t="s">
        <v>24</v>
      </c>
      <c r="E2" s="50" t="str">
        <f>"FY "&amp;'AGAA|0001-00'!FiscalYear-1&amp;" SALARY"</f>
        <v>FY 2022 SALARY</v>
      </c>
      <c r="F2" s="50" t="str">
        <f>"FY "&amp;'AGAA|0001-00'!FiscalYear-1&amp;" HEALTH BENEFITS"</f>
        <v>FY 2022 HEALTH BENEFITS</v>
      </c>
      <c r="G2" s="50" t="str">
        <f>"FY "&amp;'AGAA|0001-00'!FiscalYear-1&amp;" VAR BENEFITS"</f>
        <v>FY 2022 VAR BENEFITS</v>
      </c>
      <c r="H2" s="50" t="str">
        <f>"FY "&amp;'AGAA|0001-00'!FiscalYear-1&amp;" TOTAL"</f>
        <v>FY 2022 TOTAL</v>
      </c>
      <c r="I2" s="50" t="str">
        <f>"FY "&amp;'AGAA|0001-00'!FiscalYear&amp;" SALARY CHANGE"</f>
        <v>FY 2023 SALARY CHANGE</v>
      </c>
      <c r="J2" s="50" t="str">
        <f>"FY "&amp;'AGAA|0001-00'!FiscalYear&amp;" CHG HEALTH BENEFITS"</f>
        <v>FY 2023 CHG HEALTH BENEFITS</v>
      </c>
      <c r="K2" s="50" t="str">
        <f>"FY "&amp;'AGAA|0001-00'!FiscalYear&amp;" CHG VAR BENEFITS"</f>
        <v>FY 2023 CHG VAR BENEFITS</v>
      </c>
      <c r="L2" s="50" t="s">
        <v>25</v>
      </c>
    </row>
    <row r="3" spans="1:12" x14ac:dyDescent="0.3">
      <c r="A3" s="389" t="s">
        <v>26</v>
      </c>
      <c r="B3" s="390"/>
      <c r="C3" s="141"/>
      <c r="D3" s="142"/>
      <c r="E3" s="143"/>
      <c r="F3" s="143"/>
      <c r="G3" s="143"/>
      <c r="H3" s="144"/>
      <c r="I3" s="144"/>
      <c r="J3" s="145"/>
      <c r="K3" s="146"/>
      <c r="L3" s="144"/>
    </row>
    <row r="4" spans="1:12" x14ac:dyDescent="0.3">
      <c r="A4" s="385" t="s">
        <v>27</v>
      </c>
      <c r="B4" s="391"/>
      <c r="C4" s="217">
        <v>1</v>
      </c>
      <c r="D4" s="288">
        <f>[0]!AGAA000100col_INC_FTI</f>
        <v>7.8100000000000005</v>
      </c>
      <c r="E4" s="218">
        <f>[0]!AGAA000100col_FTI_SALARY_PERM</f>
        <v>683552.04999999993</v>
      </c>
      <c r="F4" s="218">
        <f>[0]!AGAA000100col_HEALTH_PERM</f>
        <v>90986.5</v>
      </c>
      <c r="G4" s="218">
        <f>[0]!AGAA000100col_TOT_VB_PERM</f>
        <v>151337.36680009999</v>
      </c>
      <c r="H4" s="219">
        <f>SUM(E4:G4)</f>
        <v>925875.91680009989</v>
      </c>
      <c r="I4" s="219">
        <f>[0]!AGAA000100col_1_27TH_PP</f>
        <v>0</v>
      </c>
      <c r="J4" s="218">
        <f>[0]!AGAA000100col_HEALTH_PERM_CHG</f>
        <v>0</v>
      </c>
      <c r="K4" s="218">
        <f>[0]!AGAA000100col_TOT_VB_PERM_CHG</f>
        <v>-685.11836999999787</v>
      </c>
      <c r="L4" s="218">
        <f>SUM(J4:K4)</f>
        <v>-685.11836999999787</v>
      </c>
    </row>
    <row r="5" spans="1:12" x14ac:dyDescent="0.3">
      <c r="A5" s="385" t="s">
        <v>28</v>
      </c>
      <c r="B5" s="391"/>
      <c r="C5" s="217">
        <v>2</v>
      </c>
      <c r="D5" s="288"/>
      <c r="E5" s="218">
        <f>[0]!AGAA000100col_Group_Salary</f>
        <v>0</v>
      </c>
      <c r="F5" s="218">
        <v>0</v>
      </c>
      <c r="G5" s="218">
        <f>[0]!AGAA000100col_Group_Ben</f>
        <v>0</v>
      </c>
      <c r="H5" s="219">
        <f>SUM(E5:G5)</f>
        <v>0</v>
      </c>
      <c r="I5" s="268"/>
      <c r="J5" s="218"/>
      <c r="K5" s="218"/>
      <c r="L5" s="218"/>
    </row>
    <row r="6" spans="1:12" x14ac:dyDescent="0.3">
      <c r="A6" s="385" t="s">
        <v>29</v>
      </c>
      <c r="B6" s="386"/>
      <c r="C6" s="217">
        <v>3</v>
      </c>
      <c r="D6" s="288">
        <f>[0]!AGAA000100col_TOTAL_ELECT_PCN_FTI</f>
        <v>0</v>
      </c>
      <c r="E6" s="218">
        <f>[0]!AGAA000100col_FTI_SALARY_ELECT</f>
        <v>0</v>
      </c>
      <c r="F6" s="218">
        <f>[0]!AGAA000100col_HEALTH_ELECT</f>
        <v>0</v>
      </c>
      <c r="G6" s="218">
        <f>[0]!AGAA000100col_TOT_VB_ELECT</f>
        <v>0</v>
      </c>
      <c r="H6" s="219">
        <f>SUM(E6:G6)</f>
        <v>0</v>
      </c>
      <c r="I6" s="268"/>
      <c r="J6" s="218">
        <f>[0]!AGAA000100col_HEALTH_ELECT_CHG</f>
        <v>0</v>
      </c>
      <c r="K6" s="218">
        <f>[0]!AGAA000100col_TOT_VB_ELECT_CHG</f>
        <v>0</v>
      </c>
      <c r="L6" s="219">
        <f>SUM(J6:K6)</f>
        <v>0</v>
      </c>
    </row>
    <row r="7" spans="1:12" x14ac:dyDescent="0.3">
      <c r="A7" s="385" t="s">
        <v>30</v>
      </c>
      <c r="B7" s="391"/>
      <c r="C7" s="217"/>
      <c r="D7" s="220">
        <f>SUM(D4:D6)</f>
        <v>7.8100000000000005</v>
      </c>
      <c r="E7" s="221">
        <f>SUM(E4:E6)</f>
        <v>683552.04999999993</v>
      </c>
      <c r="F7" s="221">
        <f>SUM(F4:F6)</f>
        <v>90986.5</v>
      </c>
      <c r="G7" s="221">
        <f>SUM(G4:G6)</f>
        <v>151337.36680009999</v>
      </c>
      <c r="H7" s="219">
        <f>SUM(E7:G7)</f>
        <v>925875.91680009989</v>
      </c>
      <c r="I7" s="268"/>
      <c r="J7" s="219">
        <f>SUM(J4:J6)</f>
        <v>0</v>
      </c>
      <c r="K7" s="219">
        <f>SUM(K4:K6)</f>
        <v>-685.11836999999787</v>
      </c>
      <c r="L7" s="219">
        <f>SUM(L4:L6)</f>
        <v>-685.11836999999787</v>
      </c>
    </row>
    <row r="8" spans="1:12" x14ac:dyDescent="0.3">
      <c r="A8" s="365"/>
      <c r="B8" s="371"/>
      <c r="C8" s="217"/>
      <c r="D8" s="220"/>
      <c r="E8" s="219"/>
      <c r="F8" s="219"/>
      <c r="G8" s="219"/>
      <c r="H8" s="219"/>
      <c r="I8" s="268"/>
      <c r="J8" s="219"/>
      <c r="K8" s="222"/>
      <c r="L8" s="222"/>
    </row>
    <row r="9" spans="1:12" x14ac:dyDescent="0.3">
      <c r="A9" s="157" t="str">
        <f>"FY "&amp;'AGAA|0001-00'!FiscalYear-1</f>
        <v>FY 2022</v>
      </c>
      <c r="B9" s="158" t="s">
        <v>31</v>
      </c>
      <c r="C9" s="355">
        <v>925700</v>
      </c>
      <c r="D9" s="55">
        <v>8.34</v>
      </c>
      <c r="E9" s="223">
        <f>IF('AGAA|0001-00'!OrigApprop=0,0,(E7/H7)*'AGAA|0001-00'!OrigApprop)</f>
        <v>683422.17483297607</v>
      </c>
      <c r="F9" s="223">
        <f>IF('AGAA|0001-00'!OrigApprop=0,0,(F7/H7)*'AGAA|0001-00'!OrigApprop)</f>
        <v>90969.212528059259</v>
      </c>
      <c r="G9" s="223">
        <f>IF(E9=0,0,(G7/H7)*'AGAA|0001-00'!OrigApprop)</f>
        <v>151308.61263896464</v>
      </c>
      <c r="H9" s="223">
        <f>SUM(E9:G9)</f>
        <v>925700</v>
      </c>
      <c r="I9" s="268"/>
      <c r="J9" s="224"/>
      <c r="K9" s="224"/>
      <c r="L9" s="224"/>
    </row>
    <row r="10" spans="1:12" x14ac:dyDescent="0.3">
      <c r="A10" s="392" t="s">
        <v>32</v>
      </c>
      <c r="B10" s="393"/>
      <c r="C10" s="160" t="s">
        <v>33</v>
      </c>
      <c r="D10" s="161">
        <f>D9-D7</f>
        <v>0.52999999999999936</v>
      </c>
      <c r="E10" s="162">
        <f>E9-E7</f>
        <v>-129.87516702385619</v>
      </c>
      <c r="F10" s="162">
        <f>F9-F7</f>
        <v>-17.287471940740943</v>
      </c>
      <c r="G10" s="162">
        <f>G9-G7</f>
        <v>-28.754161135351751</v>
      </c>
      <c r="H10" s="162">
        <f>H9-H7</f>
        <v>-175.91680009989068</v>
      </c>
      <c r="I10" s="269"/>
      <c r="J10" s="56" t="str">
        <f>IF('AGAA|0001-00'!OrigApprop=0,"ERROR! Enter Original Appropriation amount in DU 3.00!","Calculated "&amp;IF('AGAA|0001-00'!AdjustedTotal&gt;0,"overfunding ","underfunding ")&amp;"is "&amp;TEXT('AGAA|0001-00'!AdjustedTotal/'AGAA|0001-00'!AppropTotal,"#.0%;(#.0% );0% ;")&amp;" of Original Appropriation")</f>
        <v>Calculated underfunding is (.0% ) of Original Appropriation</v>
      </c>
      <c r="K10" s="163"/>
      <c r="L10" s="164"/>
    </row>
    <row r="12" spans="1:12" x14ac:dyDescent="0.3">
      <c r="A12" s="470" t="s">
        <v>1451</v>
      </c>
      <c r="B12" s="470"/>
      <c r="C12" s="470"/>
      <c r="D12" s="470"/>
      <c r="E12" s="470"/>
      <c r="F12" s="470"/>
      <c r="G12" s="470"/>
      <c r="H12" s="470"/>
      <c r="I12" s="470"/>
      <c r="J12" s="470"/>
      <c r="K12" s="470"/>
      <c r="L12" s="470"/>
    </row>
    <row r="13" spans="1:12" ht="40.200000000000003" x14ac:dyDescent="0.3">
      <c r="A13" s="387" t="s">
        <v>22</v>
      </c>
      <c r="B13" s="388"/>
      <c r="C13" s="370" t="s">
        <v>23</v>
      </c>
      <c r="D13" s="49" t="s">
        <v>24</v>
      </c>
      <c r="E13" s="50" t="str">
        <f>"FY "&amp;'AGAA|0125-01'!FiscalYear-1&amp;" SALARY"</f>
        <v>FY 2022 SALARY</v>
      </c>
      <c r="F13" s="50" t="str">
        <f>"FY "&amp;'AGAA|0125-01'!FiscalYear-1&amp;" HEALTH BENEFITS"</f>
        <v>FY 2022 HEALTH BENEFITS</v>
      </c>
      <c r="G13" s="50" t="str">
        <f>"FY "&amp;'AGAA|0125-01'!FiscalYear-1&amp;" VAR BENEFITS"</f>
        <v>FY 2022 VAR BENEFITS</v>
      </c>
      <c r="H13" s="50" t="str">
        <f>"FY "&amp;'AGAA|0125-01'!FiscalYear-1&amp;" TOTAL"</f>
        <v>FY 2022 TOTAL</v>
      </c>
      <c r="I13" s="50" t="str">
        <f>"FY "&amp;'AGAA|0125-01'!FiscalYear&amp;" SALARY CHANGE"</f>
        <v>FY 2023 SALARY CHANGE</v>
      </c>
      <c r="J13" s="50" t="str">
        <f>"FY "&amp;'AGAA|0125-01'!FiscalYear&amp;" CHG HEALTH BENEFITS"</f>
        <v>FY 2023 CHG HEALTH BENEFITS</v>
      </c>
      <c r="K13" s="50" t="str">
        <f>"FY "&amp;'AGAA|0125-01'!FiscalYear&amp;" CHG VAR BENEFITS"</f>
        <v>FY 2023 CHG VAR BENEFITS</v>
      </c>
      <c r="L13" s="50" t="s">
        <v>25</v>
      </c>
    </row>
    <row r="14" spans="1:12" x14ac:dyDescent="0.3">
      <c r="A14" s="389" t="s">
        <v>26</v>
      </c>
      <c r="B14" s="390"/>
      <c r="C14" s="141"/>
      <c r="D14" s="142"/>
      <c r="E14" s="143"/>
      <c r="F14" s="143"/>
      <c r="G14" s="143"/>
      <c r="H14" s="144"/>
      <c r="I14" s="144"/>
      <c r="J14" s="145"/>
      <c r="K14" s="146"/>
      <c r="L14" s="144"/>
    </row>
    <row r="15" spans="1:12" x14ac:dyDescent="0.3">
      <c r="A15" s="385" t="s">
        <v>27</v>
      </c>
      <c r="B15" s="391"/>
      <c r="C15" s="217">
        <v>1</v>
      </c>
      <c r="D15" s="288">
        <f>[0]!AGAA012501col_INC_FTI</f>
        <v>10.34</v>
      </c>
      <c r="E15" s="218">
        <f>[0]!AGAA012501col_FTI_SALARY_PERM</f>
        <v>643493.12</v>
      </c>
      <c r="F15" s="218">
        <f>[0]!AGAA012501col_HEALTH_PERM</f>
        <v>123373.5</v>
      </c>
      <c r="G15" s="218">
        <f>[0]!AGAA012501col_TOT_VB_PERM</f>
        <v>145166.16954879998</v>
      </c>
      <c r="H15" s="219">
        <f>SUM(E15:G15)</f>
        <v>912032.78954879998</v>
      </c>
      <c r="I15" s="219">
        <f>[0]!AGAA012501col_1_27TH_PP</f>
        <v>0</v>
      </c>
      <c r="J15" s="218">
        <f>[0]!AGAA012501col_HEALTH_PERM_CHG</f>
        <v>0</v>
      </c>
      <c r="K15" s="218">
        <f>[0]!AGAA012501col_TOT_VB_PERM_CHG</f>
        <v>-1673.0821119999989</v>
      </c>
      <c r="L15" s="218">
        <f>SUM(J15:K15)</f>
        <v>-1673.0821119999989</v>
      </c>
    </row>
    <row r="16" spans="1:12" x14ac:dyDescent="0.3">
      <c r="A16" s="385" t="s">
        <v>28</v>
      </c>
      <c r="B16" s="391"/>
      <c r="C16" s="217">
        <v>2</v>
      </c>
      <c r="D16" s="288"/>
      <c r="E16" s="218">
        <f>[0]!AGAA012501col_Group_Salary</f>
        <v>7210</v>
      </c>
      <c r="F16" s="218">
        <v>0</v>
      </c>
      <c r="G16" s="218">
        <f>[0]!AGAA012501col_Group_Ben</f>
        <v>855.24</v>
      </c>
      <c r="H16" s="219">
        <f>SUM(E16:G16)</f>
        <v>8065.24</v>
      </c>
      <c r="I16" s="268"/>
      <c r="J16" s="218"/>
      <c r="K16" s="218"/>
      <c r="L16" s="218"/>
    </row>
    <row r="17" spans="1:12" x14ac:dyDescent="0.3">
      <c r="A17" s="385" t="s">
        <v>29</v>
      </c>
      <c r="B17" s="386"/>
      <c r="C17" s="217">
        <v>3</v>
      </c>
      <c r="D17" s="288">
        <f>[0]!AGAA012501col_TOTAL_ELECT_PCN_FTI</f>
        <v>0</v>
      </c>
      <c r="E17" s="218">
        <f>[0]!AGAA012501col_FTI_SALARY_ELECT</f>
        <v>0</v>
      </c>
      <c r="F17" s="218">
        <f>[0]!AGAA012501col_HEALTH_ELECT</f>
        <v>0</v>
      </c>
      <c r="G17" s="218">
        <f>[0]!AGAA012501col_TOT_VB_ELECT</f>
        <v>0</v>
      </c>
      <c r="H17" s="219">
        <f>SUM(E17:G17)</f>
        <v>0</v>
      </c>
      <c r="I17" s="268"/>
      <c r="J17" s="218">
        <f>[0]!AGAA012501col_HEALTH_ELECT_CHG</f>
        <v>0</v>
      </c>
      <c r="K17" s="218">
        <f>[0]!AGAA012501col_TOT_VB_ELECT_CHG</f>
        <v>0</v>
      </c>
      <c r="L17" s="219">
        <f>SUM(J17:K17)</f>
        <v>0</v>
      </c>
    </row>
    <row r="18" spans="1:12" x14ac:dyDescent="0.3">
      <c r="A18" s="385" t="s">
        <v>30</v>
      </c>
      <c r="B18" s="391"/>
      <c r="C18" s="217"/>
      <c r="D18" s="220">
        <f>SUM(D15:D17)</f>
        <v>10.34</v>
      </c>
      <c r="E18" s="221">
        <f>SUM(E15:E17)</f>
        <v>650703.12</v>
      </c>
      <c r="F18" s="221">
        <f>SUM(F15:F17)</f>
        <v>123373.5</v>
      </c>
      <c r="G18" s="221">
        <f>SUM(G15:G17)</f>
        <v>146021.40954879997</v>
      </c>
      <c r="H18" s="219">
        <f>SUM(E18:G18)</f>
        <v>920098.02954879997</v>
      </c>
      <c r="I18" s="268"/>
      <c r="J18" s="219">
        <f>SUM(J15:J17)</f>
        <v>0</v>
      </c>
      <c r="K18" s="219">
        <f>SUM(K15:K17)</f>
        <v>-1673.0821119999989</v>
      </c>
      <c r="L18" s="219">
        <f>SUM(L15:L17)</f>
        <v>-1673.0821119999989</v>
      </c>
    </row>
    <row r="19" spans="1:12" x14ac:dyDescent="0.3">
      <c r="A19" s="365"/>
      <c r="B19" s="371"/>
      <c r="C19" s="217"/>
      <c r="D19" s="220"/>
      <c r="E19" s="219"/>
      <c r="F19" s="219"/>
      <c r="G19" s="219"/>
      <c r="H19" s="219"/>
      <c r="I19" s="268"/>
      <c r="J19" s="219"/>
      <c r="K19" s="222"/>
      <c r="L19" s="222"/>
    </row>
    <row r="20" spans="1:12" x14ac:dyDescent="0.3">
      <c r="A20" s="157" t="str">
        <f>"FY "&amp;'AGAA|0125-01'!FiscalYear-1</f>
        <v>FY 2022</v>
      </c>
      <c r="B20" s="158" t="s">
        <v>31</v>
      </c>
      <c r="C20" s="355">
        <v>991100</v>
      </c>
      <c r="D20" s="55">
        <v>11.66</v>
      </c>
      <c r="E20" s="223">
        <f>IF('AGAA|0125-01'!OrigApprop=0,0,(E18/H18)*'AGAA|0125-01'!OrigApprop)</f>
        <v>700916.46924649272</v>
      </c>
      <c r="F20" s="223">
        <f>IF('AGAA|0125-01'!OrigApprop=0,0,(F18/H18)*'AGAA|0125-01'!OrigApprop)</f>
        <v>132893.96555925868</v>
      </c>
      <c r="G20" s="223">
        <f>IF(E20=0,0,(G18/H18)*'AGAA|0125-01'!OrigApprop)</f>
        <v>157289.5651942486</v>
      </c>
      <c r="H20" s="223">
        <f>SUM(E20:G20)</f>
        <v>991100</v>
      </c>
      <c r="I20" s="268"/>
      <c r="J20" s="224"/>
      <c r="K20" s="224"/>
      <c r="L20" s="224"/>
    </row>
    <row r="21" spans="1:12" x14ac:dyDescent="0.3">
      <c r="A21" s="392" t="s">
        <v>32</v>
      </c>
      <c r="B21" s="393"/>
      <c r="C21" s="160" t="s">
        <v>33</v>
      </c>
      <c r="D21" s="161">
        <f>D20-D18</f>
        <v>1.3200000000000003</v>
      </c>
      <c r="E21" s="162">
        <f>E20-E18</f>
        <v>50213.349246492726</v>
      </c>
      <c r="F21" s="162">
        <f>F20-F18</f>
        <v>9520.4655592586787</v>
      </c>
      <c r="G21" s="162">
        <f>G20-G18</f>
        <v>11268.155645448627</v>
      </c>
      <c r="H21" s="162">
        <f>H20-H18</f>
        <v>71001.970451200032</v>
      </c>
      <c r="I21" s="269"/>
      <c r="J21" s="56" t="str">
        <f>IF('AGAA|0125-01'!OrigApprop=0,"ERROR! Enter Original Appropriation amount in DU 3.00!","Calculated "&amp;IF('AGAA|0125-01'!AdjustedTotal&gt;0,"overfunding ","underfunding ")&amp;"is "&amp;TEXT('AGAA|0125-01'!AdjustedTotal/'AGAA|0125-01'!AppropTotal,"#.0%;(#.0% );0% ;")&amp;" of Original Appropriation")</f>
        <v>Calculated overfunding is 7.2% of Original Appropriation</v>
      </c>
      <c r="K21" s="163"/>
      <c r="L21" s="164"/>
    </row>
    <row r="23" spans="1:12" x14ac:dyDescent="0.3">
      <c r="A23" s="470" t="s">
        <v>1456</v>
      </c>
      <c r="B23" s="470"/>
      <c r="C23" s="470"/>
      <c r="D23" s="470"/>
      <c r="E23" s="470"/>
      <c r="F23" s="470"/>
      <c r="G23" s="470"/>
      <c r="H23" s="470"/>
      <c r="I23" s="470"/>
      <c r="J23" s="470"/>
      <c r="K23" s="470"/>
      <c r="L23" s="470"/>
    </row>
    <row r="24" spans="1:12" ht="40.200000000000003" x14ac:dyDescent="0.3">
      <c r="A24" s="387" t="s">
        <v>22</v>
      </c>
      <c r="B24" s="388"/>
      <c r="C24" s="370" t="s">
        <v>23</v>
      </c>
      <c r="D24" s="49" t="s">
        <v>24</v>
      </c>
      <c r="E24" s="50" t="str">
        <f>"FY "&amp;'AGAA|0125-02'!FiscalYear-1&amp;" SALARY"</f>
        <v>FY 2022 SALARY</v>
      </c>
      <c r="F24" s="50" t="str">
        <f>"FY "&amp;'AGAA|0125-02'!FiscalYear-1&amp;" HEALTH BENEFITS"</f>
        <v>FY 2022 HEALTH BENEFITS</v>
      </c>
      <c r="G24" s="50" t="str">
        <f>"FY "&amp;'AGAA|0125-02'!FiscalYear-1&amp;" VAR BENEFITS"</f>
        <v>FY 2022 VAR BENEFITS</v>
      </c>
      <c r="H24" s="50" t="str">
        <f>"FY "&amp;'AGAA|0125-02'!FiscalYear-1&amp;" TOTAL"</f>
        <v>FY 2022 TOTAL</v>
      </c>
      <c r="I24" s="50" t="str">
        <f>"FY "&amp;'AGAA|0125-02'!FiscalYear&amp;" SALARY CHANGE"</f>
        <v>FY 2023 SALARY CHANGE</v>
      </c>
      <c r="J24" s="50" t="str">
        <f>"FY "&amp;'AGAA|0125-02'!FiscalYear&amp;" CHG HEALTH BENEFITS"</f>
        <v>FY 2023 CHG HEALTH BENEFITS</v>
      </c>
      <c r="K24" s="50" t="str">
        <f>"FY "&amp;'AGAA|0125-02'!FiscalYear&amp;" CHG VAR BENEFITS"</f>
        <v>FY 2023 CHG VAR BENEFITS</v>
      </c>
      <c r="L24" s="50" t="s">
        <v>25</v>
      </c>
    </row>
    <row r="25" spans="1:12" x14ac:dyDescent="0.3">
      <c r="A25" s="389" t="s">
        <v>26</v>
      </c>
      <c r="B25" s="390"/>
      <c r="C25" s="141"/>
      <c r="D25" s="142"/>
      <c r="E25" s="143"/>
      <c r="F25" s="143"/>
      <c r="G25" s="143"/>
      <c r="H25" s="144"/>
      <c r="I25" s="144"/>
      <c r="J25" s="145"/>
      <c r="K25" s="146"/>
      <c r="L25" s="144"/>
    </row>
    <row r="26" spans="1:12" x14ac:dyDescent="0.3">
      <c r="A26" s="385" t="s">
        <v>27</v>
      </c>
      <c r="B26" s="391"/>
      <c r="C26" s="217">
        <v>1</v>
      </c>
      <c r="D26" s="288">
        <f>[0]!AGAA012502col_INC_FTI</f>
        <v>2</v>
      </c>
      <c r="E26" s="218">
        <f>[0]!AGAA012502col_FTI_SALARY_PERM</f>
        <v>76356.799999999988</v>
      </c>
      <c r="F26" s="218">
        <f>[0]!AGAA012502col_HEALTH_PERM</f>
        <v>23300</v>
      </c>
      <c r="G26" s="218">
        <f>[0]!AGAA012502col_TOT_VB_PERM</f>
        <v>17284.888815999999</v>
      </c>
      <c r="H26" s="219">
        <f>SUM(E26:G26)</f>
        <v>116941.68881599998</v>
      </c>
      <c r="I26" s="219">
        <f>[0]!AGAA012502col_1_27TH_PP</f>
        <v>0</v>
      </c>
      <c r="J26" s="218">
        <f>[0]!AGAA012502col_HEALTH_PERM_CHG</f>
        <v>0</v>
      </c>
      <c r="K26" s="218">
        <f>[0]!AGAA012502col_TOT_VB_PERM_CHG</f>
        <v>-198.52767999999986</v>
      </c>
      <c r="L26" s="218">
        <f>SUM(J26:K26)</f>
        <v>-198.52767999999986</v>
      </c>
    </row>
    <row r="27" spans="1:12" x14ac:dyDescent="0.3">
      <c r="A27" s="385" t="s">
        <v>28</v>
      </c>
      <c r="B27" s="391"/>
      <c r="C27" s="217">
        <v>2</v>
      </c>
      <c r="D27" s="288"/>
      <c r="E27" s="218">
        <f>[0]!AGAA012502col_Group_Salary</f>
        <v>40107.97</v>
      </c>
      <c r="F27" s="218">
        <v>0</v>
      </c>
      <c r="G27" s="218">
        <f>[0]!AGAA012502col_Group_Ben</f>
        <v>8669.81</v>
      </c>
      <c r="H27" s="219">
        <f>SUM(E27:G27)</f>
        <v>48777.78</v>
      </c>
      <c r="I27" s="268"/>
      <c r="J27" s="218"/>
      <c r="K27" s="218"/>
      <c r="L27" s="218"/>
    </row>
    <row r="28" spans="1:12" x14ac:dyDescent="0.3">
      <c r="A28" s="385" t="s">
        <v>29</v>
      </c>
      <c r="B28" s="386"/>
      <c r="C28" s="217">
        <v>3</v>
      </c>
      <c r="D28" s="288">
        <f>[0]!AGAA012502col_TOTAL_ELECT_PCN_FTI</f>
        <v>0</v>
      </c>
      <c r="E28" s="218">
        <f>[0]!AGAA012502col_FTI_SALARY_ELECT</f>
        <v>0</v>
      </c>
      <c r="F28" s="218">
        <f>[0]!AGAA012502col_HEALTH_ELECT</f>
        <v>0</v>
      </c>
      <c r="G28" s="218">
        <f>[0]!AGAA012502col_TOT_VB_ELECT</f>
        <v>0</v>
      </c>
      <c r="H28" s="219">
        <f>SUM(E28:G28)</f>
        <v>0</v>
      </c>
      <c r="I28" s="268"/>
      <c r="J28" s="218">
        <f>[0]!AGAA012502col_HEALTH_ELECT_CHG</f>
        <v>0</v>
      </c>
      <c r="K28" s="218">
        <f>[0]!AGAA012502col_TOT_VB_ELECT_CHG</f>
        <v>0</v>
      </c>
      <c r="L28" s="219">
        <f>SUM(J28:K28)</f>
        <v>0</v>
      </c>
    </row>
    <row r="29" spans="1:12" x14ac:dyDescent="0.3">
      <c r="A29" s="385" t="s">
        <v>30</v>
      </c>
      <c r="B29" s="391"/>
      <c r="C29" s="217"/>
      <c r="D29" s="220">
        <f>SUM(D26:D28)</f>
        <v>2</v>
      </c>
      <c r="E29" s="221">
        <f>SUM(E26:E28)</f>
        <v>116464.76999999999</v>
      </c>
      <c r="F29" s="221">
        <f>SUM(F26:F28)</f>
        <v>23300</v>
      </c>
      <c r="G29" s="221">
        <f>SUM(G26:G28)</f>
        <v>25954.698815999996</v>
      </c>
      <c r="H29" s="219">
        <f>SUM(E29:G29)</f>
        <v>165719.46881599998</v>
      </c>
      <c r="I29" s="268"/>
      <c r="J29" s="219">
        <f>SUM(J26:J28)</f>
        <v>0</v>
      </c>
      <c r="K29" s="219">
        <f>SUM(K26:K28)</f>
        <v>-198.52767999999986</v>
      </c>
      <c r="L29" s="219">
        <f>SUM(L26:L28)</f>
        <v>-198.52767999999986</v>
      </c>
    </row>
    <row r="30" spans="1:12" x14ac:dyDescent="0.3">
      <c r="A30" s="365"/>
      <c r="B30" s="371"/>
      <c r="C30" s="217"/>
      <c r="D30" s="220"/>
      <c r="E30" s="219"/>
      <c r="F30" s="219"/>
      <c r="G30" s="219"/>
      <c r="H30" s="219"/>
      <c r="I30" s="268"/>
      <c r="J30" s="219"/>
      <c r="K30" s="222"/>
      <c r="L30" s="222"/>
    </row>
    <row r="31" spans="1:12" x14ac:dyDescent="0.3">
      <c r="A31" s="157" t="str">
        <f>"FY "&amp;'AGAA|0125-02'!FiscalYear-1</f>
        <v>FY 2022</v>
      </c>
      <c r="B31" s="158" t="s">
        <v>31</v>
      </c>
      <c r="C31" s="355">
        <v>166900</v>
      </c>
      <c r="D31" s="55">
        <v>2</v>
      </c>
      <c r="E31" s="223">
        <f>IF('AGAA|0125-02'!OrigApprop=0,0,(E29/H29)*'AGAA|0125-02'!OrigApprop)</f>
        <v>117294.4268520567</v>
      </c>
      <c r="F31" s="223">
        <f>IF('AGAA|0125-02'!OrigApprop=0,0,(F29/H29)*'AGAA|0125-02'!OrigApprop)</f>
        <v>23465.98156380613</v>
      </c>
      <c r="G31" s="223">
        <f>IF(E31=0,0,(G29/H29)*'AGAA|0125-02'!OrigApprop)</f>
        <v>26139.591584137197</v>
      </c>
      <c r="H31" s="223">
        <f>SUM(E31:G31)</f>
        <v>166900.00000000003</v>
      </c>
      <c r="I31" s="268"/>
      <c r="J31" s="224"/>
      <c r="K31" s="224"/>
      <c r="L31" s="224"/>
    </row>
    <row r="32" spans="1:12" x14ac:dyDescent="0.3">
      <c r="A32" s="392" t="s">
        <v>32</v>
      </c>
      <c r="B32" s="393"/>
      <c r="C32" s="160" t="s">
        <v>33</v>
      </c>
      <c r="D32" s="161">
        <f>D31-D29</f>
        <v>0</v>
      </c>
      <c r="E32" s="162">
        <f>E31-E29</f>
        <v>829.65685205670889</v>
      </c>
      <c r="F32" s="162">
        <f>F31-F29</f>
        <v>165.98156380613</v>
      </c>
      <c r="G32" s="162">
        <f>G31-G29</f>
        <v>184.89276813720062</v>
      </c>
      <c r="H32" s="162">
        <f>H31-H29</f>
        <v>1180.5311840000504</v>
      </c>
      <c r="I32" s="269"/>
      <c r="J32" s="56" t="str">
        <f>IF('AGAA|0125-02'!OrigApprop=0,"ERROR! Enter Original Appropriation amount in DU 3.00!","Calculated "&amp;IF('AGAA|0125-02'!AdjustedTotal&gt;0,"overfunding ","underfunding ")&amp;"is "&amp;TEXT('AGAA|0125-02'!AdjustedTotal/'AGAA|0125-02'!AppropTotal,"#.0%;(#.0% );0% ;")&amp;" of Original Appropriation")</f>
        <v>Calculated overfunding is .7% of Original Appropriation</v>
      </c>
      <c r="K32" s="163"/>
      <c r="L32" s="164"/>
    </row>
    <row r="34" spans="1:12" x14ac:dyDescent="0.3">
      <c r="A34" s="470" t="s">
        <v>1460</v>
      </c>
      <c r="B34" s="470"/>
      <c r="C34" s="470"/>
      <c r="D34" s="470"/>
      <c r="E34" s="470"/>
      <c r="F34" s="470"/>
      <c r="G34" s="470"/>
      <c r="H34" s="470"/>
      <c r="I34" s="470"/>
      <c r="J34" s="470"/>
      <c r="K34" s="470"/>
      <c r="L34" s="470"/>
    </row>
    <row r="35" spans="1:12" ht="40.200000000000003" x14ac:dyDescent="0.3">
      <c r="A35" s="387" t="s">
        <v>22</v>
      </c>
      <c r="B35" s="388"/>
      <c r="C35" s="370" t="s">
        <v>23</v>
      </c>
      <c r="D35" s="49" t="s">
        <v>24</v>
      </c>
      <c r="E35" s="50" t="str">
        <f>"FY "&amp;'AGAB|0001-00'!FiscalYear-1&amp;" SALARY"</f>
        <v>FY 2022 SALARY</v>
      </c>
      <c r="F35" s="50" t="str">
        <f>"FY "&amp;'AGAB|0001-00'!FiscalYear-1&amp;" HEALTH BENEFITS"</f>
        <v>FY 2022 HEALTH BENEFITS</v>
      </c>
      <c r="G35" s="50" t="str">
        <f>"FY "&amp;'AGAB|0001-00'!FiscalYear-1&amp;" VAR BENEFITS"</f>
        <v>FY 2022 VAR BENEFITS</v>
      </c>
      <c r="H35" s="50" t="str">
        <f>"FY "&amp;'AGAB|0001-00'!FiscalYear-1&amp;" TOTAL"</f>
        <v>FY 2022 TOTAL</v>
      </c>
      <c r="I35" s="50" t="str">
        <f>"FY "&amp;'AGAB|0001-00'!FiscalYear&amp;" SALARY CHANGE"</f>
        <v>FY 2023 SALARY CHANGE</v>
      </c>
      <c r="J35" s="50" t="str">
        <f>"FY "&amp;'AGAB|0001-00'!FiscalYear&amp;" CHG HEALTH BENEFITS"</f>
        <v>FY 2023 CHG HEALTH BENEFITS</v>
      </c>
      <c r="K35" s="50" t="str">
        <f>"FY "&amp;'AGAB|0001-00'!FiscalYear&amp;" CHG VAR BENEFITS"</f>
        <v>FY 2023 CHG VAR BENEFITS</v>
      </c>
      <c r="L35" s="50" t="s">
        <v>25</v>
      </c>
    </row>
    <row r="36" spans="1:12" x14ac:dyDescent="0.3">
      <c r="A36" s="389" t="s">
        <v>26</v>
      </c>
      <c r="B36" s="390"/>
      <c r="C36" s="141"/>
      <c r="D36" s="142"/>
      <c r="E36" s="143"/>
      <c r="F36" s="143"/>
      <c r="G36" s="143"/>
      <c r="H36" s="144"/>
      <c r="I36" s="144"/>
      <c r="J36" s="145"/>
      <c r="K36" s="146"/>
      <c r="L36" s="144"/>
    </row>
    <row r="37" spans="1:12" x14ac:dyDescent="0.3">
      <c r="A37" s="385" t="s">
        <v>27</v>
      </c>
      <c r="B37" s="391"/>
      <c r="C37" s="217">
        <v>1</v>
      </c>
      <c r="D37" s="288">
        <f>[0]!AGAB000100col_INC_FTI</f>
        <v>20.130000000000003</v>
      </c>
      <c r="E37" s="218">
        <f>[0]!AGAB000100col_FTI_SALARY_PERM</f>
        <v>1135048.5000000002</v>
      </c>
      <c r="F37" s="218">
        <f>[0]!AGAB000100col_HEALTH_PERM</f>
        <v>235679.5</v>
      </c>
      <c r="G37" s="218">
        <f>[0]!AGAB000100col_TOT_VB_PERM</f>
        <v>256619.85660899995</v>
      </c>
      <c r="H37" s="219">
        <f>SUM(E37:G37)</f>
        <v>1627347.8566090001</v>
      </c>
      <c r="I37" s="219">
        <f>[0]!AGAB000100col_1_27TH_PP</f>
        <v>0</v>
      </c>
      <c r="J37" s="218">
        <f>[0]!AGAB000100col_HEALTH_PERM_CHG</f>
        <v>0</v>
      </c>
      <c r="K37" s="218">
        <f>[0]!AGAB000100col_TOT_VB_PERM_CHG</f>
        <v>-2951.1260999999977</v>
      </c>
      <c r="L37" s="218">
        <f>SUM(J37:K37)</f>
        <v>-2951.1260999999977</v>
      </c>
    </row>
    <row r="38" spans="1:12" x14ac:dyDescent="0.3">
      <c r="A38" s="385" t="s">
        <v>28</v>
      </c>
      <c r="B38" s="391"/>
      <c r="C38" s="217">
        <v>2</v>
      </c>
      <c r="D38" s="288"/>
      <c r="E38" s="218">
        <f>[0]!AGAB000100col_Group_Salary</f>
        <v>2865.95</v>
      </c>
      <c r="F38" s="218">
        <v>0</v>
      </c>
      <c r="G38" s="218">
        <f>[0]!AGAB000100col_Group_Ben</f>
        <v>337.59999999999997</v>
      </c>
      <c r="H38" s="219">
        <f>SUM(E38:G38)</f>
        <v>3203.5499999999997</v>
      </c>
      <c r="I38" s="268"/>
      <c r="J38" s="218"/>
      <c r="K38" s="218"/>
      <c r="L38" s="218"/>
    </row>
    <row r="39" spans="1:12" x14ac:dyDescent="0.3">
      <c r="A39" s="385" t="s">
        <v>29</v>
      </c>
      <c r="B39" s="386"/>
      <c r="C39" s="217">
        <v>3</v>
      </c>
      <c r="D39" s="288">
        <f>[0]!AGAB000100col_TOTAL_ELECT_PCN_FTI</f>
        <v>0</v>
      </c>
      <c r="E39" s="218">
        <f>[0]!AGAB000100col_FTI_SALARY_ELECT</f>
        <v>0</v>
      </c>
      <c r="F39" s="218">
        <f>[0]!AGAB000100col_HEALTH_ELECT</f>
        <v>0</v>
      </c>
      <c r="G39" s="218">
        <f>[0]!AGAB000100col_TOT_VB_ELECT</f>
        <v>0</v>
      </c>
      <c r="H39" s="219">
        <f>SUM(E39:G39)</f>
        <v>0</v>
      </c>
      <c r="I39" s="268"/>
      <c r="J39" s="218">
        <f>[0]!AGAB000100col_HEALTH_ELECT_CHG</f>
        <v>0</v>
      </c>
      <c r="K39" s="218">
        <f>[0]!AGAB000100col_TOT_VB_ELECT_CHG</f>
        <v>0</v>
      </c>
      <c r="L39" s="219">
        <f>SUM(J39:K39)</f>
        <v>0</v>
      </c>
    </row>
    <row r="40" spans="1:12" x14ac:dyDescent="0.3">
      <c r="A40" s="385" t="s">
        <v>30</v>
      </c>
      <c r="B40" s="391"/>
      <c r="C40" s="217"/>
      <c r="D40" s="220">
        <f>SUM(D37:D39)</f>
        <v>20.130000000000003</v>
      </c>
      <c r="E40" s="221">
        <f>SUM(E37:E39)</f>
        <v>1137914.4500000002</v>
      </c>
      <c r="F40" s="221">
        <f>SUM(F37:F39)</f>
        <v>235679.5</v>
      </c>
      <c r="G40" s="221">
        <f>SUM(G37:G39)</f>
        <v>256957.45660899996</v>
      </c>
      <c r="H40" s="219">
        <f>SUM(E40:G40)</f>
        <v>1630551.4066090002</v>
      </c>
      <c r="I40" s="268"/>
      <c r="J40" s="219">
        <f>SUM(J37:J39)</f>
        <v>0</v>
      </c>
      <c r="K40" s="219">
        <f>SUM(K37:K39)</f>
        <v>-2951.1260999999977</v>
      </c>
      <c r="L40" s="219">
        <f>SUM(L37:L39)</f>
        <v>-2951.1260999999977</v>
      </c>
    </row>
    <row r="41" spans="1:12" x14ac:dyDescent="0.3">
      <c r="A41" s="365"/>
      <c r="B41" s="371"/>
      <c r="C41" s="217"/>
      <c r="D41" s="220"/>
      <c r="E41" s="219"/>
      <c r="F41" s="219"/>
      <c r="G41" s="219"/>
      <c r="H41" s="219"/>
      <c r="I41" s="268"/>
      <c r="J41" s="219"/>
      <c r="K41" s="222"/>
      <c r="L41" s="222"/>
    </row>
    <row r="42" spans="1:12" x14ac:dyDescent="0.3">
      <c r="A42" s="157" t="str">
        <f>"FY "&amp;'AGAB|0001-00'!FiscalYear-1</f>
        <v>FY 2022</v>
      </c>
      <c r="B42" s="158" t="s">
        <v>31</v>
      </c>
      <c r="C42" s="355">
        <v>1848900</v>
      </c>
      <c r="D42" s="55">
        <v>22.51</v>
      </c>
      <c r="E42" s="223">
        <f>IF('AGAB|0001-00'!OrigApprop=0,0,(E40/H40)*'AGAB|0001-00'!OrigApprop)</f>
        <v>1290293.5890751127</v>
      </c>
      <c r="F42" s="223">
        <f>IF('AGAB|0001-00'!OrigApprop=0,0,(F40/H40)*'AGAB|0001-00'!OrigApprop)</f>
        <v>267239.55208269658</v>
      </c>
      <c r="G42" s="223">
        <f>IF(E42=0,0,(G40/H40)*'AGAB|0001-00'!OrigApprop)</f>
        <v>291366.85884219065</v>
      </c>
      <c r="H42" s="223">
        <f>SUM(E42:G42)</f>
        <v>1848899.9999999998</v>
      </c>
      <c r="I42" s="268"/>
      <c r="J42" s="224"/>
      <c r="K42" s="224"/>
      <c r="L42" s="224"/>
    </row>
    <row r="43" spans="1:12" x14ac:dyDescent="0.3">
      <c r="A43" s="392" t="s">
        <v>32</v>
      </c>
      <c r="B43" s="393"/>
      <c r="C43" s="160" t="s">
        <v>33</v>
      </c>
      <c r="D43" s="161">
        <f>D42-D40</f>
        <v>2.379999999999999</v>
      </c>
      <c r="E43" s="162">
        <f>E42-E40</f>
        <v>152379.13907511253</v>
      </c>
      <c r="F43" s="162">
        <f>F42-F40</f>
        <v>31560.05208269658</v>
      </c>
      <c r="G43" s="162">
        <f>G42-G40</f>
        <v>34409.402233190689</v>
      </c>
      <c r="H43" s="162">
        <f>H42-H40</f>
        <v>218348.59339099959</v>
      </c>
      <c r="I43" s="269"/>
      <c r="J43" s="56" t="str">
        <f>IF('AGAB|0001-00'!OrigApprop=0,"ERROR! Enter Original Appropriation amount in DU 3.00!","Calculated "&amp;IF('AGAB|0001-00'!AdjustedTotal&gt;0,"overfunding ","underfunding ")&amp;"is "&amp;TEXT('AGAB|0001-00'!AdjustedTotal/'AGAB|0001-00'!AppropTotal,"#.0%;(#.0% );0% ;")&amp;" of Original Appropriation")</f>
        <v>Calculated overfunding is 11.8% of Original Appropriation</v>
      </c>
      <c r="K43" s="163"/>
      <c r="L43" s="164"/>
    </row>
    <row r="45" spans="1:12" x14ac:dyDescent="0.3">
      <c r="A45" s="470" t="s">
        <v>1466</v>
      </c>
      <c r="B45" s="470"/>
      <c r="C45" s="470"/>
      <c r="D45" s="470"/>
      <c r="E45" s="470"/>
      <c r="F45" s="470"/>
      <c r="G45" s="470"/>
      <c r="H45" s="470"/>
      <c r="I45" s="470"/>
      <c r="J45" s="470"/>
      <c r="K45" s="470"/>
      <c r="L45" s="470"/>
    </row>
    <row r="46" spans="1:12" ht="40.200000000000003" x14ac:dyDescent="0.3">
      <c r="A46" s="387" t="s">
        <v>22</v>
      </c>
      <c r="B46" s="388"/>
      <c r="C46" s="370" t="s">
        <v>23</v>
      </c>
      <c r="D46" s="49" t="s">
        <v>24</v>
      </c>
      <c r="E46" s="50" t="str">
        <f>"FY "&amp;'AGAB|0332-06'!FiscalYear-1&amp;" SALARY"</f>
        <v>FY 2022 SALARY</v>
      </c>
      <c r="F46" s="50" t="str">
        <f>"FY "&amp;'AGAB|0332-06'!FiscalYear-1&amp;" HEALTH BENEFITS"</f>
        <v>FY 2022 HEALTH BENEFITS</v>
      </c>
      <c r="G46" s="50" t="str">
        <f>"FY "&amp;'AGAB|0332-06'!FiscalYear-1&amp;" VAR BENEFITS"</f>
        <v>FY 2022 VAR BENEFITS</v>
      </c>
      <c r="H46" s="50" t="str">
        <f>"FY "&amp;'AGAB|0332-06'!FiscalYear-1&amp;" TOTAL"</f>
        <v>FY 2022 TOTAL</v>
      </c>
      <c r="I46" s="50" t="str">
        <f>"FY "&amp;'AGAB|0332-06'!FiscalYear&amp;" SALARY CHANGE"</f>
        <v>FY 2023 SALARY CHANGE</v>
      </c>
      <c r="J46" s="50" t="str">
        <f>"FY "&amp;'AGAB|0332-06'!FiscalYear&amp;" CHG HEALTH BENEFITS"</f>
        <v>FY 2023 CHG HEALTH BENEFITS</v>
      </c>
      <c r="K46" s="50" t="str">
        <f>"FY "&amp;'AGAB|0332-06'!FiscalYear&amp;" CHG VAR BENEFITS"</f>
        <v>FY 2023 CHG VAR BENEFITS</v>
      </c>
      <c r="L46" s="50" t="s">
        <v>25</v>
      </c>
    </row>
    <row r="47" spans="1:12" x14ac:dyDescent="0.3">
      <c r="A47" s="389" t="s">
        <v>26</v>
      </c>
      <c r="B47" s="390"/>
      <c r="C47" s="141"/>
      <c r="D47" s="142"/>
      <c r="E47" s="143"/>
      <c r="F47" s="143"/>
      <c r="G47" s="143"/>
      <c r="H47" s="144"/>
      <c r="I47" s="144"/>
      <c r="J47" s="145"/>
      <c r="K47" s="146"/>
      <c r="L47" s="144"/>
    </row>
    <row r="48" spans="1:12" x14ac:dyDescent="0.3">
      <c r="A48" s="385" t="s">
        <v>27</v>
      </c>
      <c r="B48" s="391"/>
      <c r="C48" s="217">
        <v>1</v>
      </c>
      <c r="D48" s="288">
        <f>[0]!AGAB033206col_INC_FTI</f>
        <v>12.1325</v>
      </c>
      <c r="E48" s="218">
        <f>[0]!AGAB033206col_FTI_SALARY_PERM</f>
        <v>661767.79</v>
      </c>
      <c r="F48" s="218">
        <f>[0]!AGAB033206col_HEALTH_PERM</f>
        <v>143528</v>
      </c>
      <c r="G48" s="218">
        <f>[0]!AGAB033206col_TOT_VB_PERM</f>
        <v>149768.69991829997</v>
      </c>
      <c r="H48" s="219">
        <f>SUM(E48:G48)</f>
        <v>955064.48991829995</v>
      </c>
      <c r="I48" s="219">
        <f>[0]!AGAB033206col_1_27TH_PP</f>
        <v>0</v>
      </c>
      <c r="J48" s="218">
        <f>[0]!AGAB033206col_HEALTH_PERM_CHG</f>
        <v>0</v>
      </c>
      <c r="K48" s="218">
        <f>[0]!AGAB033206col_TOT_VB_PERM_CHG</f>
        <v>-1720.5962539999985</v>
      </c>
      <c r="L48" s="218">
        <f>SUM(J48:K48)</f>
        <v>-1720.5962539999985</v>
      </c>
    </row>
    <row r="49" spans="1:12" x14ac:dyDescent="0.3">
      <c r="A49" s="385" t="s">
        <v>28</v>
      </c>
      <c r="B49" s="391"/>
      <c r="C49" s="217">
        <v>2</v>
      </c>
      <c r="D49" s="288"/>
      <c r="E49" s="218">
        <f>[0]!AGAB033206col_Group_Salary</f>
        <v>0</v>
      </c>
      <c r="F49" s="218">
        <v>0</v>
      </c>
      <c r="G49" s="218">
        <f>[0]!AGAB033206col_Group_Ben</f>
        <v>0</v>
      </c>
      <c r="H49" s="219">
        <f>SUM(E49:G49)</f>
        <v>0</v>
      </c>
      <c r="I49" s="268"/>
      <c r="J49" s="218"/>
      <c r="K49" s="218"/>
      <c r="L49" s="218"/>
    </row>
    <row r="50" spans="1:12" x14ac:dyDescent="0.3">
      <c r="A50" s="385" t="s">
        <v>29</v>
      </c>
      <c r="B50" s="386"/>
      <c r="C50" s="217">
        <v>3</v>
      </c>
      <c r="D50" s="288">
        <f>[0]!AGAB033206col_TOTAL_ELECT_PCN_FTI</f>
        <v>0</v>
      </c>
      <c r="E50" s="218">
        <f>[0]!AGAB033206col_FTI_SALARY_ELECT</f>
        <v>0</v>
      </c>
      <c r="F50" s="218">
        <f>[0]!AGAB033206col_HEALTH_ELECT</f>
        <v>0</v>
      </c>
      <c r="G50" s="218">
        <f>[0]!AGAB033206col_TOT_VB_ELECT</f>
        <v>0</v>
      </c>
      <c r="H50" s="219">
        <f>SUM(E50:G50)</f>
        <v>0</v>
      </c>
      <c r="I50" s="268"/>
      <c r="J50" s="218">
        <f>[0]!AGAB033206col_HEALTH_ELECT_CHG</f>
        <v>0</v>
      </c>
      <c r="K50" s="218">
        <f>[0]!AGAB033206col_TOT_VB_ELECT_CHG</f>
        <v>0</v>
      </c>
      <c r="L50" s="219">
        <f>SUM(J50:K50)</f>
        <v>0</v>
      </c>
    </row>
    <row r="51" spans="1:12" x14ac:dyDescent="0.3">
      <c r="A51" s="385" t="s">
        <v>30</v>
      </c>
      <c r="B51" s="391"/>
      <c r="C51" s="217"/>
      <c r="D51" s="220">
        <f>SUM(D48:D50)</f>
        <v>12.1325</v>
      </c>
      <c r="E51" s="221">
        <f>SUM(E48:E50)</f>
        <v>661767.79</v>
      </c>
      <c r="F51" s="221">
        <f>SUM(F48:F50)</f>
        <v>143528</v>
      </c>
      <c r="G51" s="221">
        <f>SUM(G48:G50)</f>
        <v>149768.69991829997</v>
      </c>
      <c r="H51" s="219">
        <f>SUM(E51:G51)</f>
        <v>955064.48991829995</v>
      </c>
      <c r="I51" s="268"/>
      <c r="J51" s="219">
        <f>SUM(J48:J50)</f>
        <v>0</v>
      </c>
      <c r="K51" s="219">
        <f>SUM(K48:K50)</f>
        <v>-1720.5962539999985</v>
      </c>
      <c r="L51" s="219">
        <f>SUM(L48:L50)</f>
        <v>-1720.5962539999985</v>
      </c>
    </row>
    <row r="52" spans="1:12" x14ac:dyDescent="0.3">
      <c r="A52" s="365"/>
      <c r="B52" s="371"/>
      <c r="C52" s="217"/>
      <c r="D52" s="220"/>
      <c r="E52" s="219"/>
      <c r="F52" s="219"/>
      <c r="G52" s="219"/>
      <c r="H52" s="219"/>
      <c r="I52" s="268"/>
      <c r="J52" s="219"/>
      <c r="K52" s="222"/>
      <c r="L52" s="222"/>
    </row>
    <row r="53" spans="1:12" x14ac:dyDescent="0.3">
      <c r="A53" s="157" t="str">
        <f>"FY "&amp;'AGAB|0332-06'!FiscalYear-1</f>
        <v>FY 2022</v>
      </c>
      <c r="B53" s="158" t="s">
        <v>31</v>
      </c>
      <c r="C53" s="355">
        <v>833300</v>
      </c>
      <c r="D53" s="55">
        <v>10.3</v>
      </c>
      <c r="E53" s="223">
        <f>IF('AGAB|0332-06'!OrigApprop=0,0,(E51/H51)*'AGAB|0332-06'!OrigApprop)</f>
        <v>577396.71532984485</v>
      </c>
      <c r="F53" s="223">
        <f>IF('AGAB|0332-06'!OrigApprop=0,0,(F51/H51)*'AGAB|0332-06'!OrigApprop)</f>
        <v>125229.11663298385</v>
      </c>
      <c r="G53" s="223">
        <f>IF(E53=0,0,(G51/H51)*'AGAB|0332-06'!OrigApprop)</f>
        <v>130674.16803717145</v>
      </c>
      <c r="H53" s="223">
        <f>SUM(E53:G53)</f>
        <v>833300.00000000023</v>
      </c>
      <c r="I53" s="268"/>
      <c r="J53" s="224"/>
      <c r="K53" s="224"/>
      <c r="L53" s="224"/>
    </row>
    <row r="54" spans="1:12" x14ac:dyDescent="0.3">
      <c r="A54" s="392" t="s">
        <v>32</v>
      </c>
      <c r="B54" s="393"/>
      <c r="C54" s="160" t="s">
        <v>33</v>
      </c>
      <c r="D54" s="161">
        <f>D53-D51</f>
        <v>-1.8324999999999996</v>
      </c>
      <c r="E54" s="162">
        <f>E53-E51</f>
        <v>-84371.074670155183</v>
      </c>
      <c r="F54" s="162">
        <f>F53-F51</f>
        <v>-18298.883367016155</v>
      </c>
      <c r="G54" s="162">
        <f>G53-G51</f>
        <v>-19094.531881128525</v>
      </c>
      <c r="H54" s="162">
        <f>H53-H51</f>
        <v>-121764.48991829972</v>
      </c>
      <c r="I54" s="269"/>
      <c r="J54" s="56" t="str">
        <f>IF('AGAB|0332-06'!OrigApprop=0,"ERROR! Enter Original Appropriation amount in DU 3.00!","Calculated "&amp;IF('AGAB|0332-06'!AdjustedTotal&gt;0,"overfunding ","underfunding ")&amp;"is "&amp;TEXT('AGAB|0332-06'!AdjustedTotal/'AGAB|0332-06'!AppropTotal,"#.0%;(#.0% );0% ;")&amp;" of Original Appropriation")</f>
        <v>Calculated underfunding is (14.6% ) of Original Appropriation</v>
      </c>
      <c r="K54" s="163"/>
      <c r="L54" s="164"/>
    </row>
    <row r="56" spans="1:12" x14ac:dyDescent="0.3">
      <c r="A56" s="470" t="s">
        <v>1471</v>
      </c>
      <c r="B56" s="470"/>
      <c r="C56" s="470"/>
      <c r="D56" s="470"/>
      <c r="E56" s="470"/>
      <c r="F56" s="470"/>
      <c r="G56" s="470"/>
      <c r="H56" s="470"/>
      <c r="I56" s="470"/>
      <c r="J56" s="470"/>
      <c r="K56" s="470"/>
      <c r="L56" s="470"/>
    </row>
    <row r="57" spans="1:12" ht="40.200000000000003" x14ac:dyDescent="0.3">
      <c r="A57" s="387" t="s">
        <v>22</v>
      </c>
      <c r="B57" s="388"/>
      <c r="C57" s="370" t="s">
        <v>23</v>
      </c>
      <c r="D57" s="49" t="s">
        <v>24</v>
      </c>
      <c r="E57" s="50" t="str">
        <f>"FY "&amp;'AGAB|0332-07'!FiscalYear-1&amp;" SALARY"</f>
        <v>FY 2022 SALARY</v>
      </c>
      <c r="F57" s="50" t="str">
        <f>"FY "&amp;'AGAB|0332-07'!FiscalYear-1&amp;" HEALTH BENEFITS"</f>
        <v>FY 2022 HEALTH BENEFITS</v>
      </c>
      <c r="G57" s="50" t="str">
        <f>"FY "&amp;'AGAB|0332-07'!FiscalYear-1&amp;" VAR BENEFITS"</f>
        <v>FY 2022 VAR BENEFITS</v>
      </c>
      <c r="H57" s="50" t="str">
        <f>"FY "&amp;'AGAB|0332-07'!FiscalYear-1&amp;" TOTAL"</f>
        <v>FY 2022 TOTAL</v>
      </c>
      <c r="I57" s="50" t="str">
        <f>"FY "&amp;'AGAB|0332-07'!FiscalYear&amp;" SALARY CHANGE"</f>
        <v>FY 2023 SALARY CHANGE</v>
      </c>
      <c r="J57" s="50" t="str">
        <f>"FY "&amp;'AGAB|0332-07'!FiscalYear&amp;" CHG HEALTH BENEFITS"</f>
        <v>FY 2023 CHG HEALTH BENEFITS</v>
      </c>
      <c r="K57" s="50" t="str">
        <f>"FY "&amp;'AGAB|0332-07'!FiscalYear&amp;" CHG VAR BENEFITS"</f>
        <v>FY 2023 CHG VAR BENEFITS</v>
      </c>
      <c r="L57" s="50" t="s">
        <v>25</v>
      </c>
    </row>
    <row r="58" spans="1:12" x14ac:dyDescent="0.3">
      <c r="A58" s="389" t="s">
        <v>26</v>
      </c>
      <c r="B58" s="390"/>
      <c r="C58" s="141"/>
      <c r="D58" s="142"/>
      <c r="E58" s="143"/>
      <c r="F58" s="143"/>
      <c r="G58" s="143"/>
      <c r="H58" s="144"/>
      <c r="I58" s="144"/>
      <c r="J58" s="145"/>
      <c r="K58" s="146"/>
      <c r="L58" s="144"/>
    </row>
    <row r="59" spans="1:12" x14ac:dyDescent="0.3">
      <c r="A59" s="385" t="s">
        <v>27</v>
      </c>
      <c r="B59" s="391"/>
      <c r="C59" s="217">
        <v>1</v>
      </c>
      <c r="D59" s="288">
        <f>[0]!AGAB033207col_INC_FTI</f>
        <v>20.399999999999999</v>
      </c>
      <c r="E59" s="218">
        <f>[0]!AGAB033207col_FTI_SALARY_PERM</f>
        <v>1072878.5599999998</v>
      </c>
      <c r="F59" s="218">
        <f>[0]!AGAB033207col_HEALTH_PERM</f>
        <v>237660</v>
      </c>
      <c r="G59" s="218">
        <f>[0]!AGAB033207col_TOT_VB_PERM</f>
        <v>242867.51962719997</v>
      </c>
      <c r="H59" s="219">
        <f>SUM(E59:G59)</f>
        <v>1553406.0796271998</v>
      </c>
      <c r="I59" s="219">
        <f>[0]!AGAB033207col_1_27TH_PP</f>
        <v>0</v>
      </c>
      <c r="J59" s="218">
        <f>[0]!AGAB033207col_HEALTH_PERM_CHG</f>
        <v>0</v>
      </c>
      <c r="K59" s="218">
        <f>[0]!AGAB033207col_TOT_VB_PERM_CHG</f>
        <v>-2789.4842559999975</v>
      </c>
      <c r="L59" s="218">
        <f>SUM(J59:K59)</f>
        <v>-2789.4842559999975</v>
      </c>
    </row>
    <row r="60" spans="1:12" x14ac:dyDescent="0.3">
      <c r="A60" s="385" t="s">
        <v>28</v>
      </c>
      <c r="B60" s="391"/>
      <c r="C60" s="217">
        <v>2</v>
      </c>
      <c r="D60" s="288"/>
      <c r="E60" s="218">
        <f>[0]!AGAB033207col_Group_Salary</f>
        <v>8376</v>
      </c>
      <c r="F60" s="218">
        <v>0</v>
      </c>
      <c r="G60" s="218">
        <f>[0]!AGAB033207col_Group_Ben</f>
        <v>1154.31</v>
      </c>
      <c r="H60" s="219">
        <f>SUM(E60:G60)</f>
        <v>9530.31</v>
      </c>
      <c r="I60" s="268"/>
      <c r="J60" s="218"/>
      <c r="K60" s="218"/>
      <c r="L60" s="218"/>
    </row>
    <row r="61" spans="1:12" x14ac:dyDescent="0.3">
      <c r="A61" s="385" t="s">
        <v>29</v>
      </c>
      <c r="B61" s="386"/>
      <c r="C61" s="217">
        <v>3</v>
      </c>
      <c r="D61" s="288">
        <f>[0]!AGAB033207col_TOTAL_ELECT_PCN_FTI</f>
        <v>0</v>
      </c>
      <c r="E61" s="218">
        <f>[0]!AGAB033207col_FTI_SALARY_ELECT</f>
        <v>0</v>
      </c>
      <c r="F61" s="218">
        <f>[0]!AGAB033207col_HEALTH_ELECT</f>
        <v>0</v>
      </c>
      <c r="G61" s="218">
        <f>[0]!AGAB033207col_TOT_VB_ELECT</f>
        <v>0</v>
      </c>
      <c r="H61" s="219">
        <f>SUM(E61:G61)</f>
        <v>0</v>
      </c>
      <c r="I61" s="268"/>
      <c r="J61" s="218">
        <f>[0]!AGAB033207col_HEALTH_ELECT_CHG</f>
        <v>0</v>
      </c>
      <c r="K61" s="218">
        <f>[0]!AGAB033207col_TOT_VB_ELECT_CHG</f>
        <v>0</v>
      </c>
      <c r="L61" s="219">
        <f>SUM(J61:K61)</f>
        <v>0</v>
      </c>
    </row>
    <row r="62" spans="1:12" x14ac:dyDescent="0.3">
      <c r="A62" s="385" t="s">
        <v>30</v>
      </c>
      <c r="B62" s="391"/>
      <c r="C62" s="217"/>
      <c r="D62" s="220">
        <f>SUM(D59:D61)</f>
        <v>20.399999999999999</v>
      </c>
      <c r="E62" s="221">
        <f>SUM(E59:E61)</f>
        <v>1081254.5599999998</v>
      </c>
      <c r="F62" s="221">
        <f>SUM(F59:F61)</f>
        <v>237660</v>
      </c>
      <c r="G62" s="221">
        <f>SUM(G59:G61)</f>
        <v>244021.82962719997</v>
      </c>
      <c r="H62" s="219">
        <f>SUM(E62:G62)</f>
        <v>1562936.3896271999</v>
      </c>
      <c r="I62" s="268"/>
      <c r="J62" s="219">
        <f>SUM(J59:J61)</f>
        <v>0</v>
      </c>
      <c r="K62" s="219">
        <f>SUM(K59:K61)</f>
        <v>-2789.4842559999975</v>
      </c>
      <c r="L62" s="219">
        <f>SUM(L59:L61)</f>
        <v>-2789.4842559999975</v>
      </c>
    </row>
    <row r="63" spans="1:12" x14ac:dyDescent="0.3">
      <c r="A63" s="365"/>
      <c r="B63" s="371"/>
      <c r="C63" s="217"/>
      <c r="D63" s="220"/>
      <c r="E63" s="219"/>
      <c r="F63" s="219"/>
      <c r="G63" s="219"/>
      <c r="H63" s="219"/>
      <c r="I63" s="268"/>
      <c r="J63" s="219"/>
      <c r="K63" s="222"/>
      <c r="L63" s="222"/>
    </row>
    <row r="64" spans="1:12" x14ac:dyDescent="0.3">
      <c r="A64" s="157" t="str">
        <f>"FY "&amp;'AGAB|0332-07'!FiscalYear-1</f>
        <v>FY 2022</v>
      </c>
      <c r="B64" s="158" t="s">
        <v>31</v>
      </c>
      <c r="C64" s="355">
        <v>1702800</v>
      </c>
      <c r="D64" s="55">
        <v>20.440000000000001</v>
      </c>
      <c r="E64" s="223">
        <f>IF('AGAB|0332-07'!OrigApprop=0,0,(E62/H62)*'AGAB|0332-07'!OrigApprop)</f>
        <v>1178013.5627958367</v>
      </c>
      <c r="F64" s="223">
        <f>IF('AGAB|0332-07'!OrigApprop=0,0,(F62/H62)*'AGAB|0332-07'!OrigApprop)</f>
        <v>258927.65098170648</v>
      </c>
      <c r="G64" s="223">
        <f>IF(E64=0,0,(G62/H62)*'AGAB|0332-07'!OrigApprop)</f>
        <v>265858.78622245678</v>
      </c>
      <c r="H64" s="223">
        <f>SUM(E64:G64)</f>
        <v>1702800</v>
      </c>
      <c r="I64" s="268"/>
      <c r="J64" s="224"/>
      <c r="K64" s="224"/>
      <c r="L64" s="224"/>
    </row>
    <row r="65" spans="1:12" x14ac:dyDescent="0.3">
      <c r="A65" s="392" t="s">
        <v>32</v>
      </c>
      <c r="B65" s="393"/>
      <c r="C65" s="160" t="s">
        <v>33</v>
      </c>
      <c r="D65" s="161">
        <f>D64-D62</f>
        <v>4.00000000000027E-2</v>
      </c>
      <c r="E65" s="162">
        <f>E64-E62</f>
        <v>96759.002795836888</v>
      </c>
      <c r="F65" s="162">
        <f>F64-F62</f>
        <v>21267.65098170648</v>
      </c>
      <c r="G65" s="162">
        <f>G64-G62</f>
        <v>21836.956595256808</v>
      </c>
      <c r="H65" s="162">
        <f>H64-H62</f>
        <v>139863.61037280015</v>
      </c>
      <c r="I65" s="269"/>
      <c r="J65" s="56" t="str">
        <f>IF('AGAB|0332-07'!OrigApprop=0,"ERROR! Enter Original Appropriation amount in DU 3.00!","Calculated "&amp;IF('AGAB|0332-07'!AdjustedTotal&gt;0,"overfunding ","underfunding ")&amp;"is "&amp;TEXT('AGAB|0332-07'!AdjustedTotal/'AGAB|0332-07'!AppropTotal,"#.0%;(#.0% );0% ;")&amp;" of Original Appropriation")</f>
        <v>Calculated overfunding is 8.2% of Original Appropriation</v>
      </c>
      <c r="K65" s="163"/>
      <c r="L65" s="164"/>
    </row>
    <row r="67" spans="1:12" x14ac:dyDescent="0.3">
      <c r="A67" s="470" t="s">
        <v>1476</v>
      </c>
      <c r="B67" s="470"/>
      <c r="C67" s="470"/>
      <c r="D67" s="470"/>
      <c r="E67" s="470"/>
      <c r="F67" s="470"/>
      <c r="G67" s="470"/>
      <c r="H67" s="470"/>
      <c r="I67" s="470"/>
      <c r="J67" s="470"/>
      <c r="K67" s="470"/>
      <c r="L67" s="470"/>
    </row>
    <row r="68" spans="1:12" ht="40.200000000000003" x14ac:dyDescent="0.3">
      <c r="A68" s="387" t="s">
        <v>22</v>
      </c>
      <c r="B68" s="388"/>
      <c r="C68" s="370" t="s">
        <v>23</v>
      </c>
      <c r="D68" s="49" t="s">
        <v>24</v>
      </c>
      <c r="E68" s="50" t="str">
        <f>"FY "&amp;'AGAB|0332-09'!FiscalYear-1&amp;" SALARY"</f>
        <v>FY 2022 SALARY</v>
      </c>
      <c r="F68" s="50" t="str">
        <f>"FY "&amp;'AGAB|0332-09'!FiscalYear-1&amp;" HEALTH BENEFITS"</f>
        <v>FY 2022 HEALTH BENEFITS</v>
      </c>
      <c r="G68" s="50" t="str">
        <f>"FY "&amp;'AGAB|0332-09'!FiscalYear-1&amp;" VAR BENEFITS"</f>
        <v>FY 2022 VAR BENEFITS</v>
      </c>
      <c r="H68" s="50" t="str">
        <f>"FY "&amp;'AGAB|0332-09'!FiscalYear-1&amp;" TOTAL"</f>
        <v>FY 2022 TOTAL</v>
      </c>
      <c r="I68" s="50" t="str">
        <f>"FY "&amp;'AGAB|0332-09'!FiscalYear&amp;" SALARY CHANGE"</f>
        <v>FY 2023 SALARY CHANGE</v>
      </c>
      <c r="J68" s="50" t="str">
        <f>"FY "&amp;'AGAB|0332-09'!FiscalYear&amp;" CHG HEALTH BENEFITS"</f>
        <v>FY 2023 CHG HEALTH BENEFITS</v>
      </c>
      <c r="K68" s="50" t="str">
        <f>"FY "&amp;'AGAB|0332-09'!FiscalYear&amp;" CHG VAR BENEFITS"</f>
        <v>FY 2023 CHG VAR BENEFITS</v>
      </c>
      <c r="L68" s="50" t="s">
        <v>25</v>
      </c>
    </row>
    <row r="69" spans="1:12" x14ac:dyDescent="0.3">
      <c r="A69" s="389" t="s">
        <v>26</v>
      </c>
      <c r="B69" s="390"/>
      <c r="C69" s="141"/>
      <c r="D69" s="142"/>
      <c r="E69" s="143"/>
      <c r="F69" s="143"/>
      <c r="G69" s="143"/>
      <c r="H69" s="144"/>
      <c r="I69" s="144"/>
      <c r="J69" s="145"/>
      <c r="K69" s="146"/>
      <c r="L69" s="144"/>
    </row>
    <row r="70" spans="1:12" x14ac:dyDescent="0.3">
      <c r="A70" s="385" t="s">
        <v>27</v>
      </c>
      <c r="B70" s="391"/>
      <c r="C70" s="217">
        <v>1</v>
      </c>
      <c r="D70" s="288">
        <f>[0]!AGAB033209col_INC_FTI</f>
        <v>0.2</v>
      </c>
      <c r="E70" s="218">
        <f>[0]!AGAB033209col_FTI_SALARY_PERM</f>
        <v>10333.44</v>
      </c>
      <c r="F70" s="218">
        <f>[0]!AGAB033209col_HEALTH_PERM</f>
        <v>2330</v>
      </c>
      <c r="G70" s="218">
        <f>[0]!AGAB033209col_TOT_VB_PERM</f>
        <v>2339.1808128000002</v>
      </c>
      <c r="H70" s="219">
        <f>SUM(E70:G70)</f>
        <v>15002.6208128</v>
      </c>
      <c r="I70" s="219">
        <f>[0]!AGAB033209col_1_27TH_PP</f>
        <v>0</v>
      </c>
      <c r="J70" s="218">
        <f>[0]!AGAB033209col_HEALTH_PERM_CHG</f>
        <v>0</v>
      </c>
      <c r="K70" s="218">
        <f>[0]!AGAB033209col_TOT_VB_PERM_CHG</f>
        <v>-26.866943999999982</v>
      </c>
      <c r="L70" s="218">
        <f>SUM(J70:K70)</f>
        <v>-26.866943999999982</v>
      </c>
    </row>
    <row r="71" spans="1:12" x14ac:dyDescent="0.3">
      <c r="A71" s="385" t="s">
        <v>28</v>
      </c>
      <c r="B71" s="391"/>
      <c r="C71" s="217">
        <v>2</v>
      </c>
      <c r="D71" s="288"/>
      <c r="E71" s="218">
        <f>[0]!AGAB033209col_Group_Salary</f>
        <v>699.37</v>
      </c>
      <c r="F71" s="218">
        <v>0</v>
      </c>
      <c r="G71" s="218">
        <f>[0]!AGAB033209col_Group_Ben</f>
        <v>459.88</v>
      </c>
      <c r="H71" s="219">
        <f>SUM(E71:G71)</f>
        <v>1159.25</v>
      </c>
      <c r="I71" s="268"/>
      <c r="J71" s="218"/>
      <c r="K71" s="218"/>
      <c r="L71" s="218"/>
    </row>
    <row r="72" spans="1:12" x14ac:dyDescent="0.3">
      <c r="A72" s="385" t="s">
        <v>29</v>
      </c>
      <c r="B72" s="386"/>
      <c r="C72" s="217">
        <v>3</v>
      </c>
      <c r="D72" s="288">
        <f>[0]!AGAB033209col_TOTAL_ELECT_PCN_FTI</f>
        <v>0</v>
      </c>
      <c r="E72" s="218">
        <f>[0]!AGAB033209col_FTI_SALARY_ELECT</f>
        <v>0</v>
      </c>
      <c r="F72" s="218">
        <f>[0]!AGAB033209col_HEALTH_ELECT</f>
        <v>0</v>
      </c>
      <c r="G72" s="218">
        <f>[0]!AGAB033209col_TOT_VB_ELECT</f>
        <v>0</v>
      </c>
      <c r="H72" s="219">
        <f>SUM(E72:G72)</f>
        <v>0</v>
      </c>
      <c r="I72" s="268"/>
      <c r="J72" s="218">
        <f>[0]!AGAB033209col_HEALTH_ELECT_CHG</f>
        <v>0</v>
      </c>
      <c r="K72" s="218">
        <f>[0]!AGAB033209col_TOT_VB_ELECT_CHG</f>
        <v>0</v>
      </c>
      <c r="L72" s="219">
        <f>SUM(J72:K72)</f>
        <v>0</v>
      </c>
    </row>
    <row r="73" spans="1:12" x14ac:dyDescent="0.3">
      <c r="A73" s="385" t="s">
        <v>30</v>
      </c>
      <c r="B73" s="391"/>
      <c r="C73" s="217"/>
      <c r="D73" s="220">
        <f>SUM(D70:D72)</f>
        <v>0.2</v>
      </c>
      <c r="E73" s="221">
        <f>SUM(E70:E72)</f>
        <v>11032.810000000001</v>
      </c>
      <c r="F73" s="221">
        <f>SUM(F70:F72)</f>
        <v>2330</v>
      </c>
      <c r="G73" s="221">
        <f>SUM(G70:G72)</f>
        <v>2799.0608128000003</v>
      </c>
      <c r="H73" s="219">
        <f>SUM(E73:G73)</f>
        <v>16161.870812800002</v>
      </c>
      <c r="I73" s="268"/>
      <c r="J73" s="219">
        <f>SUM(J70:J72)</f>
        <v>0</v>
      </c>
      <c r="K73" s="219">
        <f>SUM(K70:K72)</f>
        <v>-26.866943999999982</v>
      </c>
      <c r="L73" s="219">
        <f>SUM(L70:L72)</f>
        <v>-26.866943999999982</v>
      </c>
    </row>
    <row r="74" spans="1:12" x14ac:dyDescent="0.3">
      <c r="A74" s="365"/>
      <c r="B74" s="371"/>
      <c r="C74" s="217"/>
      <c r="D74" s="220"/>
      <c r="E74" s="219"/>
      <c r="F74" s="219"/>
      <c r="G74" s="219"/>
      <c r="H74" s="219"/>
      <c r="I74" s="268"/>
      <c r="J74" s="219"/>
      <c r="K74" s="222"/>
      <c r="L74" s="222"/>
    </row>
    <row r="75" spans="1:12" x14ac:dyDescent="0.3">
      <c r="A75" s="157" t="str">
        <f>"FY "&amp;'AGAB|0332-09'!FiscalYear-1</f>
        <v>FY 2022</v>
      </c>
      <c r="B75" s="158" t="s">
        <v>31</v>
      </c>
      <c r="C75" s="355">
        <v>173400</v>
      </c>
      <c r="D75" s="55">
        <v>1.4</v>
      </c>
      <c r="E75" s="223">
        <f>IF('AGAB|0332-09'!OrigApprop=0,0,(E73/H73)*'AGAB|0332-09'!OrigApprop)</f>
        <v>118370.5324809834</v>
      </c>
      <c r="F75" s="223">
        <f>IF('AGAB|0332-09'!OrigApprop=0,0,(F73/H73)*'AGAB|0332-09'!OrigApprop)</f>
        <v>24998.467360599094</v>
      </c>
      <c r="G75" s="223">
        <f>IF(E75=0,0,(G73/H73)*'AGAB|0332-09'!OrigApprop)</f>
        <v>30031.000158417501</v>
      </c>
      <c r="H75" s="223">
        <f>SUM(E75:G75)</f>
        <v>173400</v>
      </c>
      <c r="I75" s="268"/>
      <c r="J75" s="224"/>
      <c r="K75" s="224"/>
      <c r="L75" s="224"/>
    </row>
    <row r="76" spans="1:12" x14ac:dyDescent="0.3">
      <c r="A76" s="392" t="s">
        <v>32</v>
      </c>
      <c r="B76" s="393"/>
      <c r="C76" s="160" t="s">
        <v>33</v>
      </c>
      <c r="D76" s="161">
        <f>D75-D73</f>
        <v>1.2</v>
      </c>
      <c r="E76" s="162">
        <f>E75-E73</f>
        <v>107337.7224809834</v>
      </c>
      <c r="F76" s="162">
        <f>F75-F73</f>
        <v>22668.467360599094</v>
      </c>
      <c r="G76" s="162">
        <f>G75-G73</f>
        <v>27231.939345617502</v>
      </c>
      <c r="H76" s="162">
        <f>H75-H73</f>
        <v>157238.12918719999</v>
      </c>
      <c r="I76" s="269"/>
      <c r="J76" s="56" t="str">
        <f>IF('AGAB|0332-09'!OrigApprop=0,"ERROR! Enter Original Appropriation amount in DU 3.00!","Calculated "&amp;IF('AGAB|0332-09'!AdjustedTotal&gt;0,"overfunding ","underfunding ")&amp;"is "&amp;TEXT('AGAB|0332-09'!AdjustedTotal/'AGAB|0332-09'!AppropTotal,"#.0%;(#.0% );0% ;")&amp;" of Original Appropriation")</f>
        <v>Calculated overfunding is 90.7% of Original Appropriation</v>
      </c>
      <c r="K76" s="163"/>
      <c r="L76" s="164"/>
    </row>
    <row r="78" spans="1:12" x14ac:dyDescent="0.3">
      <c r="A78" s="470" t="s">
        <v>1480</v>
      </c>
      <c r="B78" s="470"/>
      <c r="C78" s="470"/>
      <c r="D78" s="470"/>
      <c r="E78" s="470"/>
      <c r="F78" s="470"/>
      <c r="G78" s="470"/>
      <c r="H78" s="470"/>
      <c r="I78" s="470"/>
      <c r="J78" s="470"/>
      <c r="K78" s="470"/>
      <c r="L78" s="470"/>
    </row>
    <row r="79" spans="1:12" ht="40.200000000000003" x14ac:dyDescent="0.3">
      <c r="A79" s="387" t="s">
        <v>22</v>
      </c>
      <c r="B79" s="388"/>
      <c r="C79" s="370" t="s">
        <v>23</v>
      </c>
      <c r="D79" s="49" t="s">
        <v>24</v>
      </c>
      <c r="E79" s="50" t="str">
        <f>"FY "&amp;'AGAC|0001-00'!FiscalYear-1&amp;" SALARY"</f>
        <v>FY 2022 SALARY</v>
      </c>
      <c r="F79" s="50" t="str">
        <f>"FY "&amp;'AGAC|0001-00'!FiscalYear-1&amp;" HEALTH BENEFITS"</f>
        <v>FY 2022 HEALTH BENEFITS</v>
      </c>
      <c r="G79" s="50" t="str">
        <f>"FY "&amp;'AGAC|0001-00'!FiscalYear-1&amp;" VAR BENEFITS"</f>
        <v>FY 2022 VAR BENEFITS</v>
      </c>
      <c r="H79" s="50" t="str">
        <f>"FY "&amp;'AGAC|0001-00'!FiscalYear-1&amp;" TOTAL"</f>
        <v>FY 2022 TOTAL</v>
      </c>
      <c r="I79" s="50" t="str">
        <f>"FY "&amp;'AGAC|0001-00'!FiscalYear&amp;" SALARY CHANGE"</f>
        <v>FY 2023 SALARY CHANGE</v>
      </c>
      <c r="J79" s="50" t="str">
        <f>"FY "&amp;'AGAC|0001-00'!FiscalYear&amp;" CHG HEALTH BENEFITS"</f>
        <v>FY 2023 CHG HEALTH BENEFITS</v>
      </c>
      <c r="K79" s="50" t="str">
        <f>"FY "&amp;'AGAC|0001-00'!FiscalYear&amp;" CHG VAR BENEFITS"</f>
        <v>FY 2023 CHG VAR BENEFITS</v>
      </c>
      <c r="L79" s="50" t="s">
        <v>25</v>
      </c>
    </row>
    <row r="80" spans="1:12" x14ac:dyDescent="0.3">
      <c r="A80" s="389" t="s">
        <v>26</v>
      </c>
      <c r="B80" s="390"/>
      <c r="C80" s="141"/>
      <c r="D80" s="142"/>
      <c r="E80" s="143"/>
      <c r="F80" s="143"/>
      <c r="G80" s="143"/>
      <c r="H80" s="144"/>
      <c r="I80" s="144"/>
      <c r="J80" s="145"/>
      <c r="K80" s="146"/>
      <c r="L80" s="144"/>
    </row>
    <row r="81" spans="1:12" x14ac:dyDescent="0.3">
      <c r="A81" s="385" t="s">
        <v>27</v>
      </c>
      <c r="B81" s="391"/>
      <c r="C81" s="217">
        <v>1</v>
      </c>
      <c r="D81" s="288">
        <f>[0]!AGAC000100col_INC_FTI</f>
        <v>1</v>
      </c>
      <c r="E81" s="218">
        <f>[0]!AGAC000100col_FTI_SALARY_PERM</f>
        <v>100609.60000000001</v>
      </c>
      <c r="F81" s="218">
        <f>[0]!AGAC000100col_HEALTH_PERM</f>
        <v>11650</v>
      </c>
      <c r="G81" s="218">
        <f>[0]!AGAC000100col_TOT_VB_PERM</f>
        <v>22467.129776000005</v>
      </c>
      <c r="H81" s="219">
        <f>SUM(E81:G81)</f>
        <v>134726.72977600002</v>
      </c>
      <c r="I81" s="219">
        <f>[0]!AGAC000100col_1_27TH_PP</f>
        <v>0</v>
      </c>
      <c r="J81" s="218">
        <f>[0]!AGAC000100col_HEALTH_PERM_CHG</f>
        <v>0</v>
      </c>
      <c r="K81" s="218">
        <f>[0]!AGAC000100col_TOT_VB_PERM_CHG</f>
        <v>-261.58495999999985</v>
      </c>
      <c r="L81" s="218">
        <f>SUM(J81:K81)</f>
        <v>-261.58495999999985</v>
      </c>
    </row>
    <row r="82" spans="1:12" x14ac:dyDescent="0.3">
      <c r="A82" s="385" t="s">
        <v>28</v>
      </c>
      <c r="B82" s="391"/>
      <c r="C82" s="217">
        <v>2</v>
      </c>
      <c r="D82" s="288"/>
      <c r="E82" s="218">
        <f>[0]!AGAC000100col_Group_Salary</f>
        <v>19.600000000000001</v>
      </c>
      <c r="F82" s="218">
        <v>0</v>
      </c>
      <c r="G82" s="218">
        <f>[0]!AGAC000100col_Group_Ben</f>
        <v>12.83</v>
      </c>
      <c r="H82" s="219">
        <f>SUM(E82:G82)</f>
        <v>32.43</v>
      </c>
      <c r="I82" s="268"/>
      <c r="J82" s="218"/>
      <c r="K82" s="218"/>
      <c r="L82" s="218"/>
    </row>
    <row r="83" spans="1:12" x14ac:dyDescent="0.3">
      <c r="A83" s="385" t="s">
        <v>29</v>
      </c>
      <c r="B83" s="386"/>
      <c r="C83" s="217">
        <v>3</v>
      </c>
      <c r="D83" s="288">
        <f>[0]!AGAC000100col_TOTAL_ELECT_PCN_FTI</f>
        <v>0</v>
      </c>
      <c r="E83" s="218">
        <f>[0]!AGAC000100col_FTI_SALARY_ELECT</f>
        <v>0</v>
      </c>
      <c r="F83" s="218">
        <f>[0]!AGAC000100col_HEALTH_ELECT</f>
        <v>0</v>
      </c>
      <c r="G83" s="218">
        <f>[0]!AGAC000100col_TOT_VB_ELECT</f>
        <v>0</v>
      </c>
      <c r="H83" s="219">
        <f>SUM(E83:G83)</f>
        <v>0</v>
      </c>
      <c r="I83" s="268"/>
      <c r="J83" s="218">
        <f>[0]!AGAC000100col_HEALTH_ELECT_CHG</f>
        <v>0</v>
      </c>
      <c r="K83" s="218">
        <f>[0]!AGAC000100col_TOT_VB_ELECT_CHG</f>
        <v>0</v>
      </c>
      <c r="L83" s="219">
        <f>SUM(J83:K83)</f>
        <v>0</v>
      </c>
    </row>
    <row r="84" spans="1:12" x14ac:dyDescent="0.3">
      <c r="A84" s="385" t="s">
        <v>30</v>
      </c>
      <c r="B84" s="391"/>
      <c r="C84" s="217"/>
      <c r="D84" s="220">
        <f>SUM(D81:D83)</f>
        <v>1</v>
      </c>
      <c r="E84" s="221">
        <f>SUM(E81:E83)</f>
        <v>100629.20000000001</v>
      </c>
      <c r="F84" s="221">
        <f>SUM(F81:F83)</f>
        <v>11650</v>
      </c>
      <c r="G84" s="221">
        <f>SUM(G81:G83)</f>
        <v>22479.959776000007</v>
      </c>
      <c r="H84" s="219">
        <f>SUM(E84:G84)</f>
        <v>134759.15977600001</v>
      </c>
      <c r="I84" s="268"/>
      <c r="J84" s="219">
        <f>SUM(J81:J83)</f>
        <v>0</v>
      </c>
      <c r="K84" s="219">
        <f>SUM(K81:K83)</f>
        <v>-261.58495999999985</v>
      </c>
      <c r="L84" s="219">
        <f>SUM(L81:L83)</f>
        <v>-261.58495999999985</v>
      </c>
    </row>
    <row r="85" spans="1:12" x14ac:dyDescent="0.3">
      <c r="A85" s="365"/>
      <c r="B85" s="371"/>
      <c r="C85" s="217"/>
      <c r="D85" s="220"/>
      <c r="E85" s="219"/>
      <c r="F85" s="219"/>
      <c r="G85" s="219"/>
      <c r="H85" s="219"/>
      <c r="I85" s="268"/>
      <c r="J85" s="219"/>
      <c r="K85" s="222"/>
      <c r="L85" s="222"/>
    </row>
    <row r="86" spans="1:12" x14ac:dyDescent="0.3">
      <c r="A86" s="157" t="str">
        <f>"FY "&amp;'AGAC|0001-00'!FiscalYear-1</f>
        <v>FY 2022</v>
      </c>
      <c r="B86" s="158" t="s">
        <v>31</v>
      </c>
      <c r="C86" s="355">
        <v>130100</v>
      </c>
      <c r="D86" s="55">
        <v>1</v>
      </c>
      <c r="E86" s="223">
        <f>IF('AGAC|0001-00'!OrigApprop=0,0,(E84/H84)*'AGAC|0001-00'!OrigApprop)</f>
        <v>97150.04858861996</v>
      </c>
      <c r="F86" s="223">
        <f>IF('AGAC|0001-00'!OrigApprop=0,0,(F84/H84)*'AGAC|0001-00'!OrigApprop)</f>
        <v>11247.213195150338</v>
      </c>
      <c r="G86" s="223">
        <f>IF(E86=0,0,(G84/H84)*'AGAC|0001-00'!OrigApprop)</f>
        <v>21702.738216229711</v>
      </c>
      <c r="H86" s="223">
        <f>SUM(E86:G86)</f>
        <v>130100.00000000001</v>
      </c>
      <c r="I86" s="268"/>
      <c r="J86" s="224"/>
      <c r="K86" s="224"/>
      <c r="L86" s="224"/>
    </row>
    <row r="87" spans="1:12" x14ac:dyDescent="0.3">
      <c r="A87" s="392" t="s">
        <v>32</v>
      </c>
      <c r="B87" s="393"/>
      <c r="C87" s="160" t="s">
        <v>33</v>
      </c>
      <c r="D87" s="161">
        <f>D86-D84</f>
        <v>0</v>
      </c>
      <c r="E87" s="162">
        <f>E86-E84</f>
        <v>-3479.1514113800513</v>
      </c>
      <c r="F87" s="162">
        <f>F86-F84</f>
        <v>-402.78680484966208</v>
      </c>
      <c r="G87" s="162">
        <f>G86-G84</f>
        <v>-777.22155977029615</v>
      </c>
      <c r="H87" s="162">
        <f>H86-H84</f>
        <v>-4659.1597760000004</v>
      </c>
      <c r="I87" s="269"/>
      <c r="J87" s="56" t="str">
        <f>IF('AGAC|0001-00'!OrigApprop=0,"ERROR! Enter Original Appropriation amount in DU 3.00!","Calculated "&amp;IF('AGAC|0001-00'!AdjustedTotal&gt;0,"overfunding ","underfunding ")&amp;"is "&amp;TEXT('AGAC|0001-00'!AdjustedTotal/'AGAC|0001-00'!AppropTotal,"#.0%;(#.0% );0% ;")&amp;" of Original Appropriation")</f>
        <v>Calculated underfunding is (3.6% ) of Original Appropriation</v>
      </c>
      <c r="K87" s="163"/>
      <c r="L87" s="164"/>
    </row>
    <row r="89" spans="1:12" x14ac:dyDescent="0.3">
      <c r="A89" s="470" t="s">
        <v>1486</v>
      </c>
      <c r="B89" s="470"/>
      <c r="C89" s="470"/>
      <c r="D89" s="470"/>
      <c r="E89" s="470"/>
      <c r="F89" s="470"/>
      <c r="G89" s="470"/>
      <c r="H89" s="470"/>
      <c r="I89" s="470"/>
      <c r="J89" s="470"/>
      <c r="K89" s="470"/>
      <c r="L89" s="470"/>
    </row>
    <row r="90" spans="1:12" ht="40.200000000000003" x14ac:dyDescent="0.3">
      <c r="A90" s="387" t="s">
        <v>22</v>
      </c>
      <c r="B90" s="388"/>
      <c r="C90" s="370" t="s">
        <v>23</v>
      </c>
      <c r="D90" s="49" t="s">
        <v>24</v>
      </c>
      <c r="E90" s="50" t="str">
        <f>"FY "&amp;'AGAC|0332-05'!FiscalYear-1&amp;" SALARY"</f>
        <v>FY 2022 SALARY</v>
      </c>
      <c r="F90" s="50" t="str">
        <f>"FY "&amp;'AGAC|0332-05'!FiscalYear-1&amp;" HEALTH BENEFITS"</f>
        <v>FY 2022 HEALTH BENEFITS</v>
      </c>
      <c r="G90" s="50" t="str">
        <f>"FY "&amp;'AGAC|0332-05'!FiscalYear-1&amp;" VAR BENEFITS"</f>
        <v>FY 2022 VAR BENEFITS</v>
      </c>
      <c r="H90" s="50" t="str">
        <f>"FY "&amp;'AGAC|0332-05'!FiscalYear-1&amp;" TOTAL"</f>
        <v>FY 2022 TOTAL</v>
      </c>
      <c r="I90" s="50" t="str">
        <f>"FY "&amp;'AGAC|0332-05'!FiscalYear&amp;" SALARY CHANGE"</f>
        <v>FY 2023 SALARY CHANGE</v>
      </c>
      <c r="J90" s="50" t="str">
        <f>"FY "&amp;'AGAC|0332-05'!FiscalYear&amp;" CHG HEALTH BENEFITS"</f>
        <v>FY 2023 CHG HEALTH BENEFITS</v>
      </c>
      <c r="K90" s="50" t="str">
        <f>"FY "&amp;'AGAC|0332-05'!FiscalYear&amp;" CHG VAR BENEFITS"</f>
        <v>FY 2023 CHG VAR BENEFITS</v>
      </c>
      <c r="L90" s="50" t="s">
        <v>25</v>
      </c>
    </row>
    <row r="91" spans="1:12" x14ac:dyDescent="0.3">
      <c r="A91" s="389" t="s">
        <v>26</v>
      </c>
      <c r="B91" s="390"/>
      <c r="C91" s="141"/>
      <c r="D91" s="142"/>
      <c r="E91" s="143"/>
      <c r="F91" s="143"/>
      <c r="G91" s="143"/>
      <c r="H91" s="144"/>
      <c r="I91" s="144"/>
      <c r="J91" s="145"/>
      <c r="K91" s="146"/>
      <c r="L91" s="144"/>
    </row>
    <row r="92" spans="1:12" x14ac:dyDescent="0.3">
      <c r="A92" s="385" t="s">
        <v>27</v>
      </c>
      <c r="B92" s="391"/>
      <c r="C92" s="217">
        <v>1</v>
      </c>
      <c r="D92" s="288">
        <f>[0]!AGAC033205col_INC_FTI</f>
        <v>23.6</v>
      </c>
      <c r="E92" s="218">
        <f>[0]!AGAC033205col_FTI_SALARY_PERM</f>
        <v>1285984.96</v>
      </c>
      <c r="F92" s="218">
        <f>[0]!AGAC033205col_HEALTH_PERM</f>
        <v>274940</v>
      </c>
      <c r="G92" s="218">
        <f>[0]!AGAC033205col_TOT_VB_PERM</f>
        <v>291108.41539519996</v>
      </c>
      <c r="H92" s="219">
        <f>SUM(E92:G92)</f>
        <v>1852033.3753952</v>
      </c>
      <c r="I92" s="219">
        <f>[0]!AGAC033205col_1_27TH_PP</f>
        <v>0</v>
      </c>
      <c r="J92" s="218">
        <f>[0]!AGAC033205col_HEALTH_PERM_CHG</f>
        <v>0</v>
      </c>
      <c r="K92" s="218">
        <f>[0]!AGAC033205col_TOT_VB_PERM_CHG</f>
        <v>-3343.5608959999968</v>
      </c>
      <c r="L92" s="218">
        <f>SUM(J92:K92)</f>
        <v>-3343.5608959999968</v>
      </c>
    </row>
    <row r="93" spans="1:12" x14ac:dyDescent="0.3">
      <c r="A93" s="385" t="s">
        <v>28</v>
      </c>
      <c r="B93" s="391"/>
      <c r="C93" s="217">
        <v>2</v>
      </c>
      <c r="D93" s="288"/>
      <c r="E93" s="218">
        <f>[0]!AGAC033205col_Group_Salary</f>
        <v>0</v>
      </c>
      <c r="F93" s="218">
        <v>0</v>
      </c>
      <c r="G93" s="218">
        <f>[0]!AGAC033205col_Group_Ben</f>
        <v>0</v>
      </c>
      <c r="H93" s="219">
        <f>SUM(E93:G93)</f>
        <v>0</v>
      </c>
      <c r="I93" s="268"/>
      <c r="J93" s="218"/>
      <c r="K93" s="218"/>
      <c r="L93" s="218"/>
    </row>
    <row r="94" spans="1:12" x14ac:dyDescent="0.3">
      <c r="A94" s="385" t="s">
        <v>29</v>
      </c>
      <c r="B94" s="386"/>
      <c r="C94" s="217">
        <v>3</v>
      </c>
      <c r="D94" s="288">
        <f>[0]!AGAC033205col_TOTAL_ELECT_PCN_FTI</f>
        <v>0</v>
      </c>
      <c r="E94" s="218">
        <f>[0]!AGAC033205col_FTI_SALARY_ELECT</f>
        <v>0</v>
      </c>
      <c r="F94" s="218">
        <f>[0]!AGAC033205col_HEALTH_ELECT</f>
        <v>0</v>
      </c>
      <c r="G94" s="218">
        <f>[0]!AGAC033205col_TOT_VB_ELECT</f>
        <v>0</v>
      </c>
      <c r="H94" s="219">
        <f>SUM(E94:G94)</f>
        <v>0</v>
      </c>
      <c r="I94" s="268"/>
      <c r="J94" s="218">
        <f>[0]!AGAC033205col_HEALTH_ELECT_CHG</f>
        <v>0</v>
      </c>
      <c r="K94" s="218">
        <f>[0]!AGAC033205col_TOT_VB_ELECT_CHG</f>
        <v>0</v>
      </c>
      <c r="L94" s="219">
        <f>SUM(J94:K94)</f>
        <v>0</v>
      </c>
    </row>
    <row r="95" spans="1:12" x14ac:dyDescent="0.3">
      <c r="A95" s="385" t="s">
        <v>30</v>
      </c>
      <c r="B95" s="391"/>
      <c r="C95" s="217"/>
      <c r="D95" s="220">
        <f>SUM(D92:D94)</f>
        <v>23.6</v>
      </c>
      <c r="E95" s="221">
        <f>SUM(E92:E94)</f>
        <v>1285984.96</v>
      </c>
      <c r="F95" s="221">
        <f>SUM(F92:F94)</f>
        <v>274940</v>
      </c>
      <c r="G95" s="221">
        <f>SUM(G92:G94)</f>
        <v>291108.41539519996</v>
      </c>
      <c r="H95" s="219">
        <f>SUM(E95:G95)</f>
        <v>1852033.3753952</v>
      </c>
      <c r="I95" s="268"/>
      <c r="J95" s="219">
        <f>SUM(J92:J94)</f>
        <v>0</v>
      </c>
      <c r="K95" s="219">
        <f>SUM(K92:K94)</f>
        <v>-3343.5608959999968</v>
      </c>
      <c r="L95" s="219">
        <f>SUM(L92:L94)</f>
        <v>-3343.5608959999968</v>
      </c>
    </row>
    <row r="96" spans="1:12" x14ac:dyDescent="0.3">
      <c r="A96" s="365"/>
      <c r="B96" s="371"/>
      <c r="C96" s="217"/>
      <c r="D96" s="220"/>
      <c r="E96" s="219"/>
      <c r="F96" s="219"/>
      <c r="G96" s="219"/>
      <c r="H96" s="219"/>
      <c r="I96" s="268"/>
      <c r="J96" s="219"/>
      <c r="K96" s="222"/>
      <c r="L96" s="222"/>
    </row>
    <row r="97" spans="1:12" x14ac:dyDescent="0.3">
      <c r="A97" s="157" t="str">
        <f>"FY "&amp;'AGAC|0332-05'!FiscalYear-1</f>
        <v>FY 2022</v>
      </c>
      <c r="B97" s="158" t="s">
        <v>31</v>
      </c>
      <c r="C97" s="355">
        <v>2259600</v>
      </c>
      <c r="D97" s="55">
        <v>25.9</v>
      </c>
      <c r="E97" s="223">
        <f>IF('AGAC|0332-05'!OrigApprop=0,0,(E95/H95)*'AGAC|0332-05'!OrigApprop)</f>
        <v>1568984.4763169764</v>
      </c>
      <c r="F97" s="223">
        <f>IF('AGAC|0332-05'!OrigApprop=0,0,(F95/H95)*'AGAC|0332-05'!OrigApprop)</f>
        <v>335444.50777914969</v>
      </c>
      <c r="G97" s="223">
        <f>IF(E97=0,0,(G95/H95)*'AGAC|0332-05'!OrigApprop)</f>
        <v>355171.01590387389</v>
      </c>
      <c r="H97" s="223">
        <f>SUM(E97:G97)</f>
        <v>2259600</v>
      </c>
      <c r="I97" s="268"/>
      <c r="J97" s="224"/>
      <c r="K97" s="224"/>
      <c r="L97" s="224"/>
    </row>
    <row r="98" spans="1:12" x14ac:dyDescent="0.3">
      <c r="A98" s="392" t="s">
        <v>32</v>
      </c>
      <c r="B98" s="393"/>
      <c r="C98" s="160" t="s">
        <v>33</v>
      </c>
      <c r="D98" s="161">
        <f>D97-D95</f>
        <v>2.2999999999999972</v>
      </c>
      <c r="E98" s="162">
        <f>E97-E95</f>
        <v>282999.5163169764</v>
      </c>
      <c r="F98" s="162">
        <f>F97-F95</f>
        <v>60504.507779149688</v>
      </c>
      <c r="G98" s="162">
        <f>G97-G95</f>
        <v>64062.600508673931</v>
      </c>
      <c r="H98" s="162">
        <f>H97-H95</f>
        <v>407566.62460480002</v>
      </c>
      <c r="I98" s="269"/>
      <c r="J98" s="56" t="str">
        <f>IF('AGAC|0332-05'!OrigApprop=0,"ERROR! Enter Original Appropriation amount in DU 3.00!","Calculated "&amp;IF('AGAC|0332-05'!AdjustedTotal&gt;0,"overfunding ","underfunding ")&amp;"is "&amp;TEXT('AGAC|0332-05'!AdjustedTotal/'AGAC|0332-05'!AppropTotal,"#.0%;(#.0% );0% ;")&amp;" of Original Appropriation")</f>
        <v>Calculated overfunding is 18.0% of Original Appropriation</v>
      </c>
      <c r="K98" s="163"/>
      <c r="L98" s="164"/>
    </row>
    <row r="100" spans="1:12" x14ac:dyDescent="0.3">
      <c r="A100" s="470" t="s">
        <v>1492</v>
      </c>
      <c r="B100" s="470"/>
      <c r="C100" s="470"/>
      <c r="D100" s="470"/>
      <c r="E100" s="470"/>
      <c r="F100" s="470"/>
      <c r="G100" s="470"/>
      <c r="H100" s="470"/>
      <c r="I100" s="470"/>
      <c r="J100" s="470"/>
      <c r="K100" s="470"/>
      <c r="L100" s="470"/>
    </row>
    <row r="101" spans="1:12" ht="40.200000000000003" x14ac:dyDescent="0.3">
      <c r="A101" s="387" t="s">
        <v>22</v>
      </c>
      <c r="B101" s="388"/>
      <c r="C101" s="370" t="s">
        <v>23</v>
      </c>
      <c r="D101" s="49" t="s">
        <v>24</v>
      </c>
      <c r="E101" s="50" t="str">
        <f>"FY "&amp;'AGAC|0348-00'!FiscalYear-1&amp;" SALARY"</f>
        <v>FY 2022 SALARY</v>
      </c>
      <c r="F101" s="50" t="str">
        <f>"FY "&amp;'AGAC|0348-00'!FiscalYear-1&amp;" HEALTH BENEFITS"</f>
        <v>FY 2022 HEALTH BENEFITS</v>
      </c>
      <c r="G101" s="50" t="str">
        <f>"FY "&amp;'AGAC|0348-00'!FiscalYear-1&amp;" VAR BENEFITS"</f>
        <v>FY 2022 VAR BENEFITS</v>
      </c>
      <c r="H101" s="50" t="str">
        <f>"FY "&amp;'AGAC|0348-00'!FiscalYear-1&amp;" TOTAL"</f>
        <v>FY 2022 TOTAL</v>
      </c>
      <c r="I101" s="50" t="str">
        <f>"FY "&amp;'AGAC|0348-00'!FiscalYear&amp;" SALARY CHANGE"</f>
        <v>FY 2023 SALARY CHANGE</v>
      </c>
      <c r="J101" s="50" t="str">
        <f>"FY "&amp;'AGAC|0348-00'!FiscalYear&amp;" CHG HEALTH BENEFITS"</f>
        <v>FY 2023 CHG HEALTH BENEFITS</v>
      </c>
      <c r="K101" s="50" t="str">
        <f>"FY "&amp;'AGAC|0348-00'!FiscalYear&amp;" CHG VAR BENEFITS"</f>
        <v>FY 2023 CHG VAR BENEFITS</v>
      </c>
      <c r="L101" s="50" t="s">
        <v>25</v>
      </c>
    </row>
    <row r="102" spans="1:12" x14ac:dyDescent="0.3">
      <c r="A102" s="389" t="s">
        <v>26</v>
      </c>
      <c r="B102" s="390"/>
      <c r="C102" s="141"/>
      <c r="D102" s="142"/>
      <c r="E102" s="143"/>
      <c r="F102" s="143"/>
      <c r="G102" s="143"/>
      <c r="H102" s="144"/>
      <c r="I102" s="144"/>
      <c r="J102" s="145"/>
      <c r="K102" s="146"/>
      <c r="L102" s="144"/>
    </row>
    <row r="103" spans="1:12" x14ac:dyDescent="0.3">
      <c r="A103" s="385" t="s">
        <v>27</v>
      </c>
      <c r="B103" s="391"/>
      <c r="C103" s="217">
        <v>1</v>
      </c>
      <c r="D103" s="288">
        <f>[0]!AGAC034800col_INC_FTI</f>
        <v>0</v>
      </c>
      <c r="E103" s="218">
        <f>[0]!AGAC034800col_FTI_SALARY_PERM</f>
        <v>0</v>
      </c>
      <c r="F103" s="218">
        <f>[0]!AGAC034800col_HEALTH_PERM</f>
        <v>0</v>
      </c>
      <c r="G103" s="218">
        <f>[0]!AGAC034800col_TOT_VB_PERM</f>
        <v>0</v>
      </c>
      <c r="H103" s="219">
        <f>SUM(E103:G103)</f>
        <v>0</v>
      </c>
      <c r="I103" s="219">
        <f>[0]!AGAC034800col_1_27TH_PP</f>
        <v>0</v>
      </c>
      <c r="J103" s="218">
        <f>[0]!AGAC034800col_HEALTH_PERM_CHG</f>
        <v>0</v>
      </c>
      <c r="K103" s="218">
        <f>[0]!AGAC034800col_TOT_VB_PERM_CHG</f>
        <v>0</v>
      </c>
      <c r="L103" s="218">
        <f>SUM(J103:K103)</f>
        <v>0</v>
      </c>
    </row>
    <row r="104" spans="1:12" x14ac:dyDescent="0.3">
      <c r="A104" s="385" t="s">
        <v>28</v>
      </c>
      <c r="B104" s="391"/>
      <c r="C104" s="217">
        <v>2</v>
      </c>
      <c r="D104" s="288"/>
      <c r="E104" s="218">
        <f>[0]!AGAC034800col_Group_Salary</f>
        <v>0</v>
      </c>
      <c r="F104" s="218">
        <v>0</v>
      </c>
      <c r="G104" s="218">
        <f>[0]!AGAC034800col_Group_Ben</f>
        <v>0</v>
      </c>
      <c r="H104" s="219">
        <f>SUM(E104:G104)</f>
        <v>0</v>
      </c>
      <c r="I104" s="268"/>
      <c r="J104" s="218"/>
      <c r="K104" s="218"/>
      <c r="L104" s="218"/>
    </row>
    <row r="105" spans="1:12" x14ac:dyDescent="0.3">
      <c r="A105" s="385" t="s">
        <v>29</v>
      </c>
      <c r="B105" s="386"/>
      <c r="C105" s="217">
        <v>3</v>
      </c>
      <c r="D105" s="288">
        <f>[0]!AGAC034800col_TOTAL_ELECT_PCN_FTI</f>
        <v>0</v>
      </c>
      <c r="E105" s="218">
        <f>[0]!AGAC034800col_FTI_SALARY_ELECT</f>
        <v>0</v>
      </c>
      <c r="F105" s="218">
        <f>[0]!AGAC034800col_HEALTH_ELECT</f>
        <v>0</v>
      </c>
      <c r="G105" s="218">
        <f>[0]!AGAC034800col_TOT_VB_ELECT</f>
        <v>0</v>
      </c>
      <c r="H105" s="219">
        <f>SUM(E105:G105)</f>
        <v>0</v>
      </c>
      <c r="I105" s="268"/>
      <c r="J105" s="218">
        <f>[0]!AGAC034800col_HEALTH_ELECT_CHG</f>
        <v>0</v>
      </c>
      <c r="K105" s="218">
        <f>[0]!AGAC034800col_TOT_VB_ELECT_CHG</f>
        <v>0</v>
      </c>
      <c r="L105" s="219">
        <f>SUM(J105:K105)</f>
        <v>0</v>
      </c>
    </row>
    <row r="106" spans="1:12" x14ac:dyDescent="0.3">
      <c r="A106" s="385" t="s">
        <v>30</v>
      </c>
      <c r="B106" s="391"/>
      <c r="C106" s="217"/>
      <c r="D106" s="220">
        <f>SUM(D103:D105)</f>
        <v>0</v>
      </c>
      <c r="E106" s="221">
        <f>SUM(E103:E105)</f>
        <v>0</v>
      </c>
      <c r="F106" s="221">
        <f>SUM(F103:F105)</f>
        <v>0</v>
      </c>
      <c r="G106" s="221">
        <f>SUM(G103:G105)</f>
        <v>0</v>
      </c>
      <c r="H106" s="219">
        <f>SUM(E106:G106)</f>
        <v>0</v>
      </c>
      <c r="I106" s="268"/>
      <c r="J106" s="219">
        <f>SUM(J103:J105)</f>
        <v>0</v>
      </c>
      <c r="K106" s="219">
        <f>SUM(K103:K105)</f>
        <v>0</v>
      </c>
      <c r="L106" s="219">
        <f>SUM(L103:L105)</f>
        <v>0</v>
      </c>
    </row>
    <row r="107" spans="1:12" x14ac:dyDescent="0.3">
      <c r="A107" s="365"/>
      <c r="B107" s="371"/>
      <c r="C107" s="217"/>
      <c r="D107" s="220"/>
      <c r="E107" s="219"/>
      <c r="F107" s="219"/>
      <c r="G107" s="219"/>
      <c r="H107" s="219"/>
      <c r="I107" s="268"/>
      <c r="J107" s="219"/>
      <c r="K107" s="222"/>
      <c r="L107" s="222"/>
    </row>
    <row r="108" spans="1:12" x14ac:dyDescent="0.3">
      <c r="A108" s="157" t="str">
        <f>"FY "&amp;'AGAC|0348-00'!FiscalYear-1</f>
        <v>FY 2022</v>
      </c>
      <c r="B108" s="158" t="s">
        <v>31</v>
      </c>
      <c r="C108" s="355">
        <v>391700</v>
      </c>
      <c r="D108" s="55">
        <v>1</v>
      </c>
      <c r="E108" s="223" t="e">
        <f>IF('AGAC|0348-00'!OrigApprop=0,0,(E106/H106)*'AGAC|0348-00'!OrigApprop)</f>
        <v>#DIV/0!</v>
      </c>
      <c r="F108" s="223" t="e">
        <f>IF('AGAC|0348-00'!OrigApprop=0,0,(F106/H106)*'AGAC|0348-00'!OrigApprop)</f>
        <v>#DIV/0!</v>
      </c>
      <c r="G108" s="223" t="e">
        <f>IF(E108=0,0,(G106/H106)*'AGAC|0348-00'!OrigApprop)</f>
        <v>#DIV/0!</v>
      </c>
      <c r="H108" s="223" t="e">
        <f>SUM(E108:G108)</f>
        <v>#DIV/0!</v>
      </c>
      <c r="I108" s="268"/>
      <c r="J108" s="224"/>
      <c r="K108" s="224"/>
      <c r="L108" s="224"/>
    </row>
    <row r="109" spans="1:12" x14ac:dyDescent="0.3">
      <c r="A109" s="392" t="s">
        <v>32</v>
      </c>
      <c r="B109" s="393"/>
      <c r="C109" s="160" t="s">
        <v>33</v>
      </c>
      <c r="D109" s="161">
        <f>D108-D106</f>
        <v>1</v>
      </c>
      <c r="E109" s="162" t="e">
        <f>E108-E106</f>
        <v>#DIV/0!</v>
      </c>
      <c r="F109" s="162" t="e">
        <f>F108-F106</f>
        <v>#DIV/0!</v>
      </c>
      <c r="G109" s="162" t="e">
        <f>G108-G106</f>
        <v>#DIV/0!</v>
      </c>
      <c r="H109" s="162" t="e">
        <f>H108-H106</f>
        <v>#DIV/0!</v>
      </c>
      <c r="I109" s="269"/>
      <c r="J109" s="56" t="e">
        <f>IF('AGAC|0348-00'!OrigApprop=0,"ERROR! Enter Original Appropriation amount in DU 3.00!","Calculated "&amp;IF('AGAC|0348-00'!AdjustedTotal&gt;0,"overfunding ","underfunding ")&amp;"is "&amp;TEXT('AGAC|0348-00'!AdjustedTotal/'AGAC|0348-00'!AppropTotal,"#.0%;(#.0% );0% ;")&amp;" of Original Appropriation")</f>
        <v>#DIV/0!</v>
      </c>
      <c r="K109" s="163"/>
      <c r="L109" s="164"/>
    </row>
    <row r="111" spans="1:12" x14ac:dyDescent="0.3">
      <c r="A111" s="470" t="s">
        <v>1496</v>
      </c>
      <c r="B111" s="470"/>
      <c r="C111" s="470"/>
      <c r="D111" s="470"/>
      <c r="E111" s="470"/>
      <c r="F111" s="470"/>
      <c r="G111" s="470"/>
      <c r="H111" s="470"/>
      <c r="I111" s="470"/>
      <c r="J111" s="470"/>
      <c r="K111" s="470"/>
      <c r="L111" s="470"/>
    </row>
    <row r="112" spans="1:12" ht="40.200000000000003" x14ac:dyDescent="0.3">
      <c r="A112" s="387" t="s">
        <v>22</v>
      </c>
      <c r="B112" s="388"/>
      <c r="C112" s="370" t="s">
        <v>23</v>
      </c>
      <c r="D112" s="49" t="s">
        <v>24</v>
      </c>
      <c r="E112" s="50" t="str">
        <f>"FY "&amp;'AGAD|0001-00'!FiscalYear-1&amp;" SALARY"</f>
        <v>FY 2022 SALARY</v>
      </c>
      <c r="F112" s="50" t="str">
        <f>"FY "&amp;'AGAD|0001-00'!FiscalYear-1&amp;" HEALTH BENEFITS"</f>
        <v>FY 2022 HEALTH BENEFITS</v>
      </c>
      <c r="G112" s="50" t="str">
        <f>"FY "&amp;'AGAD|0001-00'!FiscalYear-1&amp;" VAR BENEFITS"</f>
        <v>FY 2022 VAR BENEFITS</v>
      </c>
      <c r="H112" s="50" t="str">
        <f>"FY "&amp;'AGAD|0001-00'!FiscalYear-1&amp;" TOTAL"</f>
        <v>FY 2022 TOTAL</v>
      </c>
      <c r="I112" s="50" t="str">
        <f>"FY "&amp;'AGAD|0001-00'!FiscalYear&amp;" SALARY CHANGE"</f>
        <v>FY 2023 SALARY CHANGE</v>
      </c>
      <c r="J112" s="50" t="str">
        <f>"FY "&amp;'AGAD|0001-00'!FiscalYear&amp;" CHG HEALTH BENEFITS"</f>
        <v>FY 2023 CHG HEALTH BENEFITS</v>
      </c>
      <c r="K112" s="50" t="str">
        <f>"FY "&amp;'AGAD|0001-00'!FiscalYear&amp;" CHG VAR BENEFITS"</f>
        <v>FY 2023 CHG VAR BENEFITS</v>
      </c>
      <c r="L112" s="50" t="s">
        <v>25</v>
      </c>
    </row>
    <row r="113" spans="1:12" x14ac:dyDescent="0.3">
      <c r="A113" s="389" t="s">
        <v>26</v>
      </c>
      <c r="B113" s="390"/>
      <c r="C113" s="141"/>
      <c r="D113" s="142"/>
      <c r="E113" s="143"/>
      <c r="F113" s="143"/>
      <c r="G113" s="143"/>
      <c r="H113" s="144"/>
      <c r="I113" s="144"/>
      <c r="J113" s="145"/>
      <c r="K113" s="146"/>
      <c r="L113" s="144"/>
    </row>
    <row r="114" spans="1:12" x14ac:dyDescent="0.3">
      <c r="A114" s="385" t="s">
        <v>27</v>
      </c>
      <c r="B114" s="391"/>
      <c r="C114" s="217">
        <v>1</v>
      </c>
      <c r="D114" s="288">
        <f>[0]!AGAD000100col_INC_FTI</f>
        <v>18.425000000000001</v>
      </c>
      <c r="E114" s="218">
        <f>[0]!AGAD000100col_FTI_SALARY_PERM</f>
        <v>972102.14</v>
      </c>
      <c r="F114" s="218">
        <f>[0]!AGAD000100col_HEALTH_PERM</f>
        <v>216107.5</v>
      </c>
      <c r="G114" s="218">
        <f>[0]!AGAD000100col_TOT_VB_PERM</f>
        <v>219729.32920779998</v>
      </c>
      <c r="H114" s="219">
        <f>SUM(E114:G114)</f>
        <v>1407938.9692078</v>
      </c>
      <c r="I114" s="219">
        <f>[0]!AGAD000100col_1_27TH_PP</f>
        <v>0</v>
      </c>
      <c r="J114" s="218">
        <f>[0]!AGAD000100col_HEALTH_PERM_CHG</f>
        <v>0</v>
      </c>
      <c r="K114" s="218">
        <f>[0]!AGAD000100col_TOT_VB_PERM_CHG</f>
        <v>-2527.4655639999978</v>
      </c>
      <c r="L114" s="218">
        <f>SUM(J114:K114)</f>
        <v>-2527.4655639999978</v>
      </c>
    </row>
    <row r="115" spans="1:12" x14ac:dyDescent="0.3">
      <c r="A115" s="385" t="s">
        <v>28</v>
      </c>
      <c r="B115" s="391"/>
      <c r="C115" s="217">
        <v>2</v>
      </c>
      <c r="D115" s="288"/>
      <c r="E115" s="218">
        <f>[0]!AGAD000100col_Group_Salary</f>
        <v>44407.59</v>
      </c>
      <c r="F115" s="218">
        <v>0</v>
      </c>
      <c r="G115" s="218">
        <f>[0]!AGAD000100col_Group_Ben</f>
        <v>18243.990000000002</v>
      </c>
      <c r="H115" s="219">
        <f>SUM(E115:G115)</f>
        <v>62651.58</v>
      </c>
      <c r="I115" s="268"/>
      <c r="J115" s="218"/>
      <c r="K115" s="218"/>
      <c r="L115" s="218"/>
    </row>
    <row r="116" spans="1:12" x14ac:dyDescent="0.3">
      <c r="A116" s="385" t="s">
        <v>29</v>
      </c>
      <c r="B116" s="386"/>
      <c r="C116" s="217">
        <v>3</v>
      </c>
      <c r="D116" s="288">
        <f>[0]!AGAD000100col_TOTAL_ELECT_PCN_FTI</f>
        <v>0</v>
      </c>
      <c r="E116" s="218">
        <f>[0]!AGAD000100col_FTI_SALARY_ELECT</f>
        <v>0</v>
      </c>
      <c r="F116" s="218">
        <f>[0]!AGAD000100col_HEALTH_ELECT</f>
        <v>0</v>
      </c>
      <c r="G116" s="218">
        <f>[0]!AGAD000100col_TOT_VB_ELECT</f>
        <v>0</v>
      </c>
      <c r="H116" s="219">
        <f>SUM(E116:G116)</f>
        <v>0</v>
      </c>
      <c r="I116" s="268"/>
      <c r="J116" s="218">
        <f>[0]!AGAD000100col_HEALTH_ELECT_CHG</f>
        <v>0</v>
      </c>
      <c r="K116" s="218">
        <f>[0]!AGAD000100col_TOT_VB_ELECT_CHG</f>
        <v>0</v>
      </c>
      <c r="L116" s="219">
        <f>SUM(J116:K116)</f>
        <v>0</v>
      </c>
    </row>
    <row r="117" spans="1:12" x14ac:dyDescent="0.3">
      <c r="A117" s="385" t="s">
        <v>30</v>
      </c>
      <c r="B117" s="391"/>
      <c r="C117" s="217"/>
      <c r="D117" s="220">
        <f>SUM(D114:D116)</f>
        <v>18.425000000000001</v>
      </c>
      <c r="E117" s="221">
        <f>SUM(E114:E116)</f>
        <v>1016509.73</v>
      </c>
      <c r="F117" s="221">
        <f>SUM(F114:F116)</f>
        <v>216107.5</v>
      </c>
      <c r="G117" s="221">
        <f>SUM(G114:G116)</f>
        <v>237973.31920779997</v>
      </c>
      <c r="H117" s="219">
        <f>SUM(E117:G117)</f>
        <v>1470590.5492078001</v>
      </c>
      <c r="I117" s="268"/>
      <c r="J117" s="219">
        <f>SUM(J114:J116)</f>
        <v>0</v>
      </c>
      <c r="K117" s="219">
        <f>SUM(K114:K116)</f>
        <v>-2527.4655639999978</v>
      </c>
      <c r="L117" s="219">
        <f>SUM(L114:L116)</f>
        <v>-2527.4655639999978</v>
      </c>
    </row>
    <row r="118" spans="1:12" x14ac:dyDescent="0.3">
      <c r="A118" s="365"/>
      <c r="B118" s="371"/>
      <c r="C118" s="217"/>
      <c r="D118" s="220"/>
      <c r="E118" s="219"/>
      <c r="F118" s="219"/>
      <c r="G118" s="219"/>
      <c r="H118" s="219"/>
      <c r="I118" s="268"/>
      <c r="J118" s="219"/>
      <c r="K118" s="222"/>
      <c r="L118" s="222"/>
    </row>
    <row r="119" spans="1:12" x14ac:dyDescent="0.3">
      <c r="A119" s="157" t="str">
        <f>"FY "&amp;'AGAD|0001-00'!FiscalYear-1</f>
        <v>FY 2022</v>
      </c>
      <c r="B119" s="158" t="s">
        <v>31</v>
      </c>
      <c r="C119" s="355">
        <v>1606500</v>
      </c>
      <c r="D119" s="55">
        <v>17.8</v>
      </c>
      <c r="E119" s="223">
        <f>IF('AGAD|0001-00'!OrigApprop=0,0,(E117/H117)*'AGAD|0001-00'!OrigApprop)</f>
        <v>1110453.8119904969</v>
      </c>
      <c r="F119" s="223">
        <f>IF('AGAD|0001-00'!OrigApprop=0,0,(F117/H117)*'AGAD|0001-00'!OrigApprop)</f>
        <v>236079.78368759571</v>
      </c>
      <c r="G119" s="223">
        <f>IF(E119=0,0,(G117/H117)*'AGAD|0001-00'!OrigApprop)</f>
        <v>259966.40432190729</v>
      </c>
      <c r="H119" s="223">
        <f>SUM(E119:G119)</f>
        <v>1606500</v>
      </c>
      <c r="I119" s="268"/>
      <c r="J119" s="224"/>
      <c r="K119" s="224"/>
      <c r="L119" s="224"/>
    </row>
    <row r="120" spans="1:12" x14ac:dyDescent="0.3">
      <c r="A120" s="392" t="s">
        <v>32</v>
      </c>
      <c r="B120" s="393"/>
      <c r="C120" s="160" t="s">
        <v>33</v>
      </c>
      <c r="D120" s="161">
        <f>D119-D117</f>
        <v>-0.625</v>
      </c>
      <c r="E120" s="162">
        <f>E119-E117</f>
        <v>93944.081990496954</v>
      </c>
      <c r="F120" s="162">
        <f>F119-F117</f>
        <v>19972.283687595715</v>
      </c>
      <c r="G120" s="162">
        <f>G119-G117</f>
        <v>21993.085114107322</v>
      </c>
      <c r="H120" s="162">
        <f>H119-H117</f>
        <v>135909.45079219993</v>
      </c>
      <c r="I120" s="269"/>
      <c r="J120" s="56" t="str">
        <f>IF('AGAD|0001-00'!OrigApprop=0,"ERROR! Enter Original Appropriation amount in DU 3.00!","Calculated "&amp;IF('AGAD|0001-00'!AdjustedTotal&gt;0,"overfunding ","underfunding ")&amp;"is "&amp;TEXT('AGAD|0001-00'!AdjustedTotal/'AGAD|0001-00'!AppropTotal,"#.0%;(#.0% );0% ;")&amp;" of Original Appropriation")</f>
        <v>Calculated overfunding is 8.5% of Original Appropriation</v>
      </c>
      <c r="K120" s="163"/>
      <c r="L120" s="164"/>
    </row>
    <row r="122" spans="1:12" x14ac:dyDescent="0.3">
      <c r="A122" s="470" t="s">
        <v>1506</v>
      </c>
      <c r="B122" s="470"/>
      <c r="C122" s="470"/>
      <c r="D122" s="470"/>
      <c r="E122" s="470"/>
      <c r="F122" s="470"/>
      <c r="G122" s="470"/>
      <c r="H122" s="470"/>
      <c r="I122" s="470"/>
      <c r="J122" s="470"/>
      <c r="K122" s="470"/>
      <c r="L122" s="470"/>
    </row>
    <row r="123" spans="1:12" ht="40.200000000000003" x14ac:dyDescent="0.3">
      <c r="A123" s="387" t="s">
        <v>22</v>
      </c>
      <c r="B123" s="388"/>
      <c r="C123" s="370" t="s">
        <v>23</v>
      </c>
      <c r="D123" s="49" t="s">
        <v>24</v>
      </c>
      <c r="E123" s="50" t="str">
        <f>"FY "&amp;'AGAD|0330-00'!FiscalYear-1&amp;" SALARY"</f>
        <v>FY 2022 SALARY</v>
      </c>
      <c r="F123" s="50" t="str">
        <f>"FY "&amp;'AGAD|0330-00'!FiscalYear-1&amp;" HEALTH BENEFITS"</f>
        <v>FY 2022 HEALTH BENEFITS</v>
      </c>
      <c r="G123" s="50" t="str">
        <f>"FY "&amp;'AGAD|0330-00'!FiscalYear-1&amp;" VAR BENEFITS"</f>
        <v>FY 2022 VAR BENEFITS</v>
      </c>
      <c r="H123" s="50" t="str">
        <f>"FY "&amp;'AGAD|0330-00'!FiscalYear-1&amp;" TOTAL"</f>
        <v>FY 2022 TOTAL</v>
      </c>
      <c r="I123" s="50" t="str">
        <f>"FY "&amp;'AGAD|0330-00'!FiscalYear&amp;" SALARY CHANGE"</f>
        <v>FY 2023 SALARY CHANGE</v>
      </c>
      <c r="J123" s="50" t="str">
        <f>"FY "&amp;'AGAD|0330-00'!FiscalYear&amp;" CHG HEALTH BENEFITS"</f>
        <v>FY 2023 CHG HEALTH BENEFITS</v>
      </c>
      <c r="K123" s="50" t="str">
        <f>"FY "&amp;'AGAD|0330-00'!FiscalYear&amp;" CHG VAR BENEFITS"</f>
        <v>FY 2023 CHG VAR BENEFITS</v>
      </c>
      <c r="L123" s="50" t="s">
        <v>25</v>
      </c>
    </row>
    <row r="124" spans="1:12" x14ac:dyDescent="0.3">
      <c r="A124" s="389" t="s">
        <v>26</v>
      </c>
      <c r="B124" s="390"/>
      <c r="C124" s="141"/>
      <c r="D124" s="142"/>
      <c r="E124" s="143"/>
      <c r="F124" s="143"/>
      <c r="G124" s="143"/>
      <c r="H124" s="144"/>
      <c r="I124" s="144"/>
      <c r="J124" s="145"/>
      <c r="K124" s="146"/>
      <c r="L124" s="144"/>
    </row>
    <row r="125" spans="1:12" x14ac:dyDescent="0.3">
      <c r="A125" s="385" t="s">
        <v>27</v>
      </c>
      <c r="B125" s="391"/>
      <c r="C125" s="217">
        <v>1</v>
      </c>
      <c r="D125" s="288">
        <f>[0]!AGAD033000col_INC_FTI</f>
        <v>8.8899999999999988</v>
      </c>
      <c r="E125" s="218">
        <f>[0]!AGAD033000col_FTI_SALARY_PERM</f>
        <v>414706.65</v>
      </c>
      <c r="F125" s="218">
        <f>[0]!AGAD033000col_HEALTH_PERM</f>
        <v>103568.5</v>
      </c>
      <c r="G125" s="218">
        <f>[0]!AGAD033000col_TOT_VB_PERM</f>
        <v>93877.144360500009</v>
      </c>
      <c r="H125" s="219">
        <f>SUM(E125:G125)</f>
        <v>612152.29436050006</v>
      </c>
      <c r="I125" s="219">
        <f>[0]!AGAD033000col_1_27TH_PP</f>
        <v>0</v>
      </c>
      <c r="J125" s="218">
        <f>[0]!AGAD033000col_HEALTH_PERM_CHG</f>
        <v>0</v>
      </c>
      <c r="K125" s="218">
        <f>[0]!AGAD033000col_TOT_VB_PERM_CHG</f>
        <v>-1078.2372899999991</v>
      </c>
      <c r="L125" s="218">
        <f>SUM(J125:K125)</f>
        <v>-1078.2372899999991</v>
      </c>
    </row>
    <row r="126" spans="1:12" x14ac:dyDescent="0.3">
      <c r="A126" s="385" t="s">
        <v>28</v>
      </c>
      <c r="B126" s="391"/>
      <c r="C126" s="217">
        <v>2</v>
      </c>
      <c r="D126" s="288"/>
      <c r="E126" s="218">
        <f>[0]!AGAD033000col_Group_Salary</f>
        <v>244989.6</v>
      </c>
      <c r="F126" s="218">
        <v>0</v>
      </c>
      <c r="G126" s="218">
        <f>[0]!AGAD033000col_Group_Ben</f>
        <v>44015.619999999995</v>
      </c>
      <c r="H126" s="219">
        <f>SUM(E126:G126)</f>
        <v>289005.21999999997</v>
      </c>
      <c r="I126" s="268"/>
      <c r="J126" s="218"/>
      <c r="K126" s="218"/>
      <c r="L126" s="218"/>
    </row>
    <row r="127" spans="1:12" x14ac:dyDescent="0.3">
      <c r="A127" s="385" t="s">
        <v>29</v>
      </c>
      <c r="B127" s="386"/>
      <c r="C127" s="217">
        <v>3</v>
      </c>
      <c r="D127" s="288">
        <f>[0]!AGAD033000col_TOTAL_ELECT_PCN_FTI</f>
        <v>0</v>
      </c>
      <c r="E127" s="218">
        <f>[0]!AGAD033000col_FTI_SALARY_ELECT</f>
        <v>0</v>
      </c>
      <c r="F127" s="218">
        <f>[0]!AGAD033000col_HEALTH_ELECT</f>
        <v>0</v>
      </c>
      <c r="G127" s="218">
        <f>[0]!AGAD033000col_TOT_VB_ELECT</f>
        <v>0</v>
      </c>
      <c r="H127" s="219">
        <f>SUM(E127:G127)</f>
        <v>0</v>
      </c>
      <c r="I127" s="268"/>
      <c r="J127" s="218">
        <f>[0]!AGAD033000col_HEALTH_ELECT_CHG</f>
        <v>0</v>
      </c>
      <c r="K127" s="218">
        <f>[0]!AGAD033000col_TOT_VB_ELECT_CHG</f>
        <v>0</v>
      </c>
      <c r="L127" s="219">
        <f>SUM(J127:K127)</f>
        <v>0</v>
      </c>
    </row>
    <row r="128" spans="1:12" x14ac:dyDescent="0.3">
      <c r="A128" s="385" t="s">
        <v>30</v>
      </c>
      <c r="B128" s="391"/>
      <c r="C128" s="217"/>
      <c r="D128" s="220">
        <f>SUM(D125:D127)</f>
        <v>8.8899999999999988</v>
      </c>
      <c r="E128" s="221">
        <f>SUM(E125:E127)</f>
        <v>659696.25</v>
      </c>
      <c r="F128" s="221">
        <f>SUM(F125:F127)</f>
        <v>103568.5</v>
      </c>
      <c r="G128" s="221">
        <f>SUM(G125:G127)</f>
        <v>137892.7643605</v>
      </c>
      <c r="H128" s="219">
        <f>SUM(E128:G128)</f>
        <v>901157.51436050003</v>
      </c>
      <c r="I128" s="268"/>
      <c r="J128" s="219">
        <f>SUM(J125:J127)</f>
        <v>0</v>
      </c>
      <c r="K128" s="219">
        <f>SUM(K125:K127)</f>
        <v>-1078.2372899999991</v>
      </c>
      <c r="L128" s="219">
        <f>SUM(L125:L127)</f>
        <v>-1078.2372899999991</v>
      </c>
    </row>
    <row r="129" spans="1:12" x14ac:dyDescent="0.3">
      <c r="A129" s="365"/>
      <c r="B129" s="371"/>
      <c r="C129" s="217"/>
      <c r="D129" s="220"/>
      <c r="E129" s="219"/>
      <c r="F129" s="219"/>
      <c r="G129" s="219"/>
      <c r="H129" s="219"/>
      <c r="I129" s="268"/>
      <c r="J129" s="219"/>
      <c r="K129" s="222"/>
      <c r="L129" s="222"/>
    </row>
    <row r="130" spans="1:12" x14ac:dyDescent="0.3">
      <c r="A130" s="157" t="str">
        <f>"FY "&amp;'AGAD|0330-00'!FiscalYear-1</f>
        <v>FY 2022</v>
      </c>
      <c r="B130" s="158" t="s">
        <v>31</v>
      </c>
      <c r="C130" s="355">
        <v>1315400</v>
      </c>
      <c r="D130" s="55">
        <v>12.79</v>
      </c>
      <c r="E130" s="223">
        <f>IF('AGAD|0330-00'!OrigApprop=0,0,(E128/H128)*'AGAD|0330-00'!OrigApprop)</f>
        <v>962944.25050187018</v>
      </c>
      <c r="F130" s="223">
        <f>IF('AGAD|0330-00'!OrigApprop=0,0,(F128/H128)*'AGAD|0330-00'!OrigApprop)</f>
        <v>151176.68413016284</v>
      </c>
      <c r="G130" s="223">
        <f>IF(E130=0,0,(G128/H128)*'AGAD|0330-00'!OrigApprop)</f>
        <v>201279.06536796695</v>
      </c>
      <c r="H130" s="223">
        <f>SUM(E130:G130)</f>
        <v>1315400</v>
      </c>
      <c r="I130" s="268"/>
      <c r="J130" s="224"/>
      <c r="K130" s="224"/>
      <c r="L130" s="224"/>
    </row>
    <row r="131" spans="1:12" x14ac:dyDescent="0.3">
      <c r="A131" s="392" t="s">
        <v>32</v>
      </c>
      <c r="B131" s="393"/>
      <c r="C131" s="160" t="s">
        <v>33</v>
      </c>
      <c r="D131" s="161">
        <f>D130-D128</f>
        <v>3.9000000000000004</v>
      </c>
      <c r="E131" s="162">
        <f>E130-E128</f>
        <v>303248.00050187018</v>
      </c>
      <c r="F131" s="162">
        <f>F130-F128</f>
        <v>47608.184130162845</v>
      </c>
      <c r="G131" s="162">
        <f>G130-G128</f>
        <v>63386.301007466944</v>
      </c>
      <c r="H131" s="162">
        <f>H130-H128</f>
        <v>414242.48563949997</v>
      </c>
      <c r="I131" s="269"/>
      <c r="J131" s="56" t="str">
        <f>IF('AGAD|0330-00'!OrigApprop=0,"ERROR! Enter Original Appropriation amount in DU 3.00!","Calculated "&amp;IF('AGAD|0330-00'!AdjustedTotal&gt;0,"overfunding ","underfunding ")&amp;"is "&amp;TEXT('AGAD|0330-00'!AdjustedTotal/'AGAD|0330-00'!AppropTotal,"#.0%;(#.0% );0% ;")&amp;" of Original Appropriation")</f>
        <v>Calculated overfunding is 31.5% of Original Appropriation</v>
      </c>
      <c r="K131" s="163"/>
      <c r="L131" s="164"/>
    </row>
    <row r="133" spans="1:12" x14ac:dyDescent="0.3">
      <c r="A133" s="470" t="s">
        <v>1511</v>
      </c>
      <c r="B133" s="470"/>
      <c r="C133" s="470"/>
      <c r="D133" s="470"/>
      <c r="E133" s="470"/>
      <c r="F133" s="470"/>
      <c r="G133" s="470"/>
      <c r="H133" s="470"/>
      <c r="I133" s="470"/>
      <c r="J133" s="470"/>
      <c r="K133" s="470"/>
      <c r="L133" s="470"/>
    </row>
    <row r="134" spans="1:12" ht="40.200000000000003" x14ac:dyDescent="0.3">
      <c r="A134" s="387" t="s">
        <v>22</v>
      </c>
      <c r="B134" s="388"/>
      <c r="C134" s="370" t="s">
        <v>23</v>
      </c>
      <c r="D134" s="49" t="s">
        <v>24</v>
      </c>
      <c r="E134" s="50" t="str">
        <f>"FY "&amp;'AGAD|0330-13'!FiscalYear-1&amp;" SALARY"</f>
        <v>FY 2022 SALARY</v>
      </c>
      <c r="F134" s="50" t="str">
        <f>"FY "&amp;'AGAD|0330-13'!FiscalYear-1&amp;" HEALTH BENEFITS"</f>
        <v>FY 2022 HEALTH BENEFITS</v>
      </c>
      <c r="G134" s="50" t="str">
        <f>"FY "&amp;'AGAD|0330-13'!FiscalYear-1&amp;" VAR BENEFITS"</f>
        <v>FY 2022 VAR BENEFITS</v>
      </c>
      <c r="H134" s="50" t="str">
        <f>"FY "&amp;'AGAD|0330-13'!FiscalYear-1&amp;" TOTAL"</f>
        <v>FY 2022 TOTAL</v>
      </c>
      <c r="I134" s="50" t="str">
        <f>"FY "&amp;'AGAD|0330-13'!FiscalYear&amp;" SALARY CHANGE"</f>
        <v>FY 2023 SALARY CHANGE</v>
      </c>
      <c r="J134" s="50" t="str">
        <f>"FY "&amp;'AGAD|0330-13'!FiscalYear&amp;" CHG HEALTH BENEFITS"</f>
        <v>FY 2023 CHG HEALTH BENEFITS</v>
      </c>
      <c r="K134" s="50" t="str">
        <f>"FY "&amp;'AGAD|0330-13'!FiscalYear&amp;" CHG VAR BENEFITS"</f>
        <v>FY 2023 CHG VAR BENEFITS</v>
      </c>
      <c r="L134" s="50" t="s">
        <v>25</v>
      </c>
    </row>
    <row r="135" spans="1:12" x14ac:dyDescent="0.3">
      <c r="A135" s="389" t="s">
        <v>26</v>
      </c>
      <c r="B135" s="390"/>
      <c r="C135" s="141"/>
      <c r="D135" s="142"/>
      <c r="E135" s="143"/>
      <c r="F135" s="143"/>
      <c r="G135" s="143"/>
      <c r="H135" s="144"/>
      <c r="I135" s="144"/>
      <c r="J135" s="145"/>
      <c r="K135" s="146"/>
      <c r="L135" s="144"/>
    </row>
    <row r="136" spans="1:12" x14ac:dyDescent="0.3">
      <c r="A136" s="385" t="s">
        <v>27</v>
      </c>
      <c r="B136" s="391"/>
      <c r="C136" s="217">
        <v>1</v>
      </c>
      <c r="D136" s="288">
        <f>[0]!AGAD033013col_INC_FTI</f>
        <v>3.34</v>
      </c>
      <c r="E136" s="218">
        <f>[0]!AGAD033013col_FTI_SALARY_PERM</f>
        <v>214840.28</v>
      </c>
      <c r="F136" s="218">
        <f>[0]!AGAD033013col_HEALTH_PERM</f>
        <v>38911</v>
      </c>
      <c r="G136" s="218">
        <f>[0]!AGAD033013col_TOT_VB_PERM</f>
        <v>48633.394183599994</v>
      </c>
      <c r="H136" s="219">
        <f>SUM(E136:G136)</f>
        <v>302384.6741836</v>
      </c>
      <c r="I136" s="219">
        <f>[0]!AGAD033013col_1_27TH_PP</f>
        <v>0</v>
      </c>
      <c r="J136" s="218">
        <f>[0]!AGAD033013col_HEALTH_PERM_CHG</f>
        <v>0</v>
      </c>
      <c r="K136" s="218">
        <f>[0]!AGAD033013col_TOT_VB_PERM_CHG</f>
        <v>-558.58472799999959</v>
      </c>
      <c r="L136" s="218">
        <f>SUM(J136:K136)</f>
        <v>-558.58472799999959</v>
      </c>
    </row>
    <row r="137" spans="1:12" x14ac:dyDescent="0.3">
      <c r="A137" s="385" t="s">
        <v>28</v>
      </c>
      <c r="B137" s="391"/>
      <c r="C137" s="217">
        <v>2</v>
      </c>
      <c r="D137" s="288"/>
      <c r="E137" s="218">
        <f>[0]!AGAD033013col_Group_Salary</f>
        <v>9786.2000000000007</v>
      </c>
      <c r="F137" s="218">
        <v>0</v>
      </c>
      <c r="G137" s="218">
        <f>[0]!AGAD033013col_Group_Ben</f>
        <v>1849.98</v>
      </c>
      <c r="H137" s="219">
        <f>SUM(E137:G137)</f>
        <v>11636.18</v>
      </c>
      <c r="I137" s="268"/>
      <c r="J137" s="218"/>
      <c r="K137" s="218"/>
      <c r="L137" s="218"/>
    </row>
    <row r="138" spans="1:12" x14ac:dyDescent="0.3">
      <c r="A138" s="385" t="s">
        <v>29</v>
      </c>
      <c r="B138" s="386"/>
      <c r="C138" s="217">
        <v>3</v>
      </c>
      <c r="D138" s="288">
        <f>[0]!AGAD033013col_TOTAL_ELECT_PCN_FTI</f>
        <v>0</v>
      </c>
      <c r="E138" s="218">
        <f>[0]!AGAD033013col_FTI_SALARY_ELECT</f>
        <v>0</v>
      </c>
      <c r="F138" s="218">
        <f>[0]!AGAD033013col_HEALTH_ELECT</f>
        <v>0</v>
      </c>
      <c r="G138" s="218">
        <f>[0]!AGAD033013col_TOT_VB_ELECT</f>
        <v>0</v>
      </c>
      <c r="H138" s="219">
        <f>SUM(E138:G138)</f>
        <v>0</v>
      </c>
      <c r="I138" s="268"/>
      <c r="J138" s="218">
        <f>[0]!AGAD033013col_HEALTH_ELECT_CHG</f>
        <v>0</v>
      </c>
      <c r="K138" s="218">
        <f>[0]!AGAD033013col_TOT_VB_ELECT_CHG</f>
        <v>0</v>
      </c>
      <c r="L138" s="219">
        <f>SUM(J138:K138)</f>
        <v>0</v>
      </c>
    </row>
    <row r="139" spans="1:12" x14ac:dyDescent="0.3">
      <c r="A139" s="385" t="s">
        <v>30</v>
      </c>
      <c r="B139" s="391"/>
      <c r="C139" s="217"/>
      <c r="D139" s="220">
        <f>SUM(D136:D138)</f>
        <v>3.34</v>
      </c>
      <c r="E139" s="221">
        <f>SUM(E136:E138)</f>
        <v>224626.48</v>
      </c>
      <c r="F139" s="221">
        <f>SUM(F136:F138)</f>
        <v>38911</v>
      </c>
      <c r="G139" s="221">
        <f>SUM(G136:G138)</f>
        <v>50483.374183599997</v>
      </c>
      <c r="H139" s="219">
        <f>SUM(E139:G139)</f>
        <v>314020.85418359999</v>
      </c>
      <c r="I139" s="268"/>
      <c r="J139" s="219">
        <f>SUM(J136:J138)</f>
        <v>0</v>
      </c>
      <c r="K139" s="219">
        <f>SUM(K136:K138)</f>
        <v>-558.58472799999959</v>
      </c>
      <c r="L139" s="219">
        <f>SUM(L136:L138)</f>
        <v>-558.58472799999959</v>
      </c>
    </row>
    <row r="140" spans="1:12" x14ac:dyDescent="0.3">
      <c r="A140" s="365"/>
      <c r="B140" s="371"/>
      <c r="C140" s="217"/>
      <c r="D140" s="220"/>
      <c r="E140" s="219"/>
      <c r="F140" s="219"/>
      <c r="G140" s="219"/>
      <c r="H140" s="219"/>
      <c r="I140" s="268"/>
      <c r="J140" s="219"/>
      <c r="K140" s="222"/>
      <c r="L140" s="222"/>
    </row>
    <row r="141" spans="1:12" x14ac:dyDescent="0.3">
      <c r="A141" s="157" t="str">
        <f>"FY "&amp;'AGAD|0330-13'!FiscalYear-1</f>
        <v>FY 2022</v>
      </c>
      <c r="B141" s="158" t="s">
        <v>31</v>
      </c>
      <c r="C141" s="355">
        <v>585200</v>
      </c>
      <c r="D141" s="55">
        <v>2.54</v>
      </c>
      <c r="E141" s="223">
        <f>IF('AGAD|0330-13'!OrigApprop=0,0,(E139/H139)*'AGAD|0330-13'!OrigApprop)</f>
        <v>418607.28147419059</v>
      </c>
      <c r="F141" s="223">
        <f>IF('AGAD|0330-13'!OrigApprop=0,0,(F139/H139)*'AGAD|0330-13'!OrigApprop)</f>
        <v>72513.391695592742</v>
      </c>
      <c r="G141" s="223">
        <f>IF(E141=0,0,(G139/H139)*'AGAD|0330-13'!OrigApprop)</f>
        <v>94079.326830216669</v>
      </c>
      <c r="H141" s="223">
        <f>SUM(E141:G141)</f>
        <v>585200</v>
      </c>
      <c r="I141" s="268"/>
      <c r="J141" s="224"/>
      <c r="K141" s="224"/>
      <c r="L141" s="224"/>
    </row>
    <row r="142" spans="1:12" x14ac:dyDescent="0.3">
      <c r="A142" s="392" t="s">
        <v>32</v>
      </c>
      <c r="B142" s="393"/>
      <c r="C142" s="160" t="s">
        <v>33</v>
      </c>
      <c r="D142" s="161">
        <f>D141-D139</f>
        <v>-0.79999999999999982</v>
      </c>
      <c r="E142" s="162">
        <f>E141-E139</f>
        <v>193980.80147419058</v>
      </c>
      <c r="F142" s="162">
        <f>F141-F139</f>
        <v>33602.391695592742</v>
      </c>
      <c r="G142" s="162">
        <f>G141-G139</f>
        <v>43595.952646616672</v>
      </c>
      <c r="H142" s="162">
        <f>H141-H139</f>
        <v>271179.14581640001</v>
      </c>
      <c r="I142" s="269"/>
      <c r="J142" s="56" t="str">
        <f>IF('AGAD|0330-13'!OrigApprop=0,"ERROR! Enter Original Appropriation amount in DU 3.00!","Calculated "&amp;IF('AGAD|0330-13'!AdjustedTotal&gt;0,"overfunding ","underfunding ")&amp;"is "&amp;TEXT('AGAD|0330-13'!AdjustedTotal/'AGAD|0330-13'!AppropTotal,"#.0%;(#.0% );0% ;")&amp;" of Original Appropriation")</f>
        <v>Calculated overfunding is 46.3% of Original Appropriation</v>
      </c>
      <c r="K142" s="163"/>
      <c r="L142" s="164"/>
    </row>
    <row r="144" spans="1:12" x14ac:dyDescent="0.3">
      <c r="A144" s="470" t="s">
        <v>1517</v>
      </c>
      <c r="B144" s="470"/>
      <c r="C144" s="470"/>
      <c r="D144" s="470"/>
      <c r="E144" s="470"/>
      <c r="F144" s="470"/>
      <c r="G144" s="470"/>
      <c r="H144" s="470"/>
      <c r="I144" s="470"/>
      <c r="J144" s="470"/>
      <c r="K144" s="470"/>
      <c r="L144" s="470"/>
    </row>
    <row r="145" spans="1:12" ht="40.200000000000003" x14ac:dyDescent="0.3">
      <c r="A145" s="387" t="s">
        <v>22</v>
      </c>
      <c r="B145" s="388"/>
      <c r="C145" s="370" t="s">
        <v>23</v>
      </c>
      <c r="D145" s="49" t="s">
        <v>24</v>
      </c>
      <c r="E145" s="50" t="str">
        <f>"FY "&amp;'AGAD|0332-04'!FiscalYear-1&amp;" SALARY"</f>
        <v>FY 2022 SALARY</v>
      </c>
      <c r="F145" s="50" t="str">
        <f>"FY "&amp;'AGAD|0332-04'!FiscalYear-1&amp;" HEALTH BENEFITS"</f>
        <v>FY 2022 HEALTH BENEFITS</v>
      </c>
      <c r="G145" s="50" t="str">
        <f>"FY "&amp;'AGAD|0332-04'!FiscalYear-1&amp;" VAR BENEFITS"</f>
        <v>FY 2022 VAR BENEFITS</v>
      </c>
      <c r="H145" s="50" t="str">
        <f>"FY "&amp;'AGAD|0332-04'!FiscalYear-1&amp;" TOTAL"</f>
        <v>FY 2022 TOTAL</v>
      </c>
      <c r="I145" s="50" t="str">
        <f>"FY "&amp;'AGAD|0332-04'!FiscalYear&amp;" SALARY CHANGE"</f>
        <v>FY 2023 SALARY CHANGE</v>
      </c>
      <c r="J145" s="50" t="str">
        <f>"FY "&amp;'AGAD|0332-04'!FiscalYear&amp;" CHG HEALTH BENEFITS"</f>
        <v>FY 2023 CHG HEALTH BENEFITS</v>
      </c>
      <c r="K145" s="50" t="str">
        <f>"FY "&amp;'AGAD|0332-04'!FiscalYear&amp;" CHG VAR BENEFITS"</f>
        <v>FY 2023 CHG VAR BENEFITS</v>
      </c>
      <c r="L145" s="50" t="s">
        <v>25</v>
      </c>
    </row>
    <row r="146" spans="1:12" x14ac:dyDescent="0.3">
      <c r="A146" s="389" t="s">
        <v>26</v>
      </c>
      <c r="B146" s="390"/>
      <c r="C146" s="141"/>
      <c r="D146" s="142"/>
      <c r="E146" s="143"/>
      <c r="F146" s="143"/>
      <c r="G146" s="143"/>
      <c r="H146" s="144"/>
      <c r="I146" s="144"/>
      <c r="J146" s="145"/>
      <c r="K146" s="146"/>
      <c r="L146" s="144"/>
    </row>
    <row r="147" spans="1:12" x14ac:dyDescent="0.3">
      <c r="A147" s="385" t="s">
        <v>27</v>
      </c>
      <c r="B147" s="391"/>
      <c r="C147" s="217">
        <v>1</v>
      </c>
      <c r="D147" s="288">
        <f>[0]!AGAD033204col_INC_FTI</f>
        <v>15.920000000000002</v>
      </c>
      <c r="E147" s="218">
        <f>[0]!AGAD033204col_FTI_SALARY_PERM</f>
        <v>844871.85000000009</v>
      </c>
      <c r="F147" s="218">
        <f>[0]!AGAD033204col_HEALTH_PERM</f>
        <v>185468</v>
      </c>
      <c r="G147" s="218">
        <f>[0]!AGAD033204col_TOT_VB_PERM</f>
        <v>191253.64068450002</v>
      </c>
      <c r="H147" s="219">
        <f>SUM(E147:G147)</f>
        <v>1221593.4906845002</v>
      </c>
      <c r="I147" s="219">
        <f>[0]!AGAD033204col_1_27TH_PP</f>
        <v>0</v>
      </c>
      <c r="J147" s="218">
        <f>[0]!AGAD033204col_HEALTH_PERM_CHG</f>
        <v>0</v>
      </c>
      <c r="K147" s="218">
        <f>[0]!AGAD033204col_TOT_VB_PERM_CHG</f>
        <v>-2196.6668099999983</v>
      </c>
      <c r="L147" s="218">
        <f>SUM(J147:K147)</f>
        <v>-2196.6668099999983</v>
      </c>
    </row>
    <row r="148" spans="1:12" x14ac:dyDescent="0.3">
      <c r="A148" s="385" t="s">
        <v>28</v>
      </c>
      <c r="B148" s="391"/>
      <c r="C148" s="217">
        <v>2</v>
      </c>
      <c r="D148" s="288"/>
      <c r="E148" s="218">
        <f>[0]!AGAD033204col_Group_Salary</f>
        <v>0</v>
      </c>
      <c r="F148" s="218">
        <v>0</v>
      </c>
      <c r="G148" s="218">
        <f>[0]!AGAD033204col_Group_Ben</f>
        <v>0</v>
      </c>
      <c r="H148" s="219">
        <f>SUM(E148:G148)</f>
        <v>0</v>
      </c>
      <c r="I148" s="268"/>
      <c r="J148" s="218"/>
      <c r="K148" s="218"/>
      <c r="L148" s="218"/>
    </row>
    <row r="149" spans="1:12" x14ac:dyDescent="0.3">
      <c r="A149" s="385" t="s">
        <v>29</v>
      </c>
      <c r="B149" s="386"/>
      <c r="C149" s="217">
        <v>3</v>
      </c>
      <c r="D149" s="288">
        <f>[0]!AGAD033204col_TOTAL_ELECT_PCN_FTI</f>
        <v>0</v>
      </c>
      <c r="E149" s="218">
        <f>[0]!AGAD033204col_FTI_SALARY_ELECT</f>
        <v>0</v>
      </c>
      <c r="F149" s="218">
        <f>[0]!AGAD033204col_HEALTH_ELECT</f>
        <v>0</v>
      </c>
      <c r="G149" s="218">
        <f>[0]!AGAD033204col_TOT_VB_ELECT</f>
        <v>0</v>
      </c>
      <c r="H149" s="219">
        <f>SUM(E149:G149)</f>
        <v>0</v>
      </c>
      <c r="I149" s="268"/>
      <c r="J149" s="218">
        <f>[0]!AGAD033204col_HEALTH_ELECT_CHG</f>
        <v>0</v>
      </c>
      <c r="K149" s="218">
        <f>[0]!AGAD033204col_TOT_VB_ELECT_CHG</f>
        <v>0</v>
      </c>
      <c r="L149" s="219">
        <f>SUM(J149:K149)</f>
        <v>0</v>
      </c>
    </row>
    <row r="150" spans="1:12" x14ac:dyDescent="0.3">
      <c r="A150" s="385" t="s">
        <v>30</v>
      </c>
      <c r="B150" s="391"/>
      <c r="C150" s="217"/>
      <c r="D150" s="220">
        <f>SUM(D147:D149)</f>
        <v>15.920000000000002</v>
      </c>
      <c r="E150" s="221">
        <f>SUM(E147:E149)</f>
        <v>844871.85000000009</v>
      </c>
      <c r="F150" s="221">
        <f>SUM(F147:F149)</f>
        <v>185468</v>
      </c>
      <c r="G150" s="221">
        <f>SUM(G147:G149)</f>
        <v>191253.64068450002</v>
      </c>
      <c r="H150" s="219">
        <f>SUM(E150:G150)</f>
        <v>1221593.4906845002</v>
      </c>
      <c r="I150" s="268"/>
      <c r="J150" s="219">
        <f>SUM(J147:J149)</f>
        <v>0</v>
      </c>
      <c r="K150" s="219">
        <f>SUM(K147:K149)</f>
        <v>-2196.6668099999983</v>
      </c>
      <c r="L150" s="219">
        <f>SUM(L147:L149)</f>
        <v>-2196.6668099999983</v>
      </c>
    </row>
    <row r="151" spans="1:12" x14ac:dyDescent="0.3">
      <c r="A151" s="365"/>
      <c r="B151" s="371"/>
      <c r="C151" s="217"/>
      <c r="D151" s="220"/>
      <c r="E151" s="219"/>
      <c r="F151" s="219"/>
      <c r="G151" s="219"/>
      <c r="H151" s="219"/>
      <c r="I151" s="268"/>
      <c r="J151" s="219"/>
      <c r="K151" s="222"/>
      <c r="L151" s="222"/>
    </row>
    <row r="152" spans="1:12" x14ac:dyDescent="0.3">
      <c r="A152" s="157" t="str">
        <f>"FY "&amp;'AGAD|0332-04'!FiscalYear-1</f>
        <v>FY 2022</v>
      </c>
      <c r="B152" s="158" t="s">
        <v>31</v>
      </c>
      <c r="C152" s="355">
        <v>1262400</v>
      </c>
      <c r="D152" s="55">
        <v>16.170000000000002</v>
      </c>
      <c r="E152" s="223">
        <f>IF('AGAD|0332-04'!OrigApprop=0,0,(E150/H150)*'AGAD|0332-04'!OrigApprop)</f>
        <v>873094.22616714088</v>
      </c>
      <c r="F152" s="223">
        <f>IF('AGAD|0332-04'!OrigApprop=0,0,(F150/H150)*'AGAD|0332-04'!OrigApprop)</f>
        <v>191663.43385540336</v>
      </c>
      <c r="G152" s="223">
        <f>IF(E152=0,0,(G150/H150)*'AGAD|0332-04'!OrigApprop)</f>
        <v>197642.33997745567</v>
      </c>
      <c r="H152" s="223">
        <f>SUM(E152:G152)</f>
        <v>1262400</v>
      </c>
      <c r="I152" s="268"/>
      <c r="J152" s="224"/>
      <c r="K152" s="224"/>
      <c r="L152" s="224"/>
    </row>
    <row r="153" spans="1:12" x14ac:dyDescent="0.3">
      <c r="A153" s="392" t="s">
        <v>32</v>
      </c>
      <c r="B153" s="393"/>
      <c r="C153" s="160" t="s">
        <v>33</v>
      </c>
      <c r="D153" s="161">
        <f>D152-D150</f>
        <v>0.25</v>
      </c>
      <c r="E153" s="162">
        <f>E152-E150</f>
        <v>28222.376167140785</v>
      </c>
      <c r="F153" s="162">
        <f>F152-F150</f>
        <v>6195.4338554033602</v>
      </c>
      <c r="G153" s="162">
        <f>G152-G150</f>
        <v>6388.6992929556582</v>
      </c>
      <c r="H153" s="162">
        <f>H152-H150</f>
        <v>40806.509315499803</v>
      </c>
      <c r="I153" s="269"/>
      <c r="J153" s="56" t="str">
        <f>IF('AGAD|0332-04'!OrigApprop=0,"ERROR! Enter Original Appropriation amount in DU 3.00!","Calculated "&amp;IF('AGAD|0332-04'!AdjustedTotal&gt;0,"overfunding ","underfunding ")&amp;"is "&amp;TEXT('AGAD|0332-04'!AdjustedTotal/'AGAD|0332-04'!AppropTotal,"#.0%;(#.0% );0% ;")&amp;" of Original Appropriation")</f>
        <v>Calculated overfunding is 3.2% of Original Appropriation</v>
      </c>
      <c r="K153" s="163"/>
      <c r="L153" s="164"/>
    </row>
    <row r="155" spans="1:12" x14ac:dyDescent="0.3">
      <c r="A155" s="470" t="s">
        <v>1522</v>
      </c>
      <c r="B155" s="470"/>
      <c r="C155" s="470"/>
      <c r="D155" s="470"/>
      <c r="E155" s="470"/>
      <c r="F155" s="470"/>
      <c r="G155" s="470"/>
      <c r="H155" s="470"/>
      <c r="I155" s="470"/>
      <c r="J155" s="470"/>
      <c r="K155" s="470"/>
      <c r="L155" s="470"/>
    </row>
    <row r="156" spans="1:12" ht="40.200000000000003" x14ac:dyDescent="0.3">
      <c r="A156" s="387" t="s">
        <v>22</v>
      </c>
      <c r="B156" s="388"/>
      <c r="C156" s="370" t="s">
        <v>23</v>
      </c>
      <c r="D156" s="49" t="s">
        <v>24</v>
      </c>
      <c r="E156" s="50" t="str">
        <f>"FY "&amp;'AGAD|0332-08'!FiscalYear-1&amp;" SALARY"</f>
        <v>FY 2022 SALARY</v>
      </c>
      <c r="F156" s="50" t="str">
        <f>"FY "&amp;'AGAD|0332-08'!FiscalYear-1&amp;" HEALTH BENEFITS"</f>
        <v>FY 2022 HEALTH BENEFITS</v>
      </c>
      <c r="G156" s="50" t="str">
        <f>"FY "&amp;'AGAD|0332-08'!FiscalYear-1&amp;" VAR BENEFITS"</f>
        <v>FY 2022 VAR BENEFITS</v>
      </c>
      <c r="H156" s="50" t="str">
        <f>"FY "&amp;'AGAD|0332-08'!FiscalYear-1&amp;" TOTAL"</f>
        <v>FY 2022 TOTAL</v>
      </c>
      <c r="I156" s="50" t="str">
        <f>"FY "&amp;'AGAD|0332-08'!FiscalYear&amp;" SALARY CHANGE"</f>
        <v>FY 2023 SALARY CHANGE</v>
      </c>
      <c r="J156" s="50" t="str">
        <f>"FY "&amp;'AGAD|0332-08'!FiscalYear&amp;" CHG HEALTH BENEFITS"</f>
        <v>FY 2023 CHG HEALTH BENEFITS</v>
      </c>
      <c r="K156" s="50" t="str">
        <f>"FY "&amp;'AGAD|0332-08'!FiscalYear&amp;" CHG VAR BENEFITS"</f>
        <v>FY 2023 CHG VAR BENEFITS</v>
      </c>
      <c r="L156" s="50" t="s">
        <v>25</v>
      </c>
    </row>
    <row r="157" spans="1:12" x14ac:dyDescent="0.3">
      <c r="A157" s="389" t="s">
        <v>26</v>
      </c>
      <c r="B157" s="390"/>
      <c r="C157" s="141"/>
      <c r="D157" s="142"/>
      <c r="E157" s="143"/>
      <c r="F157" s="143"/>
      <c r="G157" s="143"/>
      <c r="H157" s="144"/>
      <c r="I157" s="144"/>
      <c r="J157" s="145"/>
      <c r="K157" s="146"/>
      <c r="L157" s="144"/>
    </row>
    <row r="158" spans="1:12" x14ac:dyDescent="0.3">
      <c r="A158" s="385" t="s">
        <v>27</v>
      </c>
      <c r="B158" s="391"/>
      <c r="C158" s="217">
        <v>1</v>
      </c>
      <c r="D158" s="288">
        <f>[0]!AGAD033208col_INC_FTI</f>
        <v>0</v>
      </c>
      <c r="E158" s="218">
        <f>[0]!AGAD033208col_FTI_SALARY_PERM</f>
        <v>0</v>
      </c>
      <c r="F158" s="218">
        <f>[0]!AGAD033208col_HEALTH_PERM</f>
        <v>0</v>
      </c>
      <c r="G158" s="218">
        <f>[0]!AGAD033208col_TOT_VB_PERM</f>
        <v>0</v>
      </c>
      <c r="H158" s="219">
        <f>SUM(E158:G158)</f>
        <v>0</v>
      </c>
      <c r="I158" s="219">
        <f>[0]!AGAD033208col_1_27TH_PP</f>
        <v>0</v>
      </c>
      <c r="J158" s="218">
        <f>[0]!AGAD033208col_HEALTH_PERM_CHG</f>
        <v>0</v>
      </c>
      <c r="K158" s="218">
        <f>[0]!AGAD033208col_TOT_VB_PERM_CHG</f>
        <v>0</v>
      </c>
      <c r="L158" s="218">
        <f>SUM(J158:K158)</f>
        <v>0</v>
      </c>
    </row>
    <row r="159" spans="1:12" x14ac:dyDescent="0.3">
      <c r="A159" s="385" t="s">
        <v>28</v>
      </c>
      <c r="B159" s="391"/>
      <c r="C159" s="217">
        <v>2</v>
      </c>
      <c r="D159" s="288"/>
      <c r="E159" s="218">
        <f>[0]!AGAD033208col_Group_Salary</f>
        <v>0</v>
      </c>
      <c r="F159" s="218">
        <v>0</v>
      </c>
      <c r="G159" s="218">
        <f>[0]!AGAD033208col_Group_Ben</f>
        <v>0</v>
      </c>
      <c r="H159" s="219">
        <f>SUM(E159:G159)</f>
        <v>0</v>
      </c>
      <c r="I159" s="268"/>
      <c r="J159" s="218"/>
      <c r="K159" s="218"/>
      <c r="L159" s="218"/>
    </row>
    <row r="160" spans="1:12" x14ac:dyDescent="0.3">
      <c r="A160" s="385" t="s">
        <v>29</v>
      </c>
      <c r="B160" s="386"/>
      <c r="C160" s="217">
        <v>3</v>
      </c>
      <c r="D160" s="288">
        <f>[0]!AGAD033208col_TOTAL_ELECT_PCN_FTI</f>
        <v>0</v>
      </c>
      <c r="E160" s="218">
        <f>[0]!AGAD033208col_FTI_SALARY_ELECT</f>
        <v>0</v>
      </c>
      <c r="F160" s="218">
        <f>[0]!AGAD033208col_HEALTH_ELECT</f>
        <v>0</v>
      </c>
      <c r="G160" s="218">
        <f>[0]!AGAD033208col_TOT_VB_ELECT</f>
        <v>0</v>
      </c>
      <c r="H160" s="219">
        <f>SUM(E160:G160)</f>
        <v>0</v>
      </c>
      <c r="I160" s="268"/>
      <c r="J160" s="218">
        <f>[0]!AGAD033208col_HEALTH_ELECT_CHG</f>
        <v>0</v>
      </c>
      <c r="K160" s="218">
        <f>[0]!AGAD033208col_TOT_VB_ELECT_CHG</f>
        <v>0</v>
      </c>
      <c r="L160" s="219">
        <f>SUM(J160:K160)</f>
        <v>0</v>
      </c>
    </row>
    <row r="161" spans="1:12" x14ac:dyDescent="0.3">
      <c r="A161" s="385" t="s">
        <v>30</v>
      </c>
      <c r="B161" s="391"/>
      <c r="C161" s="217"/>
      <c r="D161" s="220">
        <f>SUM(D158:D160)</f>
        <v>0</v>
      </c>
      <c r="E161" s="221">
        <f>SUM(E158:E160)</f>
        <v>0</v>
      </c>
      <c r="F161" s="221">
        <f>SUM(F158:F160)</f>
        <v>0</v>
      </c>
      <c r="G161" s="221">
        <f>SUM(G158:G160)</f>
        <v>0</v>
      </c>
      <c r="H161" s="219">
        <f>SUM(E161:G161)</f>
        <v>0</v>
      </c>
      <c r="I161" s="268"/>
      <c r="J161" s="219">
        <f>SUM(J158:J160)</f>
        <v>0</v>
      </c>
      <c r="K161" s="219">
        <f>SUM(K158:K160)</f>
        <v>0</v>
      </c>
      <c r="L161" s="219">
        <f>SUM(L158:L160)</f>
        <v>0</v>
      </c>
    </row>
    <row r="162" spans="1:12" x14ac:dyDescent="0.3">
      <c r="A162" s="365"/>
      <c r="B162" s="371"/>
      <c r="C162" s="217"/>
      <c r="D162" s="220"/>
      <c r="E162" s="219"/>
      <c r="F162" s="219"/>
      <c r="G162" s="219"/>
      <c r="H162" s="219"/>
      <c r="I162" s="268"/>
      <c r="J162" s="219"/>
      <c r="K162" s="222"/>
      <c r="L162" s="222"/>
    </row>
    <row r="163" spans="1:12" x14ac:dyDescent="0.3">
      <c r="A163" s="157" t="str">
        <f>"FY "&amp;'AGAD|0332-08'!FiscalYear-1</f>
        <v>FY 2022</v>
      </c>
      <c r="B163" s="158" t="s">
        <v>31</v>
      </c>
      <c r="C163" s="355">
        <v>400</v>
      </c>
      <c r="D163" s="55">
        <v>0</v>
      </c>
      <c r="E163" s="223" t="e">
        <f>IF('AGAD|0332-08'!OrigApprop=0,0,(E161/H161)*'AGAD|0332-08'!OrigApprop)</f>
        <v>#DIV/0!</v>
      </c>
      <c r="F163" s="223" t="e">
        <f>IF('AGAD|0332-08'!OrigApprop=0,0,(F161/H161)*'AGAD|0332-08'!OrigApprop)</f>
        <v>#DIV/0!</v>
      </c>
      <c r="G163" s="223" t="e">
        <f>IF(E163=0,0,(G161/H161)*'AGAD|0332-08'!OrigApprop)</f>
        <v>#DIV/0!</v>
      </c>
      <c r="H163" s="223" t="e">
        <f>SUM(E163:G163)</f>
        <v>#DIV/0!</v>
      </c>
      <c r="I163" s="268"/>
      <c r="J163" s="224"/>
      <c r="K163" s="224"/>
      <c r="L163" s="224"/>
    </row>
    <row r="164" spans="1:12" x14ac:dyDescent="0.3">
      <c r="A164" s="392" t="s">
        <v>32</v>
      </c>
      <c r="B164" s="393"/>
      <c r="C164" s="160" t="s">
        <v>33</v>
      </c>
      <c r="D164" s="161">
        <f>D163-D161</f>
        <v>0</v>
      </c>
      <c r="E164" s="162" t="e">
        <f>E163-E161</f>
        <v>#DIV/0!</v>
      </c>
      <c r="F164" s="162" t="e">
        <f>F163-F161</f>
        <v>#DIV/0!</v>
      </c>
      <c r="G164" s="162" t="e">
        <f>G163-G161</f>
        <v>#DIV/0!</v>
      </c>
      <c r="H164" s="162" t="e">
        <f>H163-H161</f>
        <v>#DIV/0!</v>
      </c>
      <c r="I164" s="269"/>
      <c r="J164" s="56" t="e">
        <f>IF('AGAD|0332-08'!OrigApprop=0,"ERROR! Enter Original Appropriation amount in DU 3.00!","Calculated "&amp;IF('AGAD|0332-08'!AdjustedTotal&gt;0,"overfunding ","underfunding ")&amp;"is "&amp;TEXT('AGAD|0332-08'!AdjustedTotal/'AGAD|0332-08'!AppropTotal,"#.0%;(#.0% );0% ;")&amp;" of Original Appropriation")</f>
        <v>#DIV/0!</v>
      </c>
      <c r="K164" s="163"/>
      <c r="L164" s="164"/>
    </row>
    <row r="166" spans="1:12" x14ac:dyDescent="0.3">
      <c r="A166" s="470" t="s">
        <v>1526</v>
      </c>
      <c r="B166" s="470"/>
      <c r="C166" s="470"/>
      <c r="D166" s="470"/>
      <c r="E166" s="470"/>
      <c r="F166" s="470"/>
      <c r="G166" s="470"/>
      <c r="H166" s="470"/>
      <c r="I166" s="470"/>
      <c r="J166" s="470"/>
      <c r="K166" s="470"/>
      <c r="L166" s="470"/>
    </row>
    <row r="167" spans="1:12" ht="40.200000000000003" x14ac:dyDescent="0.3">
      <c r="A167" s="387" t="s">
        <v>22</v>
      </c>
      <c r="B167" s="388"/>
      <c r="C167" s="370" t="s">
        <v>23</v>
      </c>
      <c r="D167" s="49" t="s">
        <v>24</v>
      </c>
      <c r="E167" s="50" t="str">
        <f>"FY "&amp;'AGAE|0001-00'!FiscalYear-1&amp;" SALARY"</f>
        <v>FY 2022 SALARY</v>
      </c>
      <c r="F167" s="50" t="str">
        <f>"FY "&amp;'AGAE|0001-00'!FiscalYear-1&amp;" HEALTH BENEFITS"</f>
        <v>FY 2022 HEALTH BENEFITS</v>
      </c>
      <c r="G167" s="50" t="str">
        <f>"FY "&amp;'AGAE|0001-00'!FiscalYear-1&amp;" VAR BENEFITS"</f>
        <v>FY 2022 VAR BENEFITS</v>
      </c>
      <c r="H167" s="50" t="str">
        <f>"FY "&amp;'AGAE|0001-00'!FiscalYear-1&amp;" TOTAL"</f>
        <v>FY 2022 TOTAL</v>
      </c>
      <c r="I167" s="50" t="str">
        <f>"FY "&amp;'AGAE|0001-00'!FiscalYear&amp;" SALARY CHANGE"</f>
        <v>FY 2023 SALARY CHANGE</v>
      </c>
      <c r="J167" s="50" t="str">
        <f>"FY "&amp;'AGAE|0001-00'!FiscalYear&amp;" CHG HEALTH BENEFITS"</f>
        <v>FY 2023 CHG HEALTH BENEFITS</v>
      </c>
      <c r="K167" s="50" t="str">
        <f>"FY "&amp;'AGAE|0001-00'!FiscalYear&amp;" CHG VAR BENEFITS"</f>
        <v>FY 2023 CHG VAR BENEFITS</v>
      </c>
      <c r="L167" s="50" t="s">
        <v>25</v>
      </c>
    </row>
    <row r="168" spans="1:12" x14ac:dyDescent="0.3">
      <c r="A168" s="389" t="s">
        <v>26</v>
      </c>
      <c r="B168" s="390"/>
      <c r="C168" s="141"/>
      <c r="D168" s="142"/>
      <c r="E168" s="143"/>
      <c r="F168" s="143"/>
      <c r="G168" s="143"/>
      <c r="H168" s="144"/>
      <c r="I168" s="144"/>
      <c r="J168" s="145"/>
      <c r="K168" s="146"/>
      <c r="L168" s="144"/>
    </row>
    <row r="169" spans="1:12" x14ac:dyDescent="0.3">
      <c r="A169" s="385" t="s">
        <v>27</v>
      </c>
      <c r="B169" s="391"/>
      <c r="C169" s="217">
        <v>1</v>
      </c>
      <c r="D169" s="288">
        <f>[0]!AGAE000100col_INC_FTI</f>
        <v>8.8000000000000007</v>
      </c>
      <c r="E169" s="218">
        <f>[0]!AGAE000100col_FTI_SALARY_PERM</f>
        <v>487820.32000000007</v>
      </c>
      <c r="F169" s="218">
        <f>[0]!AGAE000100col_HEALTH_PERM</f>
        <v>102520</v>
      </c>
      <c r="G169" s="218">
        <f>[0]!AGAE000100col_TOT_VB_PERM</f>
        <v>110123.96663839999</v>
      </c>
      <c r="H169" s="219">
        <f>SUM(E169:G169)</f>
        <v>700464.28663840005</v>
      </c>
      <c r="I169" s="219">
        <f>[0]!AGAE000100col_1_27TH_PP</f>
        <v>0</v>
      </c>
      <c r="J169" s="218">
        <f>[0]!AGAE000100col_HEALTH_PERM_CHG</f>
        <v>0</v>
      </c>
      <c r="K169" s="218">
        <f>[0]!AGAE000100col_TOT_VB_PERM_CHG</f>
        <v>-1268.3328319999991</v>
      </c>
      <c r="L169" s="218">
        <f>SUM(J169:K169)</f>
        <v>-1268.3328319999991</v>
      </c>
    </row>
    <row r="170" spans="1:12" x14ac:dyDescent="0.3">
      <c r="A170" s="385" t="s">
        <v>28</v>
      </c>
      <c r="B170" s="391"/>
      <c r="C170" s="217">
        <v>2</v>
      </c>
      <c r="D170" s="288"/>
      <c r="E170" s="218">
        <f>[0]!AGAE000100col_Group_Salary</f>
        <v>0</v>
      </c>
      <c r="F170" s="218">
        <v>0</v>
      </c>
      <c r="G170" s="218">
        <f>[0]!AGAE000100col_Group_Ben</f>
        <v>0</v>
      </c>
      <c r="H170" s="219">
        <f>SUM(E170:G170)</f>
        <v>0</v>
      </c>
      <c r="I170" s="268"/>
      <c r="J170" s="218"/>
      <c r="K170" s="218"/>
      <c r="L170" s="218"/>
    </row>
    <row r="171" spans="1:12" x14ac:dyDescent="0.3">
      <c r="A171" s="385" t="s">
        <v>29</v>
      </c>
      <c r="B171" s="386"/>
      <c r="C171" s="217">
        <v>3</v>
      </c>
      <c r="D171" s="288">
        <f>[0]!AGAE000100col_TOTAL_ELECT_PCN_FTI</f>
        <v>0</v>
      </c>
      <c r="E171" s="218">
        <f>[0]!AGAE000100col_FTI_SALARY_ELECT</f>
        <v>0</v>
      </c>
      <c r="F171" s="218">
        <f>[0]!AGAE000100col_HEALTH_ELECT</f>
        <v>0</v>
      </c>
      <c r="G171" s="218">
        <f>[0]!AGAE000100col_TOT_VB_ELECT</f>
        <v>0</v>
      </c>
      <c r="H171" s="219">
        <f>SUM(E171:G171)</f>
        <v>0</v>
      </c>
      <c r="I171" s="268"/>
      <c r="J171" s="218">
        <f>[0]!AGAE000100col_HEALTH_ELECT_CHG</f>
        <v>0</v>
      </c>
      <c r="K171" s="218">
        <f>[0]!AGAE000100col_TOT_VB_ELECT_CHG</f>
        <v>0</v>
      </c>
      <c r="L171" s="219">
        <f>SUM(J171:K171)</f>
        <v>0</v>
      </c>
    </row>
    <row r="172" spans="1:12" x14ac:dyDescent="0.3">
      <c r="A172" s="385" t="s">
        <v>30</v>
      </c>
      <c r="B172" s="391"/>
      <c r="C172" s="217"/>
      <c r="D172" s="220">
        <f>SUM(D169:D171)</f>
        <v>8.8000000000000007</v>
      </c>
      <c r="E172" s="221">
        <f>SUM(E169:E171)</f>
        <v>487820.32000000007</v>
      </c>
      <c r="F172" s="221">
        <f>SUM(F169:F171)</f>
        <v>102520</v>
      </c>
      <c r="G172" s="221">
        <f>SUM(G169:G171)</f>
        <v>110123.96663839999</v>
      </c>
      <c r="H172" s="219">
        <f>SUM(E172:G172)</f>
        <v>700464.28663840005</v>
      </c>
      <c r="I172" s="268"/>
      <c r="J172" s="219">
        <f>SUM(J169:J171)</f>
        <v>0</v>
      </c>
      <c r="K172" s="219">
        <f>SUM(K169:K171)</f>
        <v>-1268.3328319999991</v>
      </c>
      <c r="L172" s="219">
        <f>SUM(L169:L171)</f>
        <v>-1268.3328319999991</v>
      </c>
    </row>
    <row r="173" spans="1:12" x14ac:dyDescent="0.3">
      <c r="A173" s="365"/>
      <c r="B173" s="371"/>
      <c r="C173" s="217"/>
      <c r="D173" s="220"/>
      <c r="E173" s="219"/>
      <c r="F173" s="219"/>
      <c r="G173" s="219"/>
      <c r="H173" s="219"/>
      <c r="I173" s="268"/>
      <c r="J173" s="219"/>
      <c r="K173" s="222"/>
      <c r="L173" s="222"/>
    </row>
    <row r="174" spans="1:12" x14ac:dyDescent="0.3">
      <c r="A174" s="157" t="str">
        <f>"FY "&amp;'AGAE|0001-00'!FiscalYear-1</f>
        <v>FY 2022</v>
      </c>
      <c r="B174" s="158" t="s">
        <v>31</v>
      </c>
      <c r="C174" s="355">
        <v>754800</v>
      </c>
      <c r="D174" s="55">
        <v>9.4</v>
      </c>
      <c r="E174" s="223">
        <f>IF('AGAE|0001-00'!OrigApprop=0,0,(E172/H172)*'AGAE|0001-00'!OrigApprop)</f>
        <v>525661.02877715882</v>
      </c>
      <c r="F174" s="223">
        <f>IF('AGAE|0001-00'!OrigApprop=0,0,(F172/H172)*'AGAE|0001-00'!OrigApprop)</f>
        <v>110472.57865403048</v>
      </c>
      <c r="G174" s="223">
        <f>IF(E174=0,0,(G172/H172)*'AGAE|0001-00'!OrigApprop)</f>
        <v>118666.39256881068</v>
      </c>
      <c r="H174" s="223">
        <f>SUM(E174:G174)</f>
        <v>754800</v>
      </c>
      <c r="I174" s="268"/>
      <c r="J174" s="224"/>
      <c r="K174" s="224"/>
      <c r="L174" s="224"/>
    </row>
    <row r="175" spans="1:12" x14ac:dyDescent="0.3">
      <c r="A175" s="392" t="s">
        <v>32</v>
      </c>
      <c r="B175" s="393"/>
      <c r="C175" s="160" t="s">
        <v>33</v>
      </c>
      <c r="D175" s="161">
        <f>D174-D172</f>
        <v>0.59999999999999964</v>
      </c>
      <c r="E175" s="162">
        <f>E174-E172</f>
        <v>37840.708777158754</v>
      </c>
      <c r="F175" s="162">
        <f>F174-F172</f>
        <v>7952.5786540304834</v>
      </c>
      <c r="G175" s="162">
        <f>G174-G172</f>
        <v>8542.4259304106963</v>
      </c>
      <c r="H175" s="162">
        <f>H174-H172</f>
        <v>54335.713361599948</v>
      </c>
      <c r="I175" s="269"/>
      <c r="J175" s="56" t="str">
        <f>IF('AGAE|0001-00'!OrigApprop=0,"ERROR! Enter Original Appropriation amount in DU 3.00!","Calculated "&amp;IF('AGAE|0001-00'!AdjustedTotal&gt;0,"overfunding ","underfunding ")&amp;"is "&amp;TEXT('AGAE|0001-00'!AdjustedTotal/'AGAE|0001-00'!AppropTotal,"#.0%;(#.0% );0% ;")&amp;" of Original Appropriation")</f>
        <v>Calculated overfunding is 7.2% of Original Appropriation</v>
      </c>
      <c r="K175" s="163"/>
      <c r="L175" s="164"/>
    </row>
    <row r="177" spans="1:12" x14ac:dyDescent="0.3">
      <c r="A177" s="470" t="s">
        <v>1532</v>
      </c>
      <c r="B177" s="470"/>
      <c r="C177" s="470"/>
      <c r="D177" s="470"/>
      <c r="E177" s="470"/>
      <c r="F177" s="470"/>
      <c r="G177" s="470"/>
      <c r="H177" s="470"/>
      <c r="I177" s="470"/>
      <c r="J177" s="470"/>
      <c r="K177" s="470"/>
      <c r="L177" s="470"/>
    </row>
    <row r="178" spans="1:12" ht="40.200000000000003" x14ac:dyDescent="0.3">
      <c r="A178" s="387" t="s">
        <v>22</v>
      </c>
      <c r="B178" s="388"/>
      <c r="C178" s="370" t="s">
        <v>23</v>
      </c>
      <c r="D178" s="49" t="s">
        <v>24</v>
      </c>
      <c r="E178" s="50" t="str">
        <f>"FY "&amp;'AGAE|0330-12'!FiscalYear-1&amp;" SALARY"</f>
        <v>FY 2022 SALARY</v>
      </c>
      <c r="F178" s="50" t="str">
        <f>"FY "&amp;'AGAE|0330-12'!FiscalYear-1&amp;" HEALTH BENEFITS"</f>
        <v>FY 2022 HEALTH BENEFITS</v>
      </c>
      <c r="G178" s="50" t="str">
        <f>"FY "&amp;'AGAE|0330-12'!FiscalYear-1&amp;" VAR BENEFITS"</f>
        <v>FY 2022 VAR BENEFITS</v>
      </c>
      <c r="H178" s="50" t="str">
        <f>"FY "&amp;'AGAE|0330-12'!FiscalYear-1&amp;" TOTAL"</f>
        <v>FY 2022 TOTAL</v>
      </c>
      <c r="I178" s="50" t="str">
        <f>"FY "&amp;'AGAE|0330-12'!FiscalYear&amp;" SALARY CHANGE"</f>
        <v>FY 2023 SALARY CHANGE</v>
      </c>
      <c r="J178" s="50" t="str">
        <f>"FY "&amp;'AGAE|0330-12'!FiscalYear&amp;" CHG HEALTH BENEFITS"</f>
        <v>FY 2023 CHG HEALTH BENEFITS</v>
      </c>
      <c r="K178" s="50" t="str">
        <f>"FY "&amp;'AGAE|0330-12'!FiscalYear&amp;" CHG VAR BENEFITS"</f>
        <v>FY 2023 CHG VAR BENEFITS</v>
      </c>
      <c r="L178" s="50" t="s">
        <v>25</v>
      </c>
    </row>
    <row r="179" spans="1:12" x14ac:dyDescent="0.3">
      <c r="A179" s="389" t="s">
        <v>26</v>
      </c>
      <c r="B179" s="390"/>
      <c r="C179" s="141"/>
      <c r="D179" s="142"/>
      <c r="E179" s="143"/>
      <c r="F179" s="143"/>
      <c r="G179" s="143"/>
      <c r="H179" s="144"/>
      <c r="I179" s="144"/>
      <c r="J179" s="145"/>
      <c r="K179" s="146"/>
      <c r="L179" s="144"/>
    </row>
    <row r="180" spans="1:12" x14ac:dyDescent="0.3">
      <c r="A180" s="385" t="s">
        <v>27</v>
      </c>
      <c r="B180" s="391"/>
      <c r="C180" s="217">
        <v>1</v>
      </c>
      <c r="D180" s="288">
        <f>[0]!AGAE033012col_INC_FTI</f>
        <v>3.7</v>
      </c>
      <c r="E180" s="218">
        <f>[0]!AGAE033012col_FTI_SALARY_PERM</f>
        <v>219941.28</v>
      </c>
      <c r="F180" s="218">
        <f>[0]!AGAE033012col_HEALTH_PERM</f>
        <v>43105</v>
      </c>
      <c r="G180" s="218">
        <f>[0]!AGAE033012col_TOT_VB_PERM</f>
        <v>49788.107553599984</v>
      </c>
      <c r="H180" s="219">
        <f>SUM(E180:G180)</f>
        <v>312834.38755360001</v>
      </c>
      <c r="I180" s="219">
        <f>[0]!AGAE033012col_1_27TH_PP</f>
        <v>0</v>
      </c>
      <c r="J180" s="218">
        <f>[0]!AGAE033012col_HEALTH_PERM_CHG</f>
        <v>0</v>
      </c>
      <c r="K180" s="218">
        <f>[0]!AGAE033012col_TOT_VB_PERM_CHG</f>
        <v>-571.84732799999961</v>
      </c>
      <c r="L180" s="218">
        <f>SUM(J180:K180)</f>
        <v>-571.84732799999961</v>
      </c>
    </row>
    <row r="181" spans="1:12" x14ac:dyDescent="0.3">
      <c r="A181" s="385" t="s">
        <v>28</v>
      </c>
      <c r="B181" s="391"/>
      <c r="C181" s="217">
        <v>2</v>
      </c>
      <c r="D181" s="288"/>
      <c r="E181" s="218">
        <f>[0]!AGAE033012col_Group_Salary</f>
        <v>4536</v>
      </c>
      <c r="F181" s="218">
        <v>0</v>
      </c>
      <c r="G181" s="218">
        <f>[0]!AGAE033012col_Group_Ben</f>
        <v>385.59</v>
      </c>
      <c r="H181" s="219">
        <f>SUM(E181:G181)</f>
        <v>4921.59</v>
      </c>
      <c r="I181" s="268"/>
      <c r="J181" s="218"/>
      <c r="K181" s="218"/>
      <c r="L181" s="218"/>
    </row>
    <row r="182" spans="1:12" x14ac:dyDescent="0.3">
      <c r="A182" s="385" t="s">
        <v>29</v>
      </c>
      <c r="B182" s="386"/>
      <c r="C182" s="217">
        <v>3</v>
      </c>
      <c r="D182" s="288">
        <f>[0]!AGAE033012col_TOTAL_ELECT_PCN_FTI</f>
        <v>0</v>
      </c>
      <c r="E182" s="218">
        <f>[0]!AGAE033012col_FTI_SALARY_ELECT</f>
        <v>0</v>
      </c>
      <c r="F182" s="218">
        <f>[0]!AGAE033012col_HEALTH_ELECT</f>
        <v>0</v>
      </c>
      <c r="G182" s="218">
        <f>[0]!AGAE033012col_TOT_VB_ELECT</f>
        <v>0</v>
      </c>
      <c r="H182" s="219">
        <f>SUM(E182:G182)</f>
        <v>0</v>
      </c>
      <c r="I182" s="268"/>
      <c r="J182" s="218">
        <f>[0]!AGAE033012col_HEALTH_ELECT_CHG</f>
        <v>0</v>
      </c>
      <c r="K182" s="218">
        <f>[0]!AGAE033012col_TOT_VB_ELECT_CHG</f>
        <v>0</v>
      </c>
      <c r="L182" s="219">
        <f>SUM(J182:K182)</f>
        <v>0</v>
      </c>
    </row>
    <row r="183" spans="1:12" x14ac:dyDescent="0.3">
      <c r="A183" s="385" t="s">
        <v>30</v>
      </c>
      <c r="B183" s="391"/>
      <c r="C183" s="217"/>
      <c r="D183" s="220">
        <f>SUM(D180:D182)</f>
        <v>3.7</v>
      </c>
      <c r="E183" s="221">
        <f>SUM(E180:E182)</f>
        <v>224477.28</v>
      </c>
      <c r="F183" s="221">
        <f>SUM(F180:F182)</f>
        <v>43105</v>
      </c>
      <c r="G183" s="221">
        <f>SUM(G180:G182)</f>
        <v>50173.697553599981</v>
      </c>
      <c r="H183" s="219">
        <f>SUM(E183:G183)</f>
        <v>317755.97755359998</v>
      </c>
      <c r="I183" s="268"/>
      <c r="J183" s="219">
        <f>SUM(J180:J182)</f>
        <v>0</v>
      </c>
      <c r="K183" s="219">
        <f>SUM(K180:K182)</f>
        <v>-571.84732799999961</v>
      </c>
      <c r="L183" s="219">
        <f>SUM(L180:L182)</f>
        <v>-571.84732799999961</v>
      </c>
    </row>
    <row r="184" spans="1:12" x14ac:dyDescent="0.3">
      <c r="A184" s="365"/>
      <c r="B184" s="371"/>
      <c r="C184" s="217"/>
      <c r="D184" s="220"/>
      <c r="E184" s="219"/>
      <c r="F184" s="219"/>
      <c r="G184" s="219"/>
      <c r="H184" s="219"/>
      <c r="I184" s="268"/>
      <c r="J184" s="219"/>
      <c r="K184" s="222"/>
      <c r="L184" s="222"/>
    </row>
    <row r="185" spans="1:12" x14ac:dyDescent="0.3">
      <c r="A185" s="157" t="str">
        <f>"FY "&amp;'AGAE|0330-12'!FiscalYear-1</f>
        <v>FY 2022</v>
      </c>
      <c r="B185" s="158" t="s">
        <v>31</v>
      </c>
      <c r="C185" s="355">
        <v>469200</v>
      </c>
      <c r="D185" s="55">
        <v>5.45</v>
      </c>
      <c r="E185" s="223">
        <f>IF('AGAE|0330-12'!OrigApprop=0,0,(E183/H183)*'AGAE|0330-12'!OrigApprop)</f>
        <v>331464.22794905101</v>
      </c>
      <c r="F185" s="223">
        <f>IF('AGAE|0330-12'!OrigApprop=0,0,(F183/H183)*'AGAE|0330-12'!OrigApprop)</f>
        <v>63649.049675512113</v>
      </c>
      <c r="G185" s="223">
        <f>IF(E185=0,0,(G183/H183)*'AGAE|0330-12'!OrigApprop)</f>
        <v>74086.722375436875</v>
      </c>
      <c r="H185" s="223">
        <f>SUM(E185:G185)</f>
        <v>469200</v>
      </c>
      <c r="I185" s="268"/>
      <c r="J185" s="224"/>
      <c r="K185" s="224"/>
      <c r="L185" s="224"/>
    </row>
    <row r="186" spans="1:12" x14ac:dyDescent="0.3">
      <c r="A186" s="392" t="s">
        <v>32</v>
      </c>
      <c r="B186" s="393"/>
      <c r="C186" s="160" t="s">
        <v>33</v>
      </c>
      <c r="D186" s="161">
        <f>D185-D183</f>
        <v>1.75</v>
      </c>
      <c r="E186" s="162">
        <f>E185-E183</f>
        <v>106986.94794905101</v>
      </c>
      <c r="F186" s="162">
        <f>F185-F183</f>
        <v>20544.049675512113</v>
      </c>
      <c r="G186" s="162">
        <f>G185-G183</f>
        <v>23913.024821836894</v>
      </c>
      <c r="H186" s="162">
        <f>H185-H183</f>
        <v>151444.02244640002</v>
      </c>
      <c r="I186" s="269"/>
      <c r="J186" s="56" t="str">
        <f>IF('AGAE|0330-12'!OrigApprop=0,"ERROR! Enter Original Appropriation amount in DU 3.00!","Calculated "&amp;IF('AGAE|0330-12'!AdjustedTotal&gt;0,"overfunding ","underfunding ")&amp;"is "&amp;TEXT('AGAE|0330-12'!AdjustedTotal/'AGAE|0330-12'!AppropTotal,"#.0%;(#.0% );0% ;")&amp;" of Original Appropriation")</f>
        <v>Calculated overfunding is 32.3% of Original Appropriation</v>
      </c>
      <c r="K186" s="163"/>
      <c r="L186" s="164"/>
    </row>
    <row r="188" spans="1:12" x14ac:dyDescent="0.3">
      <c r="A188" s="470" t="s">
        <v>1538</v>
      </c>
      <c r="B188" s="470"/>
      <c r="C188" s="470"/>
      <c r="D188" s="470"/>
      <c r="E188" s="470"/>
      <c r="F188" s="470"/>
      <c r="G188" s="470"/>
      <c r="H188" s="470"/>
      <c r="I188" s="470"/>
      <c r="J188" s="470"/>
      <c r="K188" s="470"/>
      <c r="L188" s="470"/>
    </row>
    <row r="189" spans="1:12" ht="40.200000000000003" x14ac:dyDescent="0.3">
      <c r="A189" s="387" t="s">
        <v>22</v>
      </c>
      <c r="B189" s="388"/>
      <c r="C189" s="370" t="s">
        <v>23</v>
      </c>
      <c r="D189" s="49" t="s">
        <v>24</v>
      </c>
      <c r="E189" s="50" t="str">
        <f>"FY "&amp;'AGAE|0332-10'!FiscalYear-1&amp;" SALARY"</f>
        <v>FY 2022 SALARY</v>
      </c>
      <c r="F189" s="50" t="str">
        <f>"FY "&amp;'AGAE|0332-10'!FiscalYear-1&amp;" HEALTH BENEFITS"</f>
        <v>FY 2022 HEALTH BENEFITS</v>
      </c>
      <c r="G189" s="50" t="str">
        <f>"FY "&amp;'AGAE|0332-10'!FiscalYear-1&amp;" VAR BENEFITS"</f>
        <v>FY 2022 VAR BENEFITS</v>
      </c>
      <c r="H189" s="50" t="str">
        <f>"FY "&amp;'AGAE|0332-10'!FiscalYear-1&amp;" TOTAL"</f>
        <v>FY 2022 TOTAL</v>
      </c>
      <c r="I189" s="50" t="str">
        <f>"FY "&amp;'AGAE|0332-10'!FiscalYear&amp;" SALARY CHANGE"</f>
        <v>FY 2023 SALARY CHANGE</v>
      </c>
      <c r="J189" s="50" t="str">
        <f>"FY "&amp;'AGAE|0332-10'!FiscalYear&amp;" CHG HEALTH BENEFITS"</f>
        <v>FY 2023 CHG HEALTH BENEFITS</v>
      </c>
      <c r="K189" s="50" t="str">
        <f>"FY "&amp;'AGAE|0332-10'!FiscalYear&amp;" CHG VAR BENEFITS"</f>
        <v>FY 2023 CHG VAR BENEFITS</v>
      </c>
      <c r="L189" s="50" t="s">
        <v>25</v>
      </c>
    </row>
    <row r="190" spans="1:12" x14ac:dyDescent="0.3">
      <c r="A190" s="389" t="s">
        <v>26</v>
      </c>
      <c r="B190" s="390"/>
      <c r="C190" s="141"/>
      <c r="D190" s="142"/>
      <c r="E190" s="143"/>
      <c r="F190" s="143"/>
      <c r="G190" s="143"/>
      <c r="H190" s="144"/>
      <c r="I190" s="144"/>
      <c r="J190" s="145"/>
      <c r="K190" s="146"/>
      <c r="L190" s="144"/>
    </row>
    <row r="191" spans="1:12" x14ac:dyDescent="0.3">
      <c r="A191" s="385" t="s">
        <v>27</v>
      </c>
      <c r="B191" s="391"/>
      <c r="C191" s="217">
        <v>1</v>
      </c>
      <c r="D191" s="288">
        <f>[0]!AGAE033210col_INC_FTI</f>
        <v>8</v>
      </c>
      <c r="E191" s="218">
        <f>[0]!AGAE033210col_FTI_SALARY_PERM</f>
        <v>397737.6</v>
      </c>
      <c r="F191" s="218">
        <f>[0]!AGAE033210col_HEALTH_PERM</f>
        <v>93200</v>
      </c>
      <c r="G191" s="218">
        <f>[0]!AGAE033210col_TOT_VB_PERM</f>
        <v>90035.860511999985</v>
      </c>
      <c r="H191" s="219">
        <f>SUM(E191:G191)</f>
        <v>580973.4605119999</v>
      </c>
      <c r="I191" s="219">
        <f>[0]!AGAE033210col_1_27TH_PP</f>
        <v>0</v>
      </c>
      <c r="J191" s="218">
        <f>[0]!AGAE033210col_HEALTH_PERM_CHG</f>
        <v>0</v>
      </c>
      <c r="K191" s="218">
        <f>[0]!AGAE033210col_TOT_VB_PERM_CHG</f>
        <v>-1034.1177599999992</v>
      </c>
      <c r="L191" s="218">
        <f>SUM(J191:K191)</f>
        <v>-1034.1177599999992</v>
      </c>
    </row>
    <row r="192" spans="1:12" x14ac:dyDescent="0.3">
      <c r="A192" s="385" t="s">
        <v>28</v>
      </c>
      <c r="B192" s="391"/>
      <c r="C192" s="217">
        <v>2</v>
      </c>
      <c r="D192" s="288"/>
      <c r="E192" s="218">
        <f>[0]!AGAE033210col_Group_Salary</f>
        <v>24.75</v>
      </c>
      <c r="F192" s="218">
        <v>0</v>
      </c>
      <c r="G192" s="218">
        <f>[0]!AGAE033210col_Group_Ben</f>
        <v>14.92</v>
      </c>
      <c r="H192" s="219">
        <f>SUM(E192:G192)</f>
        <v>39.67</v>
      </c>
      <c r="I192" s="268"/>
      <c r="J192" s="218"/>
      <c r="K192" s="218"/>
      <c r="L192" s="218"/>
    </row>
    <row r="193" spans="1:12" x14ac:dyDescent="0.3">
      <c r="A193" s="385" t="s">
        <v>29</v>
      </c>
      <c r="B193" s="386"/>
      <c r="C193" s="217">
        <v>3</v>
      </c>
      <c r="D193" s="288">
        <f>[0]!AGAE033210col_TOTAL_ELECT_PCN_FTI</f>
        <v>0</v>
      </c>
      <c r="E193" s="218">
        <f>[0]!AGAE033210col_FTI_SALARY_ELECT</f>
        <v>0</v>
      </c>
      <c r="F193" s="218">
        <f>[0]!AGAE033210col_HEALTH_ELECT</f>
        <v>0</v>
      </c>
      <c r="G193" s="218">
        <f>[0]!AGAE033210col_TOT_VB_ELECT</f>
        <v>0</v>
      </c>
      <c r="H193" s="219">
        <f>SUM(E193:G193)</f>
        <v>0</v>
      </c>
      <c r="I193" s="268"/>
      <c r="J193" s="218">
        <f>[0]!AGAE033210col_HEALTH_ELECT_CHG</f>
        <v>0</v>
      </c>
      <c r="K193" s="218">
        <f>[0]!AGAE033210col_TOT_VB_ELECT_CHG</f>
        <v>0</v>
      </c>
      <c r="L193" s="219">
        <f>SUM(J193:K193)</f>
        <v>0</v>
      </c>
    </row>
    <row r="194" spans="1:12" x14ac:dyDescent="0.3">
      <c r="A194" s="385" t="s">
        <v>30</v>
      </c>
      <c r="B194" s="391"/>
      <c r="C194" s="217"/>
      <c r="D194" s="220">
        <f>SUM(D191:D193)</f>
        <v>8</v>
      </c>
      <c r="E194" s="221">
        <f>SUM(E191:E193)</f>
        <v>397762.35</v>
      </c>
      <c r="F194" s="221">
        <f>SUM(F191:F193)</f>
        <v>93200</v>
      </c>
      <c r="G194" s="221">
        <f>SUM(G191:G193)</f>
        <v>90050.780511999983</v>
      </c>
      <c r="H194" s="219">
        <f>SUM(E194:G194)</f>
        <v>581013.13051199995</v>
      </c>
      <c r="I194" s="268"/>
      <c r="J194" s="219">
        <f>SUM(J191:J193)</f>
        <v>0</v>
      </c>
      <c r="K194" s="219">
        <f>SUM(K191:K193)</f>
        <v>-1034.1177599999992</v>
      </c>
      <c r="L194" s="219">
        <f>SUM(L191:L193)</f>
        <v>-1034.1177599999992</v>
      </c>
    </row>
    <row r="195" spans="1:12" x14ac:dyDescent="0.3">
      <c r="A195" s="365"/>
      <c r="B195" s="371"/>
      <c r="C195" s="217"/>
      <c r="D195" s="220"/>
      <c r="E195" s="219"/>
      <c r="F195" s="219"/>
      <c r="G195" s="219"/>
      <c r="H195" s="219"/>
      <c r="I195" s="268"/>
      <c r="J195" s="219"/>
      <c r="K195" s="222"/>
      <c r="L195" s="222"/>
    </row>
    <row r="196" spans="1:12" x14ac:dyDescent="0.3">
      <c r="A196" s="157" t="str">
        <f>"FY "&amp;'AGAE|0332-10'!FiscalYear-1</f>
        <v>FY 2022</v>
      </c>
      <c r="B196" s="158" t="s">
        <v>31</v>
      </c>
      <c r="C196" s="355">
        <v>559400</v>
      </c>
      <c r="D196" s="55">
        <v>7</v>
      </c>
      <c r="E196" s="223">
        <f>IF('AGAE|0332-10'!OrigApprop=0,0,(E194/H194)*'AGAE|0332-10'!OrigApprop)</f>
        <v>382965.97254854022</v>
      </c>
      <c r="F196" s="223">
        <f>IF('AGAE|0332-10'!OrigApprop=0,0,(F194/H194)*'AGAE|0332-10'!OrigApprop)</f>
        <v>89733.049499340385</v>
      </c>
      <c r="G196" s="223">
        <f>IF(E196=0,0,(G194/H194)*'AGAE|0332-10'!OrigApprop)</f>
        <v>86700.977952119429</v>
      </c>
      <c r="H196" s="223">
        <f>SUM(E196:G196)</f>
        <v>559400</v>
      </c>
      <c r="I196" s="268"/>
      <c r="J196" s="224"/>
      <c r="K196" s="224"/>
      <c r="L196" s="224"/>
    </row>
    <row r="197" spans="1:12" x14ac:dyDescent="0.3">
      <c r="A197" s="392" t="s">
        <v>32</v>
      </c>
      <c r="B197" s="393"/>
      <c r="C197" s="160" t="s">
        <v>33</v>
      </c>
      <c r="D197" s="161">
        <f>D196-D194</f>
        <v>-1</v>
      </c>
      <c r="E197" s="162">
        <f>E196-E194</f>
        <v>-14796.377451459761</v>
      </c>
      <c r="F197" s="162">
        <f>F196-F194</f>
        <v>-3466.9505006596155</v>
      </c>
      <c r="G197" s="162">
        <f>G196-G194</f>
        <v>-3349.8025598805543</v>
      </c>
      <c r="H197" s="162">
        <f>H196-H194</f>
        <v>-21613.130511999945</v>
      </c>
      <c r="I197" s="269"/>
      <c r="J197" s="56" t="str">
        <f>IF('AGAE|0332-10'!OrigApprop=0,"ERROR! Enter Original Appropriation amount in DU 3.00!","Calculated "&amp;IF('AGAE|0332-10'!AdjustedTotal&gt;0,"overfunding ","underfunding ")&amp;"is "&amp;TEXT('AGAE|0332-10'!AdjustedTotal/'AGAE|0332-10'!AppropTotal,"#.0%;(#.0% );0% ;")&amp;" of Original Appropriation")</f>
        <v>Calculated underfunding is (3.9% ) of Original Appropriation</v>
      </c>
      <c r="K197" s="163"/>
      <c r="L197" s="164"/>
    </row>
    <row r="199" spans="1:12" x14ac:dyDescent="0.3">
      <c r="A199" s="470" t="s">
        <v>1542</v>
      </c>
      <c r="B199" s="470"/>
      <c r="C199" s="470"/>
      <c r="D199" s="470"/>
      <c r="E199" s="470"/>
      <c r="F199" s="470"/>
      <c r="G199" s="470"/>
      <c r="H199" s="470"/>
      <c r="I199" s="470"/>
      <c r="J199" s="470"/>
      <c r="K199" s="470"/>
      <c r="L199" s="470"/>
    </row>
    <row r="200" spans="1:12" ht="40.200000000000003" x14ac:dyDescent="0.3">
      <c r="A200" s="387" t="s">
        <v>22</v>
      </c>
      <c r="B200" s="388"/>
      <c r="C200" s="370" t="s">
        <v>23</v>
      </c>
      <c r="D200" s="49" t="s">
        <v>24</v>
      </c>
      <c r="E200" s="50" t="str">
        <f>"FY "&amp;'AGAF|0001-00'!FiscalYear-1&amp;" SALARY"</f>
        <v>FY 2022 SALARY</v>
      </c>
      <c r="F200" s="50" t="str">
        <f>"FY "&amp;'AGAF|0001-00'!FiscalYear-1&amp;" HEALTH BENEFITS"</f>
        <v>FY 2022 HEALTH BENEFITS</v>
      </c>
      <c r="G200" s="50" t="str">
        <f>"FY "&amp;'AGAF|0001-00'!FiscalYear-1&amp;" VAR BENEFITS"</f>
        <v>FY 2022 VAR BENEFITS</v>
      </c>
      <c r="H200" s="50" t="str">
        <f>"FY "&amp;'AGAF|0001-00'!FiscalYear-1&amp;" TOTAL"</f>
        <v>FY 2022 TOTAL</v>
      </c>
      <c r="I200" s="50" t="str">
        <f>"FY "&amp;'AGAF|0001-00'!FiscalYear&amp;" SALARY CHANGE"</f>
        <v>FY 2023 SALARY CHANGE</v>
      </c>
      <c r="J200" s="50" t="str">
        <f>"FY "&amp;'AGAF|0001-00'!FiscalYear&amp;" CHG HEALTH BENEFITS"</f>
        <v>FY 2023 CHG HEALTH BENEFITS</v>
      </c>
      <c r="K200" s="50" t="str">
        <f>"FY "&amp;'AGAF|0001-00'!FiscalYear&amp;" CHG VAR BENEFITS"</f>
        <v>FY 2023 CHG VAR BENEFITS</v>
      </c>
      <c r="L200" s="50" t="s">
        <v>25</v>
      </c>
    </row>
    <row r="201" spans="1:12" x14ac:dyDescent="0.3">
      <c r="A201" s="389" t="s">
        <v>26</v>
      </c>
      <c r="B201" s="390"/>
      <c r="C201" s="141"/>
      <c r="D201" s="142"/>
      <c r="E201" s="143"/>
      <c r="F201" s="143"/>
      <c r="G201" s="143"/>
      <c r="H201" s="144"/>
      <c r="I201" s="144"/>
      <c r="J201" s="145"/>
      <c r="K201" s="146"/>
      <c r="L201" s="144"/>
    </row>
    <row r="202" spans="1:12" x14ac:dyDescent="0.3">
      <c r="A202" s="385" t="s">
        <v>27</v>
      </c>
      <c r="B202" s="391"/>
      <c r="C202" s="217">
        <v>1</v>
      </c>
      <c r="D202" s="288">
        <f>[0]!AGAF000100col_INC_FTI</f>
        <v>3.75</v>
      </c>
      <c r="E202" s="218">
        <f>[0]!AGAF000100col_FTI_SALARY_PERM</f>
        <v>225778.8</v>
      </c>
      <c r="F202" s="218">
        <f>[0]!AGAF000100col_HEALTH_PERM</f>
        <v>46017.5</v>
      </c>
      <c r="G202" s="218">
        <f>[0]!AGAF000100col_TOT_VB_PERM</f>
        <v>51109.546955999991</v>
      </c>
      <c r="H202" s="219">
        <f>SUM(E202:G202)</f>
        <v>322905.84695599996</v>
      </c>
      <c r="I202" s="219">
        <f>[0]!AGAF000100col_1_27TH_PP</f>
        <v>0</v>
      </c>
      <c r="J202" s="218">
        <f>[0]!AGAF000100col_HEALTH_PERM_CHG</f>
        <v>0</v>
      </c>
      <c r="K202" s="218">
        <f>[0]!AGAF000100col_TOT_VB_PERM_CHG</f>
        <v>-587.0248799999996</v>
      </c>
      <c r="L202" s="218">
        <f>SUM(J202:K202)</f>
        <v>-587.0248799999996</v>
      </c>
    </row>
    <row r="203" spans="1:12" x14ac:dyDescent="0.3">
      <c r="A203" s="385" t="s">
        <v>28</v>
      </c>
      <c r="B203" s="391"/>
      <c r="C203" s="217">
        <v>2</v>
      </c>
      <c r="D203" s="288"/>
      <c r="E203" s="218">
        <f>[0]!AGAF000100col_Group_Salary</f>
        <v>1951.5</v>
      </c>
      <c r="F203" s="218">
        <v>0</v>
      </c>
      <c r="G203" s="218">
        <f>[0]!AGAF000100col_Group_Ben</f>
        <v>187.55</v>
      </c>
      <c r="H203" s="219">
        <f>SUM(E203:G203)</f>
        <v>2139.0500000000002</v>
      </c>
      <c r="I203" s="268"/>
      <c r="J203" s="218"/>
      <c r="K203" s="218"/>
      <c r="L203" s="218"/>
    </row>
    <row r="204" spans="1:12" x14ac:dyDescent="0.3">
      <c r="A204" s="385" t="s">
        <v>29</v>
      </c>
      <c r="B204" s="386"/>
      <c r="C204" s="217">
        <v>3</v>
      </c>
      <c r="D204" s="288">
        <f>[0]!AGAF000100col_TOTAL_ELECT_PCN_FTI</f>
        <v>0</v>
      </c>
      <c r="E204" s="218">
        <f>[0]!AGAF000100col_FTI_SALARY_ELECT</f>
        <v>0</v>
      </c>
      <c r="F204" s="218">
        <f>[0]!AGAF000100col_HEALTH_ELECT</f>
        <v>0</v>
      </c>
      <c r="G204" s="218">
        <f>[0]!AGAF000100col_TOT_VB_ELECT</f>
        <v>0</v>
      </c>
      <c r="H204" s="219">
        <f>SUM(E204:G204)</f>
        <v>0</v>
      </c>
      <c r="I204" s="268"/>
      <c r="J204" s="218">
        <f>[0]!AGAF000100col_HEALTH_ELECT_CHG</f>
        <v>0</v>
      </c>
      <c r="K204" s="218">
        <f>[0]!AGAF000100col_TOT_VB_ELECT_CHG</f>
        <v>0</v>
      </c>
      <c r="L204" s="219">
        <f>SUM(J204:K204)</f>
        <v>0</v>
      </c>
    </row>
    <row r="205" spans="1:12" x14ac:dyDescent="0.3">
      <c r="A205" s="385" t="s">
        <v>30</v>
      </c>
      <c r="B205" s="391"/>
      <c r="C205" s="217"/>
      <c r="D205" s="220">
        <f>SUM(D202:D204)</f>
        <v>3.75</v>
      </c>
      <c r="E205" s="221">
        <f>SUM(E202:E204)</f>
        <v>227730.3</v>
      </c>
      <c r="F205" s="221">
        <f>SUM(F202:F204)</f>
        <v>46017.5</v>
      </c>
      <c r="G205" s="221">
        <f>SUM(G202:G204)</f>
        <v>51297.096955999994</v>
      </c>
      <c r="H205" s="219">
        <f>SUM(E205:G205)</f>
        <v>325044.89695600001</v>
      </c>
      <c r="I205" s="268"/>
      <c r="J205" s="219">
        <f>SUM(J202:J204)</f>
        <v>0</v>
      </c>
      <c r="K205" s="219">
        <f>SUM(K202:K204)</f>
        <v>-587.0248799999996</v>
      </c>
      <c r="L205" s="219">
        <f>SUM(L202:L204)</f>
        <v>-587.0248799999996</v>
      </c>
    </row>
    <row r="206" spans="1:12" x14ac:dyDescent="0.3">
      <c r="A206" s="365"/>
      <c r="B206" s="371"/>
      <c r="C206" s="217"/>
      <c r="D206" s="220"/>
      <c r="E206" s="219"/>
      <c r="F206" s="219"/>
      <c r="G206" s="219"/>
      <c r="H206" s="219"/>
      <c r="I206" s="268"/>
      <c r="J206" s="219"/>
      <c r="K206" s="222"/>
      <c r="L206" s="222"/>
    </row>
    <row r="207" spans="1:12" x14ac:dyDescent="0.3">
      <c r="A207" s="157" t="str">
        <f>"FY "&amp;'AGAF|0001-00'!FiscalYear-1</f>
        <v>FY 2022</v>
      </c>
      <c r="B207" s="158" t="s">
        <v>31</v>
      </c>
      <c r="C207" s="355">
        <v>458200</v>
      </c>
      <c r="D207" s="55">
        <v>5.61</v>
      </c>
      <c r="E207" s="223">
        <f>IF('AGAF|0001-00'!OrigApprop=0,0,(E205/H205)*'AGAF|0001-00'!OrigApprop)</f>
        <v>321020.34038123937</v>
      </c>
      <c r="F207" s="223">
        <f>IF('AGAF|0001-00'!OrigApprop=0,0,(F205/H205)*'AGAF|0001-00'!OrigApprop)</f>
        <v>64868.634140883674</v>
      </c>
      <c r="G207" s="223">
        <f>IF(E207=0,0,(G205/H205)*'AGAF|0001-00'!OrigApprop)</f>
        <v>72311.02547787693</v>
      </c>
      <c r="H207" s="223">
        <f>SUM(E207:G207)</f>
        <v>458200</v>
      </c>
      <c r="I207" s="268"/>
      <c r="J207" s="224"/>
      <c r="K207" s="224"/>
      <c r="L207" s="224"/>
    </row>
    <row r="208" spans="1:12" x14ac:dyDescent="0.3">
      <c r="A208" s="392" t="s">
        <v>32</v>
      </c>
      <c r="B208" s="393"/>
      <c r="C208" s="160" t="s">
        <v>33</v>
      </c>
      <c r="D208" s="161">
        <f>D207-D205</f>
        <v>1.8600000000000003</v>
      </c>
      <c r="E208" s="162">
        <f>E207-E205</f>
        <v>93290.040381239378</v>
      </c>
      <c r="F208" s="162">
        <f>F207-F205</f>
        <v>18851.134140883674</v>
      </c>
      <c r="G208" s="162">
        <f>G207-G205</f>
        <v>21013.928521876936</v>
      </c>
      <c r="H208" s="162">
        <f>H207-H205</f>
        <v>133155.10304399999</v>
      </c>
      <c r="I208" s="269"/>
      <c r="J208" s="56" t="str">
        <f>IF('AGAF|0001-00'!OrigApprop=0,"ERROR! Enter Original Appropriation amount in DU 3.00!","Calculated "&amp;IF('AGAF|0001-00'!AdjustedTotal&gt;0,"overfunding ","underfunding ")&amp;"is "&amp;TEXT('AGAF|0001-00'!AdjustedTotal/'AGAF|0001-00'!AppropTotal,"#.0%;(#.0% );0% ;")&amp;" of Original Appropriation")</f>
        <v>Calculated overfunding is 29.1% of Original Appropriation</v>
      </c>
      <c r="K208" s="163"/>
      <c r="L208" s="164"/>
    </row>
    <row r="210" spans="1:12" x14ac:dyDescent="0.3">
      <c r="A210" s="470" t="s">
        <v>1546</v>
      </c>
      <c r="B210" s="470"/>
      <c r="C210" s="470"/>
      <c r="D210" s="470"/>
      <c r="E210" s="470"/>
      <c r="F210" s="470"/>
      <c r="G210" s="470"/>
      <c r="H210" s="470"/>
      <c r="I210" s="470"/>
      <c r="J210" s="470"/>
      <c r="K210" s="470"/>
      <c r="L210" s="470"/>
    </row>
    <row r="211" spans="1:12" ht="40.200000000000003" x14ac:dyDescent="0.3">
      <c r="A211" s="387" t="s">
        <v>22</v>
      </c>
      <c r="B211" s="388"/>
      <c r="C211" s="370" t="s">
        <v>23</v>
      </c>
      <c r="D211" s="49" t="s">
        <v>24</v>
      </c>
      <c r="E211" s="50" t="str">
        <f>"FY "&amp;'AGAF|0330-00'!FiscalYear-1&amp;" SALARY"</f>
        <v>FY 2022 SALARY</v>
      </c>
      <c r="F211" s="50" t="str">
        <f>"FY "&amp;'AGAF|0330-00'!FiscalYear-1&amp;" HEALTH BENEFITS"</f>
        <v>FY 2022 HEALTH BENEFITS</v>
      </c>
      <c r="G211" s="50" t="str">
        <f>"FY "&amp;'AGAF|0330-00'!FiscalYear-1&amp;" VAR BENEFITS"</f>
        <v>FY 2022 VAR BENEFITS</v>
      </c>
      <c r="H211" s="50" t="str">
        <f>"FY "&amp;'AGAF|0330-00'!FiscalYear-1&amp;" TOTAL"</f>
        <v>FY 2022 TOTAL</v>
      </c>
      <c r="I211" s="50" t="str">
        <f>"FY "&amp;'AGAF|0330-00'!FiscalYear&amp;" SALARY CHANGE"</f>
        <v>FY 2023 SALARY CHANGE</v>
      </c>
      <c r="J211" s="50" t="str">
        <f>"FY "&amp;'AGAF|0330-00'!FiscalYear&amp;" CHG HEALTH BENEFITS"</f>
        <v>FY 2023 CHG HEALTH BENEFITS</v>
      </c>
      <c r="K211" s="50" t="str">
        <f>"FY "&amp;'AGAF|0330-00'!FiscalYear&amp;" CHG VAR BENEFITS"</f>
        <v>FY 2023 CHG VAR BENEFITS</v>
      </c>
      <c r="L211" s="50" t="s">
        <v>25</v>
      </c>
    </row>
    <row r="212" spans="1:12" x14ac:dyDescent="0.3">
      <c r="A212" s="389" t="s">
        <v>26</v>
      </c>
      <c r="B212" s="390"/>
      <c r="C212" s="141"/>
      <c r="D212" s="142"/>
      <c r="E212" s="143"/>
      <c r="F212" s="143"/>
      <c r="G212" s="143"/>
      <c r="H212" s="144"/>
      <c r="I212" s="144"/>
      <c r="J212" s="145"/>
      <c r="K212" s="146"/>
      <c r="L212" s="144"/>
    </row>
    <row r="213" spans="1:12" x14ac:dyDescent="0.3">
      <c r="A213" s="385" t="s">
        <v>27</v>
      </c>
      <c r="B213" s="391"/>
      <c r="C213" s="217">
        <v>1</v>
      </c>
      <c r="D213" s="288">
        <f>[0]!AGAF033000col_INC_FTI</f>
        <v>0.05</v>
      </c>
      <c r="E213" s="218">
        <f>[0]!AGAF033000col_FTI_SALARY_PERM</f>
        <v>1731.6</v>
      </c>
      <c r="F213" s="218">
        <f>[0]!AGAF033000col_HEALTH_PERM</f>
        <v>582.5</v>
      </c>
      <c r="G213" s="218">
        <f>[0]!AGAF033000col_TOT_VB_PERM</f>
        <v>391.98229199999997</v>
      </c>
      <c r="H213" s="219">
        <f>SUM(E213:G213)</f>
        <v>2706.0822920000001</v>
      </c>
      <c r="I213" s="219">
        <f>[0]!AGAF033000col_1_27TH_PP</f>
        <v>0</v>
      </c>
      <c r="J213" s="218">
        <f>[0]!AGAF033000col_HEALTH_PERM_CHG</f>
        <v>0</v>
      </c>
      <c r="K213" s="218">
        <f>[0]!AGAF033000col_TOT_VB_PERM_CHG</f>
        <v>-4.5021599999999973</v>
      </c>
      <c r="L213" s="218">
        <f>SUM(J213:K213)</f>
        <v>-4.5021599999999973</v>
      </c>
    </row>
    <row r="214" spans="1:12" x14ac:dyDescent="0.3">
      <c r="A214" s="385" t="s">
        <v>28</v>
      </c>
      <c r="B214" s="391"/>
      <c r="C214" s="217">
        <v>2</v>
      </c>
      <c r="D214" s="288"/>
      <c r="E214" s="218">
        <f>[0]!AGAF033000col_Group_Salary</f>
        <v>12.5</v>
      </c>
      <c r="F214" s="218">
        <v>0</v>
      </c>
      <c r="G214" s="218">
        <f>[0]!AGAF033000col_Group_Ben</f>
        <v>1.34</v>
      </c>
      <c r="H214" s="219">
        <f>SUM(E214:G214)</f>
        <v>13.84</v>
      </c>
      <c r="I214" s="268"/>
      <c r="J214" s="218"/>
      <c r="K214" s="218"/>
      <c r="L214" s="218"/>
    </row>
    <row r="215" spans="1:12" x14ac:dyDescent="0.3">
      <c r="A215" s="385" t="s">
        <v>29</v>
      </c>
      <c r="B215" s="386"/>
      <c r="C215" s="217">
        <v>3</v>
      </c>
      <c r="D215" s="288">
        <f>[0]!AGAF033000col_TOTAL_ELECT_PCN_FTI</f>
        <v>0</v>
      </c>
      <c r="E215" s="218">
        <f>[0]!AGAF033000col_FTI_SALARY_ELECT</f>
        <v>0</v>
      </c>
      <c r="F215" s="218">
        <f>[0]!AGAF033000col_HEALTH_ELECT</f>
        <v>0</v>
      </c>
      <c r="G215" s="218">
        <f>[0]!AGAF033000col_TOT_VB_ELECT</f>
        <v>0</v>
      </c>
      <c r="H215" s="219">
        <f>SUM(E215:G215)</f>
        <v>0</v>
      </c>
      <c r="I215" s="268"/>
      <c r="J215" s="218">
        <f>[0]!AGAF033000col_HEALTH_ELECT_CHG</f>
        <v>0</v>
      </c>
      <c r="K215" s="218">
        <f>[0]!AGAF033000col_TOT_VB_ELECT_CHG</f>
        <v>0</v>
      </c>
      <c r="L215" s="219">
        <f>SUM(J215:K215)</f>
        <v>0</v>
      </c>
    </row>
    <row r="216" spans="1:12" x14ac:dyDescent="0.3">
      <c r="A216" s="385" t="s">
        <v>30</v>
      </c>
      <c r="B216" s="391"/>
      <c r="C216" s="217"/>
      <c r="D216" s="220">
        <f>SUM(D213:D215)</f>
        <v>0.05</v>
      </c>
      <c r="E216" s="221">
        <f>SUM(E213:E215)</f>
        <v>1744.1</v>
      </c>
      <c r="F216" s="221">
        <f>SUM(F213:F215)</f>
        <v>582.5</v>
      </c>
      <c r="G216" s="221">
        <f>SUM(G213:G215)</f>
        <v>393.32229199999995</v>
      </c>
      <c r="H216" s="219">
        <f>SUM(E216:G216)</f>
        <v>2719.9222919999997</v>
      </c>
      <c r="I216" s="268"/>
      <c r="J216" s="219">
        <f>SUM(J213:J215)</f>
        <v>0</v>
      </c>
      <c r="K216" s="219">
        <f>SUM(K213:K215)</f>
        <v>-4.5021599999999973</v>
      </c>
      <c r="L216" s="219">
        <f>SUM(L213:L215)</f>
        <v>-4.5021599999999973</v>
      </c>
    </row>
    <row r="217" spans="1:12" x14ac:dyDescent="0.3">
      <c r="A217" s="365"/>
      <c r="B217" s="371"/>
      <c r="C217" s="217"/>
      <c r="D217" s="220"/>
      <c r="E217" s="219"/>
      <c r="F217" s="219"/>
      <c r="G217" s="219"/>
      <c r="H217" s="219"/>
      <c r="I217" s="268"/>
      <c r="J217" s="219"/>
      <c r="K217" s="222"/>
      <c r="L217" s="222"/>
    </row>
    <row r="218" spans="1:12" x14ac:dyDescent="0.3">
      <c r="A218" s="157" t="str">
        <f>"FY "&amp;'AGAF|0330-00'!FiscalYear-1</f>
        <v>FY 2022</v>
      </c>
      <c r="B218" s="158" t="s">
        <v>31</v>
      </c>
      <c r="C218" s="355">
        <v>80700</v>
      </c>
      <c r="D218" s="55">
        <v>0.39</v>
      </c>
      <c r="E218" s="223">
        <f>IF('AGAF|0330-00'!OrigApprop=0,0,(E216/H216)*'AGAF|0330-00'!OrigApprop)</f>
        <v>51747.386465407151</v>
      </c>
      <c r="F218" s="223">
        <f>IF('AGAF|0330-00'!OrigApprop=0,0,(F216/H216)*'AGAF|0330-00'!OrigApprop)</f>
        <v>17282.754782466411</v>
      </c>
      <c r="G218" s="223">
        <f>IF(E218=0,0,(G216/H216)*'AGAF|0330-00'!OrigApprop)</f>
        <v>11669.858752126436</v>
      </c>
      <c r="H218" s="223">
        <f>SUM(E218:G218)</f>
        <v>80700</v>
      </c>
      <c r="I218" s="268"/>
      <c r="J218" s="224"/>
      <c r="K218" s="224"/>
      <c r="L218" s="224"/>
    </row>
    <row r="219" spans="1:12" x14ac:dyDescent="0.3">
      <c r="A219" s="392" t="s">
        <v>32</v>
      </c>
      <c r="B219" s="393"/>
      <c r="C219" s="160" t="s">
        <v>33</v>
      </c>
      <c r="D219" s="161">
        <f>D218-D216</f>
        <v>0.34</v>
      </c>
      <c r="E219" s="162">
        <f>E218-E216</f>
        <v>50003.286465407153</v>
      </c>
      <c r="F219" s="162">
        <f>F218-F216</f>
        <v>16700.254782466411</v>
      </c>
      <c r="G219" s="162">
        <f>G218-G216</f>
        <v>11276.536460126435</v>
      </c>
      <c r="H219" s="162">
        <f>H218-H216</f>
        <v>77980.077707999997</v>
      </c>
      <c r="I219" s="269"/>
      <c r="J219" s="56" t="str">
        <f>IF('AGAF|0330-00'!OrigApprop=0,"ERROR! Enter Original Appropriation amount in DU 3.00!","Calculated "&amp;IF('AGAF|0330-00'!AdjustedTotal&gt;0,"overfunding ","underfunding ")&amp;"is "&amp;TEXT('AGAF|0330-00'!AdjustedTotal/'AGAF|0330-00'!AppropTotal,"#.0%;(#.0% );0% ;")&amp;" of Original Appropriation")</f>
        <v>Calculated overfunding is 96.6% of Original Appropriation</v>
      </c>
      <c r="K219" s="163"/>
      <c r="L219" s="164"/>
    </row>
    <row r="221" spans="1:12" x14ac:dyDescent="0.3">
      <c r="A221" s="470" t="s">
        <v>1552</v>
      </c>
      <c r="B221" s="470"/>
      <c r="C221" s="470"/>
      <c r="D221" s="470"/>
      <c r="E221" s="470"/>
      <c r="F221" s="470"/>
      <c r="G221" s="470"/>
      <c r="H221" s="470"/>
      <c r="I221" s="470"/>
      <c r="J221" s="470"/>
      <c r="K221" s="470"/>
      <c r="L221" s="470"/>
    </row>
    <row r="222" spans="1:12" ht="40.200000000000003" x14ac:dyDescent="0.3">
      <c r="A222" s="387" t="s">
        <v>22</v>
      </c>
      <c r="B222" s="388"/>
      <c r="C222" s="370" t="s">
        <v>23</v>
      </c>
      <c r="D222" s="49" t="s">
        <v>24</v>
      </c>
      <c r="E222" s="50" t="str">
        <f>"FY "&amp;'AGAF|0490-00'!FiscalYear-1&amp;" SALARY"</f>
        <v>FY 2022 SALARY</v>
      </c>
      <c r="F222" s="50" t="str">
        <f>"FY "&amp;'AGAF|0490-00'!FiscalYear-1&amp;" HEALTH BENEFITS"</f>
        <v>FY 2022 HEALTH BENEFITS</v>
      </c>
      <c r="G222" s="50" t="str">
        <f>"FY "&amp;'AGAF|0490-00'!FiscalYear-1&amp;" VAR BENEFITS"</f>
        <v>FY 2022 VAR BENEFITS</v>
      </c>
      <c r="H222" s="50" t="str">
        <f>"FY "&amp;'AGAF|0490-00'!FiscalYear-1&amp;" TOTAL"</f>
        <v>FY 2022 TOTAL</v>
      </c>
      <c r="I222" s="50" t="str">
        <f>"FY "&amp;'AGAF|0490-00'!FiscalYear&amp;" SALARY CHANGE"</f>
        <v>FY 2023 SALARY CHANGE</v>
      </c>
      <c r="J222" s="50" t="str">
        <f>"FY "&amp;'AGAF|0490-00'!FiscalYear&amp;" CHG HEALTH BENEFITS"</f>
        <v>FY 2023 CHG HEALTH BENEFITS</v>
      </c>
      <c r="K222" s="50" t="str">
        <f>"FY "&amp;'AGAF|0490-00'!FiscalYear&amp;" CHG VAR BENEFITS"</f>
        <v>FY 2023 CHG VAR BENEFITS</v>
      </c>
      <c r="L222" s="50" t="s">
        <v>25</v>
      </c>
    </row>
    <row r="223" spans="1:12" x14ac:dyDescent="0.3">
      <c r="A223" s="389" t="s">
        <v>26</v>
      </c>
      <c r="B223" s="390"/>
      <c r="C223" s="141"/>
      <c r="D223" s="142"/>
      <c r="E223" s="143"/>
      <c r="F223" s="143"/>
      <c r="G223" s="143"/>
      <c r="H223" s="144"/>
      <c r="I223" s="144"/>
      <c r="J223" s="145"/>
      <c r="K223" s="146"/>
      <c r="L223" s="144"/>
    </row>
    <row r="224" spans="1:12" x14ac:dyDescent="0.3">
      <c r="A224" s="385" t="s">
        <v>27</v>
      </c>
      <c r="B224" s="391"/>
      <c r="C224" s="217">
        <v>1</v>
      </c>
      <c r="D224" s="288">
        <f>[0]!AGAF049000col_INC_FTI</f>
        <v>0</v>
      </c>
      <c r="E224" s="218">
        <f>[0]!AGAF049000col_FTI_SALARY_PERM</f>
        <v>0</v>
      </c>
      <c r="F224" s="218">
        <f>[0]!AGAF049000col_HEALTH_PERM</f>
        <v>0</v>
      </c>
      <c r="G224" s="218">
        <f>[0]!AGAF049000col_TOT_VB_PERM</f>
        <v>0</v>
      </c>
      <c r="H224" s="219">
        <f>SUM(E224:G224)</f>
        <v>0</v>
      </c>
      <c r="I224" s="219">
        <f>[0]!AGAF049000col_1_27TH_PP</f>
        <v>0</v>
      </c>
      <c r="J224" s="218">
        <f>[0]!AGAF049000col_HEALTH_PERM_CHG</f>
        <v>0</v>
      </c>
      <c r="K224" s="218">
        <f>[0]!AGAF049000col_TOT_VB_PERM_CHG</f>
        <v>0</v>
      </c>
      <c r="L224" s="218">
        <f>SUM(J224:K224)</f>
        <v>0</v>
      </c>
    </row>
    <row r="225" spans="1:12" x14ac:dyDescent="0.3">
      <c r="A225" s="385" t="s">
        <v>28</v>
      </c>
      <c r="B225" s="391"/>
      <c r="C225" s="217">
        <v>2</v>
      </c>
      <c r="D225" s="288"/>
      <c r="E225" s="218">
        <f>[0]!AGAF049000col_Group_Salary</f>
        <v>0</v>
      </c>
      <c r="F225" s="218">
        <v>0</v>
      </c>
      <c r="G225" s="218">
        <f>[0]!AGAF049000col_Group_Ben</f>
        <v>0</v>
      </c>
      <c r="H225" s="219">
        <f>SUM(E225:G225)</f>
        <v>0</v>
      </c>
      <c r="I225" s="268"/>
      <c r="J225" s="218"/>
      <c r="K225" s="218"/>
      <c r="L225" s="218"/>
    </row>
    <row r="226" spans="1:12" x14ac:dyDescent="0.3">
      <c r="A226" s="385" t="s">
        <v>29</v>
      </c>
      <c r="B226" s="386"/>
      <c r="C226" s="217">
        <v>3</v>
      </c>
      <c r="D226" s="288">
        <f>[0]!AGAF049000col_TOTAL_ELECT_PCN_FTI</f>
        <v>0</v>
      </c>
      <c r="E226" s="218">
        <f>[0]!AGAF049000col_FTI_SALARY_ELECT</f>
        <v>0</v>
      </c>
      <c r="F226" s="218">
        <f>[0]!AGAF049000col_HEALTH_ELECT</f>
        <v>0</v>
      </c>
      <c r="G226" s="218">
        <f>[0]!AGAF049000col_TOT_VB_ELECT</f>
        <v>0</v>
      </c>
      <c r="H226" s="219">
        <f>SUM(E226:G226)</f>
        <v>0</v>
      </c>
      <c r="I226" s="268"/>
      <c r="J226" s="218">
        <f>[0]!AGAF049000col_HEALTH_ELECT_CHG</f>
        <v>0</v>
      </c>
      <c r="K226" s="218">
        <f>[0]!AGAF049000col_TOT_VB_ELECT_CHG</f>
        <v>0</v>
      </c>
      <c r="L226" s="219">
        <f>SUM(J226:K226)</f>
        <v>0</v>
      </c>
    </row>
    <row r="227" spans="1:12" x14ac:dyDescent="0.3">
      <c r="A227" s="385" t="s">
        <v>30</v>
      </c>
      <c r="B227" s="391"/>
      <c r="C227" s="217"/>
      <c r="D227" s="220">
        <f>SUM(D224:D226)</f>
        <v>0</v>
      </c>
      <c r="E227" s="221">
        <f>SUM(E224:E226)</f>
        <v>0</v>
      </c>
      <c r="F227" s="221">
        <f>SUM(F224:F226)</f>
        <v>0</v>
      </c>
      <c r="G227" s="221">
        <f>SUM(G224:G226)</f>
        <v>0</v>
      </c>
      <c r="H227" s="219">
        <f>SUM(E227:G227)</f>
        <v>0</v>
      </c>
      <c r="I227" s="268"/>
      <c r="J227" s="219">
        <f>SUM(J224:J226)</f>
        <v>0</v>
      </c>
      <c r="K227" s="219">
        <f>SUM(K224:K226)</f>
        <v>0</v>
      </c>
      <c r="L227" s="219">
        <f>SUM(L224:L226)</f>
        <v>0</v>
      </c>
    </row>
    <row r="228" spans="1:12" x14ac:dyDescent="0.3">
      <c r="A228" s="365"/>
      <c r="B228" s="371"/>
      <c r="C228" s="217"/>
      <c r="D228" s="220"/>
      <c r="E228" s="219"/>
      <c r="F228" s="219"/>
      <c r="G228" s="219"/>
      <c r="H228" s="219"/>
      <c r="I228" s="268"/>
      <c r="J228" s="219"/>
      <c r="K228" s="222"/>
      <c r="L228" s="222"/>
    </row>
    <row r="229" spans="1:12" x14ac:dyDescent="0.3">
      <c r="A229" s="157" t="str">
        <f>"FY "&amp;'AGAF|0490-00'!FiscalYear-1</f>
        <v>FY 2022</v>
      </c>
      <c r="B229" s="158" t="s">
        <v>31</v>
      </c>
      <c r="C229" s="355">
        <v>12300</v>
      </c>
      <c r="D229" s="55">
        <v>0</v>
      </c>
      <c r="E229" s="223" t="e">
        <f>IF('AGAF|0490-00'!OrigApprop=0,0,(E227/H227)*'AGAF|0490-00'!OrigApprop)</f>
        <v>#DIV/0!</v>
      </c>
      <c r="F229" s="223" t="e">
        <f>IF('AGAF|0490-00'!OrigApprop=0,0,(F227/H227)*'AGAF|0490-00'!OrigApprop)</f>
        <v>#DIV/0!</v>
      </c>
      <c r="G229" s="223" t="e">
        <f>IF(E229=0,0,(G227/H227)*'AGAF|0490-00'!OrigApprop)</f>
        <v>#DIV/0!</v>
      </c>
      <c r="H229" s="223" t="e">
        <f>SUM(E229:G229)</f>
        <v>#DIV/0!</v>
      </c>
      <c r="I229" s="268"/>
      <c r="J229" s="224"/>
      <c r="K229" s="224"/>
      <c r="L229" s="224"/>
    </row>
    <row r="230" spans="1:12" x14ac:dyDescent="0.3">
      <c r="A230" s="392" t="s">
        <v>32</v>
      </c>
      <c r="B230" s="393"/>
      <c r="C230" s="160" t="s">
        <v>33</v>
      </c>
      <c r="D230" s="161">
        <f>D229-D227</f>
        <v>0</v>
      </c>
      <c r="E230" s="162" t="e">
        <f>E229-E227</f>
        <v>#DIV/0!</v>
      </c>
      <c r="F230" s="162" t="e">
        <f>F229-F227</f>
        <v>#DIV/0!</v>
      </c>
      <c r="G230" s="162" t="e">
        <f>G229-G227</f>
        <v>#DIV/0!</v>
      </c>
      <c r="H230" s="162" t="e">
        <f>H229-H227</f>
        <v>#DIV/0!</v>
      </c>
      <c r="I230" s="269"/>
      <c r="J230" s="56" t="e">
        <f>IF('AGAF|0490-00'!OrigApprop=0,"ERROR! Enter Original Appropriation amount in DU 3.00!","Calculated "&amp;IF('AGAF|0490-00'!AdjustedTotal&gt;0,"overfunding ","underfunding ")&amp;"is "&amp;TEXT('AGAF|0490-00'!AdjustedTotal/'AGAF|0490-00'!AppropTotal,"#.0%;(#.0% );0% ;")&amp;" of Original Appropriation")</f>
        <v>#DIV/0!</v>
      </c>
      <c r="K230" s="163"/>
      <c r="L230" s="164"/>
    </row>
    <row r="232" spans="1:12" x14ac:dyDescent="0.3">
      <c r="A232" s="470" t="s">
        <v>1556</v>
      </c>
      <c r="B232" s="470"/>
      <c r="C232" s="470"/>
      <c r="D232" s="470"/>
      <c r="E232" s="470"/>
      <c r="F232" s="470"/>
      <c r="G232" s="470"/>
      <c r="H232" s="470"/>
      <c r="I232" s="470"/>
      <c r="J232" s="470"/>
      <c r="K232" s="470"/>
      <c r="L232" s="470"/>
    </row>
    <row r="233" spans="1:12" ht="40.200000000000003" x14ac:dyDescent="0.3">
      <c r="A233" s="387" t="s">
        <v>22</v>
      </c>
      <c r="B233" s="388"/>
      <c r="C233" s="370" t="s">
        <v>23</v>
      </c>
      <c r="D233" s="49" t="s">
        <v>24</v>
      </c>
      <c r="E233" s="50" t="str">
        <f>"FY "&amp;'AGAH|0001-00'!FiscalYear-1&amp;" SALARY"</f>
        <v>FY 2022 SALARY</v>
      </c>
      <c r="F233" s="50" t="str">
        <f>"FY "&amp;'AGAH|0001-00'!FiscalYear-1&amp;" HEALTH BENEFITS"</f>
        <v>FY 2022 HEALTH BENEFITS</v>
      </c>
      <c r="G233" s="50" t="str">
        <f>"FY "&amp;'AGAH|0001-00'!FiscalYear-1&amp;" VAR BENEFITS"</f>
        <v>FY 2022 VAR BENEFITS</v>
      </c>
      <c r="H233" s="50" t="str">
        <f>"FY "&amp;'AGAH|0001-00'!FiscalYear-1&amp;" TOTAL"</f>
        <v>FY 2022 TOTAL</v>
      </c>
      <c r="I233" s="50" t="str">
        <f>"FY "&amp;'AGAH|0001-00'!FiscalYear&amp;" SALARY CHANGE"</f>
        <v>FY 2023 SALARY CHANGE</v>
      </c>
      <c r="J233" s="50" t="str">
        <f>"FY "&amp;'AGAH|0001-00'!FiscalYear&amp;" CHG HEALTH BENEFITS"</f>
        <v>FY 2023 CHG HEALTH BENEFITS</v>
      </c>
      <c r="K233" s="50" t="str">
        <f>"FY "&amp;'AGAH|0001-00'!FiscalYear&amp;" CHG VAR BENEFITS"</f>
        <v>FY 2023 CHG VAR BENEFITS</v>
      </c>
      <c r="L233" s="50" t="s">
        <v>25</v>
      </c>
    </row>
    <row r="234" spans="1:12" x14ac:dyDescent="0.3">
      <c r="A234" s="389" t="s">
        <v>26</v>
      </c>
      <c r="B234" s="390"/>
      <c r="C234" s="141"/>
      <c r="D234" s="142"/>
      <c r="E234" s="143"/>
      <c r="F234" s="143"/>
      <c r="G234" s="143"/>
      <c r="H234" s="144"/>
      <c r="I234" s="144"/>
      <c r="J234" s="145"/>
      <c r="K234" s="146"/>
      <c r="L234" s="144"/>
    </row>
    <row r="235" spans="1:12" x14ac:dyDescent="0.3">
      <c r="A235" s="385" t="s">
        <v>27</v>
      </c>
      <c r="B235" s="391"/>
      <c r="C235" s="217">
        <v>1</v>
      </c>
      <c r="D235" s="288">
        <f>[0]!AGAH000100col_INC_FTI</f>
        <v>0</v>
      </c>
      <c r="E235" s="218">
        <f>[0]!AGAH000100col_FTI_SALARY_PERM</f>
        <v>0</v>
      </c>
      <c r="F235" s="218">
        <f>[0]!AGAH000100col_HEALTH_PERM</f>
        <v>0</v>
      </c>
      <c r="G235" s="218">
        <f>[0]!AGAH000100col_TOT_VB_PERM</f>
        <v>0</v>
      </c>
      <c r="H235" s="219">
        <f>SUM(E235:G235)</f>
        <v>0</v>
      </c>
      <c r="I235" s="219">
        <f>[0]!AGAH000100col_1_27TH_PP</f>
        <v>0</v>
      </c>
      <c r="J235" s="218">
        <f>[0]!AGAH000100col_HEALTH_PERM_CHG</f>
        <v>0</v>
      </c>
      <c r="K235" s="218">
        <f>[0]!AGAH000100col_TOT_VB_PERM_CHG</f>
        <v>0</v>
      </c>
      <c r="L235" s="218">
        <f>SUM(J235:K235)</f>
        <v>0</v>
      </c>
    </row>
    <row r="236" spans="1:12" x14ac:dyDescent="0.3">
      <c r="A236" s="385" t="s">
        <v>28</v>
      </c>
      <c r="B236" s="391"/>
      <c r="C236" s="217">
        <v>2</v>
      </c>
      <c r="D236" s="288"/>
      <c r="E236" s="218">
        <f>[0]!AGAH000100col_Group_Salary</f>
        <v>0</v>
      </c>
      <c r="F236" s="218">
        <v>0</v>
      </c>
      <c r="G236" s="218">
        <f>[0]!AGAH000100col_Group_Ben</f>
        <v>0</v>
      </c>
      <c r="H236" s="219">
        <f>SUM(E236:G236)</f>
        <v>0</v>
      </c>
      <c r="I236" s="268"/>
      <c r="J236" s="218"/>
      <c r="K236" s="218"/>
      <c r="L236" s="218"/>
    </row>
    <row r="237" spans="1:12" x14ac:dyDescent="0.3">
      <c r="A237" s="385" t="s">
        <v>29</v>
      </c>
      <c r="B237" s="386"/>
      <c r="C237" s="217">
        <v>3</v>
      </c>
      <c r="D237" s="288">
        <f>[0]!AGAH000100col_TOTAL_ELECT_PCN_FTI</f>
        <v>0</v>
      </c>
      <c r="E237" s="218">
        <f>[0]!AGAH000100col_FTI_SALARY_ELECT</f>
        <v>0</v>
      </c>
      <c r="F237" s="218">
        <f>[0]!AGAH000100col_HEALTH_ELECT</f>
        <v>0</v>
      </c>
      <c r="G237" s="218">
        <f>[0]!AGAH000100col_TOT_VB_ELECT</f>
        <v>0</v>
      </c>
      <c r="H237" s="219">
        <f>SUM(E237:G237)</f>
        <v>0</v>
      </c>
      <c r="I237" s="268"/>
      <c r="J237" s="218">
        <f>[0]!AGAH000100col_HEALTH_ELECT_CHG</f>
        <v>0</v>
      </c>
      <c r="K237" s="218">
        <f>[0]!AGAH000100col_TOT_VB_ELECT_CHG</f>
        <v>0</v>
      </c>
      <c r="L237" s="219">
        <f>SUM(J237:K237)</f>
        <v>0</v>
      </c>
    </row>
    <row r="238" spans="1:12" x14ac:dyDescent="0.3">
      <c r="A238" s="385" t="s">
        <v>30</v>
      </c>
      <c r="B238" s="391"/>
      <c r="C238" s="217"/>
      <c r="D238" s="220">
        <f>SUM(D235:D237)</f>
        <v>0</v>
      </c>
      <c r="E238" s="221">
        <f>SUM(E235:E237)</f>
        <v>0</v>
      </c>
      <c r="F238" s="221">
        <f>SUM(F235:F237)</f>
        <v>0</v>
      </c>
      <c r="G238" s="221">
        <f>SUM(G235:G237)</f>
        <v>0</v>
      </c>
      <c r="H238" s="219">
        <f>SUM(E238:G238)</f>
        <v>0</v>
      </c>
      <c r="I238" s="268"/>
      <c r="J238" s="219">
        <f>SUM(J235:J237)</f>
        <v>0</v>
      </c>
      <c r="K238" s="219">
        <f>SUM(K235:K237)</f>
        <v>0</v>
      </c>
      <c r="L238" s="219">
        <f>SUM(L235:L237)</f>
        <v>0</v>
      </c>
    </row>
    <row r="239" spans="1:12" x14ac:dyDescent="0.3">
      <c r="A239" s="365"/>
      <c r="B239" s="371"/>
      <c r="C239" s="217"/>
      <c r="D239" s="220"/>
      <c r="E239" s="219"/>
      <c r="F239" s="219"/>
      <c r="G239" s="219"/>
      <c r="H239" s="219"/>
      <c r="I239" s="268"/>
      <c r="J239" s="219"/>
      <c r="K239" s="222"/>
      <c r="L239" s="222"/>
    </row>
    <row r="240" spans="1:12" x14ac:dyDescent="0.3">
      <c r="A240" s="157" t="str">
        <f>"FY "&amp;'AGAH|0001-00'!FiscalYear-1</f>
        <v>FY 2022</v>
      </c>
      <c r="B240" s="158" t="s">
        <v>31</v>
      </c>
      <c r="C240" s="355">
        <v>72200</v>
      </c>
      <c r="D240" s="55">
        <v>2</v>
      </c>
      <c r="E240" s="223" t="e">
        <f>IF('AGAH|0001-00'!OrigApprop=0,0,(E238/H238)*'AGAH|0001-00'!OrigApprop)</f>
        <v>#DIV/0!</v>
      </c>
      <c r="F240" s="223" t="e">
        <f>IF('AGAH|0001-00'!OrigApprop=0,0,(F238/H238)*'AGAH|0001-00'!OrigApprop)</f>
        <v>#DIV/0!</v>
      </c>
      <c r="G240" s="223" t="e">
        <f>IF(E240=0,0,(G238/H238)*'AGAH|0001-00'!OrigApprop)</f>
        <v>#DIV/0!</v>
      </c>
      <c r="H240" s="223" t="e">
        <f>SUM(E240:G240)</f>
        <v>#DIV/0!</v>
      </c>
      <c r="I240" s="268"/>
      <c r="J240" s="224"/>
      <c r="K240" s="224"/>
      <c r="L240" s="224"/>
    </row>
    <row r="241" spans="1:12" x14ac:dyDescent="0.3">
      <c r="A241" s="392" t="s">
        <v>32</v>
      </c>
      <c r="B241" s="393"/>
      <c r="C241" s="160" t="s">
        <v>33</v>
      </c>
      <c r="D241" s="161">
        <f>D240-D238</f>
        <v>2</v>
      </c>
      <c r="E241" s="162" t="e">
        <f>E240-E238</f>
        <v>#DIV/0!</v>
      </c>
      <c r="F241" s="162" t="e">
        <f>F240-F238</f>
        <v>#DIV/0!</v>
      </c>
      <c r="G241" s="162" t="e">
        <f>G240-G238</f>
        <v>#DIV/0!</v>
      </c>
      <c r="H241" s="162" t="e">
        <f>H240-H238</f>
        <v>#DIV/0!</v>
      </c>
      <c r="I241" s="269"/>
      <c r="J241" s="56" t="e">
        <f>IF('AGAH|0001-00'!OrigApprop=0,"ERROR! Enter Original Appropriation amount in DU 3.00!","Calculated "&amp;IF('AGAH|0001-00'!AdjustedTotal&gt;0,"overfunding ","underfunding ")&amp;"is "&amp;TEXT('AGAH|0001-00'!AdjustedTotal/'AGAH|0001-00'!AppropTotal,"#.0%;(#.0% );0% ;")&amp;" of Original Appropriation")</f>
        <v>#DIV/0!</v>
      </c>
      <c r="K241" s="163"/>
      <c r="L241" s="164"/>
    </row>
    <row r="243" spans="1:12" x14ac:dyDescent="0.3">
      <c r="A243" s="470" t="s">
        <v>1562</v>
      </c>
      <c r="B243" s="470"/>
      <c r="C243" s="470"/>
      <c r="D243" s="470"/>
      <c r="E243" s="470"/>
      <c r="F243" s="470"/>
      <c r="G243" s="470"/>
      <c r="H243" s="470"/>
      <c r="I243" s="470"/>
      <c r="J243" s="470"/>
      <c r="K243" s="470"/>
      <c r="L243" s="470"/>
    </row>
    <row r="244" spans="1:12" ht="40.200000000000003" x14ac:dyDescent="0.3">
      <c r="A244" s="387" t="s">
        <v>22</v>
      </c>
      <c r="B244" s="388"/>
      <c r="C244" s="370" t="s">
        <v>23</v>
      </c>
      <c r="D244" s="49" t="s">
        <v>24</v>
      </c>
      <c r="E244" s="50" t="str">
        <f>"FY "&amp;'AGAH|0332-03'!FiscalYear-1&amp;" SALARY"</f>
        <v>FY 2022 SALARY</v>
      </c>
      <c r="F244" s="50" t="str">
        <f>"FY "&amp;'AGAH|0332-03'!FiscalYear-1&amp;" HEALTH BENEFITS"</f>
        <v>FY 2022 HEALTH BENEFITS</v>
      </c>
      <c r="G244" s="50" t="str">
        <f>"FY "&amp;'AGAH|0332-03'!FiscalYear-1&amp;" VAR BENEFITS"</f>
        <v>FY 2022 VAR BENEFITS</v>
      </c>
      <c r="H244" s="50" t="str">
        <f>"FY "&amp;'AGAH|0332-03'!FiscalYear-1&amp;" TOTAL"</f>
        <v>FY 2022 TOTAL</v>
      </c>
      <c r="I244" s="50" t="str">
        <f>"FY "&amp;'AGAH|0332-03'!FiscalYear&amp;" SALARY CHANGE"</f>
        <v>FY 2023 SALARY CHANGE</v>
      </c>
      <c r="J244" s="50" t="str">
        <f>"FY "&amp;'AGAH|0332-03'!FiscalYear&amp;" CHG HEALTH BENEFITS"</f>
        <v>FY 2023 CHG HEALTH BENEFITS</v>
      </c>
      <c r="K244" s="50" t="str">
        <f>"FY "&amp;'AGAH|0332-03'!FiscalYear&amp;" CHG VAR BENEFITS"</f>
        <v>FY 2023 CHG VAR BENEFITS</v>
      </c>
      <c r="L244" s="50" t="s">
        <v>25</v>
      </c>
    </row>
    <row r="245" spans="1:12" x14ac:dyDescent="0.3">
      <c r="A245" s="389" t="s">
        <v>26</v>
      </c>
      <c r="B245" s="390"/>
      <c r="C245" s="141"/>
      <c r="D245" s="142"/>
      <c r="E245" s="143"/>
      <c r="F245" s="143"/>
      <c r="G245" s="143"/>
      <c r="H245" s="144"/>
      <c r="I245" s="144"/>
      <c r="J245" s="145"/>
      <c r="K245" s="146"/>
      <c r="L245" s="144"/>
    </row>
    <row r="246" spans="1:12" x14ac:dyDescent="0.3">
      <c r="A246" s="385" t="s">
        <v>27</v>
      </c>
      <c r="B246" s="391"/>
      <c r="C246" s="217">
        <v>1</v>
      </c>
      <c r="D246" s="288">
        <f>[0]!AGAH033203col_INC_FTI</f>
        <v>0</v>
      </c>
      <c r="E246" s="218">
        <f>[0]!AGAH033203col_FTI_SALARY_PERM</f>
        <v>0</v>
      </c>
      <c r="F246" s="218">
        <f>[0]!AGAH033203col_HEALTH_PERM</f>
        <v>0</v>
      </c>
      <c r="G246" s="218">
        <f>[0]!AGAH033203col_TOT_VB_PERM</f>
        <v>0</v>
      </c>
      <c r="H246" s="219">
        <f>SUM(E246:G246)</f>
        <v>0</v>
      </c>
      <c r="I246" s="219">
        <f>[0]!AGAH033203col_1_27TH_PP</f>
        <v>0</v>
      </c>
      <c r="J246" s="218">
        <f>[0]!AGAH033203col_HEALTH_PERM_CHG</f>
        <v>0</v>
      </c>
      <c r="K246" s="218">
        <f>[0]!AGAH033203col_TOT_VB_PERM_CHG</f>
        <v>0</v>
      </c>
      <c r="L246" s="218">
        <f>SUM(J246:K246)</f>
        <v>0</v>
      </c>
    </row>
    <row r="247" spans="1:12" x14ac:dyDescent="0.3">
      <c r="A247" s="385" t="s">
        <v>28</v>
      </c>
      <c r="B247" s="391"/>
      <c r="C247" s="217">
        <v>2</v>
      </c>
      <c r="D247" s="288"/>
      <c r="E247" s="218">
        <f>[0]!AGAH033203col_Group_Salary</f>
        <v>0</v>
      </c>
      <c r="F247" s="218">
        <v>0</v>
      </c>
      <c r="G247" s="218">
        <f>[0]!AGAH033203col_Group_Ben</f>
        <v>0</v>
      </c>
      <c r="H247" s="219">
        <f>SUM(E247:G247)</f>
        <v>0</v>
      </c>
      <c r="I247" s="268"/>
      <c r="J247" s="218"/>
      <c r="K247" s="218"/>
      <c r="L247" s="218"/>
    </row>
    <row r="248" spans="1:12" x14ac:dyDescent="0.3">
      <c r="A248" s="385" t="s">
        <v>29</v>
      </c>
      <c r="B248" s="386"/>
      <c r="C248" s="217">
        <v>3</v>
      </c>
      <c r="D248" s="288">
        <f>[0]!AGAH033203col_TOTAL_ELECT_PCN_FTI</f>
        <v>0</v>
      </c>
      <c r="E248" s="218">
        <f>[0]!AGAH033203col_FTI_SALARY_ELECT</f>
        <v>0</v>
      </c>
      <c r="F248" s="218">
        <f>[0]!AGAH033203col_HEALTH_ELECT</f>
        <v>0</v>
      </c>
      <c r="G248" s="218">
        <f>[0]!AGAH033203col_TOT_VB_ELECT</f>
        <v>0</v>
      </c>
      <c r="H248" s="219">
        <f>SUM(E248:G248)</f>
        <v>0</v>
      </c>
      <c r="I248" s="268"/>
      <c r="J248" s="218">
        <f>[0]!AGAH033203col_HEALTH_ELECT_CHG</f>
        <v>0</v>
      </c>
      <c r="K248" s="218">
        <f>[0]!AGAH033203col_TOT_VB_ELECT_CHG</f>
        <v>0</v>
      </c>
      <c r="L248" s="219">
        <f>SUM(J248:K248)</f>
        <v>0</v>
      </c>
    </row>
    <row r="249" spans="1:12" x14ac:dyDescent="0.3">
      <c r="A249" s="385" t="s">
        <v>30</v>
      </c>
      <c r="B249" s="391"/>
      <c r="C249" s="217"/>
      <c r="D249" s="220">
        <f>SUM(D246:D248)</f>
        <v>0</v>
      </c>
      <c r="E249" s="221">
        <f>SUM(E246:E248)</f>
        <v>0</v>
      </c>
      <c r="F249" s="221">
        <f>SUM(F246:F248)</f>
        <v>0</v>
      </c>
      <c r="G249" s="221">
        <f>SUM(G246:G248)</f>
        <v>0</v>
      </c>
      <c r="H249" s="219">
        <f>SUM(E249:G249)</f>
        <v>0</v>
      </c>
      <c r="I249" s="268"/>
      <c r="J249" s="219">
        <f>SUM(J246:J248)</f>
        <v>0</v>
      </c>
      <c r="K249" s="219">
        <f>SUM(K246:K248)</f>
        <v>0</v>
      </c>
      <c r="L249" s="219">
        <f>SUM(L246:L248)</f>
        <v>0</v>
      </c>
    </row>
    <row r="250" spans="1:12" x14ac:dyDescent="0.3">
      <c r="A250" s="365"/>
      <c r="B250" s="371"/>
      <c r="C250" s="217"/>
      <c r="D250" s="220"/>
      <c r="E250" s="219"/>
      <c r="F250" s="219"/>
      <c r="G250" s="219"/>
      <c r="H250" s="219"/>
      <c r="I250" s="268"/>
      <c r="J250" s="219"/>
      <c r="K250" s="222"/>
      <c r="L250" s="222"/>
    </row>
    <row r="251" spans="1:12" x14ac:dyDescent="0.3">
      <c r="A251" s="157" t="str">
        <f>"FY "&amp;'AGAH|0332-03'!FiscalYear-1</f>
        <v>FY 2022</v>
      </c>
      <c r="B251" s="158" t="s">
        <v>31</v>
      </c>
      <c r="C251" s="355">
        <v>72500</v>
      </c>
      <c r="D251" s="55">
        <v>0</v>
      </c>
      <c r="E251" s="223" t="e">
        <f>IF('AGAH|0332-03'!OrigApprop=0,0,(E249/H249)*'AGAH|0332-03'!OrigApprop)</f>
        <v>#DIV/0!</v>
      </c>
      <c r="F251" s="223" t="e">
        <f>IF('AGAH|0332-03'!OrigApprop=0,0,(F249/H249)*'AGAH|0332-03'!OrigApprop)</f>
        <v>#DIV/0!</v>
      </c>
      <c r="G251" s="223" t="e">
        <f>IF(E251=0,0,(G249/H249)*'AGAH|0332-03'!OrigApprop)</f>
        <v>#DIV/0!</v>
      </c>
      <c r="H251" s="223" t="e">
        <f>SUM(E251:G251)</f>
        <v>#DIV/0!</v>
      </c>
      <c r="I251" s="268"/>
      <c r="J251" s="224"/>
      <c r="K251" s="224"/>
      <c r="L251" s="224"/>
    </row>
    <row r="252" spans="1:12" x14ac:dyDescent="0.3">
      <c r="A252" s="392" t="s">
        <v>32</v>
      </c>
      <c r="B252" s="393"/>
      <c r="C252" s="160" t="s">
        <v>33</v>
      </c>
      <c r="D252" s="161">
        <f>D251-D249</f>
        <v>0</v>
      </c>
      <c r="E252" s="162" t="e">
        <f>E251-E249</f>
        <v>#DIV/0!</v>
      </c>
      <c r="F252" s="162" t="e">
        <f>F251-F249</f>
        <v>#DIV/0!</v>
      </c>
      <c r="G252" s="162" t="e">
        <f>G251-G249</f>
        <v>#DIV/0!</v>
      </c>
      <c r="H252" s="162" t="e">
        <f>H251-H249</f>
        <v>#DIV/0!</v>
      </c>
      <c r="I252" s="269"/>
      <c r="J252" s="56" t="e">
        <f>IF('AGAH|0332-03'!OrigApprop=0,"ERROR! Enter Original Appropriation amount in DU 3.00!","Calculated "&amp;IF('AGAH|0332-03'!AdjustedTotal&gt;0,"overfunding ","underfunding ")&amp;"is "&amp;TEXT('AGAH|0332-03'!AdjustedTotal/'AGAH|0332-03'!AppropTotal,"#.0%;(#.0% );0% ;")&amp;" of Original Appropriation")</f>
        <v>#DIV/0!</v>
      </c>
      <c r="K252" s="163"/>
      <c r="L252" s="164"/>
    </row>
    <row r="254" spans="1:12" x14ac:dyDescent="0.3">
      <c r="A254" s="470" t="s">
        <v>1570</v>
      </c>
      <c r="B254" s="470"/>
      <c r="C254" s="470"/>
      <c r="D254" s="470"/>
      <c r="E254" s="470"/>
      <c r="F254" s="470"/>
      <c r="G254" s="470"/>
      <c r="H254" s="470"/>
      <c r="I254" s="470"/>
      <c r="J254" s="470"/>
      <c r="K254" s="470"/>
      <c r="L254" s="470"/>
    </row>
    <row r="255" spans="1:12" ht="40.200000000000003" x14ac:dyDescent="0.3">
      <c r="A255" s="387" t="s">
        <v>22</v>
      </c>
      <c r="B255" s="388"/>
      <c r="C255" s="370" t="s">
        <v>23</v>
      </c>
      <c r="D255" s="49" t="s">
        <v>24</v>
      </c>
      <c r="E255" s="50" t="str">
        <f>"FY "&amp;'AGAL|0486-00'!FiscalYear-1&amp;" SALARY"</f>
        <v>FY 2022 SALARY</v>
      </c>
      <c r="F255" s="50" t="str">
        <f>"FY "&amp;'AGAL|0486-00'!FiscalYear-1&amp;" HEALTH BENEFITS"</f>
        <v>FY 2022 HEALTH BENEFITS</v>
      </c>
      <c r="G255" s="50" t="str">
        <f>"FY "&amp;'AGAL|0486-00'!FiscalYear-1&amp;" VAR BENEFITS"</f>
        <v>FY 2022 VAR BENEFITS</v>
      </c>
      <c r="H255" s="50" t="str">
        <f>"FY "&amp;'AGAL|0486-00'!FiscalYear-1&amp;" TOTAL"</f>
        <v>FY 2022 TOTAL</v>
      </c>
      <c r="I255" s="50" t="str">
        <f>"FY "&amp;'AGAL|0486-00'!FiscalYear&amp;" SALARY CHANGE"</f>
        <v>FY 2023 SALARY CHANGE</v>
      </c>
      <c r="J255" s="50" t="str">
        <f>"FY "&amp;'AGAL|0486-00'!FiscalYear&amp;" CHG HEALTH BENEFITS"</f>
        <v>FY 2023 CHG HEALTH BENEFITS</v>
      </c>
      <c r="K255" s="50" t="str">
        <f>"FY "&amp;'AGAL|0486-00'!FiscalYear&amp;" CHG VAR BENEFITS"</f>
        <v>FY 2023 CHG VAR BENEFITS</v>
      </c>
      <c r="L255" s="50" t="s">
        <v>25</v>
      </c>
    </row>
    <row r="256" spans="1:12" x14ac:dyDescent="0.3">
      <c r="A256" s="389" t="s">
        <v>26</v>
      </c>
      <c r="B256" s="390"/>
      <c r="C256" s="141"/>
      <c r="D256" s="142"/>
      <c r="E256" s="143"/>
      <c r="F256" s="143"/>
      <c r="G256" s="143"/>
      <c r="H256" s="144"/>
      <c r="I256" s="144"/>
      <c r="J256" s="145"/>
      <c r="K256" s="146"/>
      <c r="L256" s="144"/>
    </row>
    <row r="257" spans="1:12" x14ac:dyDescent="0.3">
      <c r="A257" s="385" t="s">
        <v>27</v>
      </c>
      <c r="B257" s="391"/>
      <c r="C257" s="217">
        <v>1</v>
      </c>
      <c r="D257" s="288">
        <f>[0]!AGAL048600col_INC_FTI</f>
        <v>13</v>
      </c>
      <c r="E257" s="218">
        <f>[0]!AGAL048600col_FTI_SALARY_PERM</f>
        <v>748571.20000000007</v>
      </c>
      <c r="F257" s="218">
        <f>[0]!AGAL048600col_HEALTH_PERM</f>
        <v>154945</v>
      </c>
      <c r="G257" s="218">
        <f>[0]!AGAL048600col_TOT_VB_PERM</f>
        <v>169454.06254400004</v>
      </c>
      <c r="H257" s="219">
        <f>SUM(E257:G257)</f>
        <v>1072970.2625440001</v>
      </c>
      <c r="I257" s="219">
        <f>[0]!AGAL048600col_1_27TH_PP</f>
        <v>0</v>
      </c>
      <c r="J257" s="218">
        <f>[0]!AGAL048600col_HEALTH_PERM_CHG</f>
        <v>0</v>
      </c>
      <c r="K257" s="218">
        <f>[0]!AGAL048600col_TOT_VB_PERM_CHG</f>
        <v>-1946.2851199999984</v>
      </c>
      <c r="L257" s="218">
        <f>SUM(J257:K257)</f>
        <v>-1946.2851199999984</v>
      </c>
    </row>
    <row r="258" spans="1:12" x14ac:dyDescent="0.3">
      <c r="A258" s="385" t="s">
        <v>28</v>
      </c>
      <c r="B258" s="391"/>
      <c r="C258" s="217">
        <v>2</v>
      </c>
      <c r="D258" s="288"/>
      <c r="E258" s="218">
        <f>[0]!AGAL048600col_Group_Salary</f>
        <v>3474080.0999999996</v>
      </c>
      <c r="F258" s="218">
        <v>0</v>
      </c>
      <c r="G258" s="218">
        <f>[0]!AGAL048600col_Group_Ben</f>
        <v>1952693.5</v>
      </c>
      <c r="H258" s="219">
        <f>SUM(E258:G258)</f>
        <v>5426773.5999999996</v>
      </c>
      <c r="I258" s="268"/>
      <c r="J258" s="218"/>
      <c r="K258" s="218"/>
      <c r="L258" s="218"/>
    </row>
    <row r="259" spans="1:12" x14ac:dyDescent="0.3">
      <c r="A259" s="385" t="s">
        <v>29</v>
      </c>
      <c r="B259" s="386"/>
      <c r="C259" s="217">
        <v>3</v>
      </c>
      <c r="D259" s="288">
        <f>[0]!AGAL048600col_TOTAL_ELECT_PCN_FTI</f>
        <v>0</v>
      </c>
      <c r="E259" s="218">
        <f>[0]!AGAL048600col_FTI_SALARY_ELECT</f>
        <v>0</v>
      </c>
      <c r="F259" s="218">
        <f>[0]!AGAL048600col_HEALTH_ELECT</f>
        <v>0</v>
      </c>
      <c r="G259" s="218">
        <f>[0]!AGAL048600col_TOT_VB_ELECT</f>
        <v>0</v>
      </c>
      <c r="H259" s="219">
        <f>SUM(E259:G259)</f>
        <v>0</v>
      </c>
      <c r="I259" s="268"/>
      <c r="J259" s="218">
        <f>[0]!AGAL048600col_HEALTH_ELECT_CHG</f>
        <v>0</v>
      </c>
      <c r="K259" s="218">
        <f>[0]!AGAL048600col_TOT_VB_ELECT_CHG</f>
        <v>0</v>
      </c>
      <c r="L259" s="219">
        <f>SUM(J259:K259)</f>
        <v>0</v>
      </c>
    </row>
    <row r="260" spans="1:12" x14ac:dyDescent="0.3">
      <c r="A260" s="385" t="s">
        <v>30</v>
      </c>
      <c r="B260" s="391"/>
      <c r="C260" s="217"/>
      <c r="D260" s="220">
        <f>SUM(D257:D259)</f>
        <v>13</v>
      </c>
      <c r="E260" s="221">
        <f>SUM(E257:E259)</f>
        <v>4222651.3</v>
      </c>
      <c r="F260" s="221">
        <f>SUM(F257:F259)</f>
        <v>154945</v>
      </c>
      <c r="G260" s="221">
        <f>SUM(G257:G259)</f>
        <v>2122147.5625439999</v>
      </c>
      <c r="H260" s="219">
        <f>SUM(E260:G260)</f>
        <v>6499743.8625440001</v>
      </c>
      <c r="I260" s="268"/>
      <c r="J260" s="219">
        <f>SUM(J257:J259)</f>
        <v>0</v>
      </c>
      <c r="K260" s="219">
        <f>SUM(K257:K259)</f>
        <v>-1946.2851199999984</v>
      </c>
      <c r="L260" s="219">
        <f>SUM(L257:L259)</f>
        <v>-1946.2851199999984</v>
      </c>
    </row>
    <row r="261" spans="1:12" x14ac:dyDescent="0.3">
      <c r="A261" s="365"/>
      <c r="B261" s="371"/>
      <c r="C261" s="217"/>
      <c r="D261" s="220"/>
      <c r="E261" s="219"/>
      <c r="F261" s="219"/>
      <c r="G261" s="219"/>
      <c r="H261" s="219"/>
      <c r="I261" s="268"/>
      <c r="J261" s="219"/>
      <c r="K261" s="222"/>
      <c r="L261" s="222"/>
    </row>
    <row r="262" spans="1:12" x14ac:dyDescent="0.3">
      <c r="A262" s="157" t="str">
        <f>"FY "&amp;'AGAL|0486-00'!FiscalYear-1</f>
        <v>FY 2022</v>
      </c>
      <c r="B262" s="158" t="s">
        <v>31</v>
      </c>
      <c r="C262" s="355">
        <v>7659900</v>
      </c>
      <c r="D262" s="55">
        <v>16.350000000000001</v>
      </c>
      <c r="E262" s="223">
        <f>IF('AGAL|0486-00'!OrigApprop=0,0,(E260/H260)*'AGAL|0486-00'!OrigApprop)</f>
        <v>4976363.2809078302</v>
      </c>
      <c r="F262" s="223">
        <f>IF('AGAL|0486-00'!OrigApprop=0,0,(F260/H260)*'AGAL|0486-00'!OrigApprop)</f>
        <v>182601.5348604001</v>
      </c>
      <c r="G262" s="223">
        <f>IF(E262=0,0,(G260/H260)*'AGAL|0486-00'!OrigApprop)</f>
        <v>2500935.1842317684</v>
      </c>
      <c r="H262" s="223">
        <f>SUM(E262:G262)</f>
        <v>7659899.9999999991</v>
      </c>
      <c r="I262" s="268"/>
      <c r="J262" s="224"/>
      <c r="K262" s="224"/>
      <c r="L262" s="224"/>
    </row>
    <row r="263" spans="1:12" x14ac:dyDescent="0.3">
      <c r="A263" s="392" t="s">
        <v>32</v>
      </c>
      <c r="B263" s="393"/>
      <c r="C263" s="160" t="s">
        <v>33</v>
      </c>
      <c r="D263" s="161">
        <f>D262-D260</f>
        <v>3.3500000000000014</v>
      </c>
      <c r="E263" s="162">
        <f>E262-E260</f>
        <v>753711.98090783041</v>
      </c>
      <c r="F263" s="162">
        <f>F262-F260</f>
        <v>27656.534860400105</v>
      </c>
      <c r="G263" s="162">
        <f>G262-G260</f>
        <v>378787.62168776849</v>
      </c>
      <c r="H263" s="162">
        <f>H262-H260</f>
        <v>1160156.1374559989</v>
      </c>
      <c r="I263" s="269"/>
      <c r="J263" s="56" t="str">
        <f>IF('AGAL|0486-00'!OrigApprop=0,"ERROR! Enter Original Appropriation amount in DU 3.00!","Calculated "&amp;IF('AGAL|0486-00'!AdjustedTotal&gt;0,"overfunding ","underfunding ")&amp;"is "&amp;TEXT('AGAL|0486-00'!AdjustedTotal/'AGAL|0486-00'!AppropTotal,"#.0%;(#.0% );0% ;")&amp;" of Original Appropriation")</f>
        <v>Calculated overfunding is 15.1% of Original Appropriation</v>
      </c>
      <c r="K263" s="163"/>
      <c r="L263" s="164"/>
    </row>
    <row r="265" spans="1:12" x14ac:dyDescent="0.3">
      <c r="A265" s="470" t="s">
        <v>1573</v>
      </c>
      <c r="B265" s="470"/>
      <c r="C265" s="470"/>
      <c r="D265" s="470"/>
      <c r="E265" s="470"/>
      <c r="F265" s="470"/>
      <c r="G265" s="470"/>
      <c r="H265" s="470"/>
      <c r="I265" s="470"/>
      <c r="J265" s="470"/>
      <c r="K265" s="470"/>
      <c r="L265" s="470"/>
    </row>
    <row r="266" spans="1:12" ht="40.200000000000003" x14ac:dyDescent="0.3">
      <c r="A266" s="387" t="s">
        <v>22</v>
      </c>
      <c r="B266" s="388"/>
      <c r="C266" s="370" t="s">
        <v>23</v>
      </c>
      <c r="D266" s="49" t="s">
        <v>24</v>
      </c>
      <c r="E266" s="50" t="str">
        <f>"FY "&amp;'AGAM|0348-00'!FiscalYear-1&amp;" SALARY"</f>
        <v>FY 2022 SALARY</v>
      </c>
      <c r="F266" s="50" t="str">
        <f>"FY "&amp;'AGAM|0348-00'!FiscalYear-1&amp;" HEALTH BENEFITS"</f>
        <v>FY 2022 HEALTH BENEFITS</v>
      </c>
      <c r="G266" s="50" t="str">
        <f>"FY "&amp;'AGAM|0348-00'!FiscalYear-1&amp;" VAR BENEFITS"</f>
        <v>FY 2022 VAR BENEFITS</v>
      </c>
      <c r="H266" s="50" t="str">
        <f>"FY "&amp;'AGAM|0348-00'!FiscalYear-1&amp;" TOTAL"</f>
        <v>FY 2022 TOTAL</v>
      </c>
      <c r="I266" s="50" t="str">
        <f>"FY "&amp;'AGAM|0348-00'!FiscalYear&amp;" SALARY CHANGE"</f>
        <v>FY 2023 SALARY CHANGE</v>
      </c>
      <c r="J266" s="50" t="str">
        <f>"FY "&amp;'AGAM|0348-00'!FiscalYear&amp;" CHG HEALTH BENEFITS"</f>
        <v>FY 2023 CHG HEALTH BENEFITS</v>
      </c>
      <c r="K266" s="50" t="str">
        <f>"FY "&amp;'AGAM|0348-00'!FiscalYear&amp;" CHG VAR BENEFITS"</f>
        <v>FY 2023 CHG VAR BENEFITS</v>
      </c>
      <c r="L266" s="50" t="s">
        <v>25</v>
      </c>
    </row>
    <row r="267" spans="1:12" x14ac:dyDescent="0.3">
      <c r="A267" s="389" t="s">
        <v>26</v>
      </c>
      <c r="B267" s="390"/>
      <c r="C267" s="141"/>
      <c r="D267" s="142"/>
      <c r="E267" s="143"/>
      <c r="F267" s="143"/>
      <c r="G267" s="143"/>
      <c r="H267" s="144"/>
      <c r="I267" s="144"/>
      <c r="J267" s="145"/>
      <c r="K267" s="146"/>
      <c r="L267" s="144"/>
    </row>
    <row r="268" spans="1:12" x14ac:dyDescent="0.3">
      <c r="A268" s="385" t="s">
        <v>27</v>
      </c>
      <c r="B268" s="391"/>
      <c r="C268" s="217">
        <v>1</v>
      </c>
      <c r="D268" s="288">
        <f>[0]!AGAM034800col_INC_FTI</f>
        <v>1</v>
      </c>
      <c r="E268" s="218">
        <f>[0]!AGAM034800col_FTI_SALARY_PERM</f>
        <v>46800</v>
      </c>
      <c r="F268" s="218">
        <f>[0]!AGAM034800col_HEALTH_PERM</f>
        <v>11650</v>
      </c>
      <c r="G268" s="218">
        <f>[0]!AGAM034800col_TOT_VB_PERM</f>
        <v>10594.115999999998</v>
      </c>
      <c r="H268" s="219">
        <f>SUM(E268:G268)</f>
        <v>69044.115999999995</v>
      </c>
      <c r="I268" s="219">
        <f>[0]!AGAM034800col_1_27TH_PP</f>
        <v>0</v>
      </c>
      <c r="J268" s="218">
        <f>[0]!AGAM034800col_HEALTH_PERM_CHG</f>
        <v>0</v>
      </c>
      <c r="K268" s="218">
        <f>[0]!AGAM034800col_TOT_VB_PERM_CHG</f>
        <v>-121.67999999999991</v>
      </c>
      <c r="L268" s="218">
        <f>SUM(J268:K268)</f>
        <v>-121.67999999999991</v>
      </c>
    </row>
    <row r="269" spans="1:12" x14ac:dyDescent="0.3">
      <c r="A269" s="385" t="s">
        <v>28</v>
      </c>
      <c r="B269" s="391"/>
      <c r="C269" s="217">
        <v>2</v>
      </c>
      <c r="D269" s="288"/>
      <c r="E269" s="218">
        <f>[0]!AGAM034800col_Group_Salary</f>
        <v>0</v>
      </c>
      <c r="F269" s="218">
        <v>0</v>
      </c>
      <c r="G269" s="218">
        <f>[0]!AGAM034800col_Group_Ben</f>
        <v>0</v>
      </c>
      <c r="H269" s="219">
        <f>SUM(E269:G269)</f>
        <v>0</v>
      </c>
      <c r="I269" s="268"/>
      <c r="J269" s="218"/>
      <c r="K269" s="218"/>
      <c r="L269" s="218"/>
    </row>
    <row r="270" spans="1:12" x14ac:dyDescent="0.3">
      <c r="A270" s="385" t="s">
        <v>29</v>
      </c>
      <c r="B270" s="386"/>
      <c r="C270" s="217">
        <v>3</v>
      </c>
      <c r="D270" s="288">
        <f>[0]!AGAM034800col_TOTAL_ELECT_PCN_FTI</f>
        <v>0</v>
      </c>
      <c r="E270" s="218">
        <f>[0]!AGAM034800col_FTI_SALARY_ELECT</f>
        <v>0</v>
      </c>
      <c r="F270" s="218">
        <f>[0]!AGAM034800col_HEALTH_ELECT</f>
        <v>0</v>
      </c>
      <c r="G270" s="218">
        <f>[0]!AGAM034800col_TOT_VB_ELECT</f>
        <v>0</v>
      </c>
      <c r="H270" s="219">
        <f>SUM(E270:G270)</f>
        <v>0</v>
      </c>
      <c r="I270" s="268"/>
      <c r="J270" s="218">
        <f>[0]!AGAM034800col_HEALTH_ELECT_CHG</f>
        <v>0</v>
      </c>
      <c r="K270" s="218">
        <f>[0]!AGAM034800col_TOT_VB_ELECT_CHG</f>
        <v>0</v>
      </c>
      <c r="L270" s="219">
        <f>SUM(J270:K270)</f>
        <v>0</v>
      </c>
    </row>
    <row r="271" spans="1:12" x14ac:dyDescent="0.3">
      <c r="A271" s="385" t="s">
        <v>30</v>
      </c>
      <c r="B271" s="391"/>
      <c r="C271" s="217"/>
      <c r="D271" s="220">
        <f>SUM(D268:D270)</f>
        <v>1</v>
      </c>
      <c r="E271" s="221">
        <f>SUM(E268:E270)</f>
        <v>46800</v>
      </c>
      <c r="F271" s="221">
        <f>SUM(F268:F270)</f>
        <v>11650</v>
      </c>
      <c r="G271" s="221">
        <f>SUM(G268:G270)</f>
        <v>10594.115999999998</v>
      </c>
      <c r="H271" s="219">
        <f>SUM(E271:G271)</f>
        <v>69044.115999999995</v>
      </c>
      <c r="I271" s="268"/>
      <c r="J271" s="219">
        <f>SUM(J268:J270)</f>
        <v>0</v>
      </c>
      <c r="K271" s="219">
        <f>SUM(K268:K270)</f>
        <v>-121.67999999999991</v>
      </c>
      <c r="L271" s="219">
        <f>SUM(L268:L270)</f>
        <v>-121.67999999999991</v>
      </c>
    </row>
    <row r="272" spans="1:12" x14ac:dyDescent="0.3">
      <c r="A272" s="365"/>
      <c r="B272" s="371"/>
      <c r="C272" s="217"/>
      <c r="D272" s="220"/>
      <c r="E272" s="219"/>
      <c r="F272" s="219"/>
      <c r="G272" s="219"/>
      <c r="H272" s="219"/>
      <c r="I272" s="268"/>
      <c r="J272" s="219"/>
      <c r="K272" s="222"/>
      <c r="L272" s="222"/>
    </row>
    <row r="273" spans="1:12" x14ac:dyDescent="0.3">
      <c r="A273" s="157" t="str">
        <f>"FY "&amp;'AGAM|0348-00'!FiscalYear-1</f>
        <v>FY 2022</v>
      </c>
      <c r="B273" s="158" t="s">
        <v>31</v>
      </c>
      <c r="C273" s="355">
        <v>152100</v>
      </c>
      <c r="D273" s="55">
        <v>2</v>
      </c>
      <c r="E273" s="223">
        <f>IF('AGAM|0348-00'!OrigApprop=0,0,(E271/H271)*'AGAM|0348-00'!OrigApprop)</f>
        <v>103097.56156484067</v>
      </c>
      <c r="F273" s="223">
        <f>IF('AGAM|0348-00'!OrigApprop=0,0,(F271/H271)*'AGAM|0348-00'!OrigApprop)</f>
        <v>25664.243423726362</v>
      </c>
      <c r="G273" s="223">
        <f>IF(E273=0,0,(G271/H271)*'AGAM|0348-00'!OrigApprop)</f>
        <v>23338.195011432977</v>
      </c>
      <c r="H273" s="223">
        <f>SUM(E273:G273)</f>
        <v>152100</v>
      </c>
      <c r="I273" s="268"/>
      <c r="J273" s="224"/>
      <c r="K273" s="224"/>
      <c r="L273" s="224"/>
    </row>
    <row r="274" spans="1:12" x14ac:dyDescent="0.3">
      <c r="A274" s="392" t="s">
        <v>32</v>
      </c>
      <c r="B274" s="393"/>
      <c r="C274" s="160" t="s">
        <v>33</v>
      </c>
      <c r="D274" s="161">
        <f>D273-D271</f>
        <v>1</v>
      </c>
      <c r="E274" s="162">
        <f>E273-E271</f>
        <v>56297.561564840667</v>
      </c>
      <c r="F274" s="162">
        <f>F273-F271</f>
        <v>14014.243423726362</v>
      </c>
      <c r="G274" s="162">
        <f>G273-G271</f>
        <v>12744.079011432979</v>
      </c>
      <c r="H274" s="162">
        <f>H273-H271</f>
        <v>83055.884000000005</v>
      </c>
      <c r="I274" s="269"/>
      <c r="J274" s="56" t="str">
        <f>IF('AGAM|0348-00'!OrigApprop=0,"ERROR! Enter Original Appropriation amount in DU 3.00!","Calculated "&amp;IF('AGAM|0348-00'!AdjustedTotal&gt;0,"overfunding ","underfunding ")&amp;"is "&amp;TEXT('AGAM|0348-00'!AdjustedTotal/'AGAM|0348-00'!AppropTotal,"#.0%;(#.0% );0% ;")&amp;" of Original Appropriation")</f>
        <v>Calculated overfunding is 54.6% of Original Appropriation</v>
      </c>
      <c r="K274" s="163"/>
      <c r="L274" s="164"/>
    </row>
    <row r="276" spans="1:12" x14ac:dyDescent="0.3">
      <c r="A276" s="470" t="s">
        <v>1579</v>
      </c>
      <c r="B276" s="470"/>
      <c r="C276" s="470"/>
      <c r="D276" s="470"/>
      <c r="E276" s="470"/>
      <c r="F276" s="470"/>
      <c r="G276" s="470"/>
      <c r="H276" s="470"/>
      <c r="I276" s="470"/>
      <c r="J276" s="470"/>
      <c r="K276" s="470"/>
      <c r="L276" s="470"/>
    </row>
    <row r="277" spans="1:12" ht="40.200000000000003" x14ac:dyDescent="0.3">
      <c r="A277" s="387" t="s">
        <v>22</v>
      </c>
      <c r="B277" s="388"/>
      <c r="C277" s="370" t="s">
        <v>23</v>
      </c>
      <c r="D277" s="49" t="s">
        <v>24</v>
      </c>
      <c r="E277" s="50" t="str">
        <f>"FY "&amp;'AGAM|0403-03'!FiscalYear-1&amp;" SALARY"</f>
        <v>FY 2022 SALARY</v>
      </c>
      <c r="F277" s="50" t="str">
        <f>"FY "&amp;'AGAM|0403-03'!FiscalYear-1&amp;" HEALTH BENEFITS"</f>
        <v>FY 2022 HEALTH BENEFITS</v>
      </c>
      <c r="G277" s="50" t="str">
        <f>"FY "&amp;'AGAM|0403-03'!FiscalYear-1&amp;" VAR BENEFITS"</f>
        <v>FY 2022 VAR BENEFITS</v>
      </c>
      <c r="H277" s="50" t="str">
        <f>"FY "&amp;'AGAM|0403-03'!FiscalYear-1&amp;" TOTAL"</f>
        <v>FY 2022 TOTAL</v>
      </c>
      <c r="I277" s="50" t="str">
        <f>"FY "&amp;'AGAM|0403-03'!FiscalYear&amp;" SALARY CHANGE"</f>
        <v>FY 2023 SALARY CHANGE</v>
      </c>
      <c r="J277" s="50" t="str">
        <f>"FY "&amp;'AGAM|0403-03'!FiscalYear&amp;" CHG HEALTH BENEFITS"</f>
        <v>FY 2023 CHG HEALTH BENEFITS</v>
      </c>
      <c r="K277" s="50" t="str">
        <f>"FY "&amp;'AGAM|0403-03'!FiscalYear&amp;" CHG VAR BENEFITS"</f>
        <v>FY 2023 CHG VAR BENEFITS</v>
      </c>
      <c r="L277" s="50" t="s">
        <v>25</v>
      </c>
    </row>
    <row r="278" spans="1:12" x14ac:dyDescent="0.3">
      <c r="A278" s="389" t="s">
        <v>26</v>
      </c>
      <c r="B278" s="390"/>
      <c r="C278" s="141"/>
      <c r="D278" s="142"/>
      <c r="E278" s="143"/>
      <c r="F278" s="143"/>
      <c r="G278" s="143"/>
      <c r="H278" s="144"/>
      <c r="I278" s="144"/>
      <c r="J278" s="145"/>
      <c r="K278" s="146"/>
      <c r="L278" s="144"/>
    </row>
    <row r="279" spans="1:12" x14ac:dyDescent="0.3">
      <c r="A279" s="385" t="s">
        <v>27</v>
      </c>
      <c r="B279" s="391"/>
      <c r="C279" s="217">
        <v>1</v>
      </c>
      <c r="D279" s="288">
        <f>[0]!AGAM040303col_INC_FTI</f>
        <v>0</v>
      </c>
      <c r="E279" s="218">
        <f>[0]!AGAM040303col_FTI_SALARY_PERM</f>
        <v>0</v>
      </c>
      <c r="F279" s="218">
        <f>[0]!AGAM040303col_HEALTH_PERM</f>
        <v>0</v>
      </c>
      <c r="G279" s="218">
        <f>[0]!AGAM040303col_TOT_VB_PERM</f>
        <v>0</v>
      </c>
      <c r="H279" s="219">
        <f>SUM(E279:G279)</f>
        <v>0</v>
      </c>
      <c r="I279" s="219">
        <f>[0]!AGAM040303col_1_27TH_PP</f>
        <v>0</v>
      </c>
      <c r="J279" s="218">
        <f>[0]!AGAM040303col_HEALTH_PERM_CHG</f>
        <v>0</v>
      </c>
      <c r="K279" s="218">
        <f>[0]!AGAM040303col_TOT_VB_PERM_CHG</f>
        <v>0</v>
      </c>
      <c r="L279" s="218">
        <f>SUM(J279:K279)</f>
        <v>0</v>
      </c>
    </row>
    <row r="280" spans="1:12" x14ac:dyDescent="0.3">
      <c r="A280" s="385" t="s">
        <v>28</v>
      </c>
      <c r="B280" s="391"/>
      <c r="C280" s="217">
        <v>2</v>
      </c>
      <c r="D280" s="288"/>
      <c r="E280" s="218">
        <f>[0]!AGAM040303col_Group_Salary</f>
        <v>0</v>
      </c>
      <c r="F280" s="218">
        <v>0</v>
      </c>
      <c r="G280" s="218">
        <f>[0]!AGAM040303col_Group_Ben</f>
        <v>0</v>
      </c>
      <c r="H280" s="219">
        <f>SUM(E280:G280)</f>
        <v>0</v>
      </c>
      <c r="I280" s="268"/>
      <c r="J280" s="218"/>
      <c r="K280" s="218"/>
      <c r="L280" s="218"/>
    </row>
    <row r="281" spans="1:12" x14ac:dyDescent="0.3">
      <c r="A281" s="385" t="s">
        <v>29</v>
      </c>
      <c r="B281" s="386"/>
      <c r="C281" s="217">
        <v>3</v>
      </c>
      <c r="D281" s="288">
        <f>[0]!AGAM040303col_TOTAL_ELECT_PCN_FTI</f>
        <v>0</v>
      </c>
      <c r="E281" s="218">
        <f>[0]!AGAM040303col_FTI_SALARY_ELECT</f>
        <v>0</v>
      </c>
      <c r="F281" s="218">
        <f>[0]!AGAM040303col_HEALTH_ELECT</f>
        <v>0</v>
      </c>
      <c r="G281" s="218">
        <f>[0]!AGAM040303col_TOT_VB_ELECT</f>
        <v>0</v>
      </c>
      <c r="H281" s="219">
        <f>SUM(E281:G281)</f>
        <v>0</v>
      </c>
      <c r="I281" s="268"/>
      <c r="J281" s="218">
        <f>[0]!AGAM040303col_HEALTH_ELECT_CHG</f>
        <v>0</v>
      </c>
      <c r="K281" s="218">
        <f>[0]!AGAM040303col_TOT_VB_ELECT_CHG</f>
        <v>0</v>
      </c>
      <c r="L281" s="219">
        <f>SUM(J281:K281)</f>
        <v>0</v>
      </c>
    </row>
    <row r="282" spans="1:12" x14ac:dyDescent="0.3">
      <c r="A282" s="385" t="s">
        <v>30</v>
      </c>
      <c r="B282" s="391"/>
      <c r="C282" s="217"/>
      <c r="D282" s="220">
        <f>SUM(D279:D281)</f>
        <v>0</v>
      </c>
      <c r="E282" s="221">
        <f>SUM(E279:E281)</f>
        <v>0</v>
      </c>
      <c r="F282" s="221">
        <f>SUM(F279:F281)</f>
        <v>0</v>
      </c>
      <c r="G282" s="221">
        <f>SUM(G279:G281)</f>
        <v>0</v>
      </c>
      <c r="H282" s="219">
        <f>SUM(E282:G282)</f>
        <v>0</v>
      </c>
      <c r="I282" s="268"/>
      <c r="J282" s="219">
        <f>SUM(J279:J281)</f>
        <v>0</v>
      </c>
      <c r="K282" s="219">
        <f>SUM(K279:K281)</f>
        <v>0</v>
      </c>
      <c r="L282" s="219">
        <f>SUM(L279:L281)</f>
        <v>0</v>
      </c>
    </row>
    <row r="283" spans="1:12" x14ac:dyDescent="0.3">
      <c r="A283" s="365"/>
      <c r="B283" s="371"/>
      <c r="C283" s="217"/>
      <c r="D283" s="220"/>
      <c r="E283" s="219"/>
      <c r="F283" s="219"/>
      <c r="G283" s="219"/>
      <c r="H283" s="219"/>
      <c r="I283" s="268"/>
      <c r="J283" s="219"/>
      <c r="K283" s="222"/>
      <c r="L283" s="222"/>
    </row>
    <row r="284" spans="1:12" x14ac:dyDescent="0.3">
      <c r="A284" s="157" t="str">
        <f>"FY "&amp;'AGAM|0403-03'!FiscalYear-1</f>
        <v>FY 2022</v>
      </c>
      <c r="B284" s="158" t="s">
        <v>31</v>
      </c>
      <c r="C284" s="355">
        <v>9600</v>
      </c>
      <c r="D284" s="55">
        <v>0.05</v>
      </c>
      <c r="E284" s="223" t="e">
        <f>IF('AGAM|0403-03'!OrigApprop=0,0,(E282/H282)*'AGAM|0403-03'!OrigApprop)</f>
        <v>#DIV/0!</v>
      </c>
      <c r="F284" s="223" t="e">
        <f>IF('AGAM|0403-03'!OrigApprop=0,0,(F282/H282)*'AGAM|0403-03'!OrigApprop)</f>
        <v>#DIV/0!</v>
      </c>
      <c r="G284" s="223" t="e">
        <f>IF(E284=0,0,(G282/H282)*'AGAM|0403-03'!OrigApprop)</f>
        <v>#DIV/0!</v>
      </c>
      <c r="H284" s="223" t="e">
        <f>SUM(E284:G284)</f>
        <v>#DIV/0!</v>
      </c>
      <c r="I284" s="268"/>
      <c r="J284" s="224"/>
      <c r="K284" s="224"/>
      <c r="L284" s="224"/>
    </row>
    <row r="285" spans="1:12" x14ac:dyDescent="0.3">
      <c r="A285" s="392" t="s">
        <v>32</v>
      </c>
      <c r="B285" s="393"/>
      <c r="C285" s="160" t="s">
        <v>33</v>
      </c>
      <c r="D285" s="161">
        <f>D284-D282</f>
        <v>0.05</v>
      </c>
      <c r="E285" s="162" t="e">
        <f>E284-E282</f>
        <v>#DIV/0!</v>
      </c>
      <c r="F285" s="162" t="e">
        <f>F284-F282</f>
        <v>#DIV/0!</v>
      </c>
      <c r="G285" s="162" t="e">
        <f>G284-G282</f>
        <v>#DIV/0!</v>
      </c>
      <c r="H285" s="162" t="e">
        <f>H284-H282</f>
        <v>#DIV/0!</v>
      </c>
      <c r="I285" s="269"/>
      <c r="J285" s="56" t="e">
        <f>IF('AGAM|0403-03'!OrigApprop=0,"ERROR! Enter Original Appropriation amount in DU 3.00!","Calculated "&amp;IF('AGAM|0403-03'!AdjustedTotal&gt;0,"overfunding ","underfunding ")&amp;"is "&amp;TEXT('AGAM|0403-03'!AdjustedTotal/'AGAM|0403-03'!AppropTotal,"#.0%;(#.0% );0% ;")&amp;" of Original Appropriation")</f>
        <v>#DIV/0!</v>
      </c>
      <c r="K285" s="163"/>
      <c r="L285" s="164"/>
    </row>
    <row r="287" spans="1:12" x14ac:dyDescent="0.3">
      <c r="A287" s="470" t="s">
        <v>1586</v>
      </c>
      <c r="B287" s="470"/>
      <c r="C287" s="470"/>
      <c r="D287" s="470"/>
      <c r="E287" s="470"/>
      <c r="F287" s="470"/>
      <c r="G287" s="470"/>
      <c r="H287" s="470"/>
      <c r="I287" s="470"/>
      <c r="J287" s="470"/>
      <c r="K287" s="470"/>
      <c r="L287" s="470"/>
    </row>
    <row r="288" spans="1:12" ht="40.200000000000003" x14ac:dyDescent="0.3">
      <c r="A288" s="387" t="s">
        <v>22</v>
      </c>
      <c r="B288" s="388"/>
      <c r="C288" s="370" t="s">
        <v>23</v>
      </c>
      <c r="D288" s="49" t="s">
        <v>24</v>
      </c>
      <c r="E288" s="50" t="str">
        <f>"FY "&amp;'AGAO|0330-00'!FiscalYear-1&amp;" SALARY"</f>
        <v>FY 2022 SALARY</v>
      </c>
      <c r="F288" s="50" t="str">
        <f>"FY "&amp;'AGAO|0330-00'!FiscalYear-1&amp;" HEALTH BENEFITS"</f>
        <v>FY 2022 HEALTH BENEFITS</v>
      </c>
      <c r="G288" s="50" t="str">
        <f>"FY "&amp;'AGAO|0330-00'!FiscalYear-1&amp;" VAR BENEFITS"</f>
        <v>FY 2022 VAR BENEFITS</v>
      </c>
      <c r="H288" s="50" t="str">
        <f>"FY "&amp;'AGAO|0330-00'!FiscalYear-1&amp;" TOTAL"</f>
        <v>FY 2022 TOTAL</v>
      </c>
      <c r="I288" s="50" t="str">
        <f>"FY "&amp;'AGAO|0330-00'!FiscalYear&amp;" SALARY CHANGE"</f>
        <v>FY 2023 SALARY CHANGE</v>
      </c>
      <c r="J288" s="50" t="str">
        <f>"FY "&amp;'AGAO|0330-00'!FiscalYear&amp;" CHG HEALTH BENEFITS"</f>
        <v>FY 2023 CHG HEALTH BENEFITS</v>
      </c>
      <c r="K288" s="50" t="str">
        <f>"FY "&amp;'AGAO|0330-00'!FiscalYear&amp;" CHG VAR BENEFITS"</f>
        <v>FY 2023 CHG VAR BENEFITS</v>
      </c>
      <c r="L288" s="50" t="s">
        <v>25</v>
      </c>
    </row>
    <row r="289" spans="1:12" x14ac:dyDescent="0.3">
      <c r="A289" s="389" t="s">
        <v>26</v>
      </c>
      <c r="B289" s="390"/>
      <c r="C289" s="141"/>
      <c r="D289" s="142"/>
      <c r="E289" s="143"/>
      <c r="F289" s="143"/>
      <c r="G289" s="143"/>
      <c r="H289" s="144"/>
      <c r="I289" s="144"/>
      <c r="J289" s="145"/>
      <c r="K289" s="146"/>
      <c r="L289" s="144"/>
    </row>
    <row r="290" spans="1:12" x14ac:dyDescent="0.3">
      <c r="A290" s="385" t="s">
        <v>27</v>
      </c>
      <c r="B290" s="391"/>
      <c r="C290" s="217">
        <v>1</v>
      </c>
      <c r="D290" s="288">
        <f>[0]!AGAO033000col_INC_FTI</f>
        <v>0</v>
      </c>
      <c r="E290" s="218">
        <f>[0]!AGAO033000col_FTI_SALARY_PERM</f>
        <v>0</v>
      </c>
      <c r="F290" s="218">
        <f>[0]!AGAO033000col_HEALTH_PERM</f>
        <v>0</v>
      </c>
      <c r="G290" s="218">
        <f>[0]!AGAO033000col_TOT_VB_PERM</f>
        <v>0</v>
      </c>
      <c r="H290" s="219">
        <f>SUM(E290:G290)</f>
        <v>0</v>
      </c>
      <c r="I290" s="219">
        <f>[0]!AGAO033000col_1_27TH_PP</f>
        <v>0</v>
      </c>
      <c r="J290" s="218">
        <f>[0]!AGAO033000col_HEALTH_PERM_CHG</f>
        <v>0</v>
      </c>
      <c r="K290" s="218">
        <f>[0]!AGAO033000col_TOT_VB_PERM_CHG</f>
        <v>0</v>
      </c>
      <c r="L290" s="218">
        <f>SUM(J290:K290)</f>
        <v>0</v>
      </c>
    </row>
    <row r="291" spans="1:12" x14ac:dyDescent="0.3">
      <c r="A291" s="385" t="s">
        <v>28</v>
      </c>
      <c r="B291" s="391"/>
      <c r="C291" s="217">
        <v>2</v>
      </c>
      <c r="D291" s="288"/>
      <c r="E291" s="218">
        <f>[0]!AGAO033000col_Group_Salary</f>
        <v>0</v>
      </c>
      <c r="F291" s="218">
        <v>0</v>
      </c>
      <c r="G291" s="218">
        <f>[0]!AGAO033000col_Group_Ben</f>
        <v>0</v>
      </c>
      <c r="H291" s="219">
        <f>SUM(E291:G291)</f>
        <v>0</v>
      </c>
      <c r="I291" s="268"/>
      <c r="J291" s="218"/>
      <c r="K291" s="218"/>
      <c r="L291" s="218"/>
    </row>
    <row r="292" spans="1:12" x14ac:dyDescent="0.3">
      <c r="A292" s="385" t="s">
        <v>29</v>
      </c>
      <c r="B292" s="386"/>
      <c r="C292" s="217">
        <v>3</v>
      </c>
      <c r="D292" s="288">
        <f>[0]!AGAO033000col_TOTAL_ELECT_PCN_FTI</f>
        <v>0</v>
      </c>
      <c r="E292" s="218">
        <f>[0]!AGAO033000col_FTI_SALARY_ELECT</f>
        <v>0</v>
      </c>
      <c r="F292" s="218">
        <f>[0]!AGAO033000col_HEALTH_ELECT</f>
        <v>0</v>
      </c>
      <c r="G292" s="218">
        <f>[0]!AGAO033000col_TOT_VB_ELECT</f>
        <v>0</v>
      </c>
      <c r="H292" s="219">
        <f>SUM(E292:G292)</f>
        <v>0</v>
      </c>
      <c r="I292" s="268"/>
      <c r="J292" s="218">
        <f>[0]!AGAO033000col_HEALTH_ELECT_CHG</f>
        <v>0</v>
      </c>
      <c r="K292" s="218">
        <f>[0]!AGAO033000col_TOT_VB_ELECT_CHG</f>
        <v>0</v>
      </c>
      <c r="L292" s="219">
        <f>SUM(J292:K292)</f>
        <v>0</v>
      </c>
    </row>
    <row r="293" spans="1:12" x14ac:dyDescent="0.3">
      <c r="A293" s="385" t="s">
        <v>30</v>
      </c>
      <c r="B293" s="391"/>
      <c r="C293" s="217"/>
      <c r="D293" s="220">
        <f>SUM(D290:D292)</f>
        <v>0</v>
      </c>
      <c r="E293" s="221">
        <f>SUM(E290:E292)</f>
        <v>0</v>
      </c>
      <c r="F293" s="221">
        <f>SUM(F290:F292)</f>
        <v>0</v>
      </c>
      <c r="G293" s="221">
        <f>SUM(G290:G292)</f>
        <v>0</v>
      </c>
      <c r="H293" s="219">
        <f>SUM(E293:G293)</f>
        <v>0</v>
      </c>
      <c r="I293" s="268"/>
      <c r="J293" s="219">
        <f>SUM(J290:J292)</f>
        <v>0</v>
      </c>
      <c r="K293" s="219">
        <f>SUM(K290:K292)</f>
        <v>0</v>
      </c>
      <c r="L293" s="219">
        <f>SUM(L290:L292)</f>
        <v>0</v>
      </c>
    </row>
    <row r="294" spans="1:12" x14ac:dyDescent="0.3">
      <c r="A294" s="365"/>
      <c r="B294" s="371"/>
      <c r="C294" s="217"/>
      <c r="D294" s="220"/>
      <c r="E294" s="219"/>
      <c r="F294" s="219"/>
      <c r="G294" s="219"/>
      <c r="H294" s="219"/>
      <c r="I294" s="268"/>
      <c r="J294" s="219"/>
      <c r="K294" s="222"/>
      <c r="L294" s="222"/>
    </row>
    <row r="295" spans="1:12" x14ac:dyDescent="0.3">
      <c r="A295" s="157" t="str">
        <f>"FY "&amp;'AGAO|0330-00'!FiscalYear-1</f>
        <v>FY 2022</v>
      </c>
      <c r="B295" s="158" t="s">
        <v>31</v>
      </c>
      <c r="C295" s="355">
        <v>38500</v>
      </c>
      <c r="D295" s="55">
        <v>0</v>
      </c>
      <c r="E295" s="223" t="e">
        <f>IF('AGAO|0330-00'!OrigApprop=0,0,(E293/H293)*'AGAO|0330-00'!OrigApprop)</f>
        <v>#DIV/0!</v>
      </c>
      <c r="F295" s="223" t="e">
        <f>IF('AGAO|0330-00'!OrigApprop=0,0,(F293/H293)*'AGAO|0330-00'!OrigApprop)</f>
        <v>#DIV/0!</v>
      </c>
      <c r="G295" s="223" t="e">
        <f>IF(E295=0,0,(G293/H293)*'AGAO|0330-00'!OrigApprop)</f>
        <v>#DIV/0!</v>
      </c>
      <c r="H295" s="223" t="e">
        <f>SUM(E295:G295)</f>
        <v>#DIV/0!</v>
      </c>
      <c r="I295" s="268"/>
      <c r="J295" s="224"/>
      <c r="K295" s="224"/>
      <c r="L295" s="224"/>
    </row>
    <row r="296" spans="1:12" x14ac:dyDescent="0.3">
      <c r="A296" s="392" t="s">
        <v>32</v>
      </c>
      <c r="B296" s="393"/>
      <c r="C296" s="160" t="s">
        <v>33</v>
      </c>
      <c r="D296" s="161">
        <f>D295-D293</f>
        <v>0</v>
      </c>
      <c r="E296" s="162" t="e">
        <f>E295-E293</f>
        <v>#DIV/0!</v>
      </c>
      <c r="F296" s="162" t="e">
        <f>F295-F293</f>
        <v>#DIV/0!</v>
      </c>
      <c r="G296" s="162" t="e">
        <f>G295-G293</f>
        <v>#DIV/0!</v>
      </c>
      <c r="H296" s="162" t="e">
        <f>H295-H293</f>
        <v>#DIV/0!</v>
      </c>
      <c r="I296" s="269"/>
      <c r="J296" s="56" t="e">
        <f>IF('AGAO|0330-00'!OrigApprop=0,"ERROR! Enter Original Appropriation amount in DU 3.00!","Calculated "&amp;IF('AGAO|0330-00'!AdjustedTotal&gt;0,"overfunding ","underfunding ")&amp;"is "&amp;TEXT('AGAO|0330-00'!AdjustedTotal/'AGAO|0330-00'!AppropTotal,"#.0%;(#.0% );0% ;")&amp;" of Original Appropriation")</f>
        <v>#DIV/0!</v>
      </c>
      <c r="K296" s="163"/>
      <c r="L296" s="164"/>
    </row>
    <row r="298" spans="1:12" x14ac:dyDescent="0.3">
      <c r="A298" s="470" t="s">
        <v>1592</v>
      </c>
      <c r="B298" s="470"/>
      <c r="C298" s="470"/>
      <c r="D298" s="470"/>
      <c r="E298" s="470"/>
      <c r="F298" s="470"/>
      <c r="G298" s="470"/>
      <c r="H298" s="470"/>
      <c r="I298" s="470"/>
      <c r="J298" s="470"/>
      <c r="K298" s="470"/>
      <c r="L298" s="470"/>
    </row>
    <row r="299" spans="1:12" ht="40.200000000000003" x14ac:dyDescent="0.3">
      <c r="A299" s="387" t="s">
        <v>22</v>
      </c>
      <c r="B299" s="388"/>
      <c r="C299" s="370" t="s">
        <v>23</v>
      </c>
      <c r="D299" s="49" t="s">
        <v>24</v>
      </c>
      <c r="E299" s="50" t="str">
        <f>"FY "&amp;'AGAO|0332-11'!FiscalYear-1&amp;" SALARY"</f>
        <v>FY 2022 SALARY</v>
      </c>
      <c r="F299" s="50" t="str">
        <f>"FY "&amp;'AGAO|0332-11'!FiscalYear-1&amp;" HEALTH BENEFITS"</f>
        <v>FY 2022 HEALTH BENEFITS</v>
      </c>
      <c r="G299" s="50" t="str">
        <f>"FY "&amp;'AGAO|0332-11'!FiscalYear-1&amp;" VAR BENEFITS"</f>
        <v>FY 2022 VAR BENEFITS</v>
      </c>
      <c r="H299" s="50" t="str">
        <f>"FY "&amp;'AGAO|0332-11'!FiscalYear-1&amp;" TOTAL"</f>
        <v>FY 2022 TOTAL</v>
      </c>
      <c r="I299" s="50" t="str">
        <f>"FY "&amp;'AGAO|0332-11'!FiscalYear&amp;" SALARY CHANGE"</f>
        <v>FY 2023 SALARY CHANGE</v>
      </c>
      <c r="J299" s="50" t="str">
        <f>"FY "&amp;'AGAO|0332-11'!FiscalYear&amp;" CHG HEALTH BENEFITS"</f>
        <v>FY 2023 CHG HEALTH BENEFITS</v>
      </c>
      <c r="K299" s="50" t="str">
        <f>"FY "&amp;'AGAO|0332-11'!FiscalYear&amp;" CHG VAR BENEFITS"</f>
        <v>FY 2023 CHG VAR BENEFITS</v>
      </c>
      <c r="L299" s="50" t="s">
        <v>25</v>
      </c>
    </row>
    <row r="300" spans="1:12" x14ac:dyDescent="0.3">
      <c r="A300" s="389" t="s">
        <v>26</v>
      </c>
      <c r="B300" s="390"/>
      <c r="C300" s="141"/>
      <c r="D300" s="142"/>
      <c r="E300" s="143"/>
      <c r="F300" s="143"/>
      <c r="G300" s="143"/>
      <c r="H300" s="144"/>
      <c r="I300" s="144"/>
      <c r="J300" s="145"/>
      <c r="K300" s="146"/>
      <c r="L300" s="144"/>
    </row>
    <row r="301" spans="1:12" x14ac:dyDescent="0.3">
      <c r="A301" s="385" t="s">
        <v>27</v>
      </c>
      <c r="B301" s="391"/>
      <c r="C301" s="217">
        <v>1</v>
      </c>
      <c r="D301" s="288">
        <f>[0]!AGAO033211col_INC_FTI</f>
        <v>0</v>
      </c>
      <c r="E301" s="218">
        <f>[0]!AGAO033211col_FTI_SALARY_PERM</f>
        <v>0</v>
      </c>
      <c r="F301" s="218">
        <f>[0]!AGAO033211col_HEALTH_PERM</f>
        <v>0</v>
      </c>
      <c r="G301" s="218">
        <f>[0]!AGAO033211col_TOT_VB_PERM</f>
        <v>0</v>
      </c>
      <c r="H301" s="219">
        <f>SUM(E301:G301)</f>
        <v>0</v>
      </c>
      <c r="I301" s="219">
        <f>[0]!AGAO033211col_1_27TH_PP</f>
        <v>0</v>
      </c>
      <c r="J301" s="218">
        <f>[0]!AGAO033211col_HEALTH_PERM_CHG</f>
        <v>0</v>
      </c>
      <c r="K301" s="218">
        <f>[0]!AGAO033211col_TOT_VB_PERM_CHG</f>
        <v>0</v>
      </c>
      <c r="L301" s="218">
        <f>SUM(J301:K301)</f>
        <v>0</v>
      </c>
    </row>
    <row r="302" spans="1:12" x14ac:dyDescent="0.3">
      <c r="A302" s="385" t="s">
        <v>28</v>
      </c>
      <c r="B302" s="391"/>
      <c r="C302" s="217">
        <v>2</v>
      </c>
      <c r="D302" s="288"/>
      <c r="E302" s="218">
        <f>[0]!AGAO033211col_Group_Salary</f>
        <v>0</v>
      </c>
      <c r="F302" s="218">
        <v>0</v>
      </c>
      <c r="G302" s="218">
        <f>[0]!AGAO033211col_Group_Ben</f>
        <v>0</v>
      </c>
      <c r="H302" s="219">
        <f>SUM(E302:G302)</f>
        <v>0</v>
      </c>
      <c r="I302" s="268"/>
      <c r="J302" s="218"/>
      <c r="K302" s="218"/>
      <c r="L302" s="218"/>
    </row>
    <row r="303" spans="1:12" x14ac:dyDescent="0.3">
      <c r="A303" s="385" t="s">
        <v>29</v>
      </c>
      <c r="B303" s="386"/>
      <c r="C303" s="217">
        <v>3</v>
      </c>
      <c r="D303" s="288">
        <f>[0]!AGAO033211col_TOTAL_ELECT_PCN_FTI</f>
        <v>0</v>
      </c>
      <c r="E303" s="218">
        <f>[0]!AGAO033211col_FTI_SALARY_ELECT</f>
        <v>0</v>
      </c>
      <c r="F303" s="218">
        <f>[0]!AGAO033211col_HEALTH_ELECT</f>
        <v>0</v>
      </c>
      <c r="G303" s="218">
        <f>[0]!AGAO033211col_TOT_VB_ELECT</f>
        <v>0</v>
      </c>
      <c r="H303" s="219">
        <f>SUM(E303:G303)</f>
        <v>0</v>
      </c>
      <c r="I303" s="268"/>
      <c r="J303" s="218">
        <f>[0]!AGAO033211col_HEALTH_ELECT_CHG</f>
        <v>0</v>
      </c>
      <c r="K303" s="218">
        <f>[0]!AGAO033211col_TOT_VB_ELECT_CHG</f>
        <v>0</v>
      </c>
      <c r="L303" s="219">
        <f>SUM(J303:K303)</f>
        <v>0</v>
      </c>
    </row>
    <row r="304" spans="1:12" x14ac:dyDescent="0.3">
      <c r="A304" s="385" t="s">
        <v>30</v>
      </c>
      <c r="B304" s="391"/>
      <c r="C304" s="217"/>
      <c r="D304" s="220">
        <f>SUM(D301:D303)</f>
        <v>0</v>
      </c>
      <c r="E304" s="221">
        <f>SUM(E301:E303)</f>
        <v>0</v>
      </c>
      <c r="F304" s="221">
        <f>SUM(F301:F303)</f>
        <v>0</v>
      </c>
      <c r="G304" s="221">
        <f>SUM(G301:G303)</f>
        <v>0</v>
      </c>
      <c r="H304" s="219">
        <f>SUM(E304:G304)</f>
        <v>0</v>
      </c>
      <c r="I304" s="268"/>
      <c r="J304" s="219">
        <f>SUM(J301:J303)</f>
        <v>0</v>
      </c>
      <c r="K304" s="219">
        <f>SUM(K301:K303)</f>
        <v>0</v>
      </c>
      <c r="L304" s="219">
        <f>SUM(L301:L303)</f>
        <v>0</v>
      </c>
    </row>
    <row r="305" spans="1:12" x14ac:dyDescent="0.3">
      <c r="A305" s="365"/>
      <c r="B305" s="371"/>
      <c r="C305" s="217"/>
      <c r="D305" s="220"/>
      <c r="E305" s="219"/>
      <c r="F305" s="219"/>
      <c r="G305" s="219"/>
      <c r="H305" s="219"/>
      <c r="I305" s="268"/>
      <c r="J305" s="219"/>
      <c r="K305" s="222"/>
      <c r="L305" s="222"/>
    </row>
    <row r="306" spans="1:12" x14ac:dyDescent="0.3">
      <c r="A306" s="157" t="str">
        <f>"FY "&amp;'AGAO|0332-11'!FiscalYear-1</f>
        <v>FY 2022</v>
      </c>
      <c r="B306" s="158" t="s">
        <v>31</v>
      </c>
      <c r="C306" s="355">
        <v>5700</v>
      </c>
      <c r="D306" s="55">
        <v>0</v>
      </c>
      <c r="E306" s="223" t="e">
        <f>IF('AGAO|0332-11'!OrigApprop=0,0,(E304/H304)*'AGAO|0332-11'!OrigApprop)</f>
        <v>#DIV/0!</v>
      </c>
      <c r="F306" s="223" t="e">
        <f>IF('AGAO|0332-11'!OrigApprop=0,0,(F304/H304)*'AGAO|0332-11'!OrigApprop)</f>
        <v>#DIV/0!</v>
      </c>
      <c r="G306" s="223" t="e">
        <f>IF(E306=0,0,(G304/H304)*'AGAO|0332-11'!OrigApprop)</f>
        <v>#DIV/0!</v>
      </c>
      <c r="H306" s="223" t="e">
        <f>SUM(E306:G306)</f>
        <v>#DIV/0!</v>
      </c>
      <c r="I306" s="268"/>
      <c r="J306" s="224"/>
      <c r="K306" s="224"/>
      <c r="L306" s="224"/>
    </row>
    <row r="307" spans="1:12" x14ac:dyDescent="0.3">
      <c r="A307" s="392" t="s">
        <v>32</v>
      </c>
      <c r="B307" s="393"/>
      <c r="C307" s="160" t="s">
        <v>33</v>
      </c>
      <c r="D307" s="161">
        <f>D306-D304</f>
        <v>0</v>
      </c>
      <c r="E307" s="162" t="e">
        <f>E306-E304</f>
        <v>#DIV/0!</v>
      </c>
      <c r="F307" s="162" t="e">
        <f>F306-F304</f>
        <v>#DIV/0!</v>
      </c>
      <c r="G307" s="162" t="e">
        <f>G306-G304</f>
        <v>#DIV/0!</v>
      </c>
      <c r="H307" s="162" t="e">
        <f>H306-H304</f>
        <v>#DIV/0!</v>
      </c>
      <c r="I307" s="269"/>
      <c r="J307" s="56" t="e">
        <f>IF('AGAO|0332-11'!OrigApprop=0,"ERROR! Enter Original Appropriation amount in DU 3.00!","Calculated "&amp;IF('AGAO|0332-11'!AdjustedTotal&gt;0,"overfunding ","underfunding ")&amp;"is "&amp;TEXT('AGAO|0332-11'!AdjustedTotal/'AGAO|0332-11'!AppropTotal,"#.0%;(#.0% );0% ;")&amp;" of Original Appropriation")</f>
        <v>#DIV/0!</v>
      </c>
      <c r="K307" s="163"/>
      <c r="L307" s="164"/>
    </row>
    <row r="309" spans="1:12" x14ac:dyDescent="0.3">
      <c r="A309" s="470" t="s">
        <v>1597</v>
      </c>
      <c r="B309" s="470"/>
      <c r="C309" s="470"/>
      <c r="D309" s="470"/>
      <c r="E309" s="470"/>
      <c r="F309" s="470"/>
      <c r="G309" s="470"/>
      <c r="H309" s="470"/>
      <c r="I309" s="470"/>
      <c r="J309" s="470"/>
      <c r="K309" s="470"/>
      <c r="L309" s="470"/>
    </row>
    <row r="310" spans="1:12" ht="40.200000000000003" x14ac:dyDescent="0.3">
      <c r="A310" s="387" t="s">
        <v>22</v>
      </c>
      <c r="B310" s="388"/>
      <c r="C310" s="370" t="s">
        <v>23</v>
      </c>
      <c r="D310" s="49" t="s">
        <v>24</v>
      </c>
      <c r="E310" s="50" t="str">
        <f>"FY "&amp;'AGAO|0332-12'!FiscalYear-1&amp;" SALARY"</f>
        <v>FY 2022 SALARY</v>
      </c>
      <c r="F310" s="50" t="str">
        <f>"FY "&amp;'AGAO|0332-12'!FiscalYear-1&amp;" HEALTH BENEFITS"</f>
        <v>FY 2022 HEALTH BENEFITS</v>
      </c>
      <c r="G310" s="50" t="str">
        <f>"FY "&amp;'AGAO|0332-12'!FiscalYear-1&amp;" VAR BENEFITS"</f>
        <v>FY 2022 VAR BENEFITS</v>
      </c>
      <c r="H310" s="50" t="str">
        <f>"FY "&amp;'AGAO|0332-12'!FiscalYear-1&amp;" TOTAL"</f>
        <v>FY 2022 TOTAL</v>
      </c>
      <c r="I310" s="50" t="str">
        <f>"FY "&amp;'AGAO|0332-12'!FiscalYear&amp;" SALARY CHANGE"</f>
        <v>FY 2023 SALARY CHANGE</v>
      </c>
      <c r="J310" s="50" t="str">
        <f>"FY "&amp;'AGAO|0332-12'!FiscalYear&amp;" CHG HEALTH BENEFITS"</f>
        <v>FY 2023 CHG HEALTH BENEFITS</v>
      </c>
      <c r="K310" s="50" t="str">
        <f>"FY "&amp;'AGAO|0332-12'!FiscalYear&amp;" CHG VAR BENEFITS"</f>
        <v>FY 2023 CHG VAR BENEFITS</v>
      </c>
      <c r="L310" s="50" t="s">
        <v>25</v>
      </c>
    </row>
    <row r="311" spans="1:12" x14ac:dyDescent="0.3">
      <c r="A311" s="389" t="s">
        <v>26</v>
      </c>
      <c r="B311" s="390"/>
      <c r="C311" s="141"/>
      <c r="D311" s="142"/>
      <c r="E311" s="143"/>
      <c r="F311" s="143"/>
      <c r="G311" s="143"/>
      <c r="H311" s="144"/>
      <c r="I311" s="144"/>
      <c r="J311" s="145"/>
      <c r="K311" s="146"/>
      <c r="L311" s="144"/>
    </row>
    <row r="312" spans="1:12" x14ac:dyDescent="0.3">
      <c r="A312" s="385" t="s">
        <v>27</v>
      </c>
      <c r="B312" s="391"/>
      <c r="C312" s="217">
        <v>1</v>
      </c>
      <c r="D312" s="288">
        <f>[0]!AGAO033212col_INC_FTI</f>
        <v>0</v>
      </c>
      <c r="E312" s="218">
        <f>[0]!AGAO033212col_FTI_SALARY_PERM</f>
        <v>0</v>
      </c>
      <c r="F312" s="218">
        <f>[0]!AGAO033212col_HEALTH_PERM</f>
        <v>0</v>
      </c>
      <c r="G312" s="218">
        <f>[0]!AGAO033212col_TOT_VB_PERM</f>
        <v>0</v>
      </c>
      <c r="H312" s="219">
        <f>SUM(E312:G312)</f>
        <v>0</v>
      </c>
      <c r="I312" s="219">
        <f>[0]!AGAO033212col_1_27TH_PP</f>
        <v>0</v>
      </c>
      <c r="J312" s="218">
        <f>[0]!AGAO033212col_HEALTH_PERM_CHG</f>
        <v>0</v>
      </c>
      <c r="K312" s="218">
        <f>[0]!AGAO033212col_TOT_VB_PERM_CHG</f>
        <v>0</v>
      </c>
      <c r="L312" s="218">
        <f>SUM(J312:K312)</f>
        <v>0</v>
      </c>
    </row>
    <row r="313" spans="1:12" x14ac:dyDescent="0.3">
      <c r="A313" s="385" t="s">
        <v>28</v>
      </c>
      <c r="B313" s="391"/>
      <c r="C313" s="217">
        <v>2</v>
      </c>
      <c r="D313" s="288"/>
      <c r="E313" s="218">
        <f>[0]!AGAO033212col_Group_Salary</f>
        <v>0</v>
      </c>
      <c r="F313" s="218">
        <v>0</v>
      </c>
      <c r="G313" s="218">
        <f>[0]!AGAO033212col_Group_Ben</f>
        <v>0</v>
      </c>
      <c r="H313" s="219">
        <f>SUM(E313:G313)</f>
        <v>0</v>
      </c>
      <c r="I313" s="268"/>
      <c r="J313" s="218"/>
      <c r="K313" s="218"/>
      <c r="L313" s="218"/>
    </row>
    <row r="314" spans="1:12" x14ac:dyDescent="0.3">
      <c r="A314" s="385" t="s">
        <v>29</v>
      </c>
      <c r="B314" s="386"/>
      <c r="C314" s="217">
        <v>3</v>
      </c>
      <c r="D314" s="288">
        <f>[0]!AGAO033212col_TOTAL_ELECT_PCN_FTI</f>
        <v>0</v>
      </c>
      <c r="E314" s="218">
        <f>[0]!AGAO033212col_FTI_SALARY_ELECT</f>
        <v>0</v>
      </c>
      <c r="F314" s="218">
        <f>[0]!AGAO033212col_HEALTH_ELECT</f>
        <v>0</v>
      </c>
      <c r="G314" s="218">
        <f>[0]!AGAO033212col_TOT_VB_ELECT</f>
        <v>0</v>
      </c>
      <c r="H314" s="219">
        <f>SUM(E314:G314)</f>
        <v>0</v>
      </c>
      <c r="I314" s="268"/>
      <c r="J314" s="218">
        <f>[0]!AGAO033212col_HEALTH_ELECT_CHG</f>
        <v>0</v>
      </c>
      <c r="K314" s="218">
        <f>[0]!AGAO033212col_TOT_VB_ELECT_CHG</f>
        <v>0</v>
      </c>
      <c r="L314" s="219">
        <f>SUM(J314:K314)</f>
        <v>0</v>
      </c>
    </row>
    <row r="315" spans="1:12" x14ac:dyDescent="0.3">
      <c r="A315" s="385" t="s">
        <v>30</v>
      </c>
      <c r="B315" s="391"/>
      <c r="C315" s="217"/>
      <c r="D315" s="220">
        <f>SUM(D312:D314)</f>
        <v>0</v>
      </c>
      <c r="E315" s="221">
        <f>SUM(E312:E314)</f>
        <v>0</v>
      </c>
      <c r="F315" s="221">
        <f>SUM(F312:F314)</f>
        <v>0</v>
      </c>
      <c r="G315" s="221">
        <f>SUM(G312:G314)</f>
        <v>0</v>
      </c>
      <c r="H315" s="219">
        <f>SUM(E315:G315)</f>
        <v>0</v>
      </c>
      <c r="I315" s="268"/>
      <c r="J315" s="219">
        <f>SUM(J312:J314)</f>
        <v>0</v>
      </c>
      <c r="K315" s="219">
        <f>SUM(K312:K314)</f>
        <v>0</v>
      </c>
      <c r="L315" s="219">
        <f>SUM(L312:L314)</f>
        <v>0</v>
      </c>
    </row>
    <row r="316" spans="1:12" x14ac:dyDescent="0.3">
      <c r="A316" s="365"/>
      <c r="B316" s="371"/>
      <c r="C316" s="217"/>
      <c r="D316" s="220"/>
      <c r="E316" s="219"/>
      <c r="F316" s="219"/>
      <c r="G316" s="219"/>
      <c r="H316" s="219"/>
      <c r="I316" s="268"/>
      <c r="J316" s="219"/>
      <c r="K316" s="222"/>
      <c r="L316" s="222"/>
    </row>
    <row r="317" spans="1:12" x14ac:dyDescent="0.3">
      <c r="A317" s="157" t="str">
        <f>"FY "&amp;'AGAO|0332-12'!FiscalYear-1</f>
        <v>FY 2022</v>
      </c>
      <c r="B317" s="158" t="s">
        <v>31</v>
      </c>
      <c r="C317" s="355">
        <v>36000</v>
      </c>
      <c r="D317" s="55">
        <v>0</v>
      </c>
      <c r="E317" s="223" t="e">
        <f>IF('AGAO|0332-12'!OrigApprop=0,0,(E315/H315)*'AGAO|0332-12'!OrigApprop)</f>
        <v>#DIV/0!</v>
      </c>
      <c r="F317" s="223" t="e">
        <f>IF('AGAO|0332-12'!OrigApprop=0,0,(F315/H315)*'AGAO|0332-12'!OrigApprop)</f>
        <v>#DIV/0!</v>
      </c>
      <c r="G317" s="223" t="e">
        <f>IF(E317=0,0,(G315/H315)*'AGAO|0332-12'!OrigApprop)</f>
        <v>#DIV/0!</v>
      </c>
      <c r="H317" s="223" t="e">
        <f>SUM(E317:G317)</f>
        <v>#DIV/0!</v>
      </c>
      <c r="I317" s="268"/>
      <c r="J317" s="224"/>
      <c r="K317" s="224"/>
      <c r="L317" s="224"/>
    </row>
    <row r="318" spans="1:12" x14ac:dyDescent="0.3">
      <c r="A318" s="392" t="s">
        <v>32</v>
      </c>
      <c r="B318" s="393"/>
      <c r="C318" s="160" t="s">
        <v>33</v>
      </c>
      <c r="D318" s="161">
        <f>D317-D315</f>
        <v>0</v>
      </c>
      <c r="E318" s="162" t="e">
        <f>E317-E315</f>
        <v>#DIV/0!</v>
      </c>
      <c r="F318" s="162" t="e">
        <f>F317-F315</f>
        <v>#DIV/0!</v>
      </c>
      <c r="G318" s="162" t="e">
        <f>G317-G315</f>
        <v>#DIV/0!</v>
      </c>
      <c r="H318" s="162" t="e">
        <f>H317-H315</f>
        <v>#DIV/0!</v>
      </c>
      <c r="I318" s="269"/>
      <c r="J318" s="56" t="e">
        <f>IF('AGAO|0332-12'!OrigApprop=0,"ERROR! Enter Original Appropriation amount in DU 3.00!","Calculated "&amp;IF('AGAO|0332-12'!AdjustedTotal&gt;0,"overfunding ","underfunding ")&amp;"is "&amp;TEXT('AGAO|0332-12'!AdjustedTotal/'AGAO|0332-12'!AppropTotal,"#.0%;(#.0% );0% ;")&amp;" of Original Appropriation")</f>
        <v>#DIV/0!</v>
      </c>
      <c r="K318" s="163"/>
      <c r="L318" s="164"/>
    </row>
    <row r="320" spans="1:12" x14ac:dyDescent="0.3">
      <c r="A320" s="470" t="s">
        <v>1600</v>
      </c>
      <c r="B320" s="470"/>
      <c r="C320" s="470"/>
      <c r="D320" s="470"/>
      <c r="E320" s="470"/>
      <c r="F320" s="470"/>
      <c r="G320" s="470"/>
      <c r="H320" s="470"/>
      <c r="I320" s="470"/>
      <c r="J320" s="470"/>
      <c r="K320" s="470"/>
      <c r="L320" s="470"/>
    </row>
    <row r="321" spans="1:12" ht="40.200000000000003" x14ac:dyDescent="0.3">
      <c r="A321" s="387" t="s">
        <v>22</v>
      </c>
      <c r="B321" s="388"/>
      <c r="C321" s="370" t="s">
        <v>23</v>
      </c>
      <c r="D321" s="49" t="s">
        <v>24</v>
      </c>
      <c r="E321" s="50" t="str">
        <f>"FY "&amp;'AGAO|0348-00'!FiscalYear-1&amp;" SALARY"</f>
        <v>FY 2022 SALARY</v>
      </c>
      <c r="F321" s="50" t="str">
        <f>"FY "&amp;'AGAO|0348-00'!FiscalYear-1&amp;" HEALTH BENEFITS"</f>
        <v>FY 2022 HEALTH BENEFITS</v>
      </c>
      <c r="G321" s="50" t="str">
        <f>"FY "&amp;'AGAO|0348-00'!FiscalYear-1&amp;" VAR BENEFITS"</f>
        <v>FY 2022 VAR BENEFITS</v>
      </c>
      <c r="H321" s="50" t="str">
        <f>"FY "&amp;'AGAO|0348-00'!FiscalYear-1&amp;" TOTAL"</f>
        <v>FY 2022 TOTAL</v>
      </c>
      <c r="I321" s="50" t="str">
        <f>"FY "&amp;'AGAO|0348-00'!FiscalYear&amp;" SALARY CHANGE"</f>
        <v>FY 2023 SALARY CHANGE</v>
      </c>
      <c r="J321" s="50" t="str">
        <f>"FY "&amp;'AGAO|0348-00'!FiscalYear&amp;" CHG HEALTH BENEFITS"</f>
        <v>FY 2023 CHG HEALTH BENEFITS</v>
      </c>
      <c r="K321" s="50" t="str">
        <f>"FY "&amp;'AGAO|0348-00'!FiscalYear&amp;" CHG VAR BENEFITS"</f>
        <v>FY 2023 CHG VAR BENEFITS</v>
      </c>
      <c r="L321" s="50" t="s">
        <v>25</v>
      </c>
    </row>
    <row r="322" spans="1:12" x14ac:dyDescent="0.3">
      <c r="A322" s="389" t="s">
        <v>26</v>
      </c>
      <c r="B322" s="390"/>
      <c r="C322" s="141"/>
      <c r="D322" s="142"/>
      <c r="E322" s="143"/>
      <c r="F322" s="143"/>
      <c r="G322" s="143"/>
      <c r="H322" s="144"/>
      <c r="I322" s="144"/>
      <c r="J322" s="145"/>
      <c r="K322" s="146"/>
      <c r="L322" s="144"/>
    </row>
    <row r="323" spans="1:12" x14ac:dyDescent="0.3">
      <c r="A323" s="385" t="s">
        <v>27</v>
      </c>
      <c r="B323" s="391"/>
      <c r="C323" s="217">
        <v>1</v>
      </c>
      <c r="D323" s="288">
        <f>[0]!AGAO034800col_INC_FTI</f>
        <v>0.5</v>
      </c>
      <c r="E323" s="218">
        <f>[0]!AGAO034800col_FTI_SALARY_PERM</f>
        <v>30617.599999999999</v>
      </c>
      <c r="F323" s="218">
        <f>[0]!AGAO034800col_HEALTH_PERM</f>
        <v>5825</v>
      </c>
      <c r="G323" s="218">
        <f>[0]!AGAO034800col_TOT_VB_PERM</f>
        <v>6930.9061119999997</v>
      </c>
      <c r="H323" s="219">
        <f>SUM(E323:G323)</f>
        <v>43373.506111999995</v>
      </c>
      <c r="I323" s="219">
        <f>[0]!AGAO034800col_1_27TH_PP</f>
        <v>0</v>
      </c>
      <c r="J323" s="218">
        <f>[0]!AGAO034800col_HEALTH_PERM_CHG</f>
        <v>0</v>
      </c>
      <c r="K323" s="218">
        <f>[0]!AGAO034800col_TOT_VB_PERM_CHG</f>
        <v>-79.605759999999947</v>
      </c>
      <c r="L323" s="218">
        <f>SUM(J323:K323)</f>
        <v>-79.605759999999947</v>
      </c>
    </row>
    <row r="324" spans="1:12" x14ac:dyDescent="0.3">
      <c r="A324" s="385" t="s">
        <v>28</v>
      </c>
      <c r="B324" s="391"/>
      <c r="C324" s="217">
        <v>2</v>
      </c>
      <c r="D324" s="288"/>
      <c r="E324" s="218">
        <f>[0]!AGAO034800col_Group_Salary</f>
        <v>33830.11</v>
      </c>
      <c r="F324" s="218">
        <v>0</v>
      </c>
      <c r="G324" s="218">
        <f>[0]!AGAO034800col_Group_Ben</f>
        <v>3685.08</v>
      </c>
      <c r="H324" s="219">
        <f>SUM(E324:G324)</f>
        <v>37515.19</v>
      </c>
      <c r="I324" s="268"/>
      <c r="J324" s="218"/>
      <c r="K324" s="218"/>
      <c r="L324" s="218"/>
    </row>
    <row r="325" spans="1:12" x14ac:dyDescent="0.3">
      <c r="A325" s="385" t="s">
        <v>29</v>
      </c>
      <c r="B325" s="386"/>
      <c r="C325" s="217">
        <v>3</v>
      </c>
      <c r="D325" s="288">
        <f>[0]!AGAO034800col_TOTAL_ELECT_PCN_FTI</f>
        <v>0</v>
      </c>
      <c r="E325" s="218">
        <f>[0]!AGAO034800col_FTI_SALARY_ELECT</f>
        <v>0</v>
      </c>
      <c r="F325" s="218">
        <f>[0]!AGAO034800col_HEALTH_ELECT</f>
        <v>0</v>
      </c>
      <c r="G325" s="218">
        <f>[0]!AGAO034800col_TOT_VB_ELECT</f>
        <v>0</v>
      </c>
      <c r="H325" s="219">
        <f>SUM(E325:G325)</f>
        <v>0</v>
      </c>
      <c r="I325" s="268"/>
      <c r="J325" s="218">
        <f>[0]!AGAO034800col_HEALTH_ELECT_CHG</f>
        <v>0</v>
      </c>
      <c r="K325" s="218">
        <f>[0]!AGAO034800col_TOT_VB_ELECT_CHG</f>
        <v>0</v>
      </c>
      <c r="L325" s="219">
        <f>SUM(J325:K325)</f>
        <v>0</v>
      </c>
    </row>
    <row r="326" spans="1:12" x14ac:dyDescent="0.3">
      <c r="A326" s="385" t="s">
        <v>30</v>
      </c>
      <c r="B326" s="391"/>
      <c r="C326" s="217"/>
      <c r="D326" s="220">
        <f>SUM(D323:D325)</f>
        <v>0.5</v>
      </c>
      <c r="E326" s="221">
        <f>SUM(E323:E325)</f>
        <v>64447.71</v>
      </c>
      <c r="F326" s="221">
        <f>SUM(F323:F325)</f>
        <v>5825</v>
      </c>
      <c r="G326" s="221">
        <f>SUM(G323:G325)</f>
        <v>10615.986111999999</v>
      </c>
      <c r="H326" s="219">
        <f>SUM(E326:G326)</f>
        <v>80888.696111999991</v>
      </c>
      <c r="I326" s="268"/>
      <c r="J326" s="219">
        <f>SUM(J323:J325)</f>
        <v>0</v>
      </c>
      <c r="K326" s="219">
        <f>SUM(K323:K325)</f>
        <v>-79.605759999999947</v>
      </c>
      <c r="L326" s="219">
        <f>SUM(L323:L325)</f>
        <v>-79.605759999999947</v>
      </c>
    </row>
    <row r="327" spans="1:12" x14ac:dyDescent="0.3">
      <c r="A327" s="365"/>
      <c r="B327" s="371"/>
      <c r="C327" s="217"/>
      <c r="D327" s="220"/>
      <c r="E327" s="219"/>
      <c r="F327" s="219"/>
      <c r="G327" s="219"/>
      <c r="H327" s="219"/>
      <c r="I327" s="268"/>
      <c r="J327" s="219"/>
      <c r="K327" s="222"/>
      <c r="L327" s="222"/>
    </row>
    <row r="328" spans="1:12" x14ac:dyDescent="0.3">
      <c r="A328" s="157" t="str">
        <f>"FY "&amp;'AGAO|0348-00'!FiscalYear-1</f>
        <v>FY 2022</v>
      </c>
      <c r="B328" s="158" t="s">
        <v>31</v>
      </c>
      <c r="C328" s="355">
        <v>362100</v>
      </c>
      <c r="D328" s="55">
        <v>4</v>
      </c>
      <c r="E328" s="223">
        <f>IF('AGAO|0348-00'!OrigApprop=0,0,(E326/H326)*'AGAO|0348-00'!OrigApprop)</f>
        <v>288501.56959741109</v>
      </c>
      <c r="F328" s="223">
        <f>IF('AGAO|0348-00'!OrigApprop=0,0,(F326/H326)*'AGAO|0348-00'!OrigApprop)</f>
        <v>26075.738655491707</v>
      </c>
      <c r="G328" s="223">
        <f>IF(E328=0,0,(G326/H326)*'AGAO|0348-00'!OrigApprop)</f>
        <v>47522.691747097248</v>
      </c>
      <c r="H328" s="223">
        <f>SUM(E328:G328)</f>
        <v>362100.00000000006</v>
      </c>
      <c r="I328" s="268"/>
      <c r="J328" s="224"/>
      <c r="K328" s="224"/>
      <c r="L328" s="224"/>
    </row>
    <row r="329" spans="1:12" x14ac:dyDescent="0.3">
      <c r="A329" s="392" t="s">
        <v>32</v>
      </c>
      <c r="B329" s="393"/>
      <c r="C329" s="160" t="s">
        <v>33</v>
      </c>
      <c r="D329" s="161">
        <f>D328-D326</f>
        <v>3.5</v>
      </c>
      <c r="E329" s="162">
        <f>E328-E326</f>
        <v>224053.85959741109</v>
      </c>
      <c r="F329" s="162">
        <f>F328-F326</f>
        <v>20250.738655491707</v>
      </c>
      <c r="G329" s="162">
        <f>G328-G326</f>
        <v>36906.705635097249</v>
      </c>
      <c r="H329" s="162">
        <f>H328-H326</f>
        <v>281211.30388800008</v>
      </c>
      <c r="I329" s="269"/>
      <c r="J329" s="56" t="str">
        <f>IF('AGAO|0348-00'!OrigApprop=0,"ERROR! Enter Original Appropriation amount in DU 3.00!","Calculated "&amp;IF('AGAO|0348-00'!AdjustedTotal&gt;0,"overfunding ","underfunding ")&amp;"is "&amp;TEXT('AGAO|0348-00'!AdjustedTotal/'AGAO|0348-00'!AppropTotal,"#.0%;(#.0% );0% ;")&amp;" of Original Appropriation")</f>
        <v>Calculated overfunding is 77.7% of Original Appropriation</v>
      </c>
      <c r="K329" s="163"/>
      <c r="L329" s="164"/>
    </row>
    <row r="331" spans="1:12" x14ac:dyDescent="0.3">
      <c r="A331" s="470" t="s">
        <v>1603</v>
      </c>
      <c r="B331" s="470"/>
      <c r="C331" s="470"/>
      <c r="D331" s="470"/>
      <c r="E331" s="470"/>
      <c r="F331" s="470"/>
      <c r="G331" s="470"/>
      <c r="H331" s="470"/>
      <c r="I331" s="470"/>
      <c r="J331" s="470"/>
      <c r="K331" s="470"/>
      <c r="L331" s="470"/>
    </row>
    <row r="332" spans="1:12" ht="40.200000000000003" x14ac:dyDescent="0.3">
      <c r="A332" s="387" t="s">
        <v>22</v>
      </c>
      <c r="B332" s="388"/>
      <c r="C332" s="370" t="s">
        <v>23</v>
      </c>
      <c r="D332" s="49" t="s">
        <v>24</v>
      </c>
      <c r="E332" s="50" t="str">
        <f>"FY "&amp;'AGAP|0348-00'!FiscalYear-1&amp;" SALARY"</f>
        <v>FY 2022 SALARY</v>
      </c>
      <c r="F332" s="50" t="str">
        <f>"FY "&amp;'AGAP|0348-00'!FiscalYear-1&amp;" HEALTH BENEFITS"</f>
        <v>FY 2022 HEALTH BENEFITS</v>
      </c>
      <c r="G332" s="50" t="str">
        <f>"FY "&amp;'AGAP|0348-00'!FiscalYear-1&amp;" VAR BENEFITS"</f>
        <v>FY 2022 VAR BENEFITS</v>
      </c>
      <c r="H332" s="50" t="str">
        <f>"FY "&amp;'AGAP|0348-00'!FiscalYear-1&amp;" TOTAL"</f>
        <v>FY 2022 TOTAL</v>
      </c>
      <c r="I332" s="50" t="str">
        <f>"FY "&amp;'AGAP|0348-00'!FiscalYear&amp;" SALARY CHANGE"</f>
        <v>FY 2023 SALARY CHANGE</v>
      </c>
      <c r="J332" s="50" t="str">
        <f>"FY "&amp;'AGAP|0348-00'!FiscalYear&amp;" CHG HEALTH BENEFITS"</f>
        <v>FY 2023 CHG HEALTH BENEFITS</v>
      </c>
      <c r="K332" s="50" t="str">
        <f>"FY "&amp;'AGAP|0348-00'!FiscalYear&amp;" CHG VAR BENEFITS"</f>
        <v>FY 2023 CHG VAR BENEFITS</v>
      </c>
      <c r="L332" s="50" t="s">
        <v>25</v>
      </c>
    </row>
    <row r="333" spans="1:12" x14ac:dyDescent="0.3">
      <c r="A333" s="389" t="s">
        <v>26</v>
      </c>
      <c r="B333" s="390"/>
      <c r="C333" s="141"/>
      <c r="D333" s="142"/>
      <c r="E333" s="143"/>
      <c r="F333" s="143"/>
      <c r="G333" s="143"/>
      <c r="H333" s="144"/>
      <c r="I333" s="144"/>
      <c r="J333" s="145"/>
      <c r="K333" s="146"/>
      <c r="L333" s="144"/>
    </row>
    <row r="334" spans="1:12" x14ac:dyDescent="0.3">
      <c r="A334" s="385" t="s">
        <v>27</v>
      </c>
      <c r="B334" s="391"/>
      <c r="C334" s="217">
        <v>1</v>
      </c>
      <c r="D334" s="288">
        <f>[0]!AGAP034800col_INC_FTI</f>
        <v>4</v>
      </c>
      <c r="E334" s="218">
        <f>[0]!AGAP034800col_FTI_SALARY_PERM</f>
        <v>228924.79999999999</v>
      </c>
      <c r="F334" s="218">
        <f>[0]!AGAP034800col_HEALTH_PERM</f>
        <v>46600</v>
      </c>
      <c r="G334" s="218">
        <f>[0]!AGAP034800col_TOT_VB_PERM</f>
        <v>51821.706976000001</v>
      </c>
      <c r="H334" s="219">
        <f>SUM(E334:G334)</f>
        <v>327346.50697599998</v>
      </c>
      <c r="I334" s="219">
        <f>[0]!AGAP034800col_1_27TH_PP</f>
        <v>0</v>
      </c>
      <c r="J334" s="218">
        <f>[0]!AGAP034800col_HEALTH_PERM_CHG</f>
        <v>0</v>
      </c>
      <c r="K334" s="218">
        <f>[0]!AGAP034800col_TOT_VB_PERM_CHG</f>
        <v>-595.20447999999953</v>
      </c>
      <c r="L334" s="218">
        <f>SUM(J334:K334)</f>
        <v>-595.20447999999953</v>
      </c>
    </row>
    <row r="335" spans="1:12" x14ac:dyDescent="0.3">
      <c r="A335" s="385" t="s">
        <v>28</v>
      </c>
      <c r="B335" s="391"/>
      <c r="C335" s="217">
        <v>2</v>
      </c>
      <c r="D335" s="288"/>
      <c r="E335" s="218">
        <f>[0]!AGAP034800col_Group_Salary</f>
        <v>20881.37</v>
      </c>
      <c r="F335" s="218">
        <v>0</v>
      </c>
      <c r="G335" s="218">
        <f>[0]!AGAP034800col_Group_Ben</f>
        <v>2599.4499999999998</v>
      </c>
      <c r="H335" s="219">
        <f>SUM(E335:G335)</f>
        <v>23480.82</v>
      </c>
      <c r="I335" s="268"/>
      <c r="J335" s="218"/>
      <c r="K335" s="218"/>
      <c r="L335" s="218"/>
    </row>
    <row r="336" spans="1:12" x14ac:dyDescent="0.3">
      <c r="A336" s="385" t="s">
        <v>29</v>
      </c>
      <c r="B336" s="386"/>
      <c r="C336" s="217">
        <v>3</v>
      </c>
      <c r="D336" s="288">
        <f>[0]!AGAP034800col_TOTAL_ELECT_PCN_FTI</f>
        <v>0</v>
      </c>
      <c r="E336" s="218">
        <f>[0]!AGAP034800col_FTI_SALARY_ELECT</f>
        <v>0</v>
      </c>
      <c r="F336" s="218">
        <f>[0]!AGAP034800col_HEALTH_ELECT</f>
        <v>0</v>
      </c>
      <c r="G336" s="218">
        <f>[0]!AGAP034800col_TOT_VB_ELECT</f>
        <v>0</v>
      </c>
      <c r="H336" s="219">
        <f>SUM(E336:G336)</f>
        <v>0</v>
      </c>
      <c r="I336" s="268"/>
      <c r="J336" s="218">
        <f>[0]!AGAP034800col_HEALTH_ELECT_CHG</f>
        <v>0</v>
      </c>
      <c r="K336" s="218">
        <f>[0]!AGAP034800col_TOT_VB_ELECT_CHG</f>
        <v>0</v>
      </c>
      <c r="L336" s="219">
        <f>SUM(J336:K336)</f>
        <v>0</v>
      </c>
    </row>
    <row r="337" spans="1:12" x14ac:dyDescent="0.3">
      <c r="A337" s="385" t="s">
        <v>30</v>
      </c>
      <c r="B337" s="391"/>
      <c r="C337" s="217"/>
      <c r="D337" s="220">
        <f>SUM(D334:D336)</f>
        <v>4</v>
      </c>
      <c r="E337" s="221">
        <f>SUM(E334:E336)</f>
        <v>249806.16999999998</v>
      </c>
      <c r="F337" s="221">
        <f>SUM(F334:F336)</f>
        <v>46600</v>
      </c>
      <c r="G337" s="221">
        <f>SUM(G334:G336)</f>
        <v>54421.156975999998</v>
      </c>
      <c r="H337" s="219">
        <f>SUM(E337:G337)</f>
        <v>350827.32697599998</v>
      </c>
      <c r="I337" s="268"/>
      <c r="J337" s="219">
        <f>SUM(J334:J336)</f>
        <v>0</v>
      </c>
      <c r="K337" s="219">
        <f>SUM(K334:K336)</f>
        <v>-595.20447999999953</v>
      </c>
      <c r="L337" s="219">
        <f>SUM(L334:L336)</f>
        <v>-595.20447999999953</v>
      </c>
    </row>
    <row r="338" spans="1:12" x14ac:dyDescent="0.3">
      <c r="A338" s="365"/>
      <c r="B338" s="371"/>
      <c r="C338" s="217"/>
      <c r="D338" s="220"/>
      <c r="E338" s="219"/>
      <c r="F338" s="219"/>
      <c r="G338" s="219"/>
      <c r="H338" s="219"/>
      <c r="I338" s="268"/>
      <c r="J338" s="219"/>
      <c r="K338" s="222"/>
      <c r="L338" s="222"/>
    </row>
    <row r="339" spans="1:12" x14ac:dyDescent="0.3">
      <c r="A339" s="157" t="str">
        <f>"FY "&amp;'AGAP|0348-00'!FiscalYear-1</f>
        <v>FY 2022</v>
      </c>
      <c r="B339" s="158" t="s">
        <v>31</v>
      </c>
      <c r="C339" s="355">
        <v>1234000</v>
      </c>
      <c r="D339" s="55">
        <v>7</v>
      </c>
      <c r="E339" s="223">
        <f>IF('AGAP|0348-00'!OrigApprop=0,0,(E337/H337)*'AGAP|0348-00'!OrigApprop)</f>
        <v>878668.19394342124</v>
      </c>
      <c r="F339" s="223">
        <f>IF('AGAP|0348-00'!OrigApprop=0,0,(F337/H337)*'AGAP|0348-00'!OrigApprop)</f>
        <v>163910.83469941284</v>
      </c>
      <c r="G339" s="223">
        <f>IF(E339=0,0,(G337/H337)*'AGAP|0348-00'!OrigApprop)</f>
        <v>191420.97135716598</v>
      </c>
      <c r="H339" s="223">
        <f>SUM(E339:G339)</f>
        <v>1234000</v>
      </c>
      <c r="I339" s="268"/>
      <c r="J339" s="224"/>
      <c r="K339" s="224"/>
      <c r="L339" s="224"/>
    </row>
    <row r="340" spans="1:12" x14ac:dyDescent="0.3">
      <c r="A340" s="392" t="s">
        <v>32</v>
      </c>
      <c r="B340" s="393"/>
      <c r="C340" s="160" t="s">
        <v>33</v>
      </c>
      <c r="D340" s="161">
        <f>D339-D337</f>
        <v>3</v>
      </c>
      <c r="E340" s="162">
        <f>E339-E337</f>
        <v>628862.0239434212</v>
      </c>
      <c r="F340" s="162">
        <f>F339-F337</f>
        <v>117310.83469941284</v>
      </c>
      <c r="G340" s="162">
        <f>G339-G337</f>
        <v>136999.81438116598</v>
      </c>
      <c r="H340" s="162">
        <f>H339-H337</f>
        <v>883172.67302400002</v>
      </c>
      <c r="I340" s="269"/>
      <c r="J340" s="56" t="str">
        <f>IF('AGAP|0348-00'!OrigApprop=0,"ERROR! Enter Original Appropriation amount in DU 3.00!","Calculated "&amp;IF('AGAP|0348-00'!AdjustedTotal&gt;0,"overfunding ","underfunding ")&amp;"is "&amp;TEXT('AGAP|0348-00'!AdjustedTotal/'AGAP|0348-00'!AppropTotal,"#.0%;(#.0% );0% ;")&amp;" of Original Appropriation")</f>
        <v>Calculated overfunding is 71.6% of Original Appropriation</v>
      </c>
      <c r="K340" s="163"/>
      <c r="L340" s="164"/>
    </row>
    <row r="342" spans="1:12" x14ac:dyDescent="0.3">
      <c r="A342" s="470" t="s">
        <v>1609</v>
      </c>
      <c r="B342" s="470"/>
      <c r="C342" s="470"/>
      <c r="D342" s="470"/>
      <c r="E342" s="470"/>
      <c r="F342" s="470"/>
      <c r="G342" s="470"/>
      <c r="H342" s="470"/>
      <c r="I342" s="470"/>
      <c r="J342" s="470"/>
      <c r="K342" s="470"/>
      <c r="L342" s="470"/>
    </row>
    <row r="343" spans="1:12" ht="40.200000000000003" x14ac:dyDescent="0.3">
      <c r="A343" s="387" t="s">
        <v>22</v>
      </c>
      <c r="B343" s="388"/>
      <c r="C343" s="370" t="s">
        <v>23</v>
      </c>
      <c r="D343" s="49" t="s">
        <v>24</v>
      </c>
      <c r="E343" s="50" t="str">
        <f>"FY "&amp;'AGAP|0402-00'!FiscalYear-1&amp;" SALARY"</f>
        <v>FY 2022 SALARY</v>
      </c>
      <c r="F343" s="50" t="str">
        <f>"FY "&amp;'AGAP|0402-00'!FiscalYear-1&amp;" HEALTH BENEFITS"</f>
        <v>FY 2022 HEALTH BENEFITS</v>
      </c>
      <c r="G343" s="50" t="str">
        <f>"FY "&amp;'AGAP|0402-00'!FiscalYear-1&amp;" VAR BENEFITS"</f>
        <v>FY 2022 VAR BENEFITS</v>
      </c>
      <c r="H343" s="50" t="str">
        <f>"FY "&amp;'AGAP|0402-00'!FiscalYear-1&amp;" TOTAL"</f>
        <v>FY 2022 TOTAL</v>
      </c>
      <c r="I343" s="50" t="str">
        <f>"FY "&amp;'AGAP|0402-00'!FiscalYear&amp;" SALARY CHANGE"</f>
        <v>FY 2023 SALARY CHANGE</v>
      </c>
      <c r="J343" s="50" t="str">
        <f>"FY "&amp;'AGAP|0402-00'!FiscalYear&amp;" CHG HEALTH BENEFITS"</f>
        <v>FY 2023 CHG HEALTH BENEFITS</v>
      </c>
      <c r="K343" s="50" t="str">
        <f>"FY "&amp;'AGAP|0402-00'!FiscalYear&amp;" CHG VAR BENEFITS"</f>
        <v>FY 2023 CHG VAR BENEFITS</v>
      </c>
      <c r="L343" s="50" t="s">
        <v>25</v>
      </c>
    </row>
    <row r="344" spans="1:12" x14ac:dyDescent="0.3">
      <c r="A344" s="389" t="s">
        <v>26</v>
      </c>
      <c r="B344" s="390"/>
      <c r="C344" s="141"/>
      <c r="D344" s="142"/>
      <c r="E344" s="143"/>
      <c r="F344" s="143"/>
      <c r="G344" s="143"/>
      <c r="H344" s="144"/>
      <c r="I344" s="144"/>
      <c r="J344" s="145"/>
      <c r="K344" s="146"/>
      <c r="L344" s="144"/>
    </row>
    <row r="345" spans="1:12" x14ac:dyDescent="0.3">
      <c r="A345" s="385" t="s">
        <v>27</v>
      </c>
      <c r="B345" s="391"/>
      <c r="C345" s="217">
        <v>1</v>
      </c>
      <c r="D345" s="288">
        <f>[0]!AGAP040200col_INC_FTI</f>
        <v>3.35</v>
      </c>
      <c r="E345" s="218">
        <f>[0]!AGAP040200col_FTI_SALARY_PERM</f>
        <v>146718</v>
      </c>
      <c r="F345" s="218">
        <f>[0]!AGAP040200col_HEALTH_PERM</f>
        <v>41940</v>
      </c>
      <c r="G345" s="218">
        <f>[0]!AGAP040200col_TOT_VB_PERM</f>
        <v>33212.553659999998</v>
      </c>
      <c r="H345" s="219">
        <f>SUM(E345:G345)</f>
        <v>221870.55366000001</v>
      </c>
      <c r="I345" s="219">
        <f>[0]!AGAP040200col_1_27TH_PP</f>
        <v>0</v>
      </c>
      <c r="J345" s="218">
        <f>[0]!AGAP040200col_HEALTH_PERM_CHG</f>
        <v>0</v>
      </c>
      <c r="K345" s="218">
        <f>[0]!AGAP040200col_TOT_VB_PERM_CHG</f>
        <v>-381.46679999999975</v>
      </c>
      <c r="L345" s="218">
        <f>SUM(J345:K345)</f>
        <v>-381.46679999999975</v>
      </c>
    </row>
    <row r="346" spans="1:12" x14ac:dyDescent="0.3">
      <c r="A346" s="385" t="s">
        <v>28</v>
      </c>
      <c r="B346" s="391"/>
      <c r="C346" s="217">
        <v>2</v>
      </c>
      <c r="D346" s="288"/>
      <c r="E346" s="218">
        <f>[0]!AGAP040200col_Group_Salary</f>
        <v>6149.25</v>
      </c>
      <c r="F346" s="218">
        <v>0</v>
      </c>
      <c r="G346" s="218">
        <f>[0]!AGAP040200col_Group_Ben</f>
        <v>723.41</v>
      </c>
      <c r="H346" s="219">
        <f>SUM(E346:G346)</f>
        <v>6872.66</v>
      </c>
      <c r="I346" s="268"/>
      <c r="J346" s="218"/>
      <c r="K346" s="218"/>
      <c r="L346" s="218"/>
    </row>
    <row r="347" spans="1:12" x14ac:dyDescent="0.3">
      <c r="A347" s="385" t="s">
        <v>29</v>
      </c>
      <c r="B347" s="386"/>
      <c r="C347" s="217">
        <v>3</v>
      </c>
      <c r="D347" s="288">
        <f>[0]!AGAP040200col_TOTAL_ELECT_PCN_FTI</f>
        <v>0</v>
      </c>
      <c r="E347" s="218">
        <f>[0]!AGAP040200col_FTI_SALARY_ELECT</f>
        <v>0</v>
      </c>
      <c r="F347" s="218">
        <f>[0]!AGAP040200col_HEALTH_ELECT</f>
        <v>0</v>
      </c>
      <c r="G347" s="218">
        <f>[0]!AGAP040200col_TOT_VB_ELECT</f>
        <v>0</v>
      </c>
      <c r="H347" s="219">
        <f>SUM(E347:G347)</f>
        <v>0</v>
      </c>
      <c r="I347" s="268"/>
      <c r="J347" s="218">
        <f>[0]!AGAP040200col_HEALTH_ELECT_CHG</f>
        <v>0</v>
      </c>
      <c r="K347" s="218">
        <f>[0]!AGAP040200col_TOT_VB_ELECT_CHG</f>
        <v>0</v>
      </c>
      <c r="L347" s="219">
        <f>SUM(J347:K347)</f>
        <v>0</v>
      </c>
    </row>
    <row r="348" spans="1:12" x14ac:dyDescent="0.3">
      <c r="A348" s="385" t="s">
        <v>30</v>
      </c>
      <c r="B348" s="391"/>
      <c r="C348" s="217"/>
      <c r="D348" s="220">
        <f>SUM(D345:D347)</f>
        <v>3.35</v>
      </c>
      <c r="E348" s="221">
        <f>SUM(E345:E347)</f>
        <v>152867.25</v>
      </c>
      <c r="F348" s="221">
        <f>SUM(F345:F347)</f>
        <v>41940</v>
      </c>
      <c r="G348" s="221">
        <f>SUM(G345:G347)</f>
        <v>33935.963660000001</v>
      </c>
      <c r="H348" s="219">
        <f>SUM(E348:G348)</f>
        <v>228743.21366000001</v>
      </c>
      <c r="I348" s="268"/>
      <c r="J348" s="219">
        <f>SUM(J345:J347)</f>
        <v>0</v>
      </c>
      <c r="K348" s="219">
        <f>SUM(K345:K347)</f>
        <v>-381.46679999999975</v>
      </c>
      <c r="L348" s="219">
        <f>SUM(L345:L347)</f>
        <v>-381.46679999999975</v>
      </c>
    </row>
    <row r="349" spans="1:12" x14ac:dyDescent="0.3">
      <c r="A349" s="365"/>
      <c r="B349" s="371"/>
      <c r="C349" s="217"/>
      <c r="D349" s="220"/>
      <c r="E349" s="219"/>
      <c r="F349" s="219"/>
      <c r="G349" s="219"/>
      <c r="H349" s="219"/>
      <c r="I349" s="268"/>
      <c r="J349" s="219"/>
      <c r="K349" s="222"/>
      <c r="L349" s="222"/>
    </row>
    <row r="350" spans="1:12" x14ac:dyDescent="0.3">
      <c r="A350" s="157" t="str">
        <f>"FY "&amp;'AGAP|0402-00'!FiscalYear-1</f>
        <v>FY 2022</v>
      </c>
      <c r="B350" s="158" t="s">
        <v>31</v>
      </c>
      <c r="C350" s="355">
        <v>369400</v>
      </c>
      <c r="D350" s="55">
        <v>4.4000000000000004</v>
      </c>
      <c r="E350" s="223">
        <f>IF('AGAP|0402-00'!OrigApprop=0,0,(E348/H348)*'AGAP|0402-00'!OrigApprop)</f>
        <v>246867.04906548525</v>
      </c>
      <c r="F350" s="223">
        <f>IF('AGAP|0402-00'!OrigApprop=0,0,(F348/H348)*'AGAP|0402-00'!OrigApprop)</f>
        <v>67729.379823385665</v>
      </c>
      <c r="G350" s="223">
        <f>IF(E350=0,0,(G348/H348)*'AGAP|0402-00'!OrigApprop)</f>
        <v>54803.571111129066</v>
      </c>
      <c r="H350" s="223">
        <f>SUM(E350:G350)</f>
        <v>369400</v>
      </c>
      <c r="I350" s="268"/>
      <c r="J350" s="224"/>
      <c r="K350" s="224"/>
      <c r="L350" s="224"/>
    </row>
    <row r="351" spans="1:12" x14ac:dyDescent="0.3">
      <c r="A351" s="392" t="s">
        <v>32</v>
      </c>
      <c r="B351" s="393"/>
      <c r="C351" s="160" t="s">
        <v>33</v>
      </c>
      <c r="D351" s="161">
        <f>D350-D348</f>
        <v>1.0500000000000003</v>
      </c>
      <c r="E351" s="162">
        <f>E350-E348</f>
        <v>93999.799065485247</v>
      </c>
      <c r="F351" s="162">
        <f>F350-F348</f>
        <v>25789.379823385665</v>
      </c>
      <c r="G351" s="162">
        <f>G350-G348</f>
        <v>20867.607451129064</v>
      </c>
      <c r="H351" s="162">
        <f>H350-H348</f>
        <v>140656.78633999999</v>
      </c>
      <c r="I351" s="269"/>
      <c r="J351" s="56" t="str">
        <f>IF('AGAP|0402-00'!OrigApprop=0,"ERROR! Enter Original Appropriation amount in DU 3.00!","Calculated "&amp;IF('AGAP|0402-00'!AdjustedTotal&gt;0,"overfunding ","underfunding ")&amp;"is "&amp;TEXT('AGAP|0402-00'!AdjustedTotal/'AGAP|0402-00'!AppropTotal,"#.0%;(#.0% );0% ;")&amp;" of Original Appropriation")</f>
        <v>Calculated overfunding is 38.1% of Original Appropriation</v>
      </c>
      <c r="K351" s="163"/>
      <c r="L351" s="164"/>
    </row>
  </sheetData>
  <mergeCells count="224">
    <mergeCell ref="A348:B348"/>
    <mergeCell ref="A351:B351"/>
    <mergeCell ref="A340:B340"/>
    <mergeCell ref="A343:B343"/>
    <mergeCell ref="A344:B344"/>
    <mergeCell ref="A345:B345"/>
    <mergeCell ref="A346:B346"/>
    <mergeCell ref="A347:B347"/>
    <mergeCell ref="A332:B332"/>
    <mergeCell ref="A333:B333"/>
    <mergeCell ref="A334:B334"/>
    <mergeCell ref="A335:B335"/>
    <mergeCell ref="A336:B336"/>
    <mergeCell ref="A337:B337"/>
    <mergeCell ref="A322:B322"/>
    <mergeCell ref="A323:B323"/>
    <mergeCell ref="A324:B324"/>
    <mergeCell ref="A325:B325"/>
    <mergeCell ref="A326:B326"/>
    <mergeCell ref="A329:B329"/>
    <mergeCell ref="A312:B312"/>
    <mergeCell ref="A313:B313"/>
    <mergeCell ref="A314:B314"/>
    <mergeCell ref="A315:B315"/>
    <mergeCell ref="A318:B318"/>
    <mergeCell ref="A321:B321"/>
    <mergeCell ref="A302:B302"/>
    <mergeCell ref="A303:B303"/>
    <mergeCell ref="A304:B304"/>
    <mergeCell ref="A307:B307"/>
    <mergeCell ref="A310:B310"/>
    <mergeCell ref="A311:B311"/>
    <mergeCell ref="A292:B292"/>
    <mergeCell ref="A293:B293"/>
    <mergeCell ref="A296:B296"/>
    <mergeCell ref="A299:B299"/>
    <mergeCell ref="A300:B300"/>
    <mergeCell ref="A301:B301"/>
    <mergeCell ref="A282:B282"/>
    <mergeCell ref="A285:B285"/>
    <mergeCell ref="A288:B288"/>
    <mergeCell ref="A289:B289"/>
    <mergeCell ref="A290:B290"/>
    <mergeCell ref="A291:B291"/>
    <mergeCell ref="A274:B274"/>
    <mergeCell ref="A277:B277"/>
    <mergeCell ref="A278:B278"/>
    <mergeCell ref="A279:B279"/>
    <mergeCell ref="A280:B280"/>
    <mergeCell ref="A281:B281"/>
    <mergeCell ref="A266:B266"/>
    <mergeCell ref="A267:B267"/>
    <mergeCell ref="A268:B268"/>
    <mergeCell ref="A269:B269"/>
    <mergeCell ref="A270:B270"/>
    <mergeCell ref="A271:B271"/>
    <mergeCell ref="A256:B256"/>
    <mergeCell ref="A257:B257"/>
    <mergeCell ref="A258:B258"/>
    <mergeCell ref="A259:B259"/>
    <mergeCell ref="A260:B260"/>
    <mergeCell ref="A263:B263"/>
    <mergeCell ref="A246:B246"/>
    <mergeCell ref="A247:B247"/>
    <mergeCell ref="A248:B248"/>
    <mergeCell ref="A249:B249"/>
    <mergeCell ref="A252:B252"/>
    <mergeCell ref="A255:B255"/>
    <mergeCell ref="A236:B236"/>
    <mergeCell ref="A237:B237"/>
    <mergeCell ref="A238:B238"/>
    <mergeCell ref="A241:B241"/>
    <mergeCell ref="A244:B244"/>
    <mergeCell ref="A245:B245"/>
    <mergeCell ref="A226:B226"/>
    <mergeCell ref="A227:B227"/>
    <mergeCell ref="A230:B230"/>
    <mergeCell ref="A233:B233"/>
    <mergeCell ref="A234:B234"/>
    <mergeCell ref="A235:B235"/>
    <mergeCell ref="A216:B216"/>
    <mergeCell ref="A219:B219"/>
    <mergeCell ref="A222:B222"/>
    <mergeCell ref="A223:B223"/>
    <mergeCell ref="A224:B224"/>
    <mergeCell ref="A225:B225"/>
    <mergeCell ref="A208:B208"/>
    <mergeCell ref="A211:B211"/>
    <mergeCell ref="A212:B212"/>
    <mergeCell ref="A213:B213"/>
    <mergeCell ref="A214:B214"/>
    <mergeCell ref="A215:B215"/>
    <mergeCell ref="A200:B200"/>
    <mergeCell ref="A201:B201"/>
    <mergeCell ref="A202:B202"/>
    <mergeCell ref="A203:B203"/>
    <mergeCell ref="A204:B204"/>
    <mergeCell ref="A205:B205"/>
    <mergeCell ref="A190:B190"/>
    <mergeCell ref="A191:B191"/>
    <mergeCell ref="A192:B192"/>
    <mergeCell ref="A193:B193"/>
    <mergeCell ref="A194:B194"/>
    <mergeCell ref="A197:B197"/>
    <mergeCell ref="A180:B180"/>
    <mergeCell ref="A181:B181"/>
    <mergeCell ref="A182:B182"/>
    <mergeCell ref="A183:B183"/>
    <mergeCell ref="A186:B186"/>
    <mergeCell ref="A189:B189"/>
    <mergeCell ref="A170:B170"/>
    <mergeCell ref="A171:B171"/>
    <mergeCell ref="A172:B172"/>
    <mergeCell ref="A175:B175"/>
    <mergeCell ref="A178:B178"/>
    <mergeCell ref="A179:B179"/>
    <mergeCell ref="A160:B160"/>
    <mergeCell ref="A161:B161"/>
    <mergeCell ref="A164:B164"/>
    <mergeCell ref="A167:B167"/>
    <mergeCell ref="A168:B168"/>
    <mergeCell ref="A169:B169"/>
    <mergeCell ref="A150:B150"/>
    <mergeCell ref="A153:B153"/>
    <mergeCell ref="A156:B156"/>
    <mergeCell ref="A157:B157"/>
    <mergeCell ref="A158:B158"/>
    <mergeCell ref="A159:B159"/>
    <mergeCell ref="A142:B142"/>
    <mergeCell ref="A145:B145"/>
    <mergeCell ref="A146:B146"/>
    <mergeCell ref="A147:B147"/>
    <mergeCell ref="A148:B148"/>
    <mergeCell ref="A149:B149"/>
    <mergeCell ref="A134:B134"/>
    <mergeCell ref="A135:B135"/>
    <mergeCell ref="A136:B136"/>
    <mergeCell ref="A137:B137"/>
    <mergeCell ref="A138:B138"/>
    <mergeCell ref="A139:B139"/>
    <mergeCell ref="A124:B124"/>
    <mergeCell ref="A125:B125"/>
    <mergeCell ref="A126:B126"/>
    <mergeCell ref="A127:B127"/>
    <mergeCell ref="A128:B128"/>
    <mergeCell ref="A131:B131"/>
    <mergeCell ref="A114:B114"/>
    <mergeCell ref="A115:B115"/>
    <mergeCell ref="A116:B116"/>
    <mergeCell ref="A117:B117"/>
    <mergeCell ref="A120:B120"/>
    <mergeCell ref="A123:B123"/>
    <mergeCell ref="A104:B104"/>
    <mergeCell ref="A105:B105"/>
    <mergeCell ref="A106:B106"/>
    <mergeCell ref="A109:B109"/>
    <mergeCell ref="A112:B112"/>
    <mergeCell ref="A113:B113"/>
    <mergeCell ref="A94:B94"/>
    <mergeCell ref="A95:B95"/>
    <mergeCell ref="A98:B98"/>
    <mergeCell ref="A101:B101"/>
    <mergeCell ref="A102:B102"/>
    <mergeCell ref="A103:B103"/>
    <mergeCell ref="A84:B84"/>
    <mergeCell ref="A87:B87"/>
    <mergeCell ref="A90:B90"/>
    <mergeCell ref="A91:B91"/>
    <mergeCell ref="A92:B92"/>
    <mergeCell ref="A93:B93"/>
    <mergeCell ref="A76:B76"/>
    <mergeCell ref="A79:B79"/>
    <mergeCell ref="A80:B80"/>
    <mergeCell ref="A81:B81"/>
    <mergeCell ref="A82:B82"/>
    <mergeCell ref="A83:B83"/>
    <mergeCell ref="A68:B68"/>
    <mergeCell ref="A69:B69"/>
    <mergeCell ref="A70:B70"/>
    <mergeCell ref="A71:B71"/>
    <mergeCell ref="A72:B72"/>
    <mergeCell ref="A73:B73"/>
    <mergeCell ref="A58:B58"/>
    <mergeCell ref="A59:B59"/>
    <mergeCell ref="A60:B60"/>
    <mergeCell ref="A61:B61"/>
    <mergeCell ref="A62:B62"/>
    <mergeCell ref="A65:B65"/>
    <mergeCell ref="A48:B48"/>
    <mergeCell ref="A49:B49"/>
    <mergeCell ref="A50:B50"/>
    <mergeCell ref="A51:B51"/>
    <mergeCell ref="A54:B54"/>
    <mergeCell ref="A57:B57"/>
    <mergeCell ref="A38:B38"/>
    <mergeCell ref="A39:B39"/>
    <mergeCell ref="A40:B40"/>
    <mergeCell ref="A43:B43"/>
    <mergeCell ref="A46:B46"/>
    <mergeCell ref="A47:B47"/>
    <mergeCell ref="A28:B28"/>
    <mergeCell ref="A29:B29"/>
    <mergeCell ref="A32:B32"/>
    <mergeCell ref="A35:B35"/>
    <mergeCell ref="A36:B36"/>
    <mergeCell ref="A37:B37"/>
    <mergeCell ref="A18:B18"/>
    <mergeCell ref="A21:B21"/>
    <mergeCell ref="A24:B24"/>
    <mergeCell ref="A25:B25"/>
    <mergeCell ref="A26:B26"/>
    <mergeCell ref="A27:B27"/>
    <mergeCell ref="A10:B10"/>
    <mergeCell ref="A13:B13"/>
    <mergeCell ref="A14:B14"/>
    <mergeCell ref="A15:B15"/>
    <mergeCell ref="A16:B16"/>
    <mergeCell ref="A17:B17"/>
    <mergeCell ref="A2:B2"/>
    <mergeCell ref="A3:B3"/>
    <mergeCell ref="A4:B4"/>
    <mergeCell ref="A5:B5"/>
    <mergeCell ref="A6:B6"/>
    <mergeCell ref="A7:B7"/>
  </mergeCells>
  <conditionalFormatting sqref="J10">
    <cfRule type="expression" dxfId="31" priority="32">
      <formula>$J$16&lt;0</formula>
    </cfRule>
  </conditionalFormatting>
  <conditionalFormatting sqref="J21">
    <cfRule type="expression" dxfId="30" priority="31">
      <formula>$J$16&lt;0</formula>
    </cfRule>
  </conditionalFormatting>
  <conditionalFormatting sqref="J32">
    <cfRule type="expression" dxfId="29" priority="30">
      <formula>$J$16&lt;0</formula>
    </cfRule>
  </conditionalFormatting>
  <conditionalFormatting sqref="J43">
    <cfRule type="expression" dxfId="28" priority="29">
      <formula>$J$16&lt;0</formula>
    </cfRule>
  </conditionalFormatting>
  <conditionalFormatting sqref="J54">
    <cfRule type="expression" dxfId="27" priority="28">
      <formula>$J$16&lt;0</formula>
    </cfRule>
  </conditionalFormatting>
  <conditionalFormatting sqref="J65">
    <cfRule type="expression" dxfId="26" priority="27">
      <formula>$J$16&lt;0</formula>
    </cfRule>
  </conditionalFormatting>
  <conditionalFormatting sqref="J76">
    <cfRule type="expression" dxfId="25" priority="26">
      <formula>$J$16&lt;0</formula>
    </cfRule>
  </conditionalFormatting>
  <conditionalFormatting sqref="J87">
    <cfRule type="expression" dxfId="24" priority="25">
      <formula>$J$16&lt;0</formula>
    </cfRule>
  </conditionalFormatting>
  <conditionalFormatting sqref="J98">
    <cfRule type="expression" dxfId="23" priority="24">
      <formula>$J$16&lt;0</formula>
    </cfRule>
  </conditionalFormatting>
  <conditionalFormatting sqref="J109">
    <cfRule type="expression" dxfId="22" priority="23">
      <formula>$J$16&lt;0</formula>
    </cfRule>
  </conditionalFormatting>
  <conditionalFormatting sqref="J120">
    <cfRule type="expression" dxfId="21" priority="22">
      <formula>$J$16&lt;0</formula>
    </cfRule>
  </conditionalFormatting>
  <conditionalFormatting sqref="J131">
    <cfRule type="expression" dxfId="20" priority="21">
      <formula>$J$16&lt;0</formula>
    </cfRule>
  </conditionalFormatting>
  <conditionalFormatting sqref="J142">
    <cfRule type="expression" dxfId="19" priority="20">
      <formula>$J$16&lt;0</formula>
    </cfRule>
  </conditionalFormatting>
  <conditionalFormatting sqref="J153">
    <cfRule type="expression" dxfId="18" priority="19">
      <formula>$J$16&lt;0</formula>
    </cfRule>
  </conditionalFormatting>
  <conditionalFormatting sqref="J164">
    <cfRule type="expression" dxfId="17" priority="18">
      <formula>$J$16&lt;0</formula>
    </cfRule>
  </conditionalFormatting>
  <conditionalFormatting sqref="J175">
    <cfRule type="expression" dxfId="16" priority="17">
      <formula>$J$16&lt;0</formula>
    </cfRule>
  </conditionalFormatting>
  <conditionalFormatting sqref="J186">
    <cfRule type="expression" dxfId="15" priority="16">
      <formula>$J$16&lt;0</formula>
    </cfRule>
  </conditionalFormatting>
  <conditionalFormatting sqref="J197">
    <cfRule type="expression" dxfId="14" priority="15">
      <formula>$J$16&lt;0</formula>
    </cfRule>
  </conditionalFormatting>
  <conditionalFormatting sqref="J208">
    <cfRule type="expression" dxfId="13" priority="14">
      <formula>$J$16&lt;0</formula>
    </cfRule>
  </conditionalFormatting>
  <conditionalFormatting sqref="J219">
    <cfRule type="expression" dxfId="12" priority="13">
      <formula>$J$16&lt;0</formula>
    </cfRule>
  </conditionalFormatting>
  <conditionalFormatting sqref="J230">
    <cfRule type="expression" dxfId="11" priority="12">
      <formula>$J$16&lt;0</formula>
    </cfRule>
  </conditionalFormatting>
  <conditionalFormatting sqref="J241">
    <cfRule type="expression" dxfId="10" priority="11">
      <formula>$J$16&lt;0</formula>
    </cfRule>
  </conditionalFormatting>
  <conditionalFormatting sqref="J252">
    <cfRule type="expression" dxfId="9" priority="10">
      <formula>$J$16&lt;0</formula>
    </cfRule>
  </conditionalFormatting>
  <conditionalFormatting sqref="J263">
    <cfRule type="expression" dxfId="8" priority="9">
      <formula>$J$16&lt;0</formula>
    </cfRule>
  </conditionalFormatting>
  <conditionalFormatting sqref="J274">
    <cfRule type="expression" dxfId="7" priority="8">
      <formula>$J$16&lt;0</formula>
    </cfRule>
  </conditionalFormatting>
  <conditionalFormatting sqref="J285">
    <cfRule type="expression" dxfId="6" priority="7">
      <formula>$J$16&lt;0</formula>
    </cfRule>
  </conditionalFormatting>
  <conditionalFormatting sqref="J296">
    <cfRule type="expression" dxfId="5" priority="6">
      <formula>$J$16&lt;0</formula>
    </cfRule>
  </conditionalFormatting>
  <conditionalFormatting sqref="J307">
    <cfRule type="expression" dxfId="4" priority="5">
      <formula>$J$16&lt;0</formula>
    </cfRule>
  </conditionalFormatting>
  <conditionalFormatting sqref="J318">
    <cfRule type="expression" dxfId="3" priority="4">
      <formula>$J$16&lt;0</formula>
    </cfRule>
  </conditionalFormatting>
  <conditionalFormatting sqref="J329">
    <cfRule type="expression" dxfId="2" priority="3">
      <formula>$J$16&lt;0</formula>
    </cfRule>
  </conditionalFormatting>
  <conditionalFormatting sqref="J340">
    <cfRule type="expression" dxfId="1" priority="2">
      <formula>$J$16&lt;0</formula>
    </cfRule>
  </conditionalFormatting>
  <conditionalFormatting sqref="J351">
    <cfRule type="expression" dxfId="0" priority="1">
      <formula>$J$16&lt;0</formula>
    </cfRule>
  </conditionalFormatting>
  <pageMargins left="0.7" right="0.7" top="0.75" bottom="0.75" header="0.3" footer="0.3"/>
  <pageSetup scale="10" orientation="landscape" r:id="rId1"/>
  <headerFooter>
    <oddHeader>&amp;L&amp;"Arial"&amp;14 Department of Agriculture&amp;R&amp;"Arial"&amp;10 Agency 210</oddHeader>
    <oddFooter>&amp;L&amp;"Arial"&amp;10 B6:Summary by Program, by Fund&amp;R&amp;"Arial"&amp;10 FY 2022 Request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2:M66"/>
  <sheetViews>
    <sheetView workbookViewId="0">
      <selection activeCell="E8" sqref="E8:M66"/>
    </sheetView>
  </sheetViews>
  <sheetFormatPr defaultRowHeight="14.4" x14ac:dyDescent="0.3"/>
  <cols>
    <col min="1" max="1" width="2.77734375" customWidth="1"/>
    <col min="2" max="2" width="9.5546875" bestFit="1" customWidth="1"/>
    <col min="3" max="3" width="7.6640625" bestFit="1" customWidth="1"/>
    <col min="4" max="4" width="5.6640625" customWidth="1"/>
    <col min="5" max="5" width="7.6640625" bestFit="1" customWidth="1"/>
    <col min="6" max="6" width="14.44140625" bestFit="1" customWidth="1"/>
    <col min="7" max="7" width="14" bestFit="1" customWidth="1"/>
    <col min="8" max="8" width="14.44140625" bestFit="1" customWidth="1"/>
    <col min="9" max="9" width="15.44140625" bestFit="1" customWidth="1"/>
    <col min="10" max="10" width="17" bestFit="1" customWidth="1"/>
    <col min="11" max="11" width="14.44140625" bestFit="1" customWidth="1"/>
    <col min="12" max="12" width="15.44140625" bestFit="1" customWidth="1"/>
    <col min="13" max="13" width="17" bestFit="1" customWidth="1"/>
  </cols>
  <sheetData>
    <row r="2" spans="1:13" ht="21" x14ac:dyDescent="0.4">
      <c r="A2" s="251" t="s">
        <v>97</v>
      </c>
      <c r="B2" s="251"/>
      <c r="C2" s="251"/>
    </row>
    <row r="4" spans="1:13" ht="21" x14ac:dyDescent="0.4">
      <c r="A4" s="252"/>
      <c r="B4" s="252"/>
      <c r="C4" s="252"/>
    </row>
    <row r="5" spans="1:13" ht="15.75" customHeight="1" x14ac:dyDescent="0.3">
      <c r="E5" s="255" t="s">
        <v>83</v>
      </c>
      <c r="F5" s="455" t="s">
        <v>1613</v>
      </c>
      <c r="G5" s="455"/>
      <c r="H5" s="456" t="s">
        <v>1611</v>
      </c>
      <c r="I5" s="455" t="s">
        <v>1614</v>
      </c>
      <c r="J5" s="455"/>
      <c r="K5" s="456" t="s">
        <v>1612</v>
      </c>
      <c r="L5" s="455" t="s">
        <v>1615</v>
      </c>
      <c r="M5" s="455"/>
    </row>
    <row r="6" spans="1:13" ht="15.6" x14ac:dyDescent="0.3">
      <c r="E6" s="249"/>
      <c r="F6" s="253" t="s">
        <v>94</v>
      </c>
      <c r="G6" s="254" t="s">
        <v>96</v>
      </c>
      <c r="H6" s="457"/>
      <c r="I6" s="253" t="s">
        <v>98</v>
      </c>
      <c r="J6" s="254" t="s">
        <v>95</v>
      </c>
      <c r="K6" s="457"/>
      <c r="L6" s="278" t="s">
        <v>98</v>
      </c>
      <c r="M6" s="254" t="s">
        <v>95</v>
      </c>
    </row>
    <row r="7" spans="1:13" x14ac:dyDescent="0.3">
      <c r="A7" s="467" t="s">
        <v>1616</v>
      </c>
      <c r="D7" s="250"/>
    </row>
    <row r="8" spans="1:13" x14ac:dyDescent="0.3">
      <c r="C8" t="s">
        <v>1443</v>
      </c>
      <c r="D8" s="250"/>
      <c r="E8" s="477">
        <f>Data!AS784</f>
        <v>59.914999999999992</v>
      </c>
      <c r="F8" s="477">
        <f>Data!AT784</f>
        <v>3908202.3499999973</v>
      </c>
      <c r="G8" s="477">
        <f>Data!AU784</f>
        <v>1593211.3600000008</v>
      </c>
      <c r="H8" s="477">
        <f>Data!AV784</f>
        <v>3604911.41</v>
      </c>
      <c r="I8" s="477">
        <f>Data!AW784</f>
        <v>702961</v>
      </c>
      <c r="J8" s="477">
        <f>Data!AX784</f>
        <v>811387.19598730037</v>
      </c>
      <c r="K8" s="477">
        <f>Data!AY784</f>
        <v>3604911.41</v>
      </c>
      <c r="L8" s="477">
        <f>Data!AZ784</f>
        <v>702961</v>
      </c>
      <c r="M8" s="477">
        <f>Data!BA784</f>
        <v>803106.54328129999</v>
      </c>
    </row>
    <row r="9" spans="1:13" x14ac:dyDescent="0.3">
      <c r="B9" t="s">
        <v>1617</v>
      </c>
      <c r="D9" s="250"/>
      <c r="E9" s="478">
        <f>Data!AS785</f>
        <v>59.914999999999992</v>
      </c>
      <c r="F9" s="478">
        <f>Data!AT785</f>
        <v>3908202.3499999973</v>
      </c>
      <c r="G9" s="478">
        <f>Data!AU785</f>
        <v>1593211.3600000008</v>
      </c>
      <c r="H9" s="478">
        <f>Data!AV785</f>
        <v>3604911.41</v>
      </c>
      <c r="I9" s="478">
        <f>Data!AW785</f>
        <v>702961</v>
      </c>
      <c r="J9" s="478">
        <f>Data!AX785</f>
        <v>811387.19598730037</v>
      </c>
      <c r="K9" s="478">
        <f>Data!AY785</f>
        <v>3604911.41</v>
      </c>
      <c r="L9" s="478">
        <f>Data!AZ785</f>
        <v>702961</v>
      </c>
      <c r="M9" s="478">
        <f>Data!BA785</f>
        <v>803106.54328129999</v>
      </c>
    </row>
    <row r="10" spans="1:13" x14ac:dyDescent="0.3">
      <c r="C10" t="s">
        <v>1449</v>
      </c>
      <c r="D10" s="250"/>
      <c r="E10" s="477">
        <f>Data!AS786</f>
        <v>10.34</v>
      </c>
      <c r="F10" s="477">
        <f>Data!AT786</f>
        <v>552987.53</v>
      </c>
      <c r="G10" s="477">
        <f>Data!AU786</f>
        <v>239836.90999999997</v>
      </c>
      <c r="H10" s="477">
        <f>Data!AV786</f>
        <v>643493.12</v>
      </c>
      <c r="I10" s="477">
        <f>Data!AW786</f>
        <v>123373.5</v>
      </c>
      <c r="J10" s="477">
        <f>Data!AX786</f>
        <v>145166.16954879998</v>
      </c>
      <c r="K10" s="477">
        <f>Data!AY786</f>
        <v>643493.12</v>
      </c>
      <c r="L10" s="477">
        <f>Data!AZ786</f>
        <v>123373.5</v>
      </c>
      <c r="M10" s="477">
        <f>Data!BA786</f>
        <v>143493.08743680001</v>
      </c>
    </row>
    <row r="11" spans="1:13" x14ac:dyDescent="0.3">
      <c r="C11" t="s">
        <v>1454</v>
      </c>
      <c r="D11" s="250"/>
      <c r="E11" s="477">
        <f>Data!AS787</f>
        <v>2</v>
      </c>
      <c r="F11" s="477">
        <f>Data!AT787</f>
        <v>72596.83</v>
      </c>
      <c r="G11" s="477">
        <f>Data!AU787</f>
        <v>40525.39</v>
      </c>
      <c r="H11" s="477">
        <f>Data!AV787</f>
        <v>76356.799999999988</v>
      </c>
      <c r="I11" s="477">
        <f>Data!AW787</f>
        <v>23300</v>
      </c>
      <c r="J11" s="477">
        <f>Data!AX787</f>
        <v>17284.888815999999</v>
      </c>
      <c r="K11" s="477">
        <f>Data!AY787</f>
        <v>76356.799999999988</v>
      </c>
      <c r="L11" s="477">
        <f>Data!AZ787</f>
        <v>23300</v>
      </c>
      <c r="M11" s="477">
        <f>Data!BA787</f>
        <v>17086.361136</v>
      </c>
    </row>
    <row r="12" spans="1:13" x14ac:dyDescent="0.3">
      <c r="B12" t="s">
        <v>1618</v>
      </c>
      <c r="D12" s="250"/>
      <c r="E12" s="478">
        <f>Data!AS788</f>
        <v>12.34</v>
      </c>
      <c r="F12" s="478">
        <f>Data!AT788</f>
        <v>625584.36</v>
      </c>
      <c r="G12" s="478">
        <f>Data!AU788</f>
        <v>280362.3</v>
      </c>
      <c r="H12" s="478">
        <f>Data!AV788</f>
        <v>719849.91999999993</v>
      </c>
      <c r="I12" s="478">
        <f>Data!AW788</f>
        <v>146673.5</v>
      </c>
      <c r="J12" s="478">
        <f>Data!AX788</f>
        <v>162451.05836479997</v>
      </c>
      <c r="K12" s="478">
        <f>Data!AY788</f>
        <v>719849.91999999993</v>
      </c>
      <c r="L12" s="478">
        <f>Data!AZ788</f>
        <v>146673.5</v>
      </c>
      <c r="M12" s="478">
        <f>Data!BA788</f>
        <v>160579.4485728</v>
      </c>
    </row>
    <row r="13" spans="1:13" x14ac:dyDescent="0.3">
      <c r="C13" t="s">
        <v>1619</v>
      </c>
      <c r="D13" s="250"/>
      <c r="E13" s="477">
        <f>Data!AS789</f>
        <v>8.44</v>
      </c>
      <c r="F13" s="477">
        <f>Data!AT789</f>
        <v>375784.95000000007</v>
      </c>
      <c r="G13" s="477">
        <f>Data!AU789</f>
        <v>179999.88</v>
      </c>
      <c r="H13" s="477">
        <f>Data!AV789</f>
        <v>387316.17000000004</v>
      </c>
      <c r="I13" s="477">
        <f>Data!AW789</f>
        <v>98326</v>
      </c>
      <c r="J13" s="477">
        <f>Data!AX789</f>
        <v>87676.761402900011</v>
      </c>
      <c r="K13" s="477">
        <f>Data!AY789</f>
        <v>387316.17000000004</v>
      </c>
      <c r="L13" s="477">
        <f>Data!AZ789</f>
        <v>98326</v>
      </c>
      <c r="M13" s="477">
        <f>Data!BA789</f>
        <v>86669.739360900014</v>
      </c>
    </row>
    <row r="14" spans="1:13" x14ac:dyDescent="0.3">
      <c r="C14" t="s">
        <v>1620</v>
      </c>
      <c r="E14" s="477">
        <f>Data!AS790</f>
        <v>0.35</v>
      </c>
      <c r="F14" s="477">
        <f>Data!AT790</f>
        <v>97599.409999999974</v>
      </c>
      <c r="G14" s="477">
        <f>Data!AU790</f>
        <v>30549.75</v>
      </c>
      <c r="H14" s="477">
        <f>Data!AV790</f>
        <v>23550.799999999999</v>
      </c>
      <c r="I14" s="477">
        <f>Data!AW790</f>
        <v>4077.4999999999995</v>
      </c>
      <c r="J14" s="477">
        <f>Data!AX790</f>
        <v>5331.1945960000003</v>
      </c>
      <c r="K14" s="477">
        <f>Data!AY790</f>
        <v>23550.799999999999</v>
      </c>
      <c r="L14" s="477">
        <f>Data!AZ790</f>
        <v>4077.4999999999995</v>
      </c>
      <c r="M14" s="477">
        <f>Data!BA790</f>
        <v>5269.9625160000014</v>
      </c>
    </row>
    <row r="15" spans="1:13" x14ac:dyDescent="0.3">
      <c r="C15" t="s">
        <v>1621</v>
      </c>
      <c r="E15" s="477">
        <f>Data!AS791</f>
        <v>0</v>
      </c>
      <c r="F15" s="477">
        <f>Data!AT791</f>
        <v>18282.920000000002</v>
      </c>
      <c r="G15" s="477">
        <f>Data!AU791</f>
        <v>8552.7199999999975</v>
      </c>
      <c r="H15" s="477">
        <f>Data!AV791</f>
        <v>0</v>
      </c>
      <c r="I15" s="477">
        <f>Data!AW791</f>
        <v>0</v>
      </c>
      <c r="J15" s="477">
        <f>Data!AX791</f>
        <v>0</v>
      </c>
      <c r="K15" s="477">
        <f>Data!AY791</f>
        <v>0</v>
      </c>
      <c r="L15" s="477">
        <f>Data!AZ791</f>
        <v>0</v>
      </c>
      <c r="M15" s="477">
        <f>Data!BA791</f>
        <v>0</v>
      </c>
    </row>
    <row r="16" spans="1:13" x14ac:dyDescent="0.3">
      <c r="C16" t="s">
        <v>1622</v>
      </c>
      <c r="E16" s="477">
        <f>Data!AS792</f>
        <v>0.05</v>
      </c>
      <c r="F16" s="477">
        <f>Data!AT792</f>
        <v>107.62</v>
      </c>
      <c r="G16" s="477">
        <f>Data!AU792</f>
        <v>57.22</v>
      </c>
      <c r="H16" s="477">
        <f>Data!AV792</f>
        <v>1731.6</v>
      </c>
      <c r="I16" s="477">
        <f>Data!AW792</f>
        <v>582.5</v>
      </c>
      <c r="J16" s="477">
        <f>Data!AX792</f>
        <v>391.98229199999997</v>
      </c>
      <c r="K16" s="477">
        <f>Data!AY792</f>
        <v>1731.6</v>
      </c>
      <c r="L16" s="477">
        <f>Data!AZ792</f>
        <v>582.5</v>
      </c>
      <c r="M16" s="477">
        <f>Data!BA792</f>
        <v>387.48013199999997</v>
      </c>
    </row>
    <row r="17" spans="2:13" x14ac:dyDescent="0.3">
      <c r="C17" t="s">
        <v>1623</v>
      </c>
      <c r="E17" s="477">
        <f>Data!AS793</f>
        <v>0.1</v>
      </c>
      <c r="F17" s="477">
        <f>Data!AT793</f>
        <v>6572.39</v>
      </c>
      <c r="G17" s="477">
        <f>Data!AU793</f>
        <v>3334.0600000000004</v>
      </c>
      <c r="H17" s="477">
        <f>Data!AV793</f>
        <v>3839.68</v>
      </c>
      <c r="I17" s="477">
        <f>Data!AW793</f>
        <v>1165</v>
      </c>
      <c r="J17" s="477">
        <f>Data!AX793</f>
        <v>869.18836160000012</v>
      </c>
      <c r="K17" s="477">
        <f>Data!AY793</f>
        <v>3839.68</v>
      </c>
      <c r="L17" s="477">
        <f>Data!AZ793</f>
        <v>1165</v>
      </c>
      <c r="M17" s="477">
        <f>Data!BA793</f>
        <v>859.20519360000003</v>
      </c>
    </row>
    <row r="18" spans="2:13" x14ac:dyDescent="0.3">
      <c r="C18" t="s">
        <v>1624</v>
      </c>
      <c r="E18" s="477">
        <f>Data!AS794</f>
        <v>0</v>
      </c>
      <c r="F18" s="477">
        <f>Data!AT794</f>
        <v>47.3</v>
      </c>
      <c r="G18" s="477">
        <f>Data!AU794</f>
        <v>11.88</v>
      </c>
      <c r="H18" s="477">
        <f>Data!AV794</f>
        <v>0</v>
      </c>
      <c r="I18" s="477">
        <f>Data!AW794</f>
        <v>0</v>
      </c>
      <c r="J18" s="477">
        <f>Data!AX794</f>
        <v>0</v>
      </c>
      <c r="K18" s="477">
        <f>Data!AY794</f>
        <v>0</v>
      </c>
      <c r="L18" s="477">
        <f>Data!AZ794</f>
        <v>0</v>
      </c>
      <c r="M18" s="477">
        <f>Data!BA794</f>
        <v>0</v>
      </c>
    </row>
    <row r="19" spans="2:13" x14ac:dyDescent="0.3">
      <c r="C19" t="s">
        <v>1530</v>
      </c>
      <c r="E19" s="477">
        <f>Data!AS795</f>
        <v>3.7</v>
      </c>
      <c r="F19" s="477">
        <f>Data!AT795</f>
        <v>265339.27</v>
      </c>
      <c r="G19" s="477">
        <f>Data!AU795</f>
        <v>104030.85</v>
      </c>
      <c r="H19" s="477">
        <f>Data!AV795</f>
        <v>219941.28</v>
      </c>
      <c r="I19" s="477">
        <f>Data!AW795</f>
        <v>43105</v>
      </c>
      <c r="J19" s="477">
        <f>Data!AX795</f>
        <v>49788.107553599984</v>
      </c>
      <c r="K19" s="477">
        <f>Data!AY795</f>
        <v>219941.28</v>
      </c>
      <c r="L19" s="477">
        <f>Data!AZ795</f>
        <v>43105</v>
      </c>
      <c r="M19" s="477">
        <f>Data!BA795</f>
        <v>49216.260225599995</v>
      </c>
    </row>
    <row r="20" spans="2:13" x14ac:dyDescent="0.3">
      <c r="C20" t="s">
        <v>1509</v>
      </c>
      <c r="E20" s="477">
        <f>Data!AS796</f>
        <v>3.34</v>
      </c>
      <c r="F20" s="477">
        <f>Data!AT796</f>
        <v>106388.98</v>
      </c>
      <c r="G20" s="477">
        <f>Data!AU796</f>
        <v>41417.25</v>
      </c>
      <c r="H20" s="477">
        <f>Data!AV796</f>
        <v>214840.28</v>
      </c>
      <c r="I20" s="477">
        <f>Data!AW796</f>
        <v>38911</v>
      </c>
      <c r="J20" s="477">
        <f>Data!AX796</f>
        <v>48633.394183599994</v>
      </c>
      <c r="K20" s="477">
        <f>Data!AY796</f>
        <v>214840.28</v>
      </c>
      <c r="L20" s="477">
        <f>Data!AZ796</f>
        <v>38911</v>
      </c>
      <c r="M20" s="477">
        <f>Data!BA796</f>
        <v>48074.8094556</v>
      </c>
    </row>
    <row r="21" spans="2:13" x14ac:dyDescent="0.3">
      <c r="B21" t="s">
        <v>1625</v>
      </c>
      <c r="E21" s="478">
        <f>Data!AS797</f>
        <v>15.98</v>
      </c>
      <c r="F21" s="478">
        <f>Data!AT797</f>
        <v>870122.84000000008</v>
      </c>
      <c r="G21" s="478">
        <f>Data!AU797</f>
        <v>367953.61</v>
      </c>
      <c r="H21" s="478">
        <f>Data!AV797</f>
        <v>851219.81</v>
      </c>
      <c r="I21" s="478">
        <f>Data!AW797</f>
        <v>186167</v>
      </c>
      <c r="J21" s="478">
        <f>Data!AX797</f>
        <v>192690.6283897</v>
      </c>
      <c r="K21" s="478">
        <f>Data!AY797</f>
        <v>851219.81</v>
      </c>
      <c r="L21" s="478">
        <f>Data!AZ797</f>
        <v>186167</v>
      </c>
      <c r="M21" s="478">
        <f>Data!BA797</f>
        <v>190477.45688369998</v>
      </c>
    </row>
    <row r="22" spans="2:13" x14ac:dyDescent="0.3">
      <c r="C22" t="s">
        <v>1560</v>
      </c>
      <c r="E22" s="477">
        <f>Data!AS798</f>
        <v>0</v>
      </c>
      <c r="F22" s="477">
        <f>Data!AT798</f>
        <v>229.51999999999998</v>
      </c>
      <c r="G22" s="477">
        <f>Data!AU798</f>
        <v>121.98000000000002</v>
      </c>
      <c r="H22" s="477">
        <f>Data!AV798</f>
        <v>0</v>
      </c>
      <c r="I22" s="477">
        <f>Data!AW798</f>
        <v>0</v>
      </c>
      <c r="J22" s="477">
        <f>Data!AX798</f>
        <v>0</v>
      </c>
      <c r="K22" s="477">
        <f>Data!AY798</f>
        <v>0</v>
      </c>
      <c r="L22" s="477">
        <f>Data!AZ798</f>
        <v>0</v>
      </c>
      <c r="M22" s="477">
        <f>Data!BA798</f>
        <v>0</v>
      </c>
    </row>
    <row r="23" spans="2:13" x14ac:dyDescent="0.3">
      <c r="C23" t="s">
        <v>1515</v>
      </c>
      <c r="E23" s="477">
        <f>Data!AS799</f>
        <v>15.920000000000002</v>
      </c>
      <c r="F23" s="477">
        <f>Data!AT799</f>
        <v>712115.48999999987</v>
      </c>
      <c r="G23" s="477">
        <f>Data!AU799</f>
        <v>304460.73000000004</v>
      </c>
      <c r="H23" s="477">
        <f>Data!AV799</f>
        <v>844871.85000000009</v>
      </c>
      <c r="I23" s="477">
        <f>Data!AW799</f>
        <v>185468</v>
      </c>
      <c r="J23" s="477">
        <f>Data!AX799</f>
        <v>191253.64068450002</v>
      </c>
      <c r="K23" s="477">
        <f>Data!AY799</f>
        <v>844871.85000000009</v>
      </c>
      <c r="L23" s="477">
        <f>Data!AZ799</f>
        <v>185468</v>
      </c>
      <c r="M23" s="477">
        <f>Data!BA799</f>
        <v>189056.97387450002</v>
      </c>
    </row>
    <row r="24" spans="2:13" x14ac:dyDescent="0.3">
      <c r="C24" t="s">
        <v>1484</v>
      </c>
      <c r="E24" s="477">
        <f>Data!AS800</f>
        <v>23.6</v>
      </c>
      <c r="F24" s="477">
        <f>Data!AT800</f>
        <v>971353.09</v>
      </c>
      <c r="G24" s="477">
        <f>Data!AU800</f>
        <v>403999.70000000007</v>
      </c>
      <c r="H24" s="477">
        <f>Data!AV800</f>
        <v>1285984.96</v>
      </c>
      <c r="I24" s="477">
        <f>Data!AW800</f>
        <v>274940</v>
      </c>
      <c r="J24" s="477">
        <f>Data!AX800</f>
        <v>291108.41539519996</v>
      </c>
      <c r="K24" s="477">
        <f>Data!AY800</f>
        <v>1285984.96</v>
      </c>
      <c r="L24" s="477">
        <f>Data!AZ800</f>
        <v>274940</v>
      </c>
      <c r="M24" s="477">
        <f>Data!BA800</f>
        <v>287764.85449919995</v>
      </c>
    </row>
    <row r="25" spans="2:13" x14ac:dyDescent="0.3">
      <c r="C25" t="s">
        <v>1464</v>
      </c>
      <c r="E25" s="477">
        <f>Data!AS801</f>
        <v>12.1325</v>
      </c>
      <c r="F25" s="477">
        <f>Data!AT801</f>
        <v>164303.16999999998</v>
      </c>
      <c r="G25" s="477">
        <f>Data!AU801</f>
        <v>62315.41</v>
      </c>
      <c r="H25" s="477">
        <f>Data!AV801</f>
        <v>661767.79</v>
      </c>
      <c r="I25" s="477">
        <f>Data!AW801</f>
        <v>143528</v>
      </c>
      <c r="J25" s="477">
        <f>Data!AX801</f>
        <v>149768.69991829997</v>
      </c>
      <c r="K25" s="477">
        <f>Data!AY801</f>
        <v>661767.79</v>
      </c>
      <c r="L25" s="477">
        <f>Data!AZ801</f>
        <v>143528</v>
      </c>
      <c r="M25" s="477">
        <f>Data!BA801</f>
        <v>148048.1036643</v>
      </c>
    </row>
    <row r="26" spans="2:13" x14ac:dyDescent="0.3">
      <c r="C26" t="s">
        <v>1469</v>
      </c>
      <c r="E26" s="477">
        <f>Data!AS802</f>
        <v>20.399999999999999</v>
      </c>
      <c r="F26" s="477">
        <f>Data!AT802</f>
        <v>1092542.9100000001</v>
      </c>
      <c r="G26" s="477">
        <f>Data!AU802</f>
        <v>475149.18000000017</v>
      </c>
      <c r="H26" s="477">
        <f>Data!AV802</f>
        <v>1072878.5599999998</v>
      </c>
      <c r="I26" s="477">
        <f>Data!AW802</f>
        <v>237660</v>
      </c>
      <c r="J26" s="477">
        <f>Data!AX802</f>
        <v>242867.51962719997</v>
      </c>
      <c r="K26" s="477">
        <f>Data!AY802</f>
        <v>1072878.5599999998</v>
      </c>
      <c r="L26" s="477">
        <f>Data!AZ802</f>
        <v>237660</v>
      </c>
      <c r="M26" s="477">
        <f>Data!BA802</f>
        <v>240078.03537119998</v>
      </c>
    </row>
    <row r="27" spans="2:13" x14ac:dyDescent="0.3">
      <c r="C27" t="s">
        <v>1474</v>
      </c>
      <c r="E27" s="477">
        <f>Data!AS803</f>
        <v>0.2</v>
      </c>
      <c r="F27" s="477">
        <f>Data!AT803</f>
        <v>33238.380000000005</v>
      </c>
      <c r="G27" s="477">
        <f>Data!AU803</f>
        <v>8029.38</v>
      </c>
      <c r="H27" s="477">
        <f>Data!AV803</f>
        <v>10333.44</v>
      </c>
      <c r="I27" s="477">
        <f>Data!AW803</f>
        <v>2330</v>
      </c>
      <c r="J27" s="477">
        <f>Data!AX803</f>
        <v>2339.1808128000002</v>
      </c>
      <c r="K27" s="477">
        <f>Data!AY803</f>
        <v>10333.44</v>
      </c>
      <c r="L27" s="477">
        <f>Data!AZ803</f>
        <v>2330</v>
      </c>
      <c r="M27" s="477">
        <f>Data!BA803</f>
        <v>2312.3138688000004</v>
      </c>
    </row>
    <row r="28" spans="2:13" x14ac:dyDescent="0.3">
      <c r="C28" t="s">
        <v>1536</v>
      </c>
      <c r="E28" s="477">
        <f>Data!AS804</f>
        <v>8</v>
      </c>
      <c r="F28" s="477">
        <f>Data!AT804</f>
        <v>350675.31</v>
      </c>
      <c r="G28" s="477">
        <f>Data!AU804</f>
        <v>159880.88000000003</v>
      </c>
      <c r="H28" s="477">
        <f>Data!AV804</f>
        <v>397737.6</v>
      </c>
      <c r="I28" s="477">
        <f>Data!AW804</f>
        <v>93200</v>
      </c>
      <c r="J28" s="477">
        <f>Data!AX804</f>
        <v>90035.860511999985</v>
      </c>
      <c r="K28" s="477">
        <f>Data!AY804</f>
        <v>397737.6</v>
      </c>
      <c r="L28" s="477">
        <f>Data!AZ804</f>
        <v>93200</v>
      </c>
      <c r="M28" s="477">
        <f>Data!BA804</f>
        <v>89001.742752000006</v>
      </c>
    </row>
    <row r="29" spans="2:13" x14ac:dyDescent="0.3">
      <c r="C29" t="s">
        <v>1595</v>
      </c>
      <c r="E29" s="477">
        <f>Data!AS805</f>
        <v>0</v>
      </c>
      <c r="F29" s="477">
        <f>Data!AT805</f>
        <v>3500</v>
      </c>
      <c r="G29" s="477">
        <f>Data!AU805</f>
        <v>500</v>
      </c>
      <c r="H29" s="477">
        <f>Data!AV805</f>
        <v>0</v>
      </c>
      <c r="I29" s="477">
        <f>Data!AW805</f>
        <v>0</v>
      </c>
      <c r="J29" s="477">
        <f>Data!AX805</f>
        <v>0</v>
      </c>
      <c r="K29" s="477">
        <f>Data!AY805</f>
        <v>0</v>
      </c>
      <c r="L29" s="477">
        <f>Data!AZ805</f>
        <v>0</v>
      </c>
      <c r="M29" s="477">
        <f>Data!BA805</f>
        <v>0</v>
      </c>
    </row>
    <row r="30" spans="2:13" x14ac:dyDescent="0.3">
      <c r="B30" t="s">
        <v>1626</v>
      </c>
      <c r="E30" s="478">
        <f>Data!AS806</f>
        <v>80.252500000000012</v>
      </c>
      <c r="F30" s="478">
        <f>Data!AT806</f>
        <v>3327957.8699999996</v>
      </c>
      <c r="G30" s="478">
        <f>Data!AU806</f>
        <v>1414457.2600000005</v>
      </c>
      <c r="H30" s="478">
        <f>Data!AV806</f>
        <v>4273574.2</v>
      </c>
      <c r="I30" s="478">
        <f>Data!AW806</f>
        <v>937126</v>
      </c>
      <c r="J30" s="478">
        <f>Data!AX806</f>
        <v>967373.31694999989</v>
      </c>
      <c r="K30" s="478">
        <f>Data!AY806</f>
        <v>4273574.2</v>
      </c>
      <c r="L30" s="478">
        <f>Data!AZ806</f>
        <v>937126</v>
      </c>
      <c r="M30" s="478">
        <f>Data!BA806</f>
        <v>956262.02402999985</v>
      </c>
    </row>
    <row r="31" spans="2:13" x14ac:dyDescent="0.3">
      <c r="C31" t="s">
        <v>1490</v>
      </c>
      <c r="E31" s="477">
        <f>Data!AS807</f>
        <v>5.5</v>
      </c>
      <c r="F31" s="477">
        <f>Data!AT807</f>
        <v>779604.19</v>
      </c>
      <c r="G31" s="477">
        <f>Data!AU807</f>
        <v>342431.80999999994</v>
      </c>
      <c r="H31" s="477">
        <f>Data!AV807</f>
        <v>306342.40000000002</v>
      </c>
      <c r="I31" s="477">
        <f>Data!AW807</f>
        <v>64075</v>
      </c>
      <c r="J31" s="477">
        <f>Data!AX807</f>
        <v>69346.729087999993</v>
      </c>
      <c r="K31" s="477">
        <f>Data!AY807</f>
        <v>306342.40000000002</v>
      </c>
      <c r="L31" s="477">
        <f>Data!AZ807</f>
        <v>64075</v>
      </c>
      <c r="M31" s="477">
        <f>Data!BA807</f>
        <v>68550.238848000008</v>
      </c>
    </row>
    <row r="32" spans="2:13" x14ac:dyDescent="0.3">
      <c r="B32" t="s">
        <v>1627</v>
      </c>
      <c r="E32" s="478">
        <f>Data!AS808</f>
        <v>5.5</v>
      </c>
      <c r="F32" s="478">
        <f>Data!AT808</f>
        <v>779604.19</v>
      </c>
      <c r="G32" s="478">
        <f>Data!AU808</f>
        <v>342431.80999999994</v>
      </c>
      <c r="H32" s="478">
        <f>Data!AV808</f>
        <v>306342.40000000002</v>
      </c>
      <c r="I32" s="478">
        <f>Data!AW808</f>
        <v>64075</v>
      </c>
      <c r="J32" s="478">
        <f>Data!AX808</f>
        <v>69346.729087999993</v>
      </c>
      <c r="K32" s="478">
        <f>Data!AY808</f>
        <v>306342.40000000002</v>
      </c>
      <c r="L32" s="478">
        <f>Data!AZ808</f>
        <v>64075</v>
      </c>
      <c r="M32" s="478">
        <f>Data!BA808</f>
        <v>68550.238848000008</v>
      </c>
    </row>
    <row r="33" spans="1:13" x14ac:dyDescent="0.3">
      <c r="C33" t="s">
        <v>1607</v>
      </c>
      <c r="E33" s="477">
        <f>Data!AS809</f>
        <v>3.35</v>
      </c>
      <c r="F33" s="477">
        <f>Data!AT809</f>
        <v>154474.16000000003</v>
      </c>
      <c r="G33" s="477">
        <f>Data!AU809</f>
        <v>77135.320000000007</v>
      </c>
      <c r="H33" s="477">
        <f>Data!AV809</f>
        <v>146718</v>
      </c>
      <c r="I33" s="477">
        <f>Data!AW809</f>
        <v>41940</v>
      </c>
      <c r="J33" s="477">
        <f>Data!AX809</f>
        <v>33212.553659999998</v>
      </c>
      <c r="K33" s="477">
        <f>Data!AY809</f>
        <v>146718</v>
      </c>
      <c r="L33" s="477">
        <f>Data!AZ809</f>
        <v>41940</v>
      </c>
      <c r="M33" s="477">
        <f>Data!BA809</f>
        <v>32831.086860000003</v>
      </c>
    </row>
    <row r="34" spans="1:13" x14ac:dyDescent="0.3">
      <c r="B34" t="s">
        <v>1628</v>
      </c>
      <c r="E34" s="478">
        <f>Data!AS810</f>
        <v>3.35</v>
      </c>
      <c r="F34" s="478">
        <f>Data!AT810</f>
        <v>154474.16000000003</v>
      </c>
      <c r="G34" s="478">
        <f>Data!AU810</f>
        <v>77135.320000000007</v>
      </c>
      <c r="H34" s="478">
        <f>Data!AV810</f>
        <v>146718</v>
      </c>
      <c r="I34" s="478">
        <f>Data!AW810</f>
        <v>41940</v>
      </c>
      <c r="J34" s="478">
        <f>Data!AX810</f>
        <v>33212.553659999998</v>
      </c>
      <c r="K34" s="478">
        <f>Data!AY810</f>
        <v>146718</v>
      </c>
      <c r="L34" s="478">
        <f>Data!AZ810</f>
        <v>41940</v>
      </c>
      <c r="M34" s="478">
        <f>Data!BA810</f>
        <v>32831.086860000003</v>
      </c>
    </row>
    <row r="35" spans="1:13" x14ac:dyDescent="0.3">
      <c r="C35" t="s">
        <v>1568</v>
      </c>
      <c r="E35" s="477">
        <f>Data!AS811</f>
        <v>13</v>
      </c>
      <c r="F35" s="477">
        <f>Data!AT811</f>
        <v>798822.37000000011</v>
      </c>
      <c r="G35" s="477">
        <f>Data!AU811</f>
        <v>331051.52000000002</v>
      </c>
      <c r="H35" s="477">
        <f>Data!AV811</f>
        <v>748571.20000000007</v>
      </c>
      <c r="I35" s="477">
        <f>Data!AW811</f>
        <v>154945</v>
      </c>
      <c r="J35" s="477">
        <f>Data!AX811</f>
        <v>169454.06254400004</v>
      </c>
      <c r="K35" s="477">
        <f>Data!AY811</f>
        <v>748571.20000000007</v>
      </c>
      <c r="L35" s="477">
        <f>Data!AZ811</f>
        <v>154945</v>
      </c>
      <c r="M35" s="477">
        <f>Data!BA811</f>
        <v>167507.777424</v>
      </c>
    </row>
    <row r="36" spans="1:13" x14ac:dyDescent="0.3">
      <c r="B36" t="s">
        <v>1629</v>
      </c>
      <c r="E36" s="478">
        <f>Data!AS812</f>
        <v>13</v>
      </c>
      <c r="F36" s="478">
        <f>Data!AT812</f>
        <v>798822.37000000011</v>
      </c>
      <c r="G36" s="478">
        <f>Data!AU812</f>
        <v>331051.52000000002</v>
      </c>
      <c r="H36" s="478">
        <f>Data!AV812</f>
        <v>748571.20000000007</v>
      </c>
      <c r="I36" s="478">
        <f>Data!AW812</f>
        <v>154945</v>
      </c>
      <c r="J36" s="478">
        <f>Data!AX812</f>
        <v>169454.06254400004</v>
      </c>
      <c r="K36" s="478">
        <f>Data!AY812</f>
        <v>748571.20000000007</v>
      </c>
      <c r="L36" s="478">
        <f>Data!AZ812</f>
        <v>154945</v>
      </c>
      <c r="M36" s="478">
        <f>Data!BA812</f>
        <v>167507.777424</v>
      </c>
    </row>
    <row r="37" spans="1:13" x14ac:dyDescent="0.3">
      <c r="E37" s="477">
        <f>Data!AS813</f>
        <v>0</v>
      </c>
      <c r="F37" s="477">
        <f>Data!AT813</f>
        <v>0</v>
      </c>
      <c r="G37" s="477">
        <f>Data!AU813</f>
        <v>0</v>
      </c>
      <c r="H37" s="477">
        <f>Data!AV813</f>
        <v>0</v>
      </c>
      <c r="I37" s="477">
        <f>Data!AW813</f>
        <v>0</v>
      </c>
      <c r="J37" s="477">
        <f>Data!AX813</f>
        <v>0</v>
      </c>
      <c r="K37" s="477">
        <f>Data!AY813</f>
        <v>0</v>
      </c>
      <c r="L37" s="477">
        <f>Data!AZ813</f>
        <v>0</v>
      </c>
      <c r="M37" s="477">
        <f>Data!BA813</f>
        <v>0</v>
      </c>
    </row>
    <row r="38" spans="1:13" x14ac:dyDescent="0.3">
      <c r="A38" s="471" t="s">
        <v>1630</v>
      </c>
      <c r="E38" s="479">
        <f>Data!AS814</f>
        <v>190.33750000000001</v>
      </c>
      <c r="F38" s="479">
        <f>Data!AT814</f>
        <v>10464768.139999997</v>
      </c>
      <c r="G38" s="479">
        <f>Data!AU814</f>
        <v>4406603.1800000016</v>
      </c>
      <c r="H38" s="479">
        <f>Data!AV814</f>
        <v>10651186.939999999</v>
      </c>
      <c r="I38" s="479">
        <f>Data!AW814</f>
        <v>2233887.5</v>
      </c>
      <c r="J38" s="479">
        <f>Data!AX814</f>
        <v>2405915.5449838005</v>
      </c>
      <c r="K38" s="479">
        <f>Data!AY814</f>
        <v>10651186.939999999</v>
      </c>
      <c r="L38" s="479">
        <f>Data!AZ814</f>
        <v>2233887.5</v>
      </c>
      <c r="M38" s="479">
        <f>Data!BA814</f>
        <v>2379314.5758998003</v>
      </c>
    </row>
    <row r="39" spans="1:13" x14ac:dyDescent="0.3">
      <c r="E39" s="477">
        <f>Data!AS815</f>
        <v>0</v>
      </c>
      <c r="F39" s="477">
        <f>Data!AT815</f>
        <v>0</v>
      </c>
      <c r="G39" s="477">
        <f>Data!AU815</f>
        <v>0</v>
      </c>
      <c r="H39" s="477">
        <f>Data!AV815</f>
        <v>0</v>
      </c>
      <c r="I39" s="477">
        <f>Data!AW815</f>
        <v>0</v>
      </c>
      <c r="J39" s="477">
        <f>Data!AX815</f>
        <v>0</v>
      </c>
      <c r="K39" s="477">
        <f>Data!AY815</f>
        <v>0</v>
      </c>
      <c r="L39" s="477">
        <f>Data!AZ815</f>
        <v>0</v>
      </c>
      <c r="M39" s="477">
        <f>Data!BA815</f>
        <v>0</v>
      </c>
    </row>
    <row r="40" spans="1:13" x14ac:dyDescent="0.3">
      <c r="A40" s="467" t="s">
        <v>1631</v>
      </c>
      <c r="E40" s="477">
        <f>Data!AS816</f>
        <v>0</v>
      </c>
      <c r="F40" s="477">
        <f>Data!AT816</f>
        <v>0</v>
      </c>
      <c r="G40" s="477">
        <f>Data!AU816</f>
        <v>0</v>
      </c>
      <c r="H40" s="477">
        <f>Data!AV816</f>
        <v>0</v>
      </c>
      <c r="I40" s="477">
        <f>Data!AW816</f>
        <v>0</v>
      </c>
      <c r="J40" s="477">
        <f>Data!AX816</f>
        <v>0</v>
      </c>
      <c r="K40" s="477">
        <f>Data!AY816</f>
        <v>0</v>
      </c>
      <c r="L40" s="477">
        <f>Data!AZ816</f>
        <v>0</v>
      </c>
      <c r="M40" s="477">
        <f>Data!BA816</f>
        <v>0</v>
      </c>
    </row>
    <row r="41" spans="1:13" x14ac:dyDescent="0.3">
      <c r="C41" t="s">
        <v>1443</v>
      </c>
      <c r="E41" s="477">
        <f>Data!AS817</f>
        <v>0</v>
      </c>
      <c r="F41" s="477">
        <f>Data!AT817</f>
        <v>49244.639999999999</v>
      </c>
      <c r="G41" s="477">
        <f>Data!AU817</f>
        <v>18781.969999999998</v>
      </c>
      <c r="H41" s="477">
        <f>Data!AV817</f>
        <v>49244.639999999999</v>
      </c>
      <c r="I41" s="477">
        <f>Data!AW817</f>
        <v>0</v>
      </c>
      <c r="J41" s="477">
        <f>Data!AX817</f>
        <v>18781.969999999998</v>
      </c>
      <c r="K41" s="477">
        <f>Data!AY817</f>
        <v>49244.639999999999</v>
      </c>
      <c r="L41" s="477">
        <f>Data!AZ817</f>
        <v>0</v>
      </c>
      <c r="M41" s="477">
        <f>Data!BA817</f>
        <v>18781.969999999998</v>
      </c>
    </row>
    <row r="42" spans="1:13" x14ac:dyDescent="0.3">
      <c r="B42" t="s">
        <v>1617</v>
      </c>
      <c r="E42" s="478">
        <f>Data!AS818</f>
        <v>0</v>
      </c>
      <c r="F42" s="478">
        <f>Data!AT818</f>
        <v>49244.639999999999</v>
      </c>
      <c r="G42" s="478">
        <f>Data!AU818</f>
        <v>18781.969999999998</v>
      </c>
      <c r="H42" s="478">
        <f>Data!AV818</f>
        <v>49244.639999999999</v>
      </c>
      <c r="I42" s="478">
        <f>Data!AW818</f>
        <v>0</v>
      </c>
      <c r="J42" s="478">
        <f>Data!AX818</f>
        <v>18781.969999999998</v>
      </c>
      <c r="K42" s="478">
        <f>Data!AY818</f>
        <v>49244.639999999999</v>
      </c>
      <c r="L42" s="478">
        <f>Data!AZ818</f>
        <v>0</v>
      </c>
      <c r="M42" s="478">
        <f>Data!BA818</f>
        <v>18781.969999999998</v>
      </c>
    </row>
    <row r="43" spans="1:13" x14ac:dyDescent="0.3">
      <c r="C43" t="s">
        <v>1449</v>
      </c>
      <c r="E43" s="477">
        <f>Data!AS819</f>
        <v>0</v>
      </c>
      <c r="F43" s="477">
        <f>Data!AT819</f>
        <v>7210</v>
      </c>
      <c r="G43" s="477">
        <f>Data!AU819</f>
        <v>855.24</v>
      </c>
      <c r="H43" s="477">
        <f>Data!AV819</f>
        <v>7210</v>
      </c>
      <c r="I43" s="477">
        <f>Data!AW819</f>
        <v>0</v>
      </c>
      <c r="J43" s="477">
        <f>Data!AX819</f>
        <v>855.24</v>
      </c>
      <c r="K43" s="477">
        <f>Data!AY819</f>
        <v>7210</v>
      </c>
      <c r="L43" s="477">
        <f>Data!AZ819</f>
        <v>0</v>
      </c>
      <c r="M43" s="477">
        <f>Data!BA819</f>
        <v>855.24</v>
      </c>
    </row>
    <row r="44" spans="1:13" x14ac:dyDescent="0.3">
      <c r="C44" t="s">
        <v>1454</v>
      </c>
      <c r="E44" s="477">
        <f>Data!AS820</f>
        <v>0</v>
      </c>
      <c r="F44" s="477">
        <f>Data!AT820</f>
        <v>40107.97</v>
      </c>
      <c r="G44" s="477">
        <f>Data!AU820</f>
        <v>8669.81</v>
      </c>
      <c r="H44" s="477">
        <f>Data!AV820</f>
        <v>40107.97</v>
      </c>
      <c r="I44" s="477">
        <f>Data!AW820</f>
        <v>0</v>
      </c>
      <c r="J44" s="477">
        <f>Data!AX820</f>
        <v>8669.81</v>
      </c>
      <c r="K44" s="477">
        <f>Data!AY820</f>
        <v>40107.97</v>
      </c>
      <c r="L44" s="477">
        <f>Data!AZ820</f>
        <v>0</v>
      </c>
      <c r="M44" s="477">
        <f>Data!BA820</f>
        <v>8669.81</v>
      </c>
    </row>
    <row r="45" spans="1:13" x14ac:dyDescent="0.3">
      <c r="B45" t="s">
        <v>1618</v>
      </c>
      <c r="E45" s="478">
        <f>Data!AS821</f>
        <v>0</v>
      </c>
      <c r="F45" s="478">
        <f>Data!AT821</f>
        <v>47317.97</v>
      </c>
      <c r="G45" s="478">
        <f>Data!AU821</f>
        <v>9525.0499999999993</v>
      </c>
      <c r="H45" s="478">
        <f>Data!AV821</f>
        <v>47317.97</v>
      </c>
      <c r="I45" s="478">
        <f>Data!AW821</f>
        <v>0</v>
      </c>
      <c r="J45" s="478">
        <f>Data!AX821</f>
        <v>9525.0499999999993</v>
      </c>
      <c r="K45" s="478">
        <f>Data!AY821</f>
        <v>47317.97</v>
      </c>
      <c r="L45" s="478">
        <f>Data!AZ821</f>
        <v>0</v>
      </c>
      <c r="M45" s="478">
        <f>Data!BA821</f>
        <v>9525.0499999999993</v>
      </c>
    </row>
    <row r="46" spans="1:13" x14ac:dyDescent="0.3">
      <c r="C46" t="s">
        <v>1619</v>
      </c>
      <c r="E46" s="477">
        <f>Data!AS822</f>
        <v>0</v>
      </c>
      <c r="F46" s="477">
        <f>Data!AT822</f>
        <v>217549.05000000002</v>
      </c>
      <c r="G46" s="477">
        <f>Data!AU822</f>
        <v>40675.759999999995</v>
      </c>
      <c r="H46" s="477">
        <f>Data!AV822</f>
        <v>217549.05000000002</v>
      </c>
      <c r="I46" s="477">
        <f>Data!AW822</f>
        <v>0</v>
      </c>
      <c r="J46" s="477">
        <f>Data!AX822</f>
        <v>40675.759999999995</v>
      </c>
      <c r="K46" s="477">
        <f>Data!AY822</f>
        <v>217549.05000000002</v>
      </c>
      <c r="L46" s="477">
        <f>Data!AZ822</f>
        <v>0</v>
      </c>
      <c r="M46" s="477">
        <f>Data!BA822</f>
        <v>40675.759999999995</v>
      </c>
    </row>
    <row r="47" spans="1:13" x14ac:dyDescent="0.3">
      <c r="C47" t="s">
        <v>1620</v>
      </c>
      <c r="E47" s="477">
        <f>Data!AS823</f>
        <v>0</v>
      </c>
      <c r="F47" s="477">
        <f>Data!AT823</f>
        <v>11.55</v>
      </c>
      <c r="G47" s="477">
        <f>Data!AU823</f>
        <v>6.22</v>
      </c>
      <c r="H47" s="477">
        <f>Data!AV823</f>
        <v>11.55</v>
      </c>
      <c r="I47" s="477">
        <f>Data!AW823</f>
        <v>0</v>
      </c>
      <c r="J47" s="477">
        <f>Data!AX823</f>
        <v>6.22</v>
      </c>
      <c r="K47" s="477">
        <f>Data!AY823</f>
        <v>11.55</v>
      </c>
      <c r="L47" s="477">
        <f>Data!AZ823</f>
        <v>0</v>
      </c>
      <c r="M47" s="477">
        <f>Data!BA823</f>
        <v>6.22</v>
      </c>
    </row>
    <row r="48" spans="1:13" x14ac:dyDescent="0.3">
      <c r="C48" t="s">
        <v>1621</v>
      </c>
      <c r="E48" s="477">
        <f>Data!AS824</f>
        <v>0</v>
      </c>
      <c r="F48" s="477">
        <f>Data!AT824</f>
        <v>27429</v>
      </c>
      <c r="G48" s="477">
        <f>Data!AU824</f>
        <v>3333.64</v>
      </c>
      <c r="H48" s="477">
        <f>Data!AV824</f>
        <v>27429</v>
      </c>
      <c r="I48" s="477">
        <f>Data!AW824</f>
        <v>0</v>
      </c>
      <c r="J48" s="477">
        <f>Data!AX824</f>
        <v>3333.64</v>
      </c>
      <c r="K48" s="477">
        <f>Data!AY824</f>
        <v>27429</v>
      </c>
      <c r="L48" s="477">
        <f>Data!AZ824</f>
        <v>0</v>
      </c>
      <c r="M48" s="477">
        <f>Data!BA824</f>
        <v>3333.64</v>
      </c>
    </row>
    <row r="49" spans="1:13" x14ac:dyDescent="0.3">
      <c r="C49" t="s">
        <v>1622</v>
      </c>
      <c r="E49" s="477">
        <f>Data!AS825</f>
        <v>0</v>
      </c>
      <c r="F49" s="477">
        <f>Data!AT825</f>
        <v>12.5</v>
      </c>
      <c r="G49" s="477">
        <f>Data!AU825</f>
        <v>1.34</v>
      </c>
      <c r="H49" s="477">
        <f>Data!AV825</f>
        <v>12.5</v>
      </c>
      <c r="I49" s="477">
        <f>Data!AW825</f>
        <v>0</v>
      </c>
      <c r="J49" s="477">
        <f>Data!AX825</f>
        <v>1.34</v>
      </c>
      <c r="K49" s="477">
        <f>Data!AY825</f>
        <v>12.5</v>
      </c>
      <c r="L49" s="477">
        <f>Data!AZ825</f>
        <v>0</v>
      </c>
      <c r="M49" s="477">
        <f>Data!BA825</f>
        <v>1.34</v>
      </c>
    </row>
    <row r="50" spans="1:13" x14ac:dyDescent="0.3">
      <c r="C50" t="s">
        <v>1530</v>
      </c>
      <c r="E50" s="477">
        <f>Data!AS826</f>
        <v>0</v>
      </c>
      <c r="F50" s="477">
        <f>Data!AT826</f>
        <v>4536</v>
      </c>
      <c r="G50" s="477">
        <f>Data!AU826</f>
        <v>385.59</v>
      </c>
      <c r="H50" s="477">
        <f>Data!AV826</f>
        <v>4536</v>
      </c>
      <c r="I50" s="477">
        <f>Data!AW826</f>
        <v>0</v>
      </c>
      <c r="J50" s="477">
        <f>Data!AX826</f>
        <v>385.59</v>
      </c>
      <c r="K50" s="477">
        <f>Data!AY826</f>
        <v>4536</v>
      </c>
      <c r="L50" s="477">
        <f>Data!AZ826</f>
        <v>0</v>
      </c>
      <c r="M50" s="477">
        <f>Data!BA826</f>
        <v>385.59</v>
      </c>
    </row>
    <row r="51" spans="1:13" x14ac:dyDescent="0.3">
      <c r="C51" t="s">
        <v>1509</v>
      </c>
      <c r="E51" s="477">
        <f>Data!AS827</f>
        <v>0</v>
      </c>
      <c r="F51" s="477">
        <f>Data!AT827</f>
        <v>9786.2000000000007</v>
      </c>
      <c r="G51" s="477">
        <f>Data!AU827</f>
        <v>1849.98</v>
      </c>
      <c r="H51" s="477">
        <f>Data!AV827</f>
        <v>9786.2000000000007</v>
      </c>
      <c r="I51" s="477">
        <f>Data!AW827</f>
        <v>0</v>
      </c>
      <c r="J51" s="477">
        <f>Data!AX827</f>
        <v>1849.98</v>
      </c>
      <c r="K51" s="477">
        <f>Data!AY827</f>
        <v>9786.2000000000007</v>
      </c>
      <c r="L51" s="477">
        <f>Data!AZ827</f>
        <v>0</v>
      </c>
      <c r="M51" s="477">
        <f>Data!BA827</f>
        <v>1849.98</v>
      </c>
    </row>
    <row r="52" spans="1:13" x14ac:dyDescent="0.3">
      <c r="B52" t="s">
        <v>1625</v>
      </c>
      <c r="E52" s="478">
        <f>Data!AS828</f>
        <v>0</v>
      </c>
      <c r="F52" s="478">
        <f>Data!AT828</f>
        <v>259324.30000000002</v>
      </c>
      <c r="G52" s="478">
        <f>Data!AU828</f>
        <v>46252.529999999992</v>
      </c>
      <c r="H52" s="478">
        <f>Data!AV828</f>
        <v>259324.30000000002</v>
      </c>
      <c r="I52" s="478">
        <f>Data!AW828</f>
        <v>0</v>
      </c>
      <c r="J52" s="478">
        <f>Data!AX828</f>
        <v>46252.529999999992</v>
      </c>
      <c r="K52" s="478">
        <f>Data!AY828</f>
        <v>259324.30000000002</v>
      </c>
      <c r="L52" s="478">
        <f>Data!AZ828</f>
        <v>0</v>
      </c>
      <c r="M52" s="478">
        <f>Data!BA828</f>
        <v>46252.529999999992</v>
      </c>
    </row>
    <row r="53" spans="1:13" x14ac:dyDescent="0.3">
      <c r="C53" t="s">
        <v>1469</v>
      </c>
      <c r="E53" s="477">
        <f>Data!AS829</f>
        <v>0</v>
      </c>
      <c r="F53" s="477">
        <f>Data!AT829</f>
        <v>8376</v>
      </c>
      <c r="G53" s="477">
        <f>Data!AU829</f>
        <v>1154.31</v>
      </c>
      <c r="H53" s="477">
        <f>Data!AV829</f>
        <v>8376</v>
      </c>
      <c r="I53" s="477">
        <f>Data!AW829</f>
        <v>0</v>
      </c>
      <c r="J53" s="477">
        <f>Data!AX829</f>
        <v>1154.31</v>
      </c>
      <c r="K53" s="477">
        <f>Data!AY829</f>
        <v>8376</v>
      </c>
      <c r="L53" s="477">
        <f>Data!AZ829</f>
        <v>0</v>
      </c>
      <c r="M53" s="477">
        <f>Data!BA829</f>
        <v>1154.31</v>
      </c>
    </row>
    <row r="54" spans="1:13" x14ac:dyDescent="0.3">
      <c r="C54" t="s">
        <v>1474</v>
      </c>
      <c r="E54" s="477">
        <f>Data!AS830</f>
        <v>0</v>
      </c>
      <c r="F54" s="477">
        <f>Data!AT830</f>
        <v>699.37</v>
      </c>
      <c r="G54" s="477">
        <f>Data!AU830</f>
        <v>459.88</v>
      </c>
      <c r="H54" s="477">
        <f>Data!AV830</f>
        <v>699.37</v>
      </c>
      <c r="I54" s="477">
        <f>Data!AW830</f>
        <v>0</v>
      </c>
      <c r="J54" s="477">
        <f>Data!AX830</f>
        <v>459.88</v>
      </c>
      <c r="K54" s="477">
        <f>Data!AY830</f>
        <v>699.37</v>
      </c>
      <c r="L54" s="477">
        <f>Data!AZ830</f>
        <v>0</v>
      </c>
      <c r="M54" s="477">
        <f>Data!BA830</f>
        <v>459.88</v>
      </c>
    </row>
    <row r="55" spans="1:13" x14ac:dyDescent="0.3">
      <c r="C55" t="s">
        <v>1536</v>
      </c>
      <c r="E55" s="477">
        <f>Data!AS831</f>
        <v>0</v>
      </c>
      <c r="F55" s="477">
        <f>Data!AT831</f>
        <v>24.75</v>
      </c>
      <c r="G55" s="477">
        <f>Data!AU831</f>
        <v>14.92</v>
      </c>
      <c r="H55" s="477">
        <f>Data!AV831</f>
        <v>24.75</v>
      </c>
      <c r="I55" s="477">
        <f>Data!AW831</f>
        <v>0</v>
      </c>
      <c r="J55" s="477">
        <f>Data!AX831</f>
        <v>14.92</v>
      </c>
      <c r="K55" s="477">
        <f>Data!AY831</f>
        <v>24.75</v>
      </c>
      <c r="L55" s="477">
        <f>Data!AZ831</f>
        <v>0</v>
      </c>
      <c r="M55" s="477">
        <f>Data!BA831</f>
        <v>14.92</v>
      </c>
    </row>
    <row r="56" spans="1:13" x14ac:dyDescent="0.3">
      <c r="B56" t="s">
        <v>1626</v>
      </c>
      <c r="E56" s="478">
        <f>Data!AS832</f>
        <v>0</v>
      </c>
      <c r="F56" s="478">
        <f>Data!AT832</f>
        <v>9100.1200000000008</v>
      </c>
      <c r="G56" s="478">
        <f>Data!AU832</f>
        <v>1629.1100000000001</v>
      </c>
      <c r="H56" s="478">
        <f>Data!AV832</f>
        <v>9100.1200000000008</v>
      </c>
      <c r="I56" s="478">
        <f>Data!AW832</f>
        <v>0</v>
      </c>
      <c r="J56" s="478">
        <f>Data!AX832</f>
        <v>1629.1100000000001</v>
      </c>
      <c r="K56" s="478">
        <f>Data!AY832</f>
        <v>9100.1200000000008</v>
      </c>
      <c r="L56" s="478">
        <f>Data!AZ832</f>
        <v>0</v>
      </c>
      <c r="M56" s="478">
        <f>Data!BA832</f>
        <v>1629.1100000000001</v>
      </c>
    </row>
    <row r="57" spans="1:13" x14ac:dyDescent="0.3">
      <c r="C57" t="s">
        <v>1490</v>
      </c>
      <c r="E57" s="477">
        <f>Data!AS833</f>
        <v>0</v>
      </c>
      <c r="F57" s="477">
        <f>Data!AT833</f>
        <v>54711.48</v>
      </c>
      <c r="G57" s="477">
        <f>Data!AU833</f>
        <v>6284.53</v>
      </c>
      <c r="H57" s="477">
        <f>Data!AV833</f>
        <v>54711.48</v>
      </c>
      <c r="I57" s="477">
        <f>Data!AW833</f>
        <v>0</v>
      </c>
      <c r="J57" s="477">
        <f>Data!AX833</f>
        <v>6284.53</v>
      </c>
      <c r="K57" s="477">
        <f>Data!AY833</f>
        <v>54711.48</v>
      </c>
      <c r="L57" s="477">
        <f>Data!AZ833</f>
        <v>0</v>
      </c>
      <c r="M57" s="477">
        <f>Data!BA833</f>
        <v>6284.53</v>
      </c>
    </row>
    <row r="58" spans="1:13" x14ac:dyDescent="0.3">
      <c r="B58" t="s">
        <v>1627</v>
      </c>
      <c r="E58" s="478">
        <f>Data!AS834</f>
        <v>0</v>
      </c>
      <c r="F58" s="478">
        <f>Data!AT834</f>
        <v>54711.48</v>
      </c>
      <c r="G58" s="478">
        <f>Data!AU834</f>
        <v>6284.53</v>
      </c>
      <c r="H58" s="478">
        <f>Data!AV834</f>
        <v>54711.48</v>
      </c>
      <c r="I58" s="478">
        <f>Data!AW834</f>
        <v>0</v>
      </c>
      <c r="J58" s="478">
        <f>Data!AX834</f>
        <v>6284.53</v>
      </c>
      <c r="K58" s="478">
        <f>Data!AY834</f>
        <v>54711.48</v>
      </c>
      <c r="L58" s="478">
        <f>Data!AZ834</f>
        <v>0</v>
      </c>
      <c r="M58" s="478">
        <f>Data!BA834</f>
        <v>6284.53</v>
      </c>
    </row>
    <row r="59" spans="1:13" x14ac:dyDescent="0.3">
      <c r="C59" t="s">
        <v>1607</v>
      </c>
      <c r="E59" s="477">
        <f>Data!AS835</f>
        <v>0</v>
      </c>
      <c r="F59" s="477">
        <f>Data!AT835</f>
        <v>6149.25</v>
      </c>
      <c r="G59" s="477">
        <f>Data!AU835</f>
        <v>723.41</v>
      </c>
      <c r="H59" s="477">
        <f>Data!AV835</f>
        <v>6149.25</v>
      </c>
      <c r="I59" s="477">
        <f>Data!AW835</f>
        <v>0</v>
      </c>
      <c r="J59" s="477">
        <f>Data!AX835</f>
        <v>723.41</v>
      </c>
      <c r="K59" s="477">
        <f>Data!AY835</f>
        <v>6149.25</v>
      </c>
      <c r="L59" s="477">
        <f>Data!AZ835</f>
        <v>0</v>
      </c>
      <c r="M59" s="477">
        <f>Data!BA835</f>
        <v>723.41</v>
      </c>
    </row>
    <row r="60" spans="1:13" x14ac:dyDescent="0.3">
      <c r="B60" t="s">
        <v>1628</v>
      </c>
      <c r="E60" s="478">
        <f>Data!AS836</f>
        <v>0</v>
      </c>
      <c r="F60" s="478">
        <f>Data!AT836</f>
        <v>6149.25</v>
      </c>
      <c r="G60" s="478">
        <f>Data!AU836</f>
        <v>723.41</v>
      </c>
      <c r="H60" s="478">
        <f>Data!AV836</f>
        <v>6149.25</v>
      </c>
      <c r="I60" s="478">
        <f>Data!AW836</f>
        <v>0</v>
      </c>
      <c r="J60" s="478">
        <f>Data!AX836</f>
        <v>723.41</v>
      </c>
      <c r="K60" s="478">
        <f>Data!AY836</f>
        <v>6149.25</v>
      </c>
      <c r="L60" s="478">
        <f>Data!AZ836</f>
        <v>0</v>
      </c>
      <c r="M60" s="478">
        <f>Data!BA836</f>
        <v>723.41</v>
      </c>
    </row>
    <row r="61" spans="1:13" x14ac:dyDescent="0.3">
      <c r="C61" t="s">
        <v>1568</v>
      </c>
      <c r="E61" s="477">
        <f>Data!AS837</f>
        <v>0</v>
      </c>
      <c r="F61" s="477">
        <f>Data!AT837</f>
        <v>3474080.0999999996</v>
      </c>
      <c r="G61" s="477">
        <f>Data!AU837</f>
        <v>1952693.5</v>
      </c>
      <c r="H61" s="477">
        <f>Data!AV837</f>
        <v>3474080.0999999996</v>
      </c>
      <c r="I61" s="477">
        <f>Data!AW837</f>
        <v>0</v>
      </c>
      <c r="J61" s="477">
        <f>Data!AX837</f>
        <v>1952693.5</v>
      </c>
      <c r="K61" s="477">
        <f>Data!AY837</f>
        <v>3474080.0999999996</v>
      </c>
      <c r="L61" s="477">
        <f>Data!AZ837</f>
        <v>0</v>
      </c>
      <c r="M61" s="477">
        <f>Data!BA837</f>
        <v>1952693.5</v>
      </c>
    </row>
    <row r="62" spans="1:13" x14ac:dyDescent="0.3">
      <c r="B62" t="s">
        <v>1629</v>
      </c>
      <c r="E62" s="478">
        <f>Data!AS838</f>
        <v>0</v>
      </c>
      <c r="F62" s="478">
        <f>Data!AT838</f>
        <v>3474080.0999999996</v>
      </c>
      <c r="G62" s="478">
        <f>Data!AU838</f>
        <v>1952693.5</v>
      </c>
      <c r="H62" s="478">
        <f>Data!AV838</f>
        <v>3474080.0999999996</v>
      </c>
      <c r="I62" s="478">
        <f>Data!AW838</f>
        <v>0</v>
      </c>
      <c r="J62" s="478">
        <f>Data!AX838</f>
        <v>1952693.5</v>
      </c>
      <c r="K62" s="478">
        <f>Data!AY838</f>
        <v>3474080.0999999996</v>
      </c>
      <c r="L62" s="478">
        <f>Data!AZ838</f>
        <v>0</v>
      </c>
      <c r="M62" s="478">
        <f>Data!BA838</f>
        <v>1952693.5</v>
      </c>
    </row>
    <row r="63" spans="1:13" x14ac:dyDescent="0.3">
      <c r="E63" s="477">
        <f>Data!AS839</f>
        <v>0</v>
      </c>
      <c r="F63" s="477">
        <f>Data!AT839</f>
        <v>0</v>
      </c>
      <c r="G63" s="477">
        <f>Data!AU839</f>
        <v>0</v>
      </c>
      <c r="H63" s="477">
        <f>Data!AV839</f>
        <v>0</v>
      </c>
      <c r="I63" s="477">
        <f>Data!AW839</f>
        <v>0</v>
      </c>
      <c r="J63" s="477">
        <f>Data!AX839</f>
        <v>0</v>
      </c>
      <c r="K63" s="477">
        <f>Data!AY839</f>
        <v>0</v>
      </c>
      <c r="L63" s="477">
        <f>Data!AZ839</f>
        <v>0</v>
      </c>
      <c r="M63" s="477">
        <f>Data!BA839</f>
        <v>0</v>
      </c>
    </row>
    <row r="64" spans="1:13" x14ac:dyDescent="0.3">
      <c r="A64" s="471" t="s">
        <v>1632</v>
      </c>
      <c r="E64" s="479">
        <f>Data!AS840</f>
        <v>0</v>
      </c>
      <c r="F64" s="479">
        <f>Data!AT840</f>
        <v>3899927.8599999994</v>
      </c>
      <c r="G64" s="479">
        <f>Data!AU840</f>
        <v>2035890.1</v>
      </c>
      <c r="H64" s="479">
        <f>Data!AV840</f>
        <v>3899927.8599999994</v>
      </c>
      <c r="I64" s="479">
        <f>Data!AW840</f>
        <v>0</v>
      </c>
      <c r="J64" s="479">
        <f>Data!AX840</f>
        <v>2035890.1</v>
      </c>
      <c r="K64" s="479">
        <f>Data!AY840</f>
        <v>3899927.8599999994</v>
      </c>
      <c r="L64" s="479">
        <f>Data!AZ840</f>
        <v>0</v>
      </c>
      <c r="M64" s="479">
        <f>Data!BA840</f>
        <v>2035890.1</v>
      </c>
    </row>
    <row r="65" spans="1:13" x14ac:dyDescent="0.3">
      <c r="E65" s="477">
        <f>Data!AS841</f>
        <v>0</v>
      </c>
      <c r="F65" s="477">
        <f>Data!AT841</f>
        <v>0</v>
      </c>
      <c r="G65" s="477">
        <f>Data!AU841</f>
        <v>0</v>
      </c>
      <c r="H65" s="477">
        <f>Data!AV841</f>
        <v>0</v>
      </c>
      <c r="I65" s="477">
        <f>Data!AW841</f>
        <v>0</v>
      </c>
      <c r="J65" s="477">
        <f>Data!AX841</f>
        <v>0</v>
      </c>
      <c r="K65" s="477">
        <f>Data!AY841</f>
        <v>0</v>
      </c>
      <c r="L65" s="477">
        <f>Data!AZ841</f>
        <v>0</v>
      </c>
      <c r="M65" s="477">
        <f>Data!BA841</f>
        <v>0</v>
      </c>
    </row>
    <row r="66" spans="1:13" x14ac:dyDescent="0.3">
      <c r="A66" s="472" t="s">
        <v>1633</v>
      </c>
      <c r="E66" s="475">
        <f>Data!AS842</f>
        <v>190.33750000000001</v>
      </c>
      <c r="F66" s="476">
        <f>Data!AT842</f>
        <v>14364695.999999996</v>
      </c>
      <c r="G66" s="476">
        <f>Data!AU842</f>
        <v>6442493.2800000012</v>
      </c>
      <c r="H66" s="476">
        <f>Data!AV842</f>
        <v>14551114.799999999</v>
      </c>
      <c r="I66" s="476">
        <f>Data!AW842</f>
        <v>2233887.5</v>
      </c>
      <c r="J66" s="476">
        <f>Data!AX842</f>
        <v>4441805.6449838001</v>
      </c>
      <c r="K66" s="476">
        <f>Data!AY842</f>
        <v>14551114.799999999</v>
      </c>
      <c r="L66" s="476">
        <f>Data!AZ842</f>
        <v>2233887.5</v>
      </c>
      <c r="M66" s="476">
        <f>Data!BA842</f>
        <v>4415204.6758997999</v>
      </c>
    </row>
  </sheetData>
  <mergeCells count="5">
    <mergeCell ref="F5:G5"/>
    <mergeCell ref="I5:J5"/>
    <mergeCell ref="L5:M5"/>
    <mergeCell ref="H5:H6"/>
    <mergeCell ref="K5:K6"/>
  </mergeCells>
  <pageMargins left="0.7" right="0.7" top="0.75" bottom="0.75" header="0.3" footer="0.3"/>
  <pageSetup scale="52" orientation="landscape" horizontalDpi="1200" verticalDpi="1200" r:id="rId1"/>
  <headerFooter>
    <oddHeader>&amp;L&amp;"Arial"&amp;14 Department of Agriculture&amp;R&amp;"Arial"&amp;10 Agency 210</oddHeader>
    <oddFooter>&amp;L&amp;"Arial"&amp;10 B6:Summary by Fund&amp;R&amp;"Arial"&amp;10 FY 2022 Request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750CC-4F33-4F8B-934A-57073FAE65A0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1444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1459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356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1442</v>
      </c>
      <c r="J5" s="404"/>
      <c r="K5" s="404"/>
      <c r="L5" s="403"/>
      <c r="M5" s="352" t="s">
        <v>115</v>
      </c>
      <c r="N5" s="32" t="s">
        <v>1443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"&amp;'AGAB|0001-00'!FiscalYear-1&amp;" SALARY"</f>
        <v>FY 2022 SALARY</v>
      </c>
      <c r="H8" s="50" t="str">
        <f>"FY "&amp;'AGAB|0001-00'!FiscalYear-1&amp;" HEALTH BENEFITS"</f>
        <v>FY 2022 HEALTH BENEFITS</v>
      </c>
      <c r="I8" s="50" t="str">
        <f>"FY "&amp;'AGAB|0001-00'!FiscalYear-1&amp;" VAR BENEFITS"</f>
        <v>FY 2022 VAR BENEFITS</v>
      </c>
      <c r="J8" s="50" t="str">
        <f>"FY "&amp;'AGAB|0001-00'!FiscalYear-1&amp;" TOTAL"</f>
        <v>FY 2022 TOTAL</v>
      </c>
      <c r="K8" s="50" t="str">
        <f>"FY "&amp;'AGAB|0001-00'!FiscalYear&amp;" SALARY CHANGE"</f>
        <v>FY 2023 SALARY CHANGE</v>
      </c>
      <c r="L8" s="50" t="str">
        <f>"FY "&amp;'AGAB|0001-00'!FiscalYear&amp;" CHG HEALTH BENEFITS"</f>
        <v>FY 2023 CHG HEALTH BENEFITS</v>
      </c>
      <c r="M8" s="50" t="str">
        <f>"FY "&amp;'AGAB|0001-00'!FiscalYear&amp;"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[0]!AGAB000100col_INC_FTI</f>
        <v>20.130000000000003</v>
      </c>
      <c r="G10" s="218">
        <f>[0]!AGAB000100col_FTI_SALARY_PERM</f>
        <v>1135048.5000000002</v>
      </c>
      <c r="H10" s="218">
        <f>[0]!AGAB000100col_HEALTH_PERM</f>
        <v>235679.5</v>
      </c>
      <c r="I10" s="218">
        <f>[0]!AGAB000100col_TOT_VB_PERM</f>
        <v>256619.85660899995</v>
      </c>
      <c r="J10" s="219">
        <f>SUM(G10:I10)</f>
        <v>1627347.8566090001</v>
      </c>
      <c r="K10" s="219">
        <f>[0]!AGAB000100col_1_27TH_PP</f>
        <v>0</v>
      </c>
      <c r="L10" s="218">
        <f>[0]!AGAB000100col_HEALTH_PERM_CHG</f>
        <v>0</v>
      </c>
      <c r="M10" s="218">
        <f>[0]!AGAB000100col_TOT_VB_PERM_CHG</f>
        <v>-2951.1260999999977</v>
      </c>
      <c r="N10" s="218">
        <f>SUM(L10:M10)</f>
        <v>-2951.1260999999977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11400</v>
      </c>
      <c r="AB10" s="335">
        <f>ROUND(PermVarBen*CECPerm+(CECPerm*PermVarBenChg),-2)</f>
        <v>2500</v>
      </c>
      <c r="AC10" s="335">
        <f>SUM(AA10:AB10)</f>
        <v>13900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[0]!AGAB000100col_Group_Salary</f>
        <v>2865.95</v>
      </c>
      <c r="H11" s="218">
        <v>0</v>
      </c>
      <c r="I11" s="218">
        <f>[0]!AGAB000100col_Group_Ben</f>
        <v>337.59999999999997</v>
      </c>
      <c r="J11" s="219">
        <f>SUM(G11:I11)</f>
        <v>3203.5499999999997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[0]!AGAB000100col_TOTAL_ELECT_PCN_FTI</f>
        <v>0</v>
      </c>
      <c r="G12" s="218">
        <f>[0]!AGAB000100col_FTI_SALARY_ELECT</f>
        <v>0</v>
      </c>
      <c r="H12" s="218">
        <f>[0]!AGAB000100col_HEALTH_ELECT</f>
        <v>0</v>
      </c>
      <c r="I12" s="218">
        <f>[0]!AGAB000100col_TOT_VB_ELECT</f>
        <v>0</v>
      </c>
      <c r="J12" s="219">
        <f>SUM(G12:I12)</f>
        <v>0</v>
      </c>
      <c r="K12" s="268"/>
      <c r="L12" s="218">
        <f>[0]!AGAB000100col_HEALTH_ELECT_CHG</f>
        <v>0</v>
      </c>
      <c r="M12" s="218">
        <f>[0]!AGAB000100col_TOT_VB_ELECT_CHG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20.130000000000003</v>
      </c>
      <c r="G13" s="221">
        <f>SUM(G10:G12)</f>
        <v>1137914.4500000002</v>
      </c>
      <c r="H13" s="221">
        <f>SUM(H10:H12)</f>
        <v>235679.5</v>
      </c>
      <c r="I13" s="221">
        <f>SUM(I10:I12)</f>
        <v>256957.45660899996</v>
      </c>
      <c r="J13" s="219">
        <f>SUM(G13:I13)</f>
        <v>1630551.4066090002</v>
      </c>
      <c r="K13" s="268"/>
      <c r="L13" s="219">
        <f>SUM(L10:L12)</f>
        <v>0</v>
      </c>
      <c r="M13" s="219">
        <f>SUM(M10:M12)</f>
        <v>-2951.1260999999977</v>
      </c>
      <c r="N13" s="219">
        <f>SUM(N10:N12)</f>
        <v>-2951.1260999999977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"&amp;'AGAB|0001-00'!FiscalYear-1</f>
        <v>FY 2022</v>
      </c>
      <c r="D15" s="158" t="s">
        <v>31</v>
      </c>
      <c r="E15" s="355">
        <v>1848900</v>
      </c>
      <c r="F15" s="55">
        <v>22.51</v>
      </c>
      <c r="G15" s="223">
        <f>IF(OrigApprop=0,0,(G13/$J$13)*OrigApprop)</f>
        <v>1290293.5890751127</v>
      </c>
      <c r="H15" s="223">
        <f>IF(OrigApprop=0,0,(H13/$J$13)*OrigApprop)</f>
        <v>267239.55208269658</v>
      </c>
      <c r="I15" s="223">
        <f>IF(G15=0,0,(I13/$J$13)*OrigApprop)</f>
        <v>291366.85884219065</v>
      </c>
      <c r="J15" s="223">
        <f>SUM(G15:I15)</f>
        <v>1848899.9999999998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2.379999999999999</v>
      </c>
      <c r="G16" s="162">
        <f>G15-G13</f>
        <v>152379.13907511253</v>
      </c>
      <c r="H16" s="162">
        <f>H15-H13</f>
        <v>31560.05208269658</v>
      </c>
      <c r="I16" s="162">
        <f>I15-I13</f>
        <v>34409.402233190689</v>
      </c>
      <c r="J16" s="162">
        <f>J15-J13</f>
        <v>218348.59339099959</v>
      </c>
      <c r="K16" s="269"/>
      <c r="L16" s="56" t="str">
        <f>IF('AGAB|0001-00'!OrigApprop=0,"ERROR! Enter Original Appropriation amount in DU 3.00!","Calculated "&amp;IF('AGAB|0001-00'!AdjustedTotal&gt;0,"overfunding ","underfunding ")&amp;"is "&amp;TEXT('AGAB|0001-00'!AdjustedTotal/'AGAB|0001-00'!AppropTotal,"#.0%;(#.0% );0% ;")&amp;" of Original Appropriation")</f>
        <v>Calculated overfunding is 11.8%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20.130000000000003</v>
      </c>
      <c r="G38" s="191">
        <f>SUMIF($E10:$E35,$E38,$G10:$G35)</f>
        <v>1135048.5000000002</v>
      </c>
      <c r="H38" s="192">
        <f>SUMIF($E10:$E35,$E38,$H10:$H35)</f>
        <v>235679.5</v>
      </c>
      <c r="I38" s="192">
        <f>SUMIF($E10:$E35,$E38,$I10:$I35)</f>
        <v>256619.85660899995</v>
      </c>
      <c r="J38" s="192">
        <f>SUM(G38:I38)</f>
        <v>1627347.8566090001</v>
      </c>
      <c r="K38" s="166"/>
      <c r="L38" s="191">
        <f>SUMIF($E10:$E35,$E38,$L10:$L35)</f>
        <v>0</v>
      </c>
      <c r="M38" s="192">
        <f>SUMIF($E10:$E35,$E38,$M10:$M35)</f>
        <v>-2951.1260999999977</v>
      </c>
      <c r="N38" s="192">
        <f>SUM(L38:M38)</f>
        <v>-2951.1260999999977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11400</v>
      </c>
      <c r="AB38" s="338">
        <f>ROUND((AdjPermVB*CECPerm+AdjPermVBBY*CECPerm),-2)</f>
        <v>2500</v>
      </c>
      <c r="AC38" s="338">
        <f>SUM(AA38:AB38)</f>
        <v>13900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2865.95</v>
      </c>
      <c r="H39" s="152">
        <f>SUMIF($E10:$E35,$E39,$H10:$H35)</f>
        <v>0</v>
      </c>
      <c r="I39" s="152">
        <f>SUMIF($E10:$E35,$E39,$I10:$I35)</f>
        <v>337.59999999999997</v>
      </c>
      <c r="J39" s="152">
        <f>SUM(G39:I39)</f>
        <v>3203.5499999999997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20.130000000000003</v>
      </c>
      <c r="G41" s="195">
        <f>SUM($G$38:$G$40)</f>
        <v>1137914.4500000002</v>
      </c>
      <c r="H41" s="162">
        <f>SUM($H$38:$H$40)</f>
        <v>235679.5</v>
      </c>
      <c r="I41" s="162">
        <f>SUM($I$38:$I$40)</f>
        <v>256957.45660899996</v>
      </c>
      <c r="J41" s="162">
        <f>SUM($J$38:$J$40)</f>
        <v>1630551.4066090002</v>
      </c>
      <c r="K41" s="259"/>
      <c r="L41" s="195">
        <f>SUM($L$38:$L$40)</f>
        <v>0</v>
      </c>
      <c r="M41" s="162">
        <f>SUM($M$38:$M$40)</f>
        <v>-2951.1260999999977</v>
      </c>
      <c r="N41" s="162">
        <f>SUM(L41:M41)</f>
        <v>-2951.1260999999977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2.38</v>
      </c>
      <c r="G43" s="206">
        <f>ROUND(G51-G41,-2)</f>
        <v>152400</v>
      </c>
      <c r="H43" s="159">
        <f>ROUND(H51-H41,-2)</f>
        <v>31600</v>
      </c>
      <c r="I43" s="159">
        <f>ROUND(I51-I41,-2)</f>
        <v>34400</v>
      </c>
      <c r="J43" s="159">
        <f>SUM(G43:I43)</f>
        <v>218400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overfunding is 11.8%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2.38</v>
      </c>
      <c r="G44" s="206">
        <f>ROUND(G60-G41,-2)</f>
        <v>152400</v>
      </c>
      <c r="H44" s="159">
        <f>ROUND(H60-H41,-2)</f>
        <v>31500</v>
      </c>
      <c r="I44" s="159">
        <f>ROUND(I60-I41,-2)</f>
        <v>34400</v>
      </c>
      <c r="J44" s="159">
        <f>SUM(G44:I44)</f>
        <v>218300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overfunding is 11.8%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2.38</v>
      </c>
      <c r="G45" s="206">
        <f>ROUND(G67-G41-G63,-2)</f>
        <v>152400</v>
      </c>
      <c r="H45" s="206">
        <f>ROUND(H67-H41-H63,-2)</f>
        <v>31500</v>
      </c>
      <c r="I45" s="206">
        <f>ROUND(I67-I41-I63,-2)</f>
        <v>34400</v>
      </c>
      <c r="J45" s="159">
        <f>SUM(G45:I45)</f>
        <v>218300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11.8%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/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1848900</v>
      </c>
      <c r="F51" s="272">
        <f>AppropFTP</f>
        <v>22.51</v>
      </c>
      <c r="G51" s="274">
        <f>IF(E51=0,0,(G41/$J$41)*$E$51)</f>
        <v>1290293.5890751127</v>
      </c>
      <c r="H51" s="274">
        <f>IF(E51=0,0,(H41/$J$41)*$E$51)</f>
        <v>267239.55208269658</v>
      </c>
      <c r="I51" s="275">
        <f>IF(E51=0,0,(I41/$J$41)*$E$51)</f>
        <v>291366.85884219065</v>
      </c>
      <c r="J51" s="90">
        <f>SUM(G51:I51)</f>
        <v>1848899.9999999998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22.51</v>
      </c>
      <c r="G52" s="79">
        <f>ROUND(G51,-2)</f>
        <v>1290300</v>
      </c>
      <c r="H52" s="79">
        <f>ROUND(H51,-2)</f>
        <v>267200</v>
      </c>
      <c r="I52" s="266">
        <f>ROUND(I51,-2)</f>
        <v>291400</v>
      </c>
      <c r="J52" s="80">
        <f>ROUND(J51,-2)</f>
        <v>1848900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22.51</v>
      </c>
      <c r="G56" s="80">
        <f>SUM(G52:G55)</f>
        <v>1290300</v>
      </c>
      <c r="H56" s="80">
        <f>SUM(H52:H55)</f>
        <v>267200</v>
      </c>
      <c r="I56" s="260">
        <f>SUM(I52:I55)</f>
        <v>291400</v>
      </c>
      <c r="J56" s="80">
        <f>SUM(J52:J55)</f>
        <v>1848900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22.51</v>
      </c>
      <c r="G60" s="80">
        <f>SUM(G56:G59)</f>
        <v>1290300</v>
      </c>
      <c r="H60" s="80">
        <f>SUM(H56:H59)</f>
        <v>267200</v>
      </c>
      <c r="I60" s="260">
        <f>SUM(I56:I59)</f>
        <v>291400</v>
      </c>
      <c r="J60" s="80">
        <f>SUM(J56:J59)</f>
        <v>1848900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22.51</v>
      </c>
      <c r="G67" s="80">
        <f>SUM(G60:G64)</f>
        <v>1290300</v>
      </c>
      <c r="H67" s="80">
        <f>SUM(H60:H64)</f>
        <v>267200</v>
      </c>
      <c r="I67" s="80">
        <f>SUM(I60:I64)</f>
        <v>291400</v>
      </c>
      <c r="J67" s="80">
        <f>SUM(J60:J64)</f>
        <v>1848900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-3000</v>
      </c>
      <c r="J69" s="287">
        <f>SUM(G69:I69)</f>
        <v>-3000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11400</v>
      </c>
      <c r="H72" s="287"/>
      <c r="I72" s="287">
        <f>ROUND(($G72*PermVBBY+$G72*Retire1BY),-2)</f>
        <v>2600</v>
      </c>
      <c r="J72" s="113">
        <f>SUM(G72:I72)</f>
        <v>14000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22.51</v>
      </c>
      <c r="G75" s="80">
        <f>SUM(G67:G74)</f>
        <v>1301700</v>
      </c>
      <c r="H75" s="80">
        <f>SUM(H67:H74)</f>
        <v>267200</v>
      </c>
      <c r="I75" s="80">
        <f>SUM(I67:I74)</f>
        <v>291000</v>
      </c>
      <c r="J75" s="80">
        <f>SUM(J67:K74)</f>
        <v>1859900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22.51</v>
      </c>
      <c r="G80" s="80">
        <f>SUM(G75:G79)</f>
        <v>1301700</v>
      </c>
      <c r="H80" s="80">
        <f>SUM(H75:H79)</f>
        <v>267200</v>
      </c>
      <c r="I80" s="80">
        <f>SUM(I75:I79)</f>
        <v>291000</v>
      </c>
      <c r="J80" s="80">
        <f>SUM(J75:J79)</f>
        <v>1859900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181" priority="5">
      <formula>$J$44&lt;0</formula>
    </cfRule>
  </conditionalFormatting>
  <conditionalFormatting sqref="K43">
    <cfRule type="expression" dxfId="180" priority="4">
      <formula>$J$43&lt;0</formula>
    </cfRule>
  </conditionalFormatting>
  <conditionalFormatting sqref="L16">
    <cfRule type="expression" dxfId="179" priority="3">
      <formula>$J$16&lt;0</formula>
    </cfRule>
  </conditionalFormatting>
  <conditionalFormatting sqref="K45">
    <cfRule type="expression" dxfId="178" priority="2">
      <formula>$J$44&lt;0</formula>
    </cfRule>
  </conditionalFormatting>
  <conditionalFormatting sqref="K43:N45">
    <cfRule type="containsText" dxfId="17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DDA03FA-0649-4698-BE21-7314437D74A8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050A7-111F-4737-A1BD-4052FAF7076A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1465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1459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356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1463</v>
      </c>
      <c r="J5" s="404"/>
      <c r="K5" s="404"/>
      <c r="L5" s="403"/>
      <c r="M5" s="352" t="s">
        <v>115</v>
      </c>
      <c r="N5" s="32" t="s">
        <v>1464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"&amp;'AGAB|0332-06'!FiscalYear-1&amp;" SALARY"</f>
        <v>FY 2022 SALARY</v>
      </c>
      <c r="H8" s="50" t="str">
        <f>"FY "&amp;'AGAB|0332-06'!FiscalYear-1&amp;" HEALTH BENEFITS"</f>
        <v>FY 2022 HEALTH BENEFITS</v>
      </c>
      <c r="I8" s="50" t="str">
        <f>"FY "&amp;'AGAB|0332-06'!FiscalYear-1&amp;" VAR BENEFITS"</f>
        <v>FY 2022 VAR BENEFITS</v>
      </c>
      <c r="J8" s="50" t="str">
        <f>"FY "&amp;'AGAB|0332-06'!FiscalYear-1&amp;" TOTAL"</f>
        <v>FY 2022 TOTAL</v>
      </c>
      <c r="K8" s="50" t="str">
        <f>"FY "&amp;'AGAB|0332-06'!FiscalYear&amp;" SALARY CHANGE"</f>
        <v>FY 2023 SALARY CHANGE</v>
      </c>
      <c r="L8" s="50" t="str">
        <f>"FY "&amp;'AGAB|0332-06'!FiscalYear&amp;" CHG HEALTH BENEFITS"</f>
        <v>FY 2023 CHG HEALTH BENEFITS</v>
      </c>
      <c r="M8" s="50" t="str">
        <f>"FY "&amp;'AGAB|0332-06'!FiscalYear&amp;"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[0]!AGAB033206col_INC_FTI</f>
        <v>12.1325</v>
      </c>
      <c r="G10" s="218">
        <f>[0]!AGAB033206col_FTI_SALARY_PERM</f>
        <v>661767.79</v>
      </c>
      <c r="H10" s="218">
        <f>[0]!AGAB033206col_HEALTH_PERM</f>
        <v>143528</v>
      </c>
      <c r="I10" s="218">
        <f>[0]!AGAB033206col_TOT_VB_PERM</f>
        <v>149768.69991829997</v>
      </c>
      <c r="J10" s="219">
        <f>SUM(G10:I10)</f>
        <v>955064.48991829995</v>
      </c>
      <c r="K10" s="219">
        <f>[0]!AGAB033206col_1_27TH_PP</f>
        <v>0</v>
      </c>
      <c r="L10" s="218">
        <f>[0]!AGAB033206col_HEALTH_PERM_CHG</f>
        <v>0</v>
      </c>
      <c r="M10" s="218">
        <f>[0]!AGAB033206col_TOT_VB_PERM_CHG</f>
        <v>-1720.5962539999985</v>
      </c>
      <c r="N10" s="218">
        <f>SUM(L10:M10)</f>
        <v>-1720.5962539999985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6600</v>
      </c>
      <c r="AB10" s="335">
        <f>ROUND(PermVarBen*CECPerm+(CECPerm*PermVarBenChg),-2)</f>
        <v>1500</v>
      </c>
      <c r="AC10" s="335">
        <f>SUM(AA10:AB10)</f>
        <v>8100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[0]!AGAB033206col_Group_Salary</f>
        <v>0</v>
      </c>
      <c r="H11" s="218">
        <v>0</v>
      </c>
      <c r="I11" s="218">
        <f>[0]!AGAB033206col_Group_Ben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[0]!AGAB033206col_TOTAL_ELECT_PCN_FTI</f>
        <v>0</v>
      </c>
      <c r="G12" s="218">
        <f>[0]!AGAB033206col_FTI_SALARY_ELECT</f>
        <v>0</v>
      </c>
      <c r="H12" s="218">
        <f>[0]!AGAB033206col_HEALTH_ELECT</f>
        <v>0</v>
      </c>
      <c r="I12" s="218">
        <f>[0]!AGAB033206col_TOT_VB_ELECT</f>
        <v>0</v>
      </c>
      <c r="J12" s="219">
        <f>SUM(G12:I12)</f>
        <v>0</v>
      </c>
      <c r="K12" s="268"/>
      <c r="L12" s="218">
        <f>[0]!AGAB033206col_HEALTH_ELECT_CHG</f>
        <v>0</v>
      </c>
      <c r="M12" s="218">
        <f>[0]!AGAB033206col_TOT_VB_ELECT_CHG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12.1325</v>
      </c>
      <c r="G13" s="221">
        <f>SUM(G10:G12)</f>
        <v>661767.79</v>
      </c>
      <c r="H13" s="221">
        <f>SUM(H10:H12)</f>
        <v>143528</v>
      </c>
      <c r="I13" s="221">
        <f>SUM(I10:I12)</f>
        <v>149768.69991829997</v>
      </c>
      <c r="J13" s="219">
        <f>SUM(G13:I13)</f>
        <v>955064.48991829995</v>
      </c>
      <c r="K13" s="268"/>
      <c r="L13" s="219">
        <f>SUM(L10:L12)</f>
        <v>0</v>
      </c>
      <c r="M13" s="219">
        <f>SUM(M10:M12)</f>
        <v>-1720.5962539999985</v>
      </c>
      <c r="N13" s="219">
        <f>SUM(N10:N12)</f>
        <v>-1720.5962539999985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"&amp;'AGAB|0332-06'!FiscalYear-1</f>
        <v>FY 2022</v>
      </c>
      <c r="D15" s="158" t="s">
        <v>31</v>
      </c>
      <c r="E15" s="355">
        <v>833300</v>
      </c>
      <c r="F15" s="55">
        <v>10.3</v>
      </c>
      <c r="G15" s="223">
        <f>IF(OrigApprop=0,0,(G13/$J$13)*OrigApprop)</f>
        <v>577396.71532984485</v>
      </c>
      <c r="H15" s="223">
        <f>IF(OrigApprop=0,0,(H13/$J$13)*OrigApprop)</f>
        <v>125229.11663298385</v>
      </c>
      <c r="I15" s="223">
        <f>IF(G15=0,0,(I13/$J$13)*OrigApprop)</f>
        <v>130674.16803717145</v>
      </c>
      <c r="J15" s="223">
        <f>SUM(G15:I15)</f>
        <v>833300.00000000023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-1.8324999999999996</v>
      </c>
      <c r="G16" s="162">
        <f>G15-G13</f>
        <v>-84371.074670155183</v>
      </c>
      <c r="H16" s="162">
        <f>H15-H13</f>
        <v>-18298.883367016155</v>
      </c>
      <c r="I16" s="162">
        <f>I15-I13</f>
        <v>-19094.531881128525</v>
      </c>
      <c r="J16" s="162">
        <f>J15-J13</f>
        <v>-121764.48991829972</v>
      </c>
      <c r="K16" s="269"/>
      <c r="L16" s="56" t="str">
        <f>IF('AGAB|0332-06'!OrigApprop=0,"ERROR! Enter Original Appropriation amount in DU 3.00!","Calculated "&amp;IF('AGAB|0332-06'!AdjustedTotal&gt;0,"overfunding ","underfunding ")&amp;"is "&amp;TEXT('AGAB|0332-06'!AdjustedTotal/'AGAB|0332-06'!AppropTotal,"#.0%;(#.0% );0% ;")&amp;" of Original Appropriation")</f>
        <v>Calculated underfunding is (14.6% )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12.1325</v>
      </c>
      <c r="G38" s="191">
        <f>SUMIF($E10:$E35,$E38,$G10:$G35)</f>
        <v>661767.79</v>
      </c>
      <c r="H38" s="192">
        <f>SUMIF($E10:$E35,$E38,$H10:$H35)</f>
        <v>143528</v>
      </c>
      <c r="I38" s="192">
        <f>SUMIF($E10:$E35,$E38,$I10:$I35)</f>
        <v>149768.69991829997</v>
      </c>
      <c r="J38" s="192">
        <f>SUM(G38:I38)</f>
        <v>955064.48991829995</v>
      </c>
      <c r="K38" s="166"/>
      <c r="L38" s="191">
        <f>SUMIF($E10:$E35,$E38,$L10:$L35)</f>
        <v>0</v>
      </c>
      <c r="M38" s="192">
        <f>SUMIF($E10:$E35,$E38,$M10:$M35)</f>
        <v>-1720.5962539999985</v>
      </c>
      <c r="N38" s="192">
        <f>SUM(L38:M38)</f>
        <v>-1720.5962539999985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6600</v>
      </c>
      <c r="AB38" s="338">
        <f>ROUND((AdjPermVB*CECPerm+AdjPermVBBY*CECPerm),-2)</f>
        <v>1500</v>
      </c>
      <c r="AC38" s="338">
        <f>SUM(AA38:AB38)</f>
        <v>8100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12.1325</v>
      </c>
      <c r="G41" s="195">
        <f>SUM($G$38:$G$40)</f>
        <v>661767.79</v>
      </c>
      <c r="H41" s="162">
        <f>SUM($H$38:$H$40)</f>
        <v>143528</v>
      </c>
      <c r="I41" s="162">
        <f>SUM($I$38:$I$40)</f>
        <v>149768.69991829997</v>
      </c>
      <c r="J41" s="162">
        <f>SUM($J$38:$J$40)</f>
        <v>955064.48991829995</v>
      </c>
      <c r="K41" s="259"/>
      <c r="L41" s="195">
        <f>SUM($L$38:$L$40)</f>
        <v>0</v>
      </c>
      <c r="M41" s="162">
        <f>SUM($M$38:$M$40)</f>
        <v>-1720.5962539999985</v>
      </c>
      <c r="N41" s="162">
        <f>SUM(L41:M41)</f>
        <v>-1720.5962539999985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-1.83</v>
      </c>
      <c r="G43" s="206">
        <f>ROUND(G51-G41,-2)</f>
        <v>-84400</v>
      </c>
      <c r="H43" s="159">
        <f>ROUND(H51-H41,-2)</f>
        <v>-18300</v>
      </c>
      <c r="I43" s="159">
        <f>ROUND(I51-I41,-2)</f>
        <v>-19100</v>
      </c>
      <c r="J43" s="159">
        <f>SUM(G43:I43)</f>
        <v>-121800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underfunding is (14.6% )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-1.83</v>
      </c>
      <c r="G44" s="206">
        <f>ROUND(G60-G41,-2)</f>
        <v>-84400</v>
      </c>
      <c r="H44" s="159">
        <f>ROUND(H60-H41,-2)</f>
        <v>-18300</v>
      </c>
      <c r="I44" s="159">
        <f>ROUND(I60-I41,-2)</f>
        <v>-19100</v>
      </c>
      <c r="J44" s="159">
        <f>SUM(G44:I44)</f>
        <v>-121800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underfunding is (14.6% )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-1.83</v>
      </c>
      <c r="G45" s="206">
        <f>ROUND(G67-G41-G63,-2)</f>
        <v>-84400</v>
      </c>
      <c r="H45" s="206">
        <f>ROUND(H67-H41-H63,-2)</f>
        <v>-18300</v>
      </c>
      <c r="I45" s="206">
        <f>ROUND(I67-I41-I63,-2)</f>
        <v>-19100</v>
      </c>
      <c r="J45" s="159">
        <f>SUM(G45:I45)</f>
        <v>-121800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underfunding is (14.6% )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833300</v>
      </c>
      <c r="F51" s="272">
        <f>AppropFTP</f>
        <v>10.3</v>
      </c>
      <c r="G51" s="274">
        <f>IF(E51=0,0,(G41/$J$41)*$E$51)</f>
        <v>577396.71532984485</v>
      </c>
      <c r="H51" s="274">
        <f>IF(E51=0,0,(H41/$J$41)*$E$51)</f>
        <v>125229.11663298385</v>
      </c>
      <c r="I51" s="275">
        <f>IF(E51=0,0,(I41/$J$41)*$E$51)</f>
        <v>130674.16803717145</v>
      </c>
      <c r="J51" s="90">
        <f>SUM(G51:I51)</f>
        <v>833300.00000000023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10.3</v>
      </c>
      <c r="G52" s="79">
        <f>ROUND(G51,-2)</f>
        <v>577400</v>
      </c>
      <c r="H52" s="79">
        <f>ROUND(H51,-2)</f>
        <v>125200</v>
      </c>
      <c r="I52" s="266">
        <f>ROUND(I51,-2)</f>
        <v>130700</v>
      </c>
      <c r="J52" s="80">
        <f>ROUND(J51,-2)</f>
        <v>833300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10.3</v>
      </c>
      <c r="G56" s="80">
        <f>SUM(G52:G55)</f>
        <v>577400</v>
      </c>
      <c r="H56" s="80">
        <f>SUM(H52:H55)</f>
        <v>125200</v>
      </c>
      <c r="I56" s="260">
        <f>SUM(I52:I55)</f>
        <v>130700</v>
      </c>
      <c r="J56" s="80">
        <f>SUM(J52:J55)</f>
        <v>833300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10.3</v>
      </c>
      <c r="G60" s="80">
        <f>SUM(G56:G59)</f>
        <v>577400</v>
      </c>
      <c r="H60" s="80">
        <f>SUM(H56:H59)</f>
        <v>125200</v>
      </c>
      <c r="I60" s="260">
        <f>SUM(I56:I59)</f>
        <v>130700</v>
      </c>
      <c r="J60" s="80">
        <f>SUM(J56:J59)</f>
        <v>833300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10.3</v>
      </c>
      <c r="G67" s="80">
        <f>SUM(G60:G64)</f>
        <v>577400</v>
      </c>
      <c r="H67" s="80">
        <f>SUM(H60:H64)</f>
        <v>125200</v>
      </c>
      <c r="I67" s="80">
        <f>SUM(I60:I64)</f>
        <v>130700</v>
      </c>
      <c r="J67" s="80">
        <f>SUM(J60:J64)</f>
        <v>833300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-1700</v>
      </c>
      <c r="J69" s="287">
        <f>SUM(G69:I69)</f>
        <v>-1700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6600</v>
      </c>
      <c r="H72" s="287"/>
      <c r="I72" s="287">
        <f>ROUND(($G72*PermVBBY+$G72*Retire1BY),-2)</f>
        <v>1500</v>
      </c>
      <c r="J72" s="113">
        <f>SUM(G72:I72)</f>
        <v>8100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10.3</v>
      </c>
      <c r="G75" s="80">
        <f>SUM(G67:G74)</f>
        <v>584000</v>
      </c>
      <c r="H75" s="80">
        <f>SUM(H67:H74)</f>
        <v>125200</v>
      </c>
      <c r="I75" s="80">
        <f>SUM(I67:I74)</f>
        <v>130500</v>
      </c>
      <c r="J75" s="80">
        <f>SUM(J67:K74)</f>
        <v>839700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10.3</v>
      </c>
      <c r="G80" s="80">
        <f>SUM(G75:G79)</f>
        <v>584000</v>
      </c>
      <c r="H80" s="80">
        <f>SUM(H75:H79)</f>
        <v>125200</v>
      </c>
      <c r="I80" s="80">
        <f>SUM(I75:I79)</f>
        <v>130500</v>
      </c>
      <c r="J80" s="80">
        <f>SUM(J75:J79)</f>
        <v>839700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176" priority="5">
      <formula>$J$44&lt;0</formula>
    </cfRule>
  </conditionalFormatting>
  <conditionalFormatting sqref="K43">
    <cfRule type="expression" dxfId="175" priority="4">
      <formula>$J$43&lt;0</formula>
    </cfRule>
  </conditionalFormatting>
  <conditionalFormatting sqref="L16">
    <cfRule type="expression" dxfId="174" priority="3">
      <formula>$J$16&lt;0</formula>
    </cfRule>
  </conditionalFormatting>
  <conditionalFormatting sqref="K45">
    <cfRule type="expression" dxfId="173" priority="2">
      <formula>$J$44&lt;0</formula>
    </cfRule>
  </conditionalFormatting>
  <conditionalFormatting sqref="K43:N45">
    <cfRule type="containsText" dxfId="17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C75E9E8-A6E2-4E15-B84A-ADFEAE90D5EF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BFF7C-FE9A-4372-9879-8A814871F83A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1470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1459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356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1468</v>
      </c>
      <c r="J5" s="404"/>
      <c r="K5" s="404"/>
      <c r="L5" s="403"/>
      <c r="M5" s="352" t="s">
        <v>115</v>
      </c>
      <c r="N5" s="32" t="s">
        <v>1469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"&amp;'AGAB|0332-07'!FiscalYear-1&amp;" SALARY"</f>
        <v>FY 2022 SALARY</v>
      </c>
      <c r="H8" s="50" t="str">
        <f>"FY "&amp;'AGAB|0332-07'!FiscalYear-1&amp;" HEALTH BENEFITS"</f>
        <v>FY 2022 HEALTH BENEFITS</v>
      </c>
      <c r="I8" s="50" t="str">
        <f>"FY "&amp;'AGAB|0332-07'!FiscalYear-1&amp;" VAR BENEFITS"</f>
        <v>FY 2022 VAR BENEFITS</v>
      </c>
      <c r="J8" s="50" t="str">
        <f>"FY "&amp;'AGAB|0332-07'!FiscalYear-1&amp;" TOTAL"</f>
        <v>FY 2022 TOTAL</v>
      </c>
      <c r="K8" s="50" t="str">
        <f>"FY "&amp;'AGAB|0332-07'!FiscalYear&amp;" SALARY CHANGE"</f>
        <v>FY 2023 SALARY CHANGE</v>
      </c>
      <c r="L8" s="50" t="str">
        <f>"FY "&amp;'AGAB|0332-07'!FiscalYear&amp;" CHG HEALTH BENEFITS"</f>
        <v>FY 2023 CHG HEALTH BENEFITS</v>
      </c>
      <c r="M8" s="50" t="str">
        <f>"FY "&amp;'AGAB|0332-07'!FiscalYear&amp;"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[0]!AGAB033207col_INC_FTI</f>
        <v>20.399999999999999</v>
      </c>
      <c r="G10" s="218">
        <f>[0]!AGAB033207col_FTI_SALARY_PERM</f>
        <v>1072878.5599999998</v>
      </c>
      <c r="H10" s="218">
        <f>[0]!AGAB033207col_HEALTH_PERM</f>
        <v>237660</v>
      </c>
      <c r="I10" s="218">
        <f>[0]!AGAB033207col_TOT_VB_PERM</f>
        <v>242867.51962719997</v>
      </c>
      <c r="J10" s="219">
        <f>SUM(G10:I10)</f>
        <v>1553406.0796271998</v>
      </c>
      <c r="K10" s="219">
        <f>[0]!AGAB033207col_1_27TH_PP</f>
        <v>0</v>
      </c>
      <c r="L10" s="218">
        <f>[0]!AGAB033207col_HEALTH_PERM_CHG</f>
        <v>0</v>
      </c>
      <c r="M10" s="218">
        <f>[0]!AGAB033207col_TOT_VB_PERM_CHG</f>
        <v>-2789.4842559999975</v>
      </c>
      <c r="N10" s="218">
        <f>SUM(L10:M10)</f>
        <v>-2789.4842559999975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10700</v>
      </c>
      <c r="AB10" s="335">
        <f>ROUND(PermVarBen*CECPerm+(CECPerm*PermVarBenChg),-2)</f>
        <v>2400</v>
      </c>
      <c r="AC10" s="335">
        <f>SUM(AA10:AB10)</f>
        <v>13100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[0]!AGAB033207col_Group_Salary</f>
        <v>8376</v>
      </c>
      <c r="H11" s="218">
        <v>0</v>
      </c>
      <c r="I11" s="218">
        <f>[0]!AGAB033207col_Group_Ben</f>
        <v>1154.31</v>
      </c>
      <c r="J11" s="219">
        <f>SUM(G11:I11)</f>
        <v>9530.31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100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[0]!AGAB033207col_TOTAL_ELECT_PCN_FTI</f>
        <v>0</v>
      </c>
      <c r="G12" s="218">
        <f>[0]!AGAB033207col_FTI_SALARY_ELECT</f>
        <v>0</v>
      </c>
      <c r="H12" s="218">
        <f>[0]!AGAB033207col_HEALTH_ELECT</f>
        <v>0</v>
      </c>
      <c r="I12" s="218">
        <f>[0]!AGAB033207col_TOT_VB_ELECT</f>
        <v>0</v>
      </c>
      <c r="J12" s="219">
        <f>SUM(G12:I12)</f>
        <v>0</v>
      </c>
      <c r="K12" s="268"/>
      <c r="L12" s="218">
        <f>[0]!AGAB033207col_HEALTH_ELECT_CHG</f>
        <v>0</v>
      </c>
      <c r="M12" s="218">
        <f>[0]!AGAB033207col_TOT_VB_ELECT_CHG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20.399999999999999</v>
      </c>
      <c r="G13" s="221">
        <f>SUM(G10:G12)</f>
        <v>1081254.5599999998</v>
      </c>
      <c r="H13" s="221">
        <f>SUM(H10:H12)</f>
        <v>237660</v>
      </c>
      <c r="I13" s="221">
        <f>SUM(I10:I12)</f>
        <v>244021.82962719997</v>
      </c>
      <c r="J13" s="219">
        <f>SUM(G13:I13)</f>
        <v>1562936.3896271999</v>
      </c>
      <c r="K13" s="268"/>
      <c r="L13" s="219">
        <f>SUM(L10:L12)</f>
        <v>0</v>
      </c>
      <c r="M13" s="219">
        <f>SUM(M10:M12)</f>
        <v>-2789.4842559999975</v>
      </c>
      <c r="N13" s="219">
        <f>SUM(N10:N12)</f>
        <v>-2789.4842559999975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"&amp;'AGAB|0332-07'!FiscalYear-1</f>
        <v>FY 2022</v>
      </c>
      <c r="D15" s="158" t="s">
        <v>31</v>
      </c>
      <c r="E15" s="355">
        <v>1702800</v>
      </c>
      <c r="F15" s="55">
        <v>20.440000000000001</v>
      </c>
      <c r="G15" s="223">
        <f>IF(OrigApprop=0,0,(G13/$J$13)*OrigApprop)</f>
        <v>1178013.5627958367</v>
      </c>
      <c r="H15" s="223">
        <f>IF(OrigApprop=0,0,(H13/$J$13)*OrigApprop)</f>
        <v>258927.65098170648</v>
      </c>
      <c r="I15" s="223">
        <f>IF(G15=0,0,(I13/$J$13)*OrigApprop)</f>
        <v>265858.78622245678</v>
      </c>
      <c r="J15" s="223">
        <f>SUM(G15:I15)</f>
        <v>1702800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4.00000000000027E-2</v>
      </c>
      <c r="G16" s="162">
        <f>G15-G13</f>
        <v>96759.002795836888</v>
      </c>
      <c r="H16" s="162">
        <f>H15-H13</f>
        <v>21267.65098170648</v>
      </c>
      <c r="I16" s="162">
        <f>I15-I13</f>
        <v>21836.956595256808</v>
      </c>
      <c r="J16" s="162">
        <f>J15-J13</f>
        <v>139863.61037280015</v>
      </c>
      <c r="K16" s="269"/>
      <c r="L16" s="56" t="str">
        <f>IF('AGAB|0332-07'!OrigApprop=0,"ERROR! Enter Original Appropriation amount in DU 3.00!","Calculated "&amp;IF('AGAB|0332-07'!AdjustedTotal&gt;0,"overfunding ","underfunding ")&amp;"is "&amp;TEXT('AGAB|0332-07'!AdjustedTotal/'AGAB|0332-07'!AppropTotal,"#.0%;(#.0% );0% ;")&amp;" of Original Appropriation")</f>
        <v>Calculated overfunding is 8.2%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20.399999999999999</v>
      </c>
      <c r="G38" s="191">
        <f>SUMIF($E10:$E35,$E38,$G10:$G35)</f>
        <v>1072878.5599999998</v>
      </c>
      <c r="H38" s="192">
        <f>SUMIF($E10:$E35,$E38,$H10:$H35)</f>
        <v>237660</v>
      </c>
      <c r="I38" s="192">
        <f>SUMIF($E10:$E35,$E38,$I10:$I35)</f>
        <v>242867.51962719997</v>
      </c>
      <c r="J38" s="192">
        <f>SUM(G38:I38)</f>
        <v>1553406.0796271998</v>
      </c>
      <c r="K38" s="166"/>
      <c r="L38" s="191">
        <f>SUMIF($E10:$E35,$E38,$L10:$L35)</f>
        <v>0</v>
      </c>
      <c r="M38" s="192">
        <f>SUMIF($E10:$E35,$E38,$M10:$M35)</f>
        <v>-2789.4842559999975</v>
      </c>
      <c r="N38" s="192">
        <f>SUM(L38:M38)</f>
        <v>-2789.4842559999975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10700</v>
      </c>
      <c r="AB38" s="338">
        <f>ROUND((AdjPermVB*CECPerm+AdjPermVBBY*CECPerm),-2)</f>
        <v>2400</v>
      </c>
      <c r="AC38" s="338">
        <f>SUM(AA38:AB38)</f>
        <v>13100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8376</v>
      </c>
      <c r="H39" s="152">
        <f>SUMIF($E10:$E35,$E39,$H10:$H35)</f>
        <v>0</v>
      </c>
      <c r="I39" s="152">
        <f>SUMIF($E10:$E35,$E39,$I10:$I35)</f>
        <v>1154.31</v>
      </c>
      <c r="J39" s="152">
        <f>SUM(G39:I39)</f>
        <v>9530.31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100</v>
      </c>
      <c r="AB39" s="338">
        <f>ROUND(AdjGroupVB*CECGroup,-2)</f>
        <v>0</v>
      </c>
      <c r="AC39" s="338">
        <f>SUM(AA39:AB39)</f>
        <v>100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20.399999999999999</v>
      </c>
      <c r="G41" s="195">
        <f>SUM($G$38:$G$40)</f>
        <v>1081254.5599999998</v>
      </c>
      <c r="H41" s="162">
        <f>SUM($H$38:$H$40)</f>
        <v>237660</v>
      </c>
      <c r="I41" s="162">
        <f>SUM($I$38:$I$40)</f>
        <v>244021.82962719997</v>
      </c>
      <c r="J41" s="162">
        <f>SUM($J$38:$J$40)</f>
        <v>1562936.3896271999</v>
      </c>
      <c r="K41" s="259"/>
      <c r="L41" s="195">
        <f>SUM($L$38:$L$40)</f>
        <v>0</v>
      </c>
      <c r="M41" s="162">
        <f>SUM($M$38:$M$40)</f>
        <v>-2789.4842559999975</v>
      </c>
      <c r="N41" s="162">
        <f>SUM(L41:M41)</f>
        <v>-2789.4842559999975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0.04</v>
      </c>
      <c r="G43" s="206">
        <f>ROUND(G51-G41,-2)</f>
        <v>96800</v>
      </c>
      <c r="H43" s="159">
        <f>ROUND(H51-H41,-2)</f>
        <v>21300</v>
      </c>
      <c r="I43" s="159">
        <f>ROUND(I51-I41,-2)</f>
        <v>21800</v>
      </c>
      <c r="J43" s="159">
        <f>SUM(G43:I43)</f>
        <v>139900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overfunding is 8.2%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0.04</v>
      </c>
      <c r="G44" s="206">
        <f>ROUND(G60-G41,-2)</f>
        <v>96700</v>
      </c>
      <c r="H44" s="159">
        <f>ROUND(H60-H41,-2)</f>
        <v>21200</v>
      </c>
      <c r="I44" s="159">
        <f>ROUND(I60-I41,-2)</f>
        <v>21900</v>
      </c>
      <c r="J44" s="159">
        <f>SUM(G44:I44)</f>
        <v>139800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overfunding is 8.2%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0.04</v>
      </c>
      <c r="G45" s="206">
        <f>ROUND(G67-G41-G63,-2)</f>
        <v>96700</v>
      </c>
      <c r="H45" s="206">
        <f>ROUND(H67-H41-H63,-2)</f>
        <v>21200</v>
      </c>
      <c r="I45" s="206">
        <f>ROUND(I67-I41-I63,-2)</f>
        <v>21900</v>
      </c>
      <c r="J45" s="159">
        <f>SUM(G45:I45)</f>
        <v>139800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8.2%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/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1702800</v>
      </c>
      <c r="F51" s="272">
        <f>AppropFTP</f>
        <v>20.440000000000001</v>
      </c>
      <c r="G51" s="274">
        <f>IF(E51=0,0,(G41/$J$41)*$E$51)</f>
        <v>1178013.5627958367</v>
      </c>
      <c r="H51" s="274">
        <f>IF(E51=0,0,(H41/$J$41)*$E$51)</f>
        <v>258927.65098170648</v>
      </c>
      <c r="I51" s="275">
        <f>IF(E51=0,0,(I41/$J$41)*$E$51)</f>
        <v>265858.78622245678</v>
      </c>
      <c r="J51" s="90">
        <f>SUM(G51:I51)</f>
        <v>1702800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20.440000000000001</v>
      </c>
      <c r="G52" s="79">
        <f>ROUND(G51,-2)</f>
        <v>1178000</v>
      </c>
      <c r="H52" s="79">
        <f>ROUND(H51,-2)</f>
        <v>258900</v>
      </c>
      <c r="I52" s="266">
        <f>ROUND(I51,-2)</f>
        <v>265900</v>
      </c>
      <c r="J52" s="80">
        <f>ROUND(J51,-2)</f>
        <v>1702800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20.440000000000001</v>
      </c>
      <c r="G56" s="80">
        <f>SUM(G52:G55)</f>
        <v>1178000</v>
      </c>
      <c r="H56" s="80">
        <f>SUM(H52:H55)</f>
        <v>258900</v>
      </c>
      <c r="I56" s="260">
        <f>SUM(I52:I55)</f>
        <v>265900</v>
      </c>
      <c r="J56" s="80">
        <f>SUM(J52:J55)</f>
        <v>1702800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20.440000000000001</v>
      </c>
      <c r="G60" s="80">
        <f>SUM(G56:G59)</f>
        <v>1178000</v>
      </c>
      <c r="H60" s="80">
        <f>SUM(H56:H59)</f>
        <v>258900</v>
      </c>
      <c r="I60" s="260">
        <f>SUM(I56:I59)</f>
        <v>265900</v>
      </c>
      <c r="J60" s="80">
        <f>SUM(J56:J59)</f>
        <v>1702800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20.440000000000001</v>
      </c>
      <c r="G67" s="80">
        <f>SUM(G60:G64)</f>
        <v>1178000</v>
      </c>
      <c r="H67" s="80">
        <f>SUM(H60:H64)</f>
        <v>258900</v>
      </c>
      <c r="I67" s="80">
        <f>SUM(I60:I64)</f>
        <v>265900</v>
      </c>
      <c r="J67" s="80">
        <f>SUM(J60:J64)</f>
        <v>1702800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-2800</v>
      </c>
      <c r="J69" s="287">
        <f>SUM(G69:I69)</f>
        <v>-2800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10700</v>
      </c>
      <c r="H72" s="287"/>
      <c r="I72" s="287">
        <f>ROUND(($G72*PermVBBY+$G72*Retire1BY),-2)</f>
        <v>2400</v>
      </c>
      <c r="J72" s="113">
        <f>SUM(G72:I72)</f>
        <v>13100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100</v>
      </c>
      <c r="H73" s="287"/>
      <c r="I73" s="287">
        <f>ROUND(($G73*GroupVBBY),-2)</f>
        <v>0</v>
      </c>
      <c r="J73" s="113">
        <f t="shared" si="11"/>
        <v>100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20.440000000000001</v>
      </c>
      <c r="G75" s="80">
        <f>SUM(G67:G74)</f>
        <v>1188800</v>
      </c>
      <c r="H75" s="80">
        <f>SUM(H67:H74)</f>
        <v>258900</v>
      </c>
      <c r="I75" s="80">
        <f>SUM(I67:I74)</f>
        <v>265500</v>
      </c>
      <c r="J75" s="80">
        <f>SUM(J67:K74)</f>
        <v>1713200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20.440000000000001</v>
      </c>
      <c r="G80" s="80">
        <f>SUM(G75:G79)</f>
        <v>1188800</v>
      </c>
      <c r="H80" s="80">
        <f>SUM(H75:H79)</f>
        <v>258900</v>
      </c>
      <c r="I80" s="80">
        <f>SUM(I75:I79)</f>
        <v>265500</v>
      </c>
      <c r="J80" s="80">
        <f>SUM(J75:J79)</f>
        <v>1713200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171" priority="5">
      <formula>$J$44&lt;0</formula>
    </cfRule>
  </conditionalFormatting>
  <conditionalFormatting sqref="K43">
    <cfRule type="expression" dxfId="170" priority="4">
      <formula>$J$43&lt;0</formula>
    </cfRule>
  </conditionalFormatting>
  <conditionalFormatting sqref="L16">
    <cfRule type="expression" dxfId="169" priority="3">
      <formula>$J$16&lt;0</formula>
    </cfRule>
  </conditionalFormatting>
  <conditionalFormatting sqref="K45">
    <cfRule type="expression" dxfId="168" priority="2">
      <formula>$J$44&lt;0</formula>
    </cfRule>
  </conditionalFormatting>
  <conditionalFormatting sqref="K43:N45">
    <cfRule type="containsText" dxfId="16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BAFA7A4-A411-4712-9245-6F4095B5CC35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59614-D7BA-4266-9E22-B677C2828B37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1475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1459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356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1473</v>
      </c>
      <c r="J5" s="404"/>
      <c r="K5" s="404"/>
      <c r="L5" s="403"/>
      <c r="M5" s="352" t="s">
        <v>115</v>
      </c>
      <c r="N5" s="32" t="s">
        <v>1474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"&amp;'AGAB|0332-09'!FiscalYear-1&amp;" SALARY"</f>
        <v>FY 2022 SALARY</v>
      </c>
      <c r="H8" s="50" t="str">
        <f>"FY "&amp;'AGAB|0332-09'!FiscalYear-1&amp;" HEALTH BENEFITS"</f>
        <v>FY 2022 HEALTH BENEFITS</v>
      </c>
      <c r="I8" s="50" t="str">
        <f>"FY "&amp;'AGAB|0332-09'!FiscalYear-1&amp;" VAR BENEFITS"</f>
        <v>FY 2022 VAR BENEFITS</v>
      </c>
      <c r="J8" s="50" t="str">
        <f>"FY "&amp;'AGAB|0332-09'!FiscalYear-1&amp;" TOTAL"</f>
        <v>FY 2022 TOTAL</v>
      </c>
      <c r="K8" s="50" t="str">
        <f>"FY "&amp;'AGAB|0332-09'!FiscalYear&amp;" SALARY CHANGE"</f>
        <v>FY 2023 SALARY CHANGE</v>
      </c>
      <c r="L8" s="50" t="str">
        <f>"FY "&amp;'AGAB|0332-09'!FiscalYear&amp;" CHG HEALTH BENEFITS"</f>
        <v>FY 2023 CHG HEALTH BENEFITS</v>
      </c>
      <c r="M8" s="50" t="str">
        <f>"FY "&amp;'AGAB|0332-09'!FiscalYear&amp;"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[0]!AGAB033209col_INC_FTI</f>
        <v>0.2</v>
      </c>
      <c r="G10" s="218">
        <f>[0]!AGAB033209col_FTI_SALARY_PERM</f>
        <v>10333.44</v>
      </c>
      <c r="H10" s="218">
        <f>[0]!AGAB033209col_HEALTH_PERM</f>
        <v>2330</v>
      </c>
      <c r="I10" s="218">
        <f>[0]!AGAB033209col_TOT_VB_PERM</f>
        <v>2339.1808128000002</v>
      </c>
      <c r="J10" s="219">
        <f>SUM(G10:I10)</f>
        <v>15002.6208128</v>
      </c>
      <c r="K10" s="219">
        <f>[0]!AGAB033209col_1_27TH_PP</f>
        <v>0</v>
      </c>
      <c r="L10" s="218">
        <f>[0]!AGAB033209col_HEALTH_PERM_CHG</f>
        <v>0</v>
      </c>
      <c r="M10" s="218">
        <f>[0]!AGAB033209col_TOT_VB_PERM_CHG</f>
        <v>-26.866943999999982</v>
      </c>
      <c r="N10" s="218">
        <f>SUM(L10:M10)</f>
        <v>-26.866943999999982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100</v>
      </c>
      <c r="AB10" s="335">
        <f>ROUND(PermVarBen*CECPerm+(CECPerm*PermVarBenChg),-2)</f>
        <v>0</v>
      </c>
      <c r="AC10" s="335">
        <f>SUM(AA10:AB10)</f>
        <v>100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[0]!AGAB033209col_Group_Salary</f>
        <v>699.37</v>
      </c>
      <c r="H11" s="218">
        <v>0</v>
      </c>
      <c r="I11" s="218">
        <f>[0]!AGAB033209col_Group_Ben</f>
        <v>459.88</v>
      </c>
      <c r="J11" s="219">
        <f>SUM(G11:I11)</f>
        <v>1159.25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[0]!AGAB033209col_TOTAL_ELECT_PCN_FTI</f>
        <v>0</v>
      </c>
      <c r="G12" s="218">
        <f>[0]!AGAB033209col_FTI_SALARY_ELECT</f>
        <v>0</v>
      </c>
      <c r="H12" s="218">
        <f>[0]!AGAB033209col_HEALTH_ELECT</f>
        <v>0</v>
      </c>
      <c r="I12" s="218">
        <f>[0]!AGAB033209col_TOT_VB_ELECT</f>
        <v>0</v>
      </c>
      <c r="J12" s="219">
        <f>SUM(G12:I12)</f>
        <v>0</v>
      </c>
      <c r="K12" s="268"/>
      <c r="L12" s="218">
        <f>[0]!AGAB033209col_HEALTH_ELECT_CHG</f>
        <v>0</v>
      </c>
      <c r="M12" s="218">
        <f>[0]!AGAB033209col_TOT_VB_ELECT_CHG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0.2</v>
      </c>
      <c r="G13" s="221">
        <f>SUM(G10:G12)</f>
        <v>11032.810000000001</v>
      </c>
      <c r="H13" s="221">
        <f>SUM(H10:H12)</f>
        <v>2330</v>
      </c>
      <c r="I13" s="221">
        <f>SUM(I10:I12)</f>
        <v>2799.0608128000003</v>
      </c>
      <c r="J13" s="219">
        <f>SUM(G13:I13)</f>
        <v>16161.870812800002</v>
      </c>
      <c r="K13" s="268"/>
      <c r="L13" s="219">
        <f>SUM(L10:L12)</f>
        <v>0</v>
      </c>
      <c r="M13" s="219">
        <f>SUM(M10:M12)</f>
        <v>-26.866943999999982</v>
      </c>
      <c r="N13" s="219">
        <f>SUM(N10:N12)</f>
        <v>-26.866943999999982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"&amp;'AGAB|0332-09'!FiscalYear-1</f>
        <v>FY 2022</v>
      </c>
      <c r="D15" s="158" t="s">
        <v>31</v>
      </c>
      <c r="E15" s="355">
        <v>173400</v>
      </c>
      <c r="F15" s="55">
        <v>1.4</v>
      </c>
      <c r="G15" s="223">
        <f>IF(OrigApprop=0,0,(G13/$J$13)*OrigApprop)</f>
        <v>118370.5324809834</v>
      </c>
      <c r="H15" s="223">
        <f>IF(OrigApprop=0,0,(H13/$J$13)*OrigApprop)</f>
        <v>24998.467360599094</v>
      </c>
      <c r="I15" s="223">
        <f>IF(G15=0,0,(I13/$J$13)*OrigApprop)</f>
        <v>30031.000158417501</v>
      </c>
      <c r="J15" s="223">
        <f>SUM(G15:I15)</f>
        <v>173400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1.2</v>
      </c>
      <c r="G16" s="162">
        <f>G15-G13</f>
        <v>107337.7224809834</v>
      </c>
      <c r="H16" s="162">
        <f>H15-H13</f>
        <v>22668.467360599094</v>
      </c>
      <c r="I16" s="162">
        <f>I15-I13</f>
        <v>27231.939345617502</v>
      </c>
      <c r="J16" s="162">
        <f>J15-J13</f>
        <v>157238.12918719999</v>
      </c>
      <c r="K16" s="269"/>
      <c r="L16" s="56" t="str">
        <f>IF('AGAB|0332-09'!OrigApprop=0,"ERROR! Enter Original Appropriation amount in DU 3.00!","Calculated "&amp;IF('AGAB|0332-09'!AdjustedTotal&gt;0,"overfunding ","underfunding ")&amp;"is "&amp;TEXT('AGAB|0332-09'!AdjustedTotal/'AGAB|0332-09'!AppropTotal,"#.0%;(#.0% );0% ;")&amp;" of Original Appropriation")</f>
        <v>Calculated overfunding is 90.7%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0.2</v>
      </c>
      <c r="G38" s="191">
        <f>SUMIF($E10:$E35,$E38,$G10:$G35)</f>
        <v>10333.44</v>
      </c>
      <c r="H38" s="192">
        <f>SUMIF($E10:$E35,$E38,$H10:$H35)</f>
        <v>2330</v>
      </c>
      <c r="I38" s="192">
        <f>SUMIF($E10:$E35,$E38,$I10:$I35)</f>
        <v>2339.1808128000002</v>
      </c>
      <c r="J38" s="192">
        <f>SUM(G38:I38)</f>
        <v>15002.6208128</v>
      </c>
      <c r="K38" s="166"/>
      <c r="L38" s="191">
        <f>SUMIF($E10:$E35,$E38,$L10:$L35)</f>
        <v>0</v>
      </c>
      <c r="M38" s="192">
        <f>SUMIF($E10:$E35,$E38,$M10:$M35)</f>
        <v>-26.866943999999982</v>
      </c>
      <c r="N38" s="192">
        <f>SUM(L38:M38)</f>
        <v>-26.866943999999982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100</v>
      </c>
      <c r="AB38" s="338">
        <f>ROUND((AdjPermVB*CECPerm+AdjPermVBBY*CECPerm),-2)</f>
        <v>0</v>
      </c>
      <c r="AC38" s="338">
        <f>SUM(AA38:AB38)</f>
        <v>100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699.37</v>
      </c>
      <c r="H39" s="152">
        <f>SUMIF($E10:$E35,$E39,$H10:$H35)</f>
        <v>0</v>
      </c>
      <c r="I39" s="152">
        <f>SUMIF($E10:$E35,$E39,$I10:$I35)</f>
        <v>459.88</v>
      </c>
      <c r="J39" s="152">
        <f>SUM(G39:I39)</f>
        <v>1159.25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0.2</v>
      </c>
      <c r="G41" s="195">
        <f>SUM($G$38:$G$40)</f>
        <v>11032.810000000001</v>
      </c>
      <c r="H41" s="162">
        <f>SUM($H$38:$H$40)</f>
        <v>2330</v>
      </c>
      <c r="I41" s="162">
        <f>SUM($I$38:$I$40)</f>
        <v>2799.0608128000003</v>
      </c>
      <c r="J41" s="162">
        <f>SUM($J$38:$J$40)</f>
        <v>16161.8708128</v>
      </c>
      <c r="K41" s="259"/>
      <c r="L41" s="195">
        <f>SUM($L$38:$L$40)</f>
        <v>0</v>
      </c>
      <c r="M41" s="162">
        <f>SUM($M$38:$M$40)</f>
        <v>-26.866943999999982</v>
      </c>
      <c r="N41" s="162">
        <f>SUM(L41:M41)</f>
        <v>-26.866943999999982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1.2</v>
      </c>
      <c r="G43" s="206">
        <f>ROUND(G51-G41,-2)</f>
        <v>107300</v>
      </c>
      <c r="H43" s="159">
        <f>ROUND(H51-H41,-2)</f>
        <v>22700</v>
      </c>
      <c r="I43" s="159">
        <f>ROUND(I51-I41,-2)</f>
        <v>27200</v>
      </c>
      <c r="J43" s="159">
        <f>SUM(G43:I43)</f>
        <v>157200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overfunding is 90.7%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1.2</v>
      </c>
      <c r="G44" s="206">
        <f>ROUND(G60-G41,-2)</f>
        <v>107400</v>
      </c>
      <c r="H44" s="159">
        <f>ROUND(H60-H41,-2)</f>
        <v>22700</v>
      </c>
      <c r="I44" s="159">
        <f>ROUND(I60-I41,-2)</f>
        <v>27200</v>
      </c>
      <c r="J44" s="159">
        <f>SUM(G44:I44)</f>
        <v>157300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overfunding is 90.7%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1.2</v>
      </c>
      <c r="G45" s="206">
        <f>ROUND(G67-G41-G63,-2)</f>
        <v>107400</v>
      </c>
      <c r="H45" s="206">
        <f>ROUND(H67-H41-H63,-2)</f>
        <v>22700</v>
      </c>
      <c r="I45" s="206">
        <f>ROUND(I67-I41-I63,-2)</f>
        <v>27200</v>
      </c>
      <c r="J45" s="159">
        <f>SUM(G45:I45)</f>
        <v>157300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90.7%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/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173400</v>
      </c>
      <c r="F51" s="272">
        <f>AppropFTP</f>
        <v>1.4</v>
      </c>
      <c r="G51" s="274">
        <f>IF(E51=0,0,(G41/$J$41)*$E$51)</f>
        <v>118370.53248098341</v>
      </c>
      <c r="H51" s="274">
        <f>IF(E51=0,0,(H41/$J$41)*$E$51)</f>
        <v>24998.467360599097</v>
      </c>
      <c r="I51" s="275">
        <f>IF(E51=0,0,(I41/$J$41)*$E$51)</f>
        <v>30031.000158417504</v>
      </c>
      <c r="J51" s="90">
        <f>SUM(G51:I51)</f>
        <v>173400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1.4</v>
      </c>
      <c r="G52" s="79">
        <f>ROUND(G51,-2)</f>
        <v>118400</v>
      </c>
      <c r="H52" s="79">
        <f>ROUND(H51,-2)</f>
        <v>25000</v>
      </c>
      <c r="I52" s="266">
        <f>ROUND(I51,-2)</f>
        <v>30000</v>
      </c>
      <c r="J52" s="80">
        <f>ROUND(J51,-2)</f>
        <v>173400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1.4</v>
      </c>
      <c r="G56" s="80">
        <f>SUM(G52:G55)</f>
        <v>118400</v>
      </c>
      <c r="H56" s="80">
        <f>SUM(H52:H55)</f>
        <v>25000</v>
      </c>
      <c r="I56" s="260">
        <f>SUM(I52:I55)</f>
        <v>30000</v>
      </c>
      <c r="J56" s="80">
        <f>SUM(J52:J55)</f>
        <v>173400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1.4</v>
      </c>
      <c r="G60" s="80">
        <f>SUM(G56:G59)</f>
        <v>118400</v>
      </c>
      <c r="H60" s="80">
        <f>SUM(H56:H59)</f>
        <v>25000</v>
      </c>
      <c r="I60" s="260">
        <f>SUM(I56:I59)</f>
        <v>30000</v>
      </c>
      <c r="J60" s="80">
        <f>SUM(J56:J59)</f>
        <v>173400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1.4</v>
      </c>
      <c r="G67" s="80">
        <f>SUM(G60:G64)</f>
        <v>118400</v>
      </c>
      <c r="H67" s="80">
        <f>SUM(H60:H64)</f>
        <v>25000</v>
      </c>
      <c r="I67" s="80">
        <f>SUM(I60:I64)</f>
        <v>30000</v>
      </c>
      <c r="J67" s="80">
        <f>SUM(J60:J64)</f>
        <v>173400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100</v>
      </c>
      <c r="H72" s="287"/>
      <c r="I72" s="287">
        <f>ROUND(($G72*PermVBBY+$G72*Retire1BY),-2)</f>
        <v>0</v>
      </c>
      <c r="J72" s="113">
        <f>SUM(G72:I72)</f>
        <v>100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1.4</v>
      </c>
      <c r="G75" s="80">
        <f>SUM(G67:G74)</f>
        <v>118500</v>
      </c>
      <c r="H75" s="80">
        <f>SUM(H67:H74)</f>
        <v>25000</v>
      </c>
      <c r="I75" s="80">
        <f>SUM(I67:I74)</f>
        <v>30000</v>
      </c>
      <c r="J75" s="80">
        <f>SUM(J67:K74)</f>
        <v>173500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1.4</v>
      </c>
      <c r="G80" s="80">
        <f>SUM(G75:G79)</f>
        <v>118500</v>
      </c>
      <c r="H80" s="80">
        <f>SUM(H75:H79)</f>
        <v>25000</v>
      </c>
      <c r="I80" s="80">
        <f>SUM(I75:I79)</f>
        <v>30000</v>
      </c>
      <c r="J80" s="80">
        <f>SUM(J75:J79)</f>
        <v>173500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166" priority="5">
      <formula>$J$44&lt;0</formula>
    </cfRule>
  </conditionalFormatting>
  <conditionalFormatting sqref="K43">
    <cfRule type="expression" dxfId="165" priority="4">
      <formula>$J$43&lt;0</formula>
    </cfRule>
  </conditionalFormatting>
  <conditionalFormatting sqref="L16">
    <cfRule type="expression" dxfId="164" priority="3">
      <formula>$J$16&lt;0</formula>
    </cfRule>
  </conditionalFormatting>
  <conditionalFormatting sqref="K45">
    <cfRule type="expression" dxfId="163" priority="2">
      <formula>$J$44&lt;0</formula>
    </cfRule>
  </conditionalFormatting>
  <conditionalFormatting sqref="K43:N45">
    <cfRule type="containsText" dxfId="16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15FA256-5480-46A1-A458-4FF0AC1E6CFE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41CB2-F939-46F7-8423-772AE8EBF9A3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1444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1479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651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1442</v>
      </c>
      <c r="J5" s="404"/>
      <c r="K5" s="404"/>
      <c r="L5" s="403"/>
      <c r="M5" s="352" t="s">
        <v>115</v>
      </c>
      <c r="N5" s="32" t="s">
        <v>1443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"&amp;'AGAC|0001-00'!FiscalYear-1&amp;" SALARY"</f>
        <v>FY 2022 SALARY</v>
      </c>
      <c r="H8" s="50" t="str">
        <f>"FY "&amp;'AGAC|0001-00'!FiscalYear-1&amp;" HEALTH BENEFITS"</f>
        <v>FY 2022 HEALTH BENEFITS</v>
      </c>
      <c r="I8" s="50" t="str">
        <f>"FY "&amp;'AGAC|0001-00'!FiscalYear-1&amp;" VAR BENEFITS"</f>
        <v>FY 2022 VAR BENEFITS</v>
      </c>
      <c r="J8" s="50" t="str">
        <f>"FY "&amp;'AGAC|0001-00'!FiscalYear-1&amp;" TOTAL"</f>
        <v>FY 2022 TOTAL</v>
      </c>
      <c r="K8" s="50" t="str">
        <f>"FY "&amp;'AGAC|0001-00'!FiscalYear&amp;" SALARY CHANGE"</f>
        <v>FY 2023 SALARY CHANGE</v>
      </c>
      <c r="L8" s="50" t="str">
        <f>"FY "&amp;'AGAC|0001-00'!FiscalYear&amp;" CHG HEALTH BENEFITS"</f>
        <v>FY 2023 CHG HEALTH BENEFITS</v>
      </c>
      <c r="M8" s="50" t="str">
        <f>"FY "&amp;'AGAC|0001-00'!FiscalYear&amp;"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[0]!AGAC000100col_INC_FTI</f>
        <v>1</v>
      </c>
      <c r="G10" s="218">
        <f>[0]!AGAC000100col_FTI_SALARY_PERM</f>
        <v>100609.60000000001</v>
      </c>
      <c r="H10" s="218">
        <f>[0]!AGAC000100col_HEALTH_PERM</f>
        <v>11650</v>
      </c>
      <c r="I10" s="218">
        <f>[0]!AGAC000100col_TOT_VB_PERM</f>
        <v>22467.129776000005</v>
      </c>
      <c r="J10" s="219">
        <f>SUM(G10:I10)</f>
        <v>134726.72977600002</v>
      </c>
      <c r="K10" s="219">
        <f>[0]!AGAC000100col_1_27TH_PP</f>
        <v>0</v>
      </c>
      <c r="L10" s="218">
        <f>[0]!AGAC000100col_HEALTH_PERM_CHG</f>
        <v>0</v>
      </c>
      <c r="M10" s="218">
        <f>[0]!AGAC000100col_TOT_VB_PERM_CHG</f>
        <v>-261.58495999999985</v>
      </c>
      <c r="N10" s="218">
        <f>SUM(L10:M10)</f>
        <v>-261.58495999999985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1000</v>
      </c>
      <c r="AB10" s="335">
        <f>ROUND(PermVarBen*CECPerm+(CECPerm*PermVarBenChg),-2)</f>
        <v>200</v>
      </c>
      <c r="AC10" s="335">
        <f>SUM(AA10:AB10)</f>
        <v>1200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[0]!AGAC000100col_Group_Salary</f>
        <v>19.600000000000001</v>
      </c>
      <c r="H11" s="218">
        <v>0</v>
      </c>
      <c r="I11" s="218">
        <f>[0]!AGAC000100col_Group_Ben</f>
        <v>12.83</v>
      </c>
      <c r="J11" s="219">
        <f>SUM(G11:I11)</f>
        <v>32.43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[0]!AGAC000100col_TOTAL_ELECT_PCN_FTI</f>
        <v>0</v>
      </c>
      <c r="G12" s="218">
        <f>[0]!AGAC000100col_FTI_SALARY_ELECT</f>
        <v>0</v>
      </c>
      <c r="H12" s="218">
        <f>[0]!AGAC000100col_HEALTH_ELECT</f>
        <v>0</v>
      </c>
      <c r="I12" s="218">
        <f>[0]!AGAC000100col_TOT_VB_ELECT</f>
        <v>0</v>
      </c>
      <c r="J12" s="219">
        <f>SUM(G12:I12)</f>
        <v>0</v>
      </c>
      <c r="K12" s="268"/>
      <c r="L12" s="218">
        <f>[0]!AGAC000100col_HEALTH_ELECT_CHG</f>
        <v>0</v>
      </c>
      <c r="M12" s="218">
        <f>[0]!AGAC000100col_TOT_VB_ELECT_CHG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1</v>
      </c>
      <c r="G13" s="221">
        <f>SUM(G10:G12)</f>
        <v>100629.20000000001</v>
      </c>
      <c r="H13" s="221">
        <f>SUM(H10:H12)</f>
        <v>11650</v>
      </c>
      <c r="I13" s="221">
        <f>SUM(I10:I12)</f>
        <v>22479.959776000007</v>
      </c>
      <c r="J13" s="219">
        <f>SUM(G13:I13)</f>
        <v>134759.15977600001</v>
      </c>
      <c r="K13" s="268"/>
      <c r="L13" s="219">
        <f>SUM(L10:L12)</f>
        <v>0</v>
      </c>
      <c r="M13" s="219">
        <f>SUM(M10:M12)</f>
        <v>-261.58495999999985</v>
      </c>
      <c r="N13" s="219">
        <f>SUM(N10:N12)</f>
        <v>-261.58495999999985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"&amp;'AGAC|0001-00'!FiscalYear-1</f>
        <v>FY 2022</v>
      </c>
      <c r="D15" s="158" t="s">
        <v>31</v>
      </c>
      <c r="E15" s="355">
        <v>130100</v>
      </c>
      <c r="F15" s="55">
        <v>1</v>
      </c>
      <c r="G15" s="223">
        <f>IF(OrigApprop=0,0,(G13/$J$13)*OrigApprop)</f>
        <v>97150.04858861996</v>
      </c>
      <c r="H15" s="223">
        <f>IF(OrigApprop=0,0,(H13/$J$13)*OrigApprop)</f>
        <v>11247.213195150338</v>
      </c>
      <c r="I15" s="223">
        <f>IF(G15=0,0,(I13/$J$13)*OrigApprop)</f>
        <v>21702.738216229711</v>
      </c>
      <c r="J15" s="223">
        <f>SUM(G15:I15)</f>
        <v>130100.00000000001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0</v>
      </c>
      <c r="G16" s="162">
        <f>G15-G13</f>
        <v>-3479.1514113800513</v>
      </c>
      <c r="H16" s="162">
        <f>H15-H13</f>
        <v>-402.78680484966208</v>
      </c>
      <c r="I16" s="162">
        <f>I15-I13</f>
        <v>-777.22155977029615</v>
      </c>
      <c r="J16" s="162">
        <f>J15-J13</f>
        <v>-4659.1597760000004</v>
      </c>
      <c r="K16" s="269"/>
      <c r="L16" s="56" t="str">
        <f>IF('AGAC|0001-00'!OrigApprop=0,"ERROR! Enter Original Appropriation amount in DU 3.00!","Calculated "&amp;IF('AGAC|0001-00'!AdjustedTotal&gt;0,"overfunding ","underfunding ")&amp;"is "&amp;TEXT('AGAC|0001-00'!AdjustedTotal/'AGAC|0001-00'!AppropTotal,"#.0%;(#.0% );0% ;")&amp;" of Original Appropriation")</f>
        <v>Calculated underfunding is (3.6% )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1</v>
      </c>
      <c r="G38" s="191">
        <f>SUMIF($E10:$E35,$E38,$G10:$G35)</f>
        <v>100609.60000000001</v>
      </c>
      <c r="H38" s="192">
        <f>SUMIF($E10:$E35,$E38,$H10:$H35)</f>
        <v>11650</v>
      </c>
      <c r="I38" s="192">
        <f>SUMIF($E10:$E35,$E38,$I10:$I35)</f>
        <v>22467.129776000005</v>
      </c>
      <c r="J38" s="192">
        <f>SUM(G38:I38)</f>
        <v>134726.72977600002</v>
      </c>
      <c r="K38" s="166"/>
      <c r="L38" s="191">
        <f>SUMIF($E10:$E35,$E38,$L10:$L35)</f>
        <v>0</v>
      </c>
      <c r="M38" s="192">
        <f>SUMIF($E10:$E35,$E38,$M10:$M35)</f>
        <v>-261.58495999999985</v>
      </c>
      <c r="N38" s="192">
        <f>SUM(L38:M38)</f>
        <v>-261.58495999999985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1000</v>
      </c>
      <c r="AB38" s="338">
        <f>ROUND((AdjPermVB*CECPerm+AdjPermVBBY*CECPerm),-2)</f>
        <v>200</v>
      </c>
      <c r="AC38" s="338">
        <f>SUM(AA38:AB38)</f>
        <v>1200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19.600000000000001</v>
      </c>
      <c r="H39" s="152">
        <f>SUMIF($E10:$E35,$E39,$H10:$H35)</f>
        <v>0</v>
      </c>
      <c r="I39" s="152">
        <f>SUMIF($E10:$E35,$E39,$I10:$I35)</f>
        <v>12.83</v>
      </c>
      <c r="J39" s="152">
        <f>SUM(G39:I39)</f>
        <v>32.43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1</v>
      </c>
      <c r="G41" s="195">
        <f>SUM($G$38:$G$40)</f>
        <v>100629.20000000001</v>
      </c>
      <c r="H41" s="162">
        <f>SUM($H$38:$H$40)</f>
        <v>11650</v>
      </c>
      <c r="I41" s="162">
        <f>SUM($I$38:$I$40)</f>
        <v>22479.959776000007</v>
      </c>
      <c r="J41" s="162">
        <f>SUM($J$38:$J$40)</f>
        <v>134759.15977600001</v>
      </c>
      <c r="K41" s="259"/>
      <c r="L41" s="195">
        <f>SUM($L$38:$L$40)</f>
        <v>0</v>
      </c>
      <c r="M41" s="162">
        <f>SUM($M$38:$M$40)</f>
        <v>-261.58495999999985</v>
      </c>
      <c r="N41" s="162">
        <f>SUM(L41:M41)</f>
        <v>-261.58495999999985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0</v>
      </c>
      <c r="G43" s="206">
        <f>ROUND(G51-G41,-2)</f>
        <v>-3500</v>
      </c>
      <c r="H43" s="159">
        <f>ROUND(H51-H41,-2)</f>
        <v>-400</v>
      </c>
      <c r="I43" s="159">
        <f>ROUND(I51-I41,-2)</f>
        <v>-800</v>
      </c>
      <c r="J43" s="159">
        <f>SUM(G43:I43)</f>
        <v>-4700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underfunding is (3.6% )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0</v>
      </c>
      <c r="G44" s="206">
        <f>ROUND(G60-G41,-2)</f>
        <v>-3400</v>
      </c>
      <c r="H44" s="159">
        <f>ROUND(H60-H41,-2)</f>
        <v>-500</v>
      </c>
      <c r="I44" s="159">
        <f>ROUND(I60-I41,-2)</f>
        <v>-800</v>
      </c>
      <c r="J44" s="159">
        <f>SUM(G44:I44)</f>
        <v>-4700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underfunding is (3.6% )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>
        <f>ROUND(G67-G41-G63,-2)</f>
        <v>-3400</v>
      </c>
      <c r="H45" s="206">
        <f>ROUND(H67-H41-H63,-2)</f>
        <v>-500</v>
      </c>
      <c r="I45" s="206">
        <f>ROUND(I67-I41-I63,-2)</f>
        <v>-800</v>
      </c>
      <c r="J45" s="159">
        <f>SUM(G45:I45)</f>
        <v>-4700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underfunding is (3.6% )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130100</v>
      </c>
      <c r="F51" s="272">
        <f>AppropFTP</f>
        <v>1</v>
      </c>
      <c r="G51" s="274">
        <f>IF(E51=0,0,(G41/$J$41)*$E$51)</f>
        <v>97150.04858861996</v>
      </c>
      <c r="H51" s="274">
        <f>IF(E51=0,0,(H41/$J$41)*$E$51)</f>
        <v>11247.213195150338</v>
      </c>
      <c r="I51" s="275">
        <f>IF(E51=0,0,(I41/$J$41)*$E$51)</f>
        <v>21702.738216229711</v>
      </c>
      <c r="J51" s="90">
        <f>SUM(G51:I51)</f>
        <v>130100.00000000001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1</v>
      </c>
      <c r="G52" s="79">
        <f>ROUND(G51,-2)</f>
        <v>97200</v>
      </c>
      <c r="H52" s="79">
        <f>ROUND(H51,-2)</f>
        <v>11200</v>
      </c>
      <c r="I52" s="266">
        <f>ROUND(I51,-2)</f>
        <v>21700</v>
      </c>
      <c r="J52" s="80">
        <f>ROUND(J51,-2)</f>
        <v>130100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</v>
      </c>
      <c r="G56" s="80">
        <f>SUM(G52:G55)</f>
        <v>97200</v>
      </c>
      <c r="H56" s="80">
        <f>SUM(H52:H55)</f>
        <v>11200</v>
      </c>
      <c r="I56" s="260">
        <f>SUM(I52:I55)</f>
        <v>21700</v>
      </c>
      <c r="J56" s="80">
        <f>SUM(J52:J55)</f>
        <v>130100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</v>
      </c>
      <c r="G60" s="80">
        <f>SUM(G56:G59)</f>
        <v>97200</v>
      </c>
      <c r="H60" s="80">
        <f>SUM(H56:H59)</f>
        <v>11200</v>
      </c>
      <c r="I60" s="260">
        <f>SUM(I56:I59)</f>
        <v>21700</v>
      </c>
      <c r="J60" s="80">
        <f>SUM(J56:J59)</f>
        <v>130100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</v>
      </c>
      <c r="G67" s="80">
        <f>SUM(G60:G64)</f>
        <v>97200</v>
      </c>
      <c r="H67" s="80">
        <f>SUM(H60:H64)</f>
        <v>11200</v>
      </c>
      <c r="I67" s="80">
        <f>SUM(I60:I64)</f>
        <v>21700</v>
      </c>
      <c r="J67" s="80">
        <f>SUM(J60:J64)</f>
        <v>130100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-300</v>
      </c>
      <c r="J69" s="287">
        <f>SUM(G69:I69)</f>
        <v>-300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1000</v>
      </c>
      <c r="H72" s="287"/>
      <c r="I72" s="287">
        <f>ROUND(($G72*PermVBBY+$G72*Retire1BY),-2)</f>
        <v>200</v>
      </c>
      <c r="J72" s="113">
        <f>SUM(G72:I72)</f>
        <v>1200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</v>
      </c>
      <c r="G75" s="80">
        <f>SUM(G67:G74)</f>
        <v>98200</v>
      </c>
      <c r="H75" s="80">
        <f>SUM(H67:H74)</f>
        <v>11200</v>
      </c>
      <c r="I75" s="80">
        <f>SUM(I67:I74)</f>
        <v>21600</v>
      </c>
      <c r="J75" s="80">
        <f>SUM(J67:K74)</f>
        <v>131000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</v>
      </c>
      <c r="G80" s="80">
        <f>SUM(G75:G79)</f>
        <v>98200</v>
      </c>
      <c r="H80" s="80">
        <f>SUM(H75:H79)</f>
        <v>11200</v>
      </c>
      <c r="I80" s="80">
        <f>SUM(I75:I79)</f>
        <v>21600</v>
      </c>
      <c r="J80" s="80">
        <f>SUM(J75:J79)</f>
        <v>131000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161" priority="5">
      <formula>$J$44&lt;0</formula>
    </cfRule>
  </conditionalFormatting>
  <conditionalFormatting sqref="K43">
    <cfRule type="expression" dxfId="160" priority="4">
      <formula>$J$43&lt;0</formula>
    </cfRule>
  </conditionalFormatting>
  <conditionalFormatting sqref="L16">
    <cfRule type="expression" dxfId="159" priority="3">
      <formula>$J$16&lt;0</formula>
    </cfRule>
  </conditionalFormatting>
  <conditionalFormatting sqref="K45">
    <cfRule type="expression" dxfId="158" priority="2">
      <formula>$J$44&lt;0</formula>
    </cfRule>
  </conditionalFormatting>
  <conditionalFormatting sqref="K43:N45">
    <cfRule type="containsText" dxfId="15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A83F28D-2FFA-4326-8E55-98F6D182A884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9D688-23EC-4C3E-AF37-3EC773377C14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09375" defaultRowHeight="15.6" x14ac:dyDescent="0.3"/>
  <cols>
    <col min="1" max="1" width="7.88671875" style="124" customWidth="1"/>
    <col min="2" max="2" width="7.6640625" style="125" customWidth="1"/>
    <col min="3" max="3" width="9" style="125" customWidth="1"/>
    <col min="4" max="4" width="39.33203125" style="53" customWidth="1"/>
    <col min="5" max="5" width="13" style="126" customWidth="1"/>
    <col min="6" max="6" width="12.33203125" style="127" customWidth="1"/>
    <col min="7" max="7" width="12.109375" style="127" bestFit="1" customWidth="1"/>
    <col min="8" max="8" width="14.5546875" style="127" customWidth="1"/>
    <col min="9" max="9" width="19.5546875" style="128" bestFit="1" customWidth="1"/>
    <col min="10" max="10" width="13.6640625" style="129" customWidth="1"/>
    <col min="11" max="11" width="13.6640625" style="129" hidden="1" customWidth="1"/>
    <col min="12" max="12" width="18.44140625" style="129" customWidth="1"/>
    <col min="13" max="13" width="16.44140625" style="129" customWidth="1"/>
    <col min="14" max="14" width="16.109375" style="128" customWidth="1"/>
    <col min="15" max="25" width="16.109375" customWidth="1"/>
    <col min="26" max="26" width="16.109375" style="344" customWidth="1"/>
    <col min="27" max="27" width="22.109375" style="334" bestFit="1" customWidth="1"/>
    <col min="28" max="28" width="31.109375" style="334" bestFit="1" customWidth="1"/>
    <col min="29" max="29" width="7.88671875" style="334" bestFit="1" customWidth="1"/>
    <col min="30" max="30" width="9.109375" style="110" customWidth="1"/>
    <col min="31" max="94" width="9.109375" style="17"/>
    <col min="95" max="16384" width="9.109375" style="18"/>
  </cols>
  <sheetData>
    <row r="1" spans="1:94" x14ac:dyDescent="0.3">
      <c r="A1" s="12" t="s">
        <v>13</v>
      </c>
      <c r="B1" s="13"/>
      <c r="C1" s="13"/>
      <c r="D1" s="14" t="s">
        <v>1440</v>
      </c>
      <c r="E1" s="15"/>
      <c r="F1" s="15"/>
      <c r="G1" s="15"/>
      <c r="H1" s="15"/>
      <c r="I1" s="15"/>
      <c r="J1" s="15"/>
      <c r="K1" s="15"/>
      <c r="L1" s="16" t="s">
        <v>14</v>
      </c>
      <c r="M1" s="400">
        <v>210</v>
      </c>
      <c r="N1" s="401"/>
      <c r="AA1" s="364"/>
      <c r="AB1" s="333"/>
      <c r="AC1" s="333"/>
      <c r="AD1" s="325"/>
    </row>
    <row r="2" spans="1:94" ht="21" x14ac:dyDescent="0.3">
      <c r="A2" s="19" t="s">
        <v>116</v>
      </c>
      <c r="B2" s="20"/>
      <c r="C2" s="20"/>
      <c r="D2" s="14" t="s">
        <v>1440</v>
      </c>
      <c r="E2" s="21"/>
      <c r="F2" s="21"/>
      <c r="G2" s="21"/>
      <c r="H2" s="21"/>
      <c r="I2" s="21"/>
      <c r="J2" s="20"/>
      <c r="K2" s="20"/>
      <c r="L2" s="22" t="s">
        <v>113</v>
      </c>
      <c r="M2" s="402" t="s">
        <v>1485</v>
      </c>
      <c r="N2" s="403"/>
      <c r="AA2" s="333"/>
      <c r="AB2" s="333"/>
      <c r="AC2" s="333"/>
      <c r="AD2" s="325"/>
    </row>
    <row r="3" spans="1:94" x14ac:dyDescent="0.3">
      <c r="A3" s="19" t="s">
        <v>117</v>
      </c>
      <c r="B3" s="20"/>
      <c r="C3" s="20"/>
      <c r="D3" s="23" t="s">
        <v>1479</v>
      </c>
      <c r="E3" s="24"/>
      <c r="F3" s="25"/>
      <c r="G3" s="25"/>
      <c r="H3" s="25"/>
      <c r="I3" s="26"/>
      <c r="J3" s="20"/>
      <c r="K3" s="20"/>
      <c r="L3" s="22" t="s">
        <v>114</v>
      </c>
      <c r="M3" s="400" t="s">
        <v>651</v>
      </c>
      <c r="N3" s="401"/>
      <c r="AA3" s="364"/>
      <c r="AB3" s="333"/>
      <c r="AC3" s="333"/>
      <c r="AD3" s="325"/>
    </row>
    <row r="4" spans="1:94" x14ac:dyDescent="0.3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00">
        <v>2023</v>
      </c>
      <c r="N4" s="401"/>
      <c r="AA4" s="364"/>
      <c r="AB4" s="333"/>
      <c r="AC4" s="333"/>
      <c r="AD4" s="325"/>
    </row>
    <row r="5" spans="1:94" s="34" customFormat="1" ht="18" customHeight="1" x14ac:dyDescent="0.3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02" t="s">
        <v>1483</v>
      </c>
      <c r="J5" s="404"/>
      <c r="K5" s="404"/>
      <c r="L5" s="403"/>
      <c r="M5" s="352" t="s">
        <v>115</v>
      </c>
      <c r="N5" s="32" t="s">
        <v>1484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3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3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3">
      <c r="A8" s="48" t="s">
        <v>20</v>
      </c>
      <c r="B8" s="370" t="s">
        <v>21</v>
      </c>
      <c r="C8" s="387" t="s">
        <v>22</v>
      </c>
      <c r="D8" s="388"/>
      <c r="E8" s="370" t="s">
        <v>23</v>
      </c>
      <c r="F8" s="49" t="s">
        <v>24</v>
      </c>
      <c r="G8" s="50" t="str">
        <f>"FY "&amp;'AGAC|0332-05'!FiscalYear-1&amp;" SALARY"</f>
        <v>FY 2022 SALARY</v>
      </c>
      <c r="H8" s="50" t="str">
        <f>"FY "&amp;'AGAC|0332-05'!FiscalYear-1&amp;" HEALTH BENEFITS"</f>
        <v>FY 2022 HEALTH BENEFITS</v>
      </c>
      <c r="I8" s="50" t="str">
        <f>"FY "&amp;'AGAC|0332-05'!FiscalYear-1&amp;" VAR BENEFITS"</f>
        <v>FY 2022 VAR BENEFITS</v>
      </c>
      <c r="J8" s="50" t="str">
        <f>"FY "&amp;'AGAC|0332-05'!FiscalYear-1&amp;" TOTAL"</f>
        <v>FY 2022 TOTAL</v>
      </c>
      <c r="K8" s="50" t="str">
        <f>"FY "&amp;'AGAC|0332-05'!FiscalYear&amp;" SALARY CHANGE"</f>
        <v>FY 2023 SALARY CHANGE</v>
      </c>
      <c r="L8" s="50" t="str">
        <f>"FY "&amp;'AGAC|0332-05'!FiscalYear&amp;" CHG HEALTH BENEFITS"</f>
        <v>FY 2023 CHG HEALTH BENEFITS</v>
      </c>
      <c r="M8" s="50" t="str">
        <f>"FY "&amp;'AGAC|0332-05'!FiscalYear&amp;"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38" t="s">
        <v>105</v>
      </c>
      <c r="AB8" s="438"/>
      <c r="AC8" s="438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3">
      <c r="A9" s="139"/>
      <c r="B9" s="140"/>
      <c r="C9" s="389" t="s">
        <v>26</v>
      </c>
      <c r="D9" s="390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3">
      <c r="A10" s="139"/>
      <c r="B10" s="139"/>
      <c r="C10" s="385" t="s">
        <v>27</v>
      </c>
      <c r="D10" s="391"/>
      <c r="E10" s="217">
        <v>1</v>
      </c>
      <c r="F10" s="288">
        <f>[0]!AGAC033205col_INC_FTI</f>
        <v>23.6</v>
      </c>
      <c r="G10" s="218">
        <f>[0]!AGAC033205col_FTI_SALARY_PERM</f>
        <v>1285984.96</v>
      </c>
      <c r="H10" s="218">
        <f>[0]!AGAC033205col_HEALTH_PERM</f>
        <v>274940</v>
      </c>
      <c r="I10" s="218">
        <f>[0]!AGAC033205col_TOT_VB_PERM</f>
        <v>291108.41539519996</v>
      </c>
      <c r="J10" s="219">
        <f>SUM(G10:I10)</f>
        <v>1852033.3753952</v>
      </c>
      <c r="K10" s="219">
        <f>[0]!AGAC033205col_1_27TH_PP</f>
        <v>0</v>
      </c>
      <c r="L10" s="218">
        <f>[0]!AGAC033205col_HEALTH_PERM_CHG</f>
        <v>0</v>
      </c>
      <c r="M10" s="218">
        <f>[0]!AGAC033205col_TOT_VB_PERM_CHG</f>
        <v>-3343.5608959999968</v>
      </c>
      <c r="N10" s="218">
        <f>SUM(L10:M10)</f>
        <v>-3343.5608959999968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12900</v>
      </c>
      <c r="AB10" s="335">
        <f>ROUND(PermVarBen*CECPerm+(CECPerm*PermVarBenChg),-2)</f>
        <v>2900</v>
      </c>
      <c r="AC10" s="335">
        <f>SUM(AA10:AB10)</f>
        <v>15800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3">
      <c r="A11" s="139"/>
      <c r="B11" s="139"/>
      <c r="C11" s="385" t="s">
        <v>28</v>
      </c>
      <c r="D11" s="391"/>
      <c r="E11" s="217">
        <v>2</v>
      </c>
      <c r="F11" s="288"/>
      <c r="G11" s="218">
        <f>[0]!AGAC033205col_Group_Salary</f>
        <v>0</v>
      </c>
      <c r="H11" s="218">
        <v>0</v>
      </c>
      <c r="I11" s="218">
        <f>[0]!AGAC033205col_Group_Ben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3">
      <c r="A12" s="139"/>
      <c r="B12" s="139"/>
      <c r="C12" s="385" t="s">
        <v>29</v>
      </c>
      <c r="D12" s="386"/>
      <c r="E12" s="217">
        <v>3</v>
      </c>
      <c r="F12" s="288">
        <f>[0]!AGAC033205col_TOTAL_ELECT_PCN_FTI</f>
        <v>0</v>
      </c>
      <c r="G12" s="218">
        <f>[0]!AGAC033205col_FTI_SALARY_ELECT</f>
        <v>0</v>
      </c>
      <c r="H12" s="218">
        <f>[0]!AGAC033205col_HEALTH_ELECT</f>
        <v>0</v>
      </c>
      <c r="I12" s="218">
        <f>[0]!AGAC033205col_TOT_VB_ELECT</f>
        <v>0</v>
      </c>
      <c r="J12" s="219">
        <f>SUM(G12:I12)</f>
        <v>0</v>
      </c>
      <c r="K12" s="268"/>
      <c r="L12" s="218">
        <f>[0]!AGAC033205col_HEALTH_ELECT_CHG</f>
        <v>0</v>
      </c>
      <c r="M12" s="218">
        <f>[0]!AGAC033205col_TOT_VB_ELECT_CHG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3">
      <c r="A13" s="139"/>
      <c r="B13" s="139"/>
      <c r="C13" s="385" t="s">
        <v>30</v>
      </c>
      <c r="D13" s="391"/>
      <c r="E13" s="217"/>
      <c r="F13" s="220">
        <f>SUM(F10:F12)</f>
        <v>23.6</v>
      </c>
      <c r="G13" s="221">
        <f>SUM(G10:G12)</f>
        <v>1285984.96</v>
      </c>
      <c r="H13" s="221">
        <f>SUM(H10:H12)</f>
        <v>274940</v>
      </c>
      <c r="I13" s="221">
        <f>SUM(I10:I12)</f>
        <v>291108.41539519996</v>
      </c>
      <c r="J13" s="219">
        <f>SUM(G13:I13)</f>
        <v>1852033.3753952</v>
      </c>
      <c r="K13" s="268"/>
      <c r="L13" s="219">
        <f>SUM(L10:L12)</f>
        <v>0</v>
      </c>
      <c r="M13" s="219">
        <f>SUM(M10:M12)</f>
        <v>-3343.5608959999968</v>
      </c>
      <c r="N13" s="219">
        <f>SUM(N10:N12)</f>
        <v>-3343.5608959999968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" customHeight="1" x14ac:dyDescent="0.3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3">
      <c r="A15" s="139"/>
      <c r="B15" s="156"/>
      <c r="C15" s="157" t="str">
        <f>"FY "&amp;'AGAC|0332-05'!FiscalYear-1</f>
        <v>FY 2022</v>
      </c>
      <c r="D15" s="158" t="s">
        <v>31</v>
      </c>
      <c r="E15" s="355">
        <v>2259600</v>
      </c>
      <c r="F15" s="55">
        <v>25.9</v>
      </c>
      <c r="G15" s="223">
        <f>IF(OrigApprop=0,0,(G13/$J$13)*OrigApprop)</f>
        <v>1568984.4763169764</v>
      </c>
      <c r="H15" s="223">
        <f>IF(OrigApprop=0,0,(H13/$J$13)*OrigApprop)</f>
        <v>335444.50777914969</v>
      </c>
      <c r="I15" s="223">
        <f>IF(G15=0,0,(I13/$J$13)*OrigApprop)</f>
        <v>355171.01590387389</v>
      </c>
      <c r="J15" s="223">
        <f>SUM(G15:I15)</f>
        <v>2259600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3">
      <c r="A16" s="139"/>
      <c r="B16" s="139"/>
      <c r="C16" s="392" t="s">
        <v>32</v>
      </c>
      <c r="D16" s="393"/>
      <c r="E16" s="160" t="s">
        <v>33</v>
      </c>
      <c r="F16" s="161">
        <f>F15-F13</f>
        <v>2.2999999999999972</v>
      </c>
      <c r="G16" s="162">
        <f>G15-G13</f>
        <v>282999.5163169764</v>
      </c>
      <c r="H16" s="162">
        <f>H15-H13</f>
        <v>60504.507779149688</v>
      </c>
      <c r="I16" s="162">
        <f>I15-I13</f>
        <v>64062.600508673931</v>
      </c>
      <c r="J16" s="162">
        <f>J15-J13</f>
        <v>407566.62460480002</v>
      </c>
      <c r="K16" s="269"/>
      <c r="L16" s="56" t="str">
        <f>IF('AGAC|0332-05'!OrigApprop=0,"ERROR! Enter Original Appropriation amount in DU 3.00!","Calculated "&amp;IF('AGAC|0332-05'!AdjustedTotal&gt;0,"overfunding ","underfunding ")&amp;"is "&amp;TEXT('AGAC|0332-05'!AdjustedTotal/'AGAC|0332-05'!AppropTotal,"#.0%;(#.0% );0% ;")&amp;" of Original Appropriation")</f>
        <v>Calculated overfunding is 18.0%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3">
      <c r="A17" s="139"/>
      <c r="B17" s="139"/>
      <c r="C17" s="394" t="s">
        <v>34</v>
      </c>
      <c r="D17" s="395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3">
      <c r="A18" s="139"/>
      <c r="B18" s="168"/>
      <c r="C18" s="396" t="s">
        <v>35</v>
      </c>
      <c r="D18" s="397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6.4" x14ac:dyDescent="0.3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4.4" x14ac:dyDescent="0.3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4.4" x14ac:dyDescent="0.3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4.4" x14ac:dyDescent="0.3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4.4" x14ac:dyDescent="0.3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4.4" x14ac:dyDescent="0.3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4.4" x14ac:dyDescent="0.3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4.4" x14ac:dyDescent="0.3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4.4" x14ac:dyDescent="0.3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4.4" x14ac:dyDescent="0.3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4.4" x14ac:dyDescent="0.3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4.4" x14ac:dyDescent="0.3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4.4" x14ac:dyDescent="0.3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4.4" x14ac:dyDescent="0.3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4.4" x14ac:dyDescent="0.3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4.4" x14ac:dyDescent="0.3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4.4" x14ac:dyDescent="0.3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4.4" x14ac:dyDescent="0.3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3">
      <c r="A37" s="139"/>
      <c r="B37" s="188"/>
      <c r="C37" s="398" t="s">
        <v>37</v>
      </c>
      <c r="D37" s="399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39" t="s">
        <v>107</v>
      </c>
      <c r="AB37" s="440"/>
      <c r="AC37" s="440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4.4" x14ac:dyDescent="0.3">
      <c r="A38" s="139"/>
      <c r="B38" s="188"/>
      <c r="C38" s="385" t="str">
        <f>perm_name</f>
        <v>Permanent Positions</v>
      </c>
      <c r="D38" s="386"/>
      <c r="E38" s="189">
        <v>1</v>
      </c>
      <c r="F38" s="190">
        <f>SUMIF($E9:$E35,$E38,$F9:$F35)</f>
        <v>23.6</v>
      </c>
      <c r="G38" s="191">
        <f>SUMIF($E10:$E35,$E38,$G10:$G35)</f>
        <v>1285984.96</v>
      </c>
      <c r="H38" s="192">
        <f>SUMIF($E10:$E35,$E38,$H10:$H35)</f>
        <v>274940</v>
      </c>
      <c r="I38" s="192">
        <f>SUMIF($E10:$E35,$E38,$I10:$I35)</f>
        <v>291108.41539519996</v>
      </c>
      <c r="J38" s="192">
        <f>SUM(G38:I38)</f>
        <v>1852033.3753952</v>
      </c>
      <c r="K38" s="166"/>
      <c r="L38" s="191">
        <f>SUMIF($E10:$E35,$E38,$L10:$L35)</f>
        <v>0</v>
      </c>
      <c r="M38" s="192">
        <f>SUMIF($E10:$E35,$E38,$M10:$M35)</f>
        <v>-3343.5608959999968</v>
      </c>
      <c r="N38" s="192">
        <f>SUM(L38:M38)</f>
        <v>-3343.5608959999968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12900</v>
      </c>
      <c r="AB38" s="338">
        <f>ROUND((AdjPermVB*CECPerm+AdjPermVBBY*CECPerm),-2)</f>
        <v>2900</v>
      </c>
      <c r="AC38" s="338">
        <f>SUM(AA38:AB38)</f>
        <v>15800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4.4" x14ac:dyDescent="0.3">
      <c r="A39" s="139"/>
      <c r="B39" s="188"/>
      <c r="C39" s="385" t="str">
        <f>Group_name</f>
        <v>Board &amp; Group Positions</v>
      </c>
      <c r="D39" s="386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4.4" x14ac:dyDescent="0.3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4.4" x14ac:dyDescent="0.3">
      <c r="A41" s="139"/>
      <c r="B41" s="188"/>
      <c r="C41" s="385" t="s">
        <v>38</v>
      </c>
      <c r="D41" s="386"/>
      <c r="E41" s="189"/>
      <c r="F41" s="161">
        <f>SUM(F38:F40)</f>
        <v>23.6</v>
      </c>
      <c r="G41" s="195">
        <f>SUM($G$38:$G$40)</f>
        <v>1285984.96</v>
      </c>
      <c r="H41" s="162">
        <f>SUM($H$38:$H$40)</f>
        <v>274940</v>
      </c>
      <c r="I41" s="162">
        <f>SUM($I$38:$I$40)</f>
        <v>291108.41539519996</v>
      </c>
      <c r="J41" s="162">
        <f>SUM($J$38:$J$40)</f>
        <v>1852033.3753952</v>
      </c>
      <c r="K41" s="259"/>
      <c r="L41" s="195">
        <f>SUM($L$38:$L$40)</f>
        <v>0</v>
      </c>
      <c r="M41" s="162">
        <f>SUM($M$38:$M$40)</f>
        <v>-3343.5608959999968</v>
      </c>
      <c r="N41" s="162">
        <f>SUM(L41:M41)</f>
        <v>-3343.5608959999968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3">
      <c r="A42" s="139"/>
      <c r="B42" s="188"/>
      <c r="C42" s="447"/>
      <c r="D42" s="448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3">
      <c r="A43" s="139"/>
      <c r="B43" s="202"/>
      <c r="C43" s="449" t="s">
        <v>39</v>
      </c>
      <c r="D43" s="450"/>
      <c r="E43" s="203" t="s">
        <v>40</v>
      </c>
      <c r="F43" s="205">
        <f>ROUND(F51-F41,2)</f>
        <v>2.2999999999999998</v>
      </c>
      <c r="G43" s="206">
        <f>ROUND(G51-G41,-2)</f>
        <v>283000</v>
      </c>
      <c r="H43" s="159">
        <f>ROUND(H51-H41,-2)</f>
        <v>60500</v>
      </c>
      <c r="I43" s="159">
        <f>ROUND(I51-I41,-2)</f>
        <v>64100</v>
      </c>
      <c r="J43" s="159">
        <f>SUM(G43:I43)</f>
        <v>407600</v>
      </c>
      <c r="K43" s="413" t="str">
        <f>IF(E51=0,"ERROR! Enter Original Appropriation amount in DU 3.00!","Calculated "&amp;IF(J43&gt;0,"overfunding ","underfunding ")&amp;"is "&amp;TEXT(J43/J51,"#.0%;(#.0% );0% ;")&amp;" of Original Appropriation")</f>
        <v>Calculated overfunding is 18.0% of Original Appropriation</v>
      </c>
      <c r="L43" s="414"/>
      <c r="M43" s="414"/>
      <c r="N43" s="415"/>
      <c r="O43"/>
      <c r="P43"/>
      <c r="Q43"/>
      <c r="R43"/>
      <c r="S43"/>
      <c r="T43"/>
      <c r="U43"/>
      <c r="V43"/>
      <c r="W43"/>
      <c r="X43"/>
      <c r="Y43"/>
      <c r="Z43" s="344"/>
      <c r="AA43" s="441" t="s">
        <v>108</v>
      </c>
      <c r="AB43" s="442"/>
      <c r="AC43" s="44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3">
      <c r="A44" s="139"/>
      <c r="B44" s="202"/>
      <c r="C44" s="451"/>
      <c r="D44" s="452"/>
      <c r="E44" s="204" t="s">
        <v>41</v>
      </c>
      <c r="F44" s="205">
        <f>ROUND(F60-F41,2)</f>
        <v>2.2999999999999998</v>
      </c>
      <c r="G44" s="206">
        <f>ROUND(G60-G41,-2)</f>
        <v>283000</v>
      </c>
      <c r="H44" s="159">
        <f>ROUND(H60-H41,-2)</f>
        <v>60500</v>
      </c>
      <c r="I44" s="159">
        <f>ROUND(I60-I41,-2)</f>
        <v>64100</v>
      </c>
      <c r="J44" s="159">
        <f>SUM(G44:I44)</f>
        <v>407600</v>
      </c>
      <c r="K44" s="413" t="str">
        <f>IF(E51=0,"ERROR! Enter Original Appropriation amount in DU 3.00!","Calculated "&amp;IF(J44&gt;0,"overfunding ","underfunding ")&amp;"is "&amp;TEXT(J44/J60,"#.0%;(#.0% );0% ;")&amp;" of Estimated Expenditures")</f>
        <v>Calculated overfunding is 18.0% of Estimated Expenditures</v>
      </c>
      <c r="L44" s="414"/>
      <c r="M44" s="414"/>
      <c r="N44" s="415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3">
      <c r="A45" s="139"/>
      <c r="B45" s="202"/>
      <c r="C45" s="215"/>
      <c r="D45" s="215"/>
      <c r="E45" s="204" t="s">
        <v>99</v>
      </c>
      <c r="F45" s="205">
        <f>ROUND(F67-F41-F63,2)</f>
        <v>2.2999999999999998</v>
      </c>
      <c r="G45" s="206">
        <f>ROUND(G67-G41-G63,-2)</f>
        <v>283000</v>
      </c>
      <c r="H45" s="206">
        <f>ROUND(H67-H41-H63,-2)</f>
        <v>60500</v>
      </c>
      <c r="I45" s="206">
        <f>ROUND(I67-I41-I63,-2)</f>
        <v>64100</v>
      </c>
      <c r="J45" s="159">
        <f>SUM(G45:I45)</f>
        <v>407600</v>
      </c>
      <c r="K45" s="413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18.0% of the Base</v>
      </c>
      <c r="L45" s="414"/>
      <c r="M45" s="414"/>
      <c r="N45" s="415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3">
      <c r="A46" s="139"/>
      <c r="B46" s="202"/>
      <c r="C46" s="215"/>
      <c r="D46" s="215"/>
      <c r="E46" s="422" t="s">
        <v>100</v>
      </c>
      <c r="F46" s="423"/>
      <c r="G46" s="423"/>
      <c r="H46" s="423"/>
      <c r="I46" s="423"/>
      <c r="J46" s="424"/>
      <c r="K46" s="416" t="str">
        <f>IF(OR(J45&lt;0,F45&lt;0),"You may not have sufficient funding or authorized FTP, and may need to make additional adjustments to finalize this form.  Please contact both your DFM and LSO analysts.","")</f>
        <v/>
      </c>
      <c r="L46" s="417"/>
      <c r="M46" s="417"/>
      <c r="N46" s="418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3">
      <c r="A47" s="139"/>
      <c r="B47" s="202"/>
      <c r="C47" s="215"/>
      <c r="D47" s="215"/>
      <c r="E47" s="425"/>
      <c r="F47" s="426"/>
      <c r="G47" s="426"/>
      <c r="H47" s="426"/>
      <c r="I47" s="426"/>
      <c r="J47" s="427"/>
      <c r="K47" s="419"/>
      <c r="L47" s="420"/>
      <c r="M47" s="420"/>
      <c r="N47" s="421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3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3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3">
      <c r="A50" s="257" t="s">
        <v>42</v>
      </c>
      <c r="B50" s="71"/>
      <c r="C50" s="453"/>
      <c r="D50" s="454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3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2259600</v>
      </c>
      <c r="F51" s="272">
        <f>AppropFTP</f>
        <v>25.9</v>
      </c>
      <c r="G51" s="274">
        <f>IF(E51=0,0,(G41/$J$41)*$E$51)</f>
        <v>1568984.4763169764</v>
      </c>
      <c r="H51" s="274">
        <f>IF(E51=0,0,(H41/$J$41)*$E$51)</f>
        <v>335444.50777914969</v>
      </c>
      <c r="I51" s="275">
        <f>IF(E51=0,0,(I41/$J$41)*$E$51)</f>
        <v>355171.01590387389</v>
      </c>
      <c r="J51" s="90">
        <f>SUM(G51:I51)</f>
        <v>2259600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3">
      <c r="A52" s="82"/>
      <c r="B52" s="83"/>
      <c r="C52" s="84"/>
      <c r="D52" s="132" t="s">
        <v>46</v>
      </c>
      <c r="E52" s="133"/>
      <c r="F52" s="55">
        <f>F51</f>
        <v>25.9</v>
      </c>
      <c r="G52" s="79">
        <f>ROUND(G51,-2)</f>
        <v>1569000</v>
      </c>
      <c r="H52" s="79">
        <f>ROUND(H51,-2)</f>
        <v>335400</v>
      </c>
      <c r="I52" s="266">
        <f>ROUND(I51,-2)</f>
        <v>355200</v>
      </c>
      <c r="J52" s="80">
        <f>ROUND(J51,-2)</f>
        <v>2259600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4.4" x14ac:dyDescent="0.3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3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3">
      <c r="A55" s="85">
        <v>4.3099999999999996</v>
      </c>
      <c r="B55" s="83"/>
      <c r="C55" s="411" t="s">
        <v>49</v>
      </c>
      <c r="D55" s="41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3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25.9</v>
      </c>
      <c r="G56" s="80">
        <f>SUM(G52:G55)</f>
        <v>1569000</v>
      </c>
      <c r="H56" s="80">
        <f>SUM(H52:H55)</f>
        <v>335400</v>
      </c>
      <c r="I56" s="260">
        <f>SUM(I52:I55)</f>
        <v>355200</v>
      </c>
      <c r="J56" s="80">
        <f>SUM(J52:J55)</f>
        <v>2259600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3">
      <c r="A57" s="85"/>
      <c r="B57" s="83"/>
      <c r="C57" s="407" t="s">
        <v>51</v>
      </c>
      <c r="D57" s="408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3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3">
      <c r="A59" s="85">
        <v>6.51</v>
      </c>
      <c r="B59" s="83"/>
      <c r="C59" s="411" t="s">
        <v>66</v>
      </c>
      <c r="D59" s="41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3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25.9</v>
      </c>
      <c r="G60" s="80">
        <f>SUM(G56:G59)</f>
        <v>1569000</v>
      </c>
      <c r="H60" s="80">
        <f>SUM(H56:H59)</f>
        <v>335400</v>
      </c>
      <c r="I60" s="260">
        <f>SUM(I56:I59)</f>
        <v>355200</v>
      </c>
      <c r="J60" s="80">
        <f>SUM(J56:J59)</f>
        <v>2259600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3">
      <c r="A61" s="85"/>
      <c r="B61" s="83"/>
      <c r="C61" s="407" t="s">
        <v>54</v>
      </c>
      <c r="D61" s="408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3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3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5">
      <c r="A64" s="93">
        <v>8.51</v>
      </c>
      <c r="B64" s="93"/>
      <c r="C64" s="405" t="s">
        <v>56</v>
      </c>
      <c r="D64" s="406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3">
      <c r="A65" s="94"/>
      <c r="B65" s="95"/>
      <c r="C65" s="443"/>
      <c r="D65" s="444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4.4" x14ac:dyDescent="0.3">
      <c r="A66" s="100"/>
      <c r="B66" s="101"/>
      <c r="C66" s="430"/>
      <c r="D66" s="431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4.4" x14ac:dyDescent="0.3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25.9</v>
      </c>
      <c r="G67" s="80">
        <f>SUM(G60:G64)</f>
        <v>1569000</v>
      </c>
      <c r="H67" s="80">
        <f>SUM(H60:H64)</f>
        <v>335400</v>
      </c>
      <c r="I67" s="80">
        <f>SUM(I60:I64)</f>
        <v>355200</v>
      </c>
      <c r="J67" s="80">
        <f>SUM(J60:J64)</f>
        <v>2259600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3">
      <c r="A68" s="85">
        <v>10.11</v>
      </c>
      <c r="B68" s="83"/>
      <c r="C68" s="407" t="s">
        <v>58</v>
      </c>
      <c r="D68" s="43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4.4" x14ac:dyDescent="0.3">
      <c r="A69" s="85">
        <v>10.119999999999999</v>
      </c>
      <c r="B69" s="83"/>
      <c r="C69" s="407" t="s">
        <v>59</v>
      </c>
      <c r="D69" s="432"/>
      <c r="E69" s="112"/>
      <c r="F69" s="288"/>
      <c r="G69" s="113"/>
      <c r="H69" s="113"/>
      <c r="I69" s="113">
        <f>IF(DUNine=0,0,ROUND(SUM(M41:M64),-2))</f>
        <v>-3300</v>
      </c>
      <c r="J69" s="287">
        <f>SUM(G69:I69)</f>
        <v>-3300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4.4" x14ac:dyDescent="0.3">
      <c r="A70" s="85"/>
      <c r="B70" s="83"/>
      <c r="C70" s="433"/>
      <c r="D70" s="434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3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3">
      <c r="A72" s="85">
        <v>10.61</v>
      </c>
      <c r="B72" s="83"/>
      <c r="C72" s="409" t="s">
        <v>101</v>
      </c>
      <c r="D72" s="435"/>
      <c r="E72" s="290">
        <f>CECPerm</f>
        <v>0.01</v>
      </c>
      <c r="F72" s="288"/>
      <c r="G72" s="356">
        <f>IF(DUNine=0,0,IF(DUNine&lt;0,0,ROUND(AdjPermSalary*CECPerm,-2)))</f>
        <v>12900</v>
      </c>
      <c r="H72" s="287"/>
      <c r="I72" s="287">
        <f>ROUND(($G72*PermVBBY+$G72*Retire1BY),-2)</f>
        <v>2900</v>
      </c>
      <c r="J72" s="113">
        <f>SUM(G72:I72)</f>
        <v>15800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3">
      <c r="A73" s="85">
        <v>10.62</v>
      </c>
      <c r="B73" s="83"/>
      <c r="C73" s="409" t="s">
        <v>61</v>
      </c>
      <c r="D73" s="435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3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3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25.9</v>
      </c>
      <c r="G75" s="80">
        <f>SUM(G67:G74)</f>
        <v>1581900</v>
      </c>
      <c r="H75" s="80">
        <f>SUM(H67:H74)</f>
        <v>335400</v>
      </c>
      <c r="I75" s="80">
        <f>SUM(I67:I74)</f>
        <v>354800</v>
      </c>
      <c r="J75" s="80">
        <f>SUM(J67:K74)</f>
        <v>2272100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3">
      <c r="A76" s="85"/>
      <c r="B76" s="83"/>
      <c r="C76" s="436" t="s">
        <v>64</v>
      </c>
      <c r="D76" s="437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4.4" x14ac:dyDescent="0.3">
      <c r="A77" s="116">
        <v>12.01</v>
      </c>
      <c r="B77" s="57"/>
      <c r="C77" s="428"/>
      <c r="D77" s="429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4.4" x14ac:dyDescent="0.3">
      <c r="A78" s="116">
        <v>12.02</v>
      </c>
      <c r="B78" s="57"/>
      <c r="C78" s="428"/>
      <c r="D78" s="429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4.4" x14ac:dyDescent="0.3">
      <c r="A79" s="116">
        <v>12.03</v>
      </c>
      <c r="B79" s="57" t="s">
        <v>45</v>
      </c>
      <c r="C79" s="428"/>
      <c r="D79" s="429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3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25.9</v>
      </c>
      <c r="G80" s="80">
        <f>SUM(G75:G79)</f>
        <v>1581900</v>
      </c>
      <c r="H80" s="80">
        <f>SUM(H75:H79)</f>
        <v>335400</v>
      </c>
      <c r="I80" s="80">
        <f>SUM(I75:I79)</f>
        <v>354800</v>
      </c>
      <c r="J80" s="80">
        <f>SUM(J75:J79)</f>
        <v>2272100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78:D78"/>
    <mergeCell ref="C79:D79"/>
    <mergeCell ref="C70:D70"/>
    <mergeCell ref="C71:D71"/>
    <mergeCell ref="C72:D72"/>
    <mergeCell ref="C73:D73"/>
    <mergeCell ref="C76:D76"/>
    <mergeCell ref="C77:D77"/>
    <mergeCell ref="C63:D63"/>
    <mergeCell ref="C64:D64"/>
    <mergeCell ref="C65:D65"/>
    <mergeCell ref="C66:D66"/>
    <mergeCell ref="C68:D68"/>
    <mergeCell ref="C69:D69"/>
    <mergeCell ref="C55:D55"/>
    <mergeCell ref="C57:D57"/>
    <mergeCell ref="C58:D58"/>
    <mergeCell ref="C59:D59"/>
    <mergeCell ref="C61:D61"/>
    <mergeCell ref="C62:D62"/>
    <mergeCell ref="K45:N45"/>
    <mergeCell ref="E46:J47"/>
    <mergeCell ref="K46:N47"/>
    <mergeCell ref="C50:D50"/>
    <mergeCell ref="C53:D53"/>
    <mergeCell ref="C54:D54"/>
    <mergeCell ref="C39:D39"/>
    <mergeCell ref="C41:D41"/>
    <mergeCell ref="C42:D42"/>
    <mergeCell ref="C43:D44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AA8:AC8"/>
    <mergeCell ref="C9:D9"/>
    <mergeCell ref="C10:D10"/>
    <mergeCell ref="C11:D11"/>
    <mergeCell ref="C12:D12"/>
    <mergeCell ref="C13:D13"/>
    <mergeCell ref="M1:N1"/>
    <mergeCell ref="M2:N2"/>
    <mergeCell ref="M3:N3"/>
    <mergeCell ref="M4:N4"/>
    <mergeCell ref="I5:L5"/>
    <mergeCell ref="C8:D8"/>
  </mergeCells>
  <conditionalFormatting sqref="K44">
    <cfRule type="expression" dxfId="156" priority="5">
      <formula>$J$44&lt;0</formula>
    </cfRule>
  </conditionalFormatting>
  <conditionalFormatting sqref="K43">
    <cfRule type="expression" dxfId="155" priority="4">
      <formula>$J$43&lt;0</formula>
    </cfRule>
  </conditionalFormatting>
  <conditionalFormatting sqref="L16">
    <cfRule type="expression" dxfId="154" priority="3">
      <formula>$J$16&lt;0</formula>
    </cfRule>
  </conditionalFormatting>
  <conditionalFormatting sqref="K45">
    <cfRule type="expression" dxfId="153" priority="2">
      <formula>$J$44&lt;0</formula>
    </cfRule>
  </conditionalFormatting>
  <conditionalFormatting sqref="K43:N45">
    <cfRule type="containsText" dxfId="15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4FFA4D2-4800-42AA-8122-DB228C17EB2E}">
          <x14:formula1>
            <xm:f>Benefits!$A$20:$A$26</xm:f>
          </x14:formula1>
          <xm:sqref>C20:C30 C32:C36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4522</vt:i4>
      </vt:variant>
    </vt:vector>
  </HeadingPairs>
  <TitlesOfParts>
    <vt:vector size="4559" baseType="lpstr">
      <vt:lpstr>AGAA|0001-00</vt:lpstr>
      <vt:lpstr>AGAA|0125-01</vt:lpstr>
      <vt:lpstr>AGAA|0125-02</vt:lpstr>
      <vt:lpstr>AGAB|0001-00</vt:lpstr>
      <vt:lpstr>AGAB|0332-06</vt:lpstr>
      <vt:lpstr>AGAB|0332-07</vt:lpstr>
      <vt:lpstr>AGAB|0332-09</vt:lpstr>
      <vt:lpstr>AGAC|0001-00</vt:lpstr>
      <vt:lpstr>AGAC|0332-05</vt:lpstr>
      <vt:lpstr>AGAC|0348-00</vt:lpstr>
      <vt:lpstr>AGAD|0001-00</vt:lpstr>
      <vt:lpstr>AGAD|0330-00</vt:lpstr>
      <vt:lpstr>AGAD|0330-13</vt:lpstr>
      <vt:lpstr>AGAD|0332-04</vt:lpstr>
      <vt:lpstr>AGAD|0332-08</vt:lpstr>
      <vt:lpstr>AGAE|0001-00</vt:lpstr>
      <vt:lpstr>AGAE|0330-12</vt:lpstr>
      <vt:lpstr>AGAE|0332-10</vt:lpstr>
      <vt:lpstr>AGAF|0001-00</vt:lpstr>
      <vt:lpstr>AGAF|0330-00</vt:lpstr>
      <vt:lpstr>AGAF|0490-00</vt:lpstr>
      <vt:lpstr>AGAH|0001-00</vt:lpstr>
      <vt:lpstr>AGAH|0332-03</vt:lpstr>
      <vt:lpstr>AGAL|0486-00</vt:lpstr>
      <vt:lpstr>AGAM|0348-00</vt:lpstr>
      <vt:lpstr>AGAM|0403-03</vt:lpstr>
      <vt:lpstr>AGAO|0330-00</vt:lpstr>
      <vt:lpstr>AGAO|0332-11</vt:lpstr>
      <vt:lpstr>AGAO|0332-12</vt:lpstr>
      <vt:lpstr>AGAO|0348-00</vt:lpstr>
      <vt:lpstr>AGAP|0348-00</vt:lpstr>
      <vt:lpstr>AGAP|0402-00</vt:lpstr>
      <vt:lpstr>Data</vt:lpstr>
      <vt:lpstr>Benefits</vt:lpstr>
      <vt:lpstr>B6</vt:lpstr>
      <vt:lpstr>Summary</vt:lpstr>
      <vt:lpstr>FundSummary</vt:lpstr>
      <vt:lpstr>'AGAA|0001-00'!AdjGroupHlth</vt:lpstr>
      <vt:lpstr>'AGAA|0125-01'!AdjGroupHlth</vt:lpstr>
      <vt:lpstr>'AGAA|0125-02'!AdjGroupHlth</vt:lpstr>
      <vt:lpstr>'AGAB|0001-00'!AdjGroupHlth</vt:lpstr>
      <vt:lpstr>'AGAB|0332-06'!AdjGroupHlth</vt:lpstr>
      <vt:lpstr>'AGAB|0332-07'!AdjGroupHlth</vt:lpstr>
      <vt:lpstr>'AGAB|0332-09'!AdjGroupHlth</vt:lpstr>
      <vt:lpstr>'AGAC|0001-00'!AdjGroupHlth</vt:lpstr>
      <vt:lpstr>'AGAC|0332-05'!AdjGroupHlth</vt:lpstr>
      <vt:lpstr>'AGAC|0348-00'!AdjGroupHlth</vt:lpstr>
      <vt:lpstr>'AGAD|0001-00'!AdjGroupHlth</vt:lpstr>
      <vt:lpstr>'AGAD|0330-00'!AdjGroupHlth</vt:lpstr>
      <vt:lpstr>'AGAD|0330-13'!AdjGroupHlth</vt:lpstr>
      <vt:lpstr>'AGAD|0332-04'!AdjGroupHlth</vt:lpstr>
      <vt:lpstr>'AGAD|0332-08'!AdjGroupHlth</vt:lpstr>
      <vt:lpstr>'AGAE|0001-00'!AdjGroupHlth</vt:lpstr>
      <vt:lpstr>'AGAE|0330-12'!AdjGroupHlth</vt:lpstr>
      <vt:lpstr>'AGAE|0332-10'!AdjGroupHlth</vt:lpstr>
      <vt:lpstr>'AGAF|0001-00'!AdjGroupHlth</vt:lpstr>
      <vt:lpstr>'AGAF|0330-00'!AdjGroupHlth</vt:lpstr>
      <vt:lpstr>'AGAF|0490-00'!AdjGroupHlth</vt:lpstr>
      <vt:lpstr>'AGAH|0001-00'!AdjGroupHlth</vt:lpstr>
      <vt:lpstr>'AGAH|0332-03'!AdjGroupHlth</vt:lpstr>
      <vt:lpstr>'AGAL|0486-00'!AdjGroupHlth</vt:lpstr>
      <vt:lpstr>'AGAM|0348-00'!AdjGroupHlth</vt:lpstr>
      <vt:lpstr>'AGAM|0403-03'!AdjGroupHlth</vt:lpstr>
      <vt:lpstr>'AGAO|0330-00'!AdjGroupHlth</vt:lpstr>
      <vt:lpstr>'AGAO|0332-11'!AdjGroupHlth</vt:lpstr>
      <vt:lpstr>'AGAO|0332-12'!AdjGroupHlth</vt:lpstr>
      <vt:lpstr>'AGAO|0348-00'!AdjGroupHlth</vt:lpstr>
      <vt:lpstr>'AGAP|0348-00'!AdjGroupHlth</vt:lpstr>
      <vt:lpstr>'AGAP|0402-00'!AdjGroupHlth</vt:lpstr>
      <vt:lpstr>AdjGroupHlth</vt:lpstr>
      <vt:lpstr>'AGAA|0001-00'!AdjGroupSalary</vt:lpstr>
      <vt:lpstr>'AGAA|0125-01'!AdjGroupSalary</vt:lpstr>
      <vt:lpstr>'AGAA|0125-02'!AdjGroupSalary</vt:lpstr>
      <vt:lpstr>'AGAB|0001-00'!AdjGroupSalary</vt:lpstr>
      <vt:lpstr>'AGAB|0332-06'!AdjGroupSalary</vt:lpstr>
      <vt:lpstr>'AGAB|0332-07'!AdjGroupSalary</vt:lpstr>
      <vt:lpstr>'AGAB|0332-09'!AdjGroupSalary</vt:lpstr>
      <vt:lpstr>'AGAC|0001-00'!AdjGroupSalary</vt:lpstr>
      <vt:lpstr>'AGAC|0332-05'!AdjGroupSalary</vt:lpstr>
      <vt:lpstr>'AGAC|0348-00'!AdjGroupSalary</vt:lpstr>
      <vt:lpstr>'AGAD|0001-00'!AdjGroupSalary</vt:lpstr>
      <vt:lpstr>'AGAD|0330-00'!AdjGroupSalary</vt:lpstr>
      <vt:lpstr>'AGAD|0330-13'!AdjGroupSalary</vt:lpstr>
      <vt:lpstr>'AGAD|0332-04'!AdjGroupSalary</vt:lpstr>
      <vt:lpstr>'AGAD|0332-08'!AdjGroupSalary</vt:lpstr>
      <vt:lpstr>'AGAE|0001-00'!AdjGroupSalary</vt:lpstr>
      <vt:lpstr>'AGAE|0330-12'!AdjGroupSalary</vt:lpstr>
      <vt:lpstr>'AGAE|0332-10'!AdjGroupSalary</vt:lpstr>
      <vt:lpstr>'AGAF|0001-00'!AdjGroupSalary</vt:lpstr>
      <vt:lpstr>'AGAF|0330-00'!AdjGroupSalary</vt:lpstr>
      <vt:lpstr>'AGAF|0490-00'!AdjGroupSalary</vt:lpstr>
      <vt:lpstr>'AGAH|0001-00'!AdjGroupSalary</vt:lpstr>
      <vt:lpstr>'AGAH|0332-03'!AdjGroupSalary</vt:lpstr>
      <vt:lpstr>'AGAL|0486-00'!AdjGroupSalary</vt:lpstr>
      <vt:lpstr>'AGAM|0348-00'!AdjGroupSalary</vt:lpstr>
      <vt:lpstr>'AGAM|0403-03'!AdjGroupSalary</vt:lpstr>
      <vt:lpstr>'AGAO|0330-00'!AdjGroupSalary</vt:lpstr>
      <vt:lpstr>'AGAO|0332-11'!AdjGroupSalary</vt:lpstr>
      <vt:lpstr>'AGAO|0332-12'!AdjGroupSalary</vt:lpstr>
      <vt:lpstr>'AGAO|0348-00'!AdjGroupSalary</vt:lpstr>
      <vt:lpstr>'AGAP|0348-00'!AdjGroupSalary</vt:lpstr>
      <vt:lpstr>'AGAP|0402-00'!AdjGroupSalary</vt:lpstr>
      <vt:lpstr>AdjGroupSalary</vt:lpstr>
      <vt:lpstr>'AGAA|0001-00'!AdjGroupVB</vt:lpstr>
      <vt:lpstr>'AGAA|0125-01'!AdjGroupVB</vt:lpstr>
      <vt:lpstr>'AGAA|0125-02'!AdjGroupVB</vt:lpstr>
      <vt:lpstr>'AGAB|0001-00'!AdjGroupVB</vt:lpstr>
      <vt:lpstr>'AGAB|0332-06'!AdjGroupVB</vt:lpstr>
      <vt:lpstr>'AGAB|0332-07'!AdjGroupVB</vt:lpstr>
      <vt:lpstr>'AGAB|0332-09'!AdjGroupVB</vt:lpstr>
      <vt:lpstr>'AGAC|0001-00'!AdjGroupVB</vt:lpstr>
      <vt:lpstr>'AGAC|0332-05'!AdjGroupVB</vt:lpstr>
      <vt:lpstr>'AGAC|0348-00'!AdjGroupVB</vt:lpstr>
      <vt:lpstr>'AGAD|0001-00'!AdjGroupVB</vt:lpstr>
      <vt:lpstr>'AGAD|0330-00'!AdjGroupVB</vt:lpstr>
      <vt:lpstr>'AGAD|0330-13'!AdjGroupVB</vt:lpstr>
      <vt:lpstr>'AGAD|0332-04'!AdjGroupVB</vt:lpstr>
      <vt:lpstr>'AGAD|0332-08'!AdjGroupVB</vt:lpstr>
      <vt:lpstr>'AGAE|0001-00'!AdjGroupVB</vt:lpstr>
      <vt:lpstr>'AGAE|0330-12'!AdjGroupVB</vt:lpstr>
      <vt:lpstr>'AGAE|0332-10'!AdjGroupVB</vt:lpstr>
      <vt:lpstr>'AGAF|0001-00'!AdjGroupVB</vt:lpstr>
      <vt:lpstr>'AGAF|0330-00'!AdjGroupVB</vt:lpstr>
      <vt:lpstr>'AGAF|0490-00'!AdjGroupVB</vt:lpstr>
      <vt:lpstr>'AGAH|0001-00'!AdjGroupVB</vt:lpstr>
      <vt:lpstr>'AGAH|0332-03'!AdjGroupVB</vt:lpstr>
      <vt:lpstr>'AGAL|0486-00'!AdjGroupVB</vt:lpstr>
      <vt:lpstr>'AGAM|0348-00'!AdjGroupVB</vt:lpstr>
      <vt:lpstr>'AGAM|0403-03'!AdjGroupVB</vt:lpstr>
      <vt:lpstr>'AGAO|0330-00'!AdjGroupVB</vt:lpstr>
      <vt:lpstr>'AGAO|0332-11'!AdjGroupVB</vt:lpstr>
      <vt:lpstr>'AGAO|0332-12'!AdjGroupVB</vt:lpstr>
      <vt:lpstr>'AGAO|0348-00'!AdjGroupVB</vt:lpstr>
      <vt:lpstr>'AGAP|0348-00'!AdjGroupVB</vt:lpstr>
      <vt:lpstr>'AGAP|0402-00'!AdjGroupVB</vt:lpstr>
      <vt:lpstr>AdjGroupVB</vt:lpstr>
      <vt:lpstr>'AGAA|0001-00'!AdjGroupVBBY</vt:lpstr>
      <vt:lpstr>'AGAA|0125-01'!AdjGroupVBBY</vt:lpstr>
      <vt:lpstr>'AGAA|0125-02'!AdjGroupVBBY</vt:lpstr>
      <vt:lpstr>'AGAB|0001-00'!AdjGroupVBBY</vt:lpstr>
      <vt:lpstr>'AGAB|0332-06'!AdjGroupVBBY</vt:lpstr>
      <vt:lpstr>'AGAB|0332-07'!AdjGroupVBBY</vt:lpstr>
      <vt:lpstr>'AGAB|0332-09'!AdjGroupVBBY</vt:lpstr>
      <vt:lpstr>'AGAC|0001-00'!AdjGroupVBBY</vt:lpstr>
      <vt:lpstr>'AGAC|0332-05'!AdjGroupVBBY</vt:lpstr>
      <vt:lpstr>'AGAC|0348-00'!AdjGroupVBBY</vt:lpstr>
      <vt:lpstr>'AGAD|0001-00'!AdjGroupVBBY</vt:lpstr>
      <vt:lpstr>'AGAD|0330-00'!AdjGroupVBBY</vt:lpstr>
      <vt:lpstr>'AGAD|0330-13'!AdjGroupVBBY</vt:lpstr>
      <vt:lpstr>'AGAD|0332-04'!AdjGroupVBBY</vt:lpstr>
      <vt:lpstr>'AGAD|0332-08'!AdjGroupVBBY</vt:lpstr>
      <vt:lpstr>'AGAE|0001-00'!AdjGroupVBBY</vt:lpstr>
      <vt:lpstr>'AGAE|0330-12'!AdjGroupVBBY</vt:lpstr>
      <vt:lpstr>'AGAE|0332-10'!AdjGroupVBBY</vt:lpstr>
      <vt:lpstr>'AGAF|0001-00'!AdjGroupVBBY</vt:lpstr>
      <vt:lpstr>'AGAF|0330-00'!AdjGroupVBBY</vt:lpstr>
      <vt:lpstr>'AGAF|0490-00'!AdjGroupVBBY</vt:lpstr>
      <vt:lpstr>'AGAH|0001-00'!AdjGroupVBBY</vt:lpstr>
      <vt:lpstr>'AGAH|0332-03'!AdjGroupVBBY</vt:lpstr>
      <vt:lpstr>'AGAL|0486-00'!AdjGroupVBBY</vt:lpstr>
      <vt:lpstr>'AGAM|0348-00'!AdjGroupVBBY</vt:lpstr>
      <vt:lpstr>'AGAM|0403-03'!AdjGroupVBBY</vt:lpstr>
      <vt:lpstr>'AGAO|0330-00'!AdjGroupVBBY</vt:lpstr>
      <vt:lpstr>'AGAO|0332-11'!AdjGroupVBBY</vt:lpstr>
      <vt:lpstr>'AGAO|0332-12'!AdjGroupVBBY</vt:lpstr>
      <vt:lpstr>'AGAO|0348-00'!AdjGroupVBBY</vt:lpstr>
      <vt:lpstr>'AGAP|0348-00'!AdjGroupVBBY</vt:lpstr>
      <vt:lpstr>'AGAP|0402-00'!AdjGroupVBBY</vt:lpstr>
      <vt:lpstr>AdjGroupVBBY</vt:lpstr>
      <vt:lpstr>'AGAA|0001-00'!AdjPermHlth</vt:lpstr>
      <vt:lpstr>'AGAA|0125-01'!AdjPermHlth</vt:lpstr>
      <vt:lpstr>'AGAA|0125-02'!AdjPermHlth</vt:lpstr>
      <vt:lpstr>'AGAB|0001-00'!AdjPermHlth</vt:lpstr>
      <vt:lpstr>'AGAB|0332-06'!AdjPermHlth</vt:lpstr>
      <vt:lpstr>'AGAB|0332-07'!AdjPermHlth</vt:lpstr>
      <vt:lpstr>'AGAB|0332-09'!AdjPermHlth</vt:lpstr>
      <vt:lpstr>'AGAC|0001-00'!AdjPermHlth</vt:lpstr>
      <vt:lpstr>'AGAC|0332-05'!AdjPermHlth</vt:lpstr>
      <vt:lpstr>'AGAC|0348-00'!AdjPermHlth</vt:lpstr>
      <vt:lpstr>'AGAD|0001-00'!AdjPermHlth</vt:lpstr>
      <vt:lpstr>'AGAD|0330-00'!AdjPermHlth</vt:lpstr>
      <vt:lpstr>'AGAD|0330-13'!AdjPermHlth</vt:lpstr>
      <vt:lpstr>'AGAD|0332-04'!AdjPermHlth</vt:lpstr>
      <vt:lpstr>'AGAD|0332-08'!AdjPermHlth</vt:lpstr>
      <vt:lpstr>'AGAE|0001-00'!AdjPermHlth</vt:lpstr>
      <vt:lpstr>'AGAE|0330-12'!AdjPermHlth</vt:lpstr>
      <vt:lpstr>'AGAE|0332-10'!AdjPermHlth</vt:lpstr>
      <vt:lpstr>'AGAF|0001-00'!AdjPermHlth</vt:lpstr>
      <vt:lpstr>'AGAF|0330-00'!AdjPermHlth</vt:lpstr>
      <vt:lpstr>'AGAF|0490-00'!AdjPermHlth</vt:lpstr>
      <vt:lpstr>'AGAH|0001-00'!AdjPermHlth</vt:lpstr>
      <vt:lpstr>'AGAH|0332-03'!AdjPermHlth</vt:lpstr>
      <vt:lpstr>'AGAL|0486-00'!AdjPermHlth</vt:lpstr>
      <vt:lpstr>'AGAM|0348-00'!AdjPermHlth</vt:lpstr>
      <vt:lpstr>'AGAM|0403-03'!AdjPermHlth</vt:lpstr>
      <vt:lpstr>'AGAO|0330-00'!AdjPermHlth</vt:lpstr>
      <vt:lpstr>'AGAO|0332-11'!AdjPermHlth</vt:lpstr>
      <vt:lpstr>'AGAO|0332-12'!AdjPermHlth</vt:lpstr>
      <vt:lpstr>'AGAO|0348-00'!AdjPermHlth</vt:lpstr>
      <vt:lpstr>'AGAP|0348-00'!AdjPermHlth</vt:lpstr>
      <vt:lpstr>'AGAP|0402-00'!AdjPermHlth</vt:lpstr>
      <vt:lpstr>AdjPermHlth</vt:lpstr>
      <vt:lpstr>'AGAA|0001-00'!AdjPermHlthBY</vt:lpstr>
      <vt:lpstr>'AGAA|0125-01'!AdjPermHlthBY</vt:lpstr>
      <vt:lpstr>'AGAA|0125-02'!AdjPermHlthBY</vt:lpstr>
      <vt:lpstr>'AGAB|0001-00'!AdjPermHlthBY</vt:lpstr>
      <vt:lpstr>'AGAB|0332-06'!AdjPermHlthBY</vt:lpstr>
      <vt:lpstr>'AGAB|0332-07'!AdjPermHlthBY</vt:lpstr>
      <vt:lpstr>'AGAB|0332-09'!AdjPermHlthBY</vt:lpstr>
      <vt:lpstr>'AGAC|0001-00'!AdjPermHlthBY</vt:lpstr>
      <vt:lpstr>'AGAC|0332-05'!AdjPermHlthBY</vt:lpstr>
      <vt:lpstr>'AGAC|0348-00'!AdjPermHlthBY</vt:lpstr>
      <vt:lpstr>'AGAD|0001-00'!AdjPermHlthBY</vt:lpstr>
      <vt:lpstr>'AGAD|0330-00'!AdjPermHlthBY</vt:lpstr>
      <vt:lpstr>'AGAD|0330-13'!AdjPermHlthBY</vt:lpstr>
      <vt:lpstr>'AGAD|0332-04'!AdjPermHlthBY</vt:lpstr>
      <vt:lpstr>'AGAD|0332-08'!AdjPermHlthBY</vt:lpstr>
      <vt:lpstr>'AGAE|0001-00'!AdjPermHlthBY</vt:lpstr>
      <vt:lpstr>'AGAE|0330-12'!AdjPermHlthBY</vt:lpstr>
      <vt:lpstr>'AGAE|0332-10'!AdjPermHlthBY</vt:lpstr>
      <vt:lpstr>'AGAF|0001-00'!AdjPermHlthBY</vt:lpstr>
      <vt:lpstr>'AGAF|0330-00'!AdjPermHlthBY</vt:lpstr>
      <vt:lpstr>'AGAF|0490-00'!AdjPermHlthBY</vt:lpstr>
      <vt:lpstr>'AGAH|0001-00'!AdjPermHlthBY</vt:lpstr>
      <vt:lpstr>'AGAH|0332-03'!AdjPermHlthBY</vt:lpstr>
      <vt:lpstr>'AGAL|0486-00'!AdjPermHlthBY</vt:lpstr>
      <vt:lpstr>'AGAM|0348-00'!AdjPermHlthBY</vt:lpstr>
      <vt:lpstr>'AGAM|0403-03'!AdjPermHlthBY</vt:lpstr>
      <vt:lpstr>'AGAO|0330-00'!AdjPermHlthBY</vt:lpstr>
      <vt:lpstr>'AGAO|0332-11'!AdjPermHlthBY</vt:lpstr>
      <vt:lpstr>'AGAO|0332-12'!AdjPermHlthBY</vt:lpstr>
      <vt:lpstr>'AGAO|0348-00'!AdjPermHlthBY</vt:lpstr>
      <vt:lpstr>'AGAP|0348-00'!AdjPermHlthBY</vt:lpstr>
      <vt:lpstr>'AGAP|0402-00'!AdjPermHlthBY</vt:lpstr>
      <vt:lpstr>AdjPermHlthBY</vt:lpstr>
      <vt:lpstr>'AGAA|0001-00'!AdjPermSalary</vt:lpstr>
      <vt:lpstr>'AGAA|0125-01'!AdjPermSalary</vt:lpstr>
      <vt:lpstr>'AGAA|0125-02'!AdjPermSalary</vt:lpstr>
      <vt:lpstr>'AGAB|0001-00'!AdjPermSalary</vt:lpstr>
      <vt:lpstr>'AGAB|0332-06'!AdjPermSalary</vt:lpstr>
      <vt:lpstr>'AGAB|0332-07'!AdjPermSalary</vt:lpstr>
      <vt:lpstr>'AGAB|0332-09'!AdjPermSalary</vt:lpstr>
      <vt:lpstr>'AGAC|0001-00'!AdjPermSalary</vt:lpstr>
      <vt:lpstr>'AGAC|0332-05'!AdjPermSalary</vt:lpstr>
      <vt:lpstr>'AGAC|0348-00'!AdjPermSalary</vt:lpstr>
      <vt:lpstr>'AGAD|0001-00'!AdjPermSalary</vt:lpstr>
      <vt:lpstr>'AGAD|0330-00'!AdjPermSalary</vt:lpstr>
      <vt:lpstr>'AGAD|0330-13'!AdjPermSalary</vt:lpstr>
      <vt:lpstr>'AGAD|0332-04'!AdjPermSalary</vt:lpstr>
      <vt:lpstr>'AGAD|0332-08'!AdjPermSalary</vt:lpstr>
      <vt:lpstr>'AGAE|0001-00'!AdjPermSalary</vt:lpstr>
      <vt:lpstr>'AGAE|0330-12'!AdjPermSalary</vt:lpstr>
      <vt:lpstr>'AGAE|0332-10'!AdjPermSalary</vt:lpstr>
      <vt:lpstr>'AGAF|0001-00'!AdjPermSalary</vt:lpstr>
      <vt:lpstr>'AGAF|0330-00'!AdjPermSalary</vt:lpstr>
      <vt:lpstr>'AGAF|0490-00'!AdjPermSalary</vt:lpstr>
      <vt:lpstr>'AGAH|0001-00'!AdjPermSalary</vt:lpstr>
      <vt:lpstr>'AGAH|0332-03'!AdjPermSalary</vt:lpstr>
      <vt:lpstr>'AGAL|0486-00'!AdjPermSalary</vt:lpstr>
      <vt:lpstr>'AGAM|0348-00'!AdjPermSalary</vt:lpstr>
      <vt:lpstr>'AGAM|0403-03'!AdjPermSalary</vt:lpstr>
      <vt:lpstr>'AGAO|0330-00'!AdjPermSalary</vt:lpstr>
      <vt:lpstr>'AGAO|0332-11'!AdjPermSalary</vt:lpstr>
      <vt:lpstr>'AGAO|0332-12'!AdjPermSalary</vt:lpstr>
      <vt:lpstr>'AGAO|0348-00'!AdjPermSalary</vt:lpstr>
      <vt:lpstr>'AGAP|0348-00'!AdjPermSalary</vt:lpstr>
      <vt:lpstr>'AGAP|0402-00'!AdjPermSalary</vt:lpstr>
      <vt:lpstr>AdjPermSalary</vt:lpstr>
      <vt:lpstr>'AGAA|0001-00'!AdjPermVB</vt:lpstr>
      <vt:lpstr>'AGAA|0125-01'!AdjPermVB</vt:lpstr>
      <vt:lpstr>'AGAA|0125-02'!AdjPermVB</vt:lpstr>
      <vt:lpstr>'AGAB|0001-00'!AdjPermVB</vt:lpstr>
      <vt:lpstr>'AGAB|0332-06'!AdjPermVB</vt:lpstr>
      <vt:lpstr>'AGAB|0332-07'!AdjPermVB</vt:lpstr>
      <vt:lpstr>'AGAB|0332-09'!AdjPermVB</vt:lpstr>
      <vt:lpstr>'AGAC|0001-00'!AdjPermVB</vt:lpstr>
      <vt:lpstr>'AGAC|0332-05'!AdjPermVB</vt:lpstr>
      <vt:lpstr>'AGAC|0348-00'!AdjPermVB</vt:lpstr>
      <vt:lpstr>'AGAD|0001-00'!AdjPermVB</vt:lpstr>
      <vt:lpstr>'AGAD|0330-00'!AdjPermVB</vt:lpstr>
      <vt:lpstr>'AGAD|0330-13'!AdjPermVB</vt:lpstr>
      <vt:lpstr>'AGAD|0332-04'!AdjPermVB</vt:lpstr>
      <vt:lpstr>'AGAD|0332-08'!AdjPermVB</vt:lpstr>
      <vt:lpstr>'AGAE|0001-00'!AdjPermVB</vt:lpstr>
      <vt:lpstr>'AGAE|0330-12'!AdjPermVB</vt:lpstr>
      <vt:lpstr>'AGAE|0332-10'!AdjPermVB</vt:lpstr>
      <vt:lpstr>'AGAF|0001-00'!AdjPermVB</vt:lpstr>
      <vt:lpstr>'AGAF|0330-00'!AdjPermVB</vt:lpstr>
      <vt:lpstr>'AGAF|0490-00'!AdjPermVB</vt:lpstr>
      <vt:lpstr>'AGAH|0001-00'!AdjPermVB</vt:lpstr>
      <vt:lpstr>'AGAH|0332-03'!AdjPermVB</vt:lpstr>
      <vt:lpstr>'AGAL|0486-00'!AdjPermVB</vt:lpstr>
      <vt:lpstr>'AGAM|0348-00'!AdjPermVB</vt:lpstr>
      <vt:lpstr>'AGAM|0403-03'!AdjPermVB</vt:lpstr>
      <vt:lpstr>'AGAO|0330-00'!AdjPermVB</vt:lpstr>
      <vt:lpstr>'AGAO|0332-11'!AdjPermVB</vt:lpstr>
      <vt:lpstr>'AGAO|0332-12'!AdjPermVB</vt:lpstr>
      <vt:lpstr>'AGAO|0348-00'!AdjPermVB</vt:lpstr>
      <vt:lpstr>'AGAP|0348-00'!AdjPermVB</vt:lpstr>
      <vt:lpstr>'AGAP|0402-00'!AdjPermVB</vt:lpstr>
      <vt:lpstr>AdjPermVB</vt:lpstr>
      <vt:lpstr>'AGAA|0001-00'!AdjPermVBBY</vt:lpstr>
      <vt:lpstr>'AGAA|0125-01'!AdjPermVBBY</vt:lpstr>
      <vt:lpstr>'AGAA|0125-02'!AdjPermVBBY</vt:lpstr>
      <vt:lpstr>'AGAB|0001-00'!AdjPermVBBY</vt:lpstr>
      <vt:lpstr>'AGAB|0332-06'!AdjPermVBBY</vt:lpstr>
      <vt:lpstr>'AGAB|0332-07'!AdjPermVBBY</vt:lpstr>
      <vt:lpstr>'AGAB|0332-09'!AdjPermVBBY</vt:lpstr>
      <vt:lpstr>'AGAC|0001-00'!AdjPermVBBY</vt:lpstr>
      <vt:lpstr>'AGAC|0332-05'!AdjPermVBBY</vt:lpstr>
      <vt:lpstr>'AGAC|0348-00'!AdjPermVBBY</vt:lpstr>
      <vt:lpstr>'AGAD|0001-00'!AdjPermVBBY</vt:lpstr>
      <vt:lpstr>'AGAD|0330-00'!AdjPermVBBY</vt:lpstr>
      <vt:lpstr>'AGAD|0330-13'!AdjPermVBBY</vt:lpstr>
      <vt:lpstr>'AGAD|0332-04'!AdjPermVBBY</vt:lpstr>
      <vt:lpstr>'AGAD|0332-08'!AdjPermVBBY</vt:lpstr>
      <vt:lpstr>'AGAE|0001-00'!AdjPermVBBY</vt:lpstr>
      <vt:lpstr>'AGAE|0330-12'!AdjPermVBBY</vt:lpstr>
      <vt:lpstr>'AGAE|0332-10'!AdjPermVBBY</vt:lpstr>
      <vt:lpstr>'AGAF|0001-00'!AdjPermVBBY</vt:lpstr>
      <vt:lpstr>'AGAF|0330-00'!AdjPermVBBY</vt:lpstr>
      <vt:lpstr>'AGAF|0490-00'!AdjPermVBBY</vt:lpstr>
      <vt:lpstr>'AGAH|0001-00'!AdjPermVBBY</vt:lpstr>
      <vt:lpstr>'AGAH|0332-03'!AdjPermVBBY</vt:lpstr>
      <vt:lpstr>'AGAL|0486-00'!AdjPermVBBY</vt:lpstr>
      <vt:lpstr>'AGAM|0348-00'!AdjPermVBBY</vt:lpstr>
      <vt:lpstr>'AGAM|0403-03'!AdjPermVBBY</vt:lpstr>
      <vt:lpstr>'AGAO|0330-00'!AdjPermVBBY</vt:lpstr>
      <vt:lpstr>'AGAO|0332-11'!AdjPermVBBY</vt:lpstr>
      <vt:lpstr>'AGAO|0332-12'!AdjPermVBBY</vt:lpstr>
      <vt:lpstr>'AGAO|0348-00'!AdjPermVBBY</vt:lpstr>
      <vt:lpstr>'AGAP|0348-00'!AdjPermVBBY</vt:lpstr>
      <vt:lpstr>'AGAP|0402-00'!AdjPermVBBY</vt:lpstr>
      <vt:lpstr>AdjPermVBBY</vt:lpstr>
      <vt:lpstr>'AGAA|0001-00'!AdjustedTotal</vt:lpstr>
      <vt:lpstr>'AGAA|0125-01'!AdjustedTotal</vt:lpstr>
      <vt:lpstr>'AGAA|0125-02'!AdjustedTotal</vt:lpstr>
      <vt:lpstr>'AGAB|0001-00'!AdjustedTotal</vt:lpstr>
      <vt:lpstr>'AGAB|0332-06'!AdjustedTotal</vt:lpstr>
      <vt:lpstr>'AGAB|0332-07'!AdjustedTotal</vt:lpstr>
      <vt:lpstr>'AGAB|0332-09'!AdjustedTotal</vt:lpstr>
      <vt:lpstr>'AGAC|0001-00'!AdjustedTotal</vt:lpstr>
      <vt:lpstr>'AGAC|0332-05'!AdjustedTotal</vt:lpstr>
      <vt:lpstr>'AGAC|0348-00'!AdjustedTotal</vt:lpstr>
      <vt:lpstr>'AGAD|0001-00'!AdjustedTotal</vt:lpstr>
      <vt:lpstr>'AGAD|0330-00'!AdjustedTotal</vt:lpstr>
      <vt:lpstr>'AGAD|0330-13'!AdjustedTotal</vt:lpstr>
      <vt:lpstr>'AGAD|0332-04'!AdjustedTotal</vt:lpstr>
      <vt:lpstr>'AGAD|0332-08'!AdjustedTotal</vt:lpstr>
      <vt:lpstr>'AGAE|0001-00'!AdjustedTotal</vt:lpstr>
      <vt:lpstr>'AGAE|0330-12'!AdjustedTotal</vt:lpstr>
      <vt:lpstr>'AGAE|0332-10'!AdjustedTotal</vt:lpstr>
      <vt:lpstr>'AGAF|0001-00'!AdjustedTotal</vt:lpstr>
      <vt:lpstr>'AGAF|0330-00'!AdjustedTotal</vt:lpstr>
      <vt:lpstr>'AGAF|0490-00'!AdjustedTotal</vt:lpstr>
      <vt:lpstr>'AGAH|0001-00'!AdjustedTotal</vt:lpstr>
      <vt:lpstr>'AGAH|0332-03'!AdjustedTotal</vt:lpstr>
      <vt:lpstr>'AGAL|0486-00'!AdjustedTotal</vt:lpstr>
      <vt:lpstr>'AGAM|0348-00'!AdjustedTotal</vt:lpstr>
      <vt:lpstr>'AGAM|0403-03'!AdjustedTotal</vt:lpstr>
      <vt:lpstr>'AGAO|0330-00'!AdjustedTotal</vt:lpstr>
      <vt:lpstr>'AGAO|0332-11'!AdjustedTotal</vt:lpstr>
      <vt:lpstr>'AGAO|0332-12'!AdjustedTotal</vt:lpstr>
      <vt:lpstr>'AGAO|0348-00'!AdjustedTotal</vt:lpstr>
      <vt:lpstr>'AGAP|0348-00'!AdjustedTotal</vt:lpstr>
      <vt:lpstr>'AGAP|0402-00'!AdjustedTotal</vt:lpstr>
      <vt:lpstr>AdjustedTotal</vt:lpstr>
      <vt:lpstr>AGAA000100col_1_27TH_PP</vt:lpstr>
      <vt:lpstr>AGAA000100col_DHR</vt:lpstr>
      <vt:lpstr>AGAA000100col_DHR_BY</vt:lpstr>
      <vt:lpstr>AGAA000100col_DHR_CHG</vt:lpstr>
      <vt:lpstr>AGAA000100col_FTI_SALARY_ELECT</vt:lpstr>
      <vt:lpstr>AGAA000100col_FTI_SALARY_PERM</vt:lpstr>
      <vt:lpstr>AGAA000100col_FTI_SALARY_SSDI</vt:lpstr>
      <vt:lpstr>AGAA000100col_Group_Ben</vt:lpstr>
      <vt:lpstr>AGAA000100col_Group_Salary</vt:lpstr>
      <vt:lpstr>AGAA000100col_HEALTH_ELECT</vt:lpstr>
      <vt:lpstr>AGAA000100col_HEALTH_ELECT_BY</vt:lpstr>
      <vt:lpstr>AGAA000100col_HEALTH_ELECT_CHG</vt:lpstr>
      <vt:lpstr>AGAA000100col_HEALTH_PERM</vt:lpstr>
      <vt:lpstr>AGAA000100col_HEALTH_PERM_BY</vt:lpstr>
      <vt:lpstr>AGAA000100col_HEALTH_PERM_CHG</vt:lpstr>
      <vt:lpstr>AGAA000100col_INC_FTI</vt:lpstr>
      <vt:lpstr>AGAA000100col_LIFE_INS</vt:lpstr>
      <vt:lpstr>AGAA000100col_LIFE_INS_BY</vt:lpstr>
      <vt:lpstr>AGAA000100col_LIFE_INS_CHG</vt:lpstr>
      <vt:lpstr>AGAA000100col_RETIREMENT</vt:lpstr>
      <vt:lpstr>AGAA000100col_RETIREMENT_BY</vt:lpstr>
      <vt:lpstr>AGAA000100col_RETIREMENT_CHG</vt:lpstr>
      <vt:lpstr>AGAA000100col_ROWS_PER_PCN</vt:lpstr>
      <vt:lpstr>AGAA000100col_SICK</vt:lpstr>
      <vt:lpstr>AGAA000100col_SICK_BY</vt:lpstr>
      <vt:lpstr>AGAA000100col_SICK_CHG</vt:lpstr>
      <vt:lpstr>AGAA000100col_SSDI</vt:lpstr>
      <vt:lpstr>AGAA000100col_SSDI_BY</vt:lpstr>
      <vt:lpstr>AGAA000100col_SSDI_CHG</vt:lpstr>
      <vt:lpstr>AGAA000100col_SSHI</vt:lpstr>
      <vt:lpstr>AGAA000100col_SSHI_BY</vt:lpstr>
      <vt:lpstr>AGAA000100col_SSHI_CHGv</vt:lpstr>
      <vt:lpstr>AGAA000100col_TOT_VB_ELECT</vt:lpstr>
      <vt:lpstr>AGAA000100col_TOT_VB_ELECT_BY</vt:lpstr>
      <vt:lpstr>AGAA000100col_TOT_VB_ELECT_CHG</vt:lpstr>
      <vt:lpstr>AGAA000100col_TOT_VB_PERM</vt:lpstr>
      <vt:lpstr>AGAA000100col_TOT_VB_PERM_BY</vt:lpstr>
      <vt:lpstr>AGAA000100col_TOT_VB_PERM_CHG</vt:lpstr>
      <vt:lpstr>AGAA000100col_TOTAL_ELECT_PCN_FTI</vt:lpstr>
      <vt:lpstr>AGAA000100col_TOTAL_ELECT_PCN_FTI_ALT</vt:lpstr>
      <vt:lpstr>AGAA000100col_TOTAL_PERM_PCN_FTI</vt:lpstr>
      <vt:lpstr>AGAA000100col_UNEMP_INS</vt:lpstr>
      <vt:lpstr>AGAA000100col_UNEMP_INS_BY</vt:lpstr>
      <vt:lpstr>AGAA000100col_UNEMP_INS_CHG</vt:lpstr>
      <vt:lpstr>AGAA000100col_WORKERS_COMP</vt:lpstr>
      <vt:lpstr>AGAA000100col_WORKERS_COMP_BY</vt:lpstr>
      <vt:lpstr>AGAA000100col_WORKERS_COMP_CHG</vt:lpstr>
      <vt:lpstr>AGAA012501col_1_27TH_PP</vt:lpstr>
      <vt:lpstr>AGAA012501col_DHR</vt:lpstr>
      <vt:lpstr>AGAA012501col_DHR_BY</vt:lpstr>
      <vt:lpstr>AGAA012501col_DHR_CHG</vt:lpstr>
      <vt:lpstr>AGAA012501col_FTI_SALARY_ELECT</vt:lpstr>
      <vt:lpstr>AGAA012501col_FTI_SALARY_PERM</vt:lpstr>
      <vt:lpstr>AGAA012501col_FTI_SALARY_SSDI</vt:lpstr>
      <vt:lpstr>AGAA012501col_Group_Ben</vt:lpstr>
      <vt:lpstr>AGAA012501col_Group_Salary</vt:lpstr>
      <vt:lpstr>AGAA012501col_HEALTH_ELECT</vt:lpstr>
      <vt:lpstr>AGAA012501col_HEALTH_ELECT_BY</vt:lpstr>
      <vt:lpstr>AGAA012501col_HEALTH_ELECT_CHG</vt:lpstr>
      <vt:lpstr>AGAA012501col_HEALTH_PERM</vt:lpstr>
      <vt:lpstr>AGAA012501col_HEALTH_PERM_BY</vt:lpstr>
      <vt:lpstr>AGAA012501col_HEALTH_PERM_CHG</vt:lpstr>
      <vt:lpstr>AGAA012501col_INC_FTI</vt:lpstr>
      <vt:lpstr>AGAA012501col_LIFE_INS</vt:lpstr>
      <vt:lpstr>AGAA012501col_LIFE_INS_BY</vt:lpstr>
      <vt:lpstr>AGAA012501col_LIFE_INS_CHG</vt:lpstr>
      <vt:lpstr>AGAA012501col_RETIREMENT</vt:lpstr>
      <vt:lpstr>AGAA012501col_RETIREMENT_BY</vt:lpstr>
      <vt:lpstr>AGAA012501col_RETIREMENT_CHG</vt:lpstr>
      <vt:lpstr>AGAA012501col_ROWS_PER_PCN</vt:lpstr>
      <vt:lpstr>AGAA012501col_SICK</vt:lpstr>
      <vt:lpstr>AGAA012501col_SICK_BY</vt:lpstr>
      <vt:lpstr>AGAA012501col_SICK_CHG</vt:lpstr>
      <vt:lpstr>AGAA012501col_SSDI</vt:lpstr>
      <vt:lpstr>AGAA012501col_SSDI_BY</vt:lpstr>
      <vt:lpstr>AGAA012501col_SSDI_CHG</vt:lpstr>
      <vt:lpstr>AGAA012501col_SSHI</vt:lpstr>
      <vt:lpstr>AGAA012501col_SSHI_BY</vt:lpstr>
      <vt:lpstr>AGAA012501col_SSHI_CHGv</vt:lpstr>
      <vt:lpstr>AGAA012501col_TOT_VB_ELECT</vt:lpstr>
      <vt:lpstr>AGAA012501col_TOT_VB_ELECT_BY</vt:lpstr>
      <vt:lpstr>AGAA012501col_TOT_VB_ELECT_CHG</vt:lpstr>
      <vt:lpstr>AGAA012501col_TOT_VB_PERM</vt:lpstr>
      <vt:lpstr>AGAA012501col_TOT_VB_PERM_BY</vt:lpstr>
      <vt:lpstr>AGAA012501col_TOT_VB_PERM_CHG</vt:lpstr>
      <vt:lpstr>AGAA012501col_TOTAL_ELECT_PCN_FTI</vt:lpstr>
      <vt:lpstr>AGAA012501col_TOTAL_ELECT_PCN_FTI_ALT</vt:lpstr>
      <vt:lpstr>AGAA012501col_TOTAL_PERM_PCN_FTI</vt:lpstr>
      <vt:lpstr>AGAA012501col_UNEMP_INS</vt:lpstr>
      <vt:lpstr>AGAA012501col_UNEMP_INS_BY</vt:lpstr>
      <vt:lpstr>AGAA012501col_UNEMP_INS_CHG</vt:lpstr>
      <vt:lpstr>AGAA012501col_WORKERS_COMP</vt:lpstr>
      <vt:lpstr>AGAA012501col_WORKERS_COMP_BY</vt:lpstr>
      <vt:lpstr>AGAA012501col_WORKERS_COMP_CHG</vt:lpstr>
      <vt:lpstr>AGAA012502col_1_27TH_PP</vt:lpstr>
      <vt:lpstr>AGAA012502col_DHR</vt:lpstr>
      <vt:lpstr>AGAA012502col_DHR_BY</vt:lpstr>
      <vt:lpstr>AGAA012502col_DHR_CHG</vt:lpstr>
      <vt:lpstr>AGAA012502col_FTI_SALARY_ELECT</vt:lpstr>
      <vt:lpstr>AGAA012502col_FTI_SALARY_PERM</vt:lpstr>
      <vt:lpstr>AGAA012502col_FTI_SALARY_SSDI</vt:lpstr>
      <vt:lpstr>AGAA012502col_Group_Ben</vt:lpstr>
      <vt:lpstr>AGAA012502col_Group_Salary</vt:lpstr>
      <vt:lpstr>AGAA012502col_HEALTH_ELECT</vt:lpstr>
      <vt:lpstr>AGAA012502col_HEALTH_ELECT_BY</vt:lpstr>
      <vt:lpstr>AGAA012502col_HEALTH_ELECT_CHG</vt:lpstr>
      <vt:lpstr>AGAA012502col_HEALTH_PERM</vt:lpstr>
      <vt:lpstr>AGAA012502col_HEALTH_PERM_BY</vt:lpstr>
      <vt:lpstr>AGAA012502col_HEALTH_PERM_CHG</vt:lpstr>
      <vt:lpstr>AGAA012502col_INC_FTI</vt:lpstr>
      <vt:lpstr>AGAA012502col_LIFE_INS</vt:lpstr>
      <vt:lpstr>AGAA012502col_LIFE_INS_BY</vt:lpstr>
      <vt:lpstr>AGAA012502col_LIFE_INS_CHG</vt:lpstr>
      <vt:lpstr>AGAA012502col_RETIREMENT</vt:lpstr>
      <vt:lpstr>AGAA012502col_RETIREMENT_BY</vt:lpstr>
      <vt:lpstr>AGAA012502col_RETIREMENT_CHG</vt:lpstr>
      <vt:lpstr>AGAA012502col_ROWS_PER_PCN</vt:lpstr>
      <vt:lpstr>AGAA012502col_SICK</vt:lpstr>
      <vt:lpstr>AGAA012502col_SICK_BY</vt:lpstr>
      <vt:lpstr>AGAA012502col_SICK_CHG</vt:lpstr>
      <vt:lpstr>AGAA012502col_SSDI</vt:lpstr>
      <vt:lpstr>AGAA012502col_SSDI_BY</vt:lpstr>
      <vt:lpstr>AGAA012502col_SSDI_CHG</vt:lpstr>
      <vt:lpstr>AGAA012502col_SSHI</vt:lpstr>
      <vt:lpstr>AGAA012502col_SSHI_BY</vt:lpstr>
      <vt:lpstr>AGAA012502col_SSHI_CHGv</vt:lpstr>
      <vt:lpstr>AGAA012502col_TOT_VB_ELECT</vt:lpstr>
      <vt:lpstr>AGAA012502col_TOT_VB_ELECT_BY</vt:lpstr>
      <vt:lpstr>AGAA012502col_TOT_VB_ELECT_CHG</vt:lpstr>
      <vt:lpstr>AGAA012502col_TOT_VB_PERM</vt:lpstr>
      <vt:lpstr>AGAA012502col_TOT_VB_PERM_BY</vt:lpstr>
      <vt:lpstr>AGAA012502col_TOT_VB_PERM_CHG</vt:lpstr>
      <vt:lpstr>AGAA012502col_TOTAL_ELECT_PCN_FTI</vt:lpstr>
      <vt:lpstr>AGAA012502col_TOTAL_ELECT_PCN_FTI_ALT</vt:lpstr>
      <vt:lpstr>AGAA012502col_TOTAL_PERM_PCN_FTI</vt:lpstr>
      <vt:lpstr>AGAA012502col_UNEMP_INS</vt:lpstr>
      <vt:lpstr>AGAA012502col_UNEMP_INS_BY</vt:lpstr>
      <vt:lpstr>AGAA012502col_UNEMP_INS_CHG</vt:lpstr>
      <vt:lpstr>AGAA012502col_WORKERS_COMP</vt:lpstr>
      <vt:lpstr>AGAA012502col_WORKERS_COMP_BY</vt:lpstr>
      <vt:lpstr>AGAA012502col_WORKERS_COMP_CHG</vt:lpstr>
      <vt:lpstr>AGAB000100col_1_27TH_PP</vt:lpstr>
      <vt:lpstr>AGAB000100col_DHR</vt:lpstr>
      <vt:lpstr>AGAB000100col_DHR_BY</vt:lpstr>
      <vt:lpstr>AGAB000100col_DHR_CHG</vt:lpstr>
      <vt:lpstr>AGAB000100col_FTI_SALARY_ELECT</vt:lpstr>
      <vt:lpstr>AGAB000100col_FTI_SALARY_PERM</vt:lpstr>
      <vt:lpstr>AGAB000100col_FTI_SALARY_SSDI</vt:lpstr>
      <vt:lpstr>AGAB000100col_Group_Ben</vt:lpstr>
      <vt:lpstr>AGAB000100col_Group_Salary</vt:lpstr>
      <vt:lpstr>AGAB000100col_HEALTH_ELECT</vt:lpstr>
      <vt:lpstr>AGAB000100col_HEALTH_ELECT_BY</vt:lpstr>
      <vt:lpstr>AGAB000100col_HEALTH_ELECT_CHG</vt:lpstr>
      <vt:lpstr>AGAB000100col_HEALTH_PERM</vt:lpstr>
      <vt:lpstr>AGAB000100col_HEALTH_PERM_BY</vt:lpstr>
      <vt:lpstr>AGAB000100col_HEALTH_PERM_CHG</vt:lpstr>
      <vt:lpstr>AGAB000100col_INC_FTI</vt:lpstr>
      <vt:lpstr>AGAB000100col_LIFE_INS</vt:lpstr>
      <vt:lpstr>AGAB000100col_LIFE_INS_BY</vt:lpstr>
      <vt:lpstr>AGAB000100col_LIFE_INS_CHG</vt:lpstr>
      <vt:lpstr>AGAB000100col_RETIREMENT</vt:lpstr>
      <vt:lpstr>AGAB000100col_RETIREMENT_BY</vt:lpstr>
      <vt:lpstr>AGAB000100col_RETIREMENT_CHG</vt:lpstr>
      <vt:lpstr>AGAB000100col_ROWS_PER_PCN</vt:lpstr>
      <vt:lpstr>AGAB000100col_SICK</vt:lpstr>
      <vt:lpstr>AGAB000100col_SICK_BY</vt:lpstr>
      <vt:lpstr>AGAB000100col_SICK_CHG</vt:lpstr>
      <vt:lpstr>AGAB000100col_SSDI</vt:lpstr>
      <vt:lpstr>AGAB000100col_SSDI_BY</vt:lpstr>
      <vt:lpstr>AGAB000100col_SSDI_CHG</vt:lpstr>
      <vt:lpstr>AGAB000100col_SSHI</vt:lpstr>
      <vt:lpstr>AGAB000100col_SSHI_BY</vt:lpstr>
      <vt:lpstr>AGAB000100col_SSHI_CHGv</vt:lpstr>
      <vt:lpstr>AGAB000100col_TOT_VB_ELECT</vt:lpstr>
      <vt:lpstr>AGAB000100col_TOT_VB_ELECT_BY</vt:lpstr>
      <vt:lpstr>AGAB000100col_TOT_VB_ELECT_CHG</vt:lpstr>
      <vt:lpstr>AGAB000100col_TOT_VB_PERM</vt:lpstr>
      <vt:lpstr>AGAB000100col_TOT_VB_PERM_BY</vt:lpstr>
      <vt:lpstr>AGAB000100col_TOT_VB_PERM_CHG</vt:lpstr>
      <vt:lpstr>AGAB000100col_TOTAL_ELECT_PCN_FTI</vt:lpstr>
      <vt:lpstr>AGAB000100col_TOTAL_ELECT_PCN_FTI_ALT</vt:lpstr>
      <vt:lpstr>AGAB000100col_TOTAL_PERM_PCN_FTI</vt:lpstr>
      <vt:lpstr>AGAB000100col_UNEMP_INS</vt:lpstr>
      <vt:lpstr>AGAB000100col_UNEMP_INS_BY</vt:lpstr>
      <vt:lpstr>AGAB000100col_UNEMP_INS_CHG</vt:lpstr>
      <vt:lpstr>AGAB000100col_WORKERS_COMP</vt:lpstr>
      <vt:lpstr>AGAB000100col_WORKERS_COMP_BY</vt:lpstr>
      <vt:lpstr>AGAB000100col_WORKERS_COMP_CHG</vt:lpstr>
      <vt:lpstr>AGAB033206col_1_27TH_PP</vt:lpstr>
      <vt:lpstr>AGAB033206col_DHR</vt:lpstr>
      <vt:lpstr>AGAB033206col_DHR_BY</vt:lpstr>
      <vt:lpstr>AGAB033206col_DHR_CHG</vt:lpstr>
      <vt:lpstr>AGAB033206col_FTI_SALARY_ELECT</vt:lpstr>
      <vt:lpstr>AGAB033206col_FTI_SALARY_PERM</vt:lpstr>
      <vt:lpstr>AGAB033206col_FTI_SALARY_SSDI</vt:lpstr>
      <vt:lpstr>AGAB033206col_Group_Ben</vt:lpstr>
      <vt:lpstr>AGAB033206col_Group_Salary</vt:lpstr>
      <vt:lpstr>AGAB033206col_HEALTH_ELECT</vt:lpstr>
      <vt:lpstr>AGAB033206col_HEALTH_ELECT_BY</vt:lpstr>
      <vt:lpstr>AGAB033206col_HEALTH_ELECT_CHG</vt:lpstr>
      <vt:lpstr>AGAB033206col_HEALTH_PERM</vt:lpstr>
      <vt:lpstr>AGAB033206col_HEALTH_PERM_BY</vt:lpstr>
      <vt:lpstr>AGAB033206col_HEALTH_PERM_CHG</vt:lpstr>
      <vt:lpstr>AGAB033206col_INC_FTI</vt:lpstr>
      <vt:lpstr>AGAB033206col_LIFE_INS</vt:lpstr>
      <vt:lpstr>AGAB033206col_LIFE_INS_BY</vt:lpstr>
      <vt:lpstr>AGAB033206col_LIFE_INS_CHG</vt:lpstr>
      <vt:lpstr>AGAB033206col_RETIREMENT</vt:lpstr>
      <vt:lpstr>AGAB033206col_RETIREMENT_BY</vt:lpstr>
      <vt:lpstr>AGAB033206col_RETIREMENT_CHG</vt:lpstr>
      <vt:lpstr>AGAB033206col_ROWS_PER_PCN</vt:lpstr>
      <vt:lpstr>AGAB033206col_SICK</vt:lpstr>
      <vt:lpstr>AGAB033206col_SICK_BY</vt:lpstr>
      <vt:lpstr>AGAB033206col_SICK_CHG</vt:lpstr>
      <vt:lpstr>AGAB033206col_SSDI</vt:lpstr>
      <vt:lpstr>AGAB033206col_SSDI_BY</vt:lpstr>
      <vt:lpstr>AGAB033206col_SSDI_CHG</vt:lpstr>
      <vt:lpstr>AGAB033206col_SSHI</vt:lpstr>
      <vt:lpstr>AGAB033206col_SSHI_BY</vt:lpstr>
      <vt:lpstr>AGAB033206col_SSHI_CHGv</vt:lpstr>
      <vt:lpstr>AGAB033206col_TOT_VB_ELECT</vt:lpstr>
      <vt:lpstr>AGAB033206col_TOT_VB_ELECT_BY</vt:lpstr>
      <vt:lpstr>AGAB033206col_TOT_VB_ELECT_CHG</vt:lpstr>
      <vt:lpstr>AGAB033206col_TOT_VB_PERM</vt:lpstr>
      <vt:lpstr>AGAB033206col_TOT_VB_PERM_BY</vt:lpstr>
      <vt:lpstr>AGAB033206col_TOT_VB_PERM_CHG</vt:lpstr>
      <vt:lpstr>AGAB033206col_TOTAL_ELECT_PCN_FTI</vt:lpstr>
      <vt:lpstr>AGAB033206col_TOTAL_ELECT_PCN_FTI_ALT</vt:lpstr>
      <vt:lpstr>AGAB033206col_TOTAL_PERM_PCN_FTI</vt:lpstr>
      <vt:lpstr>AGAB033206col_UNEMP_INS</vt:lpstr>
      <vt:lpstr>AGAB033206col_UNEMP_INS_BY</vt:lpstr>
      <vt:lpstr>AGAB033206col_UNEMP_INS_CHG</vt:lpstr>
      <vt:lpstr>AGAB033206col_WORKERS_COMP</vt:lpstr>
      <vt:lpstr>AGAB033206col_WORKERS_COMP_BY</vt:lpstr>
      <vt:lpstr>AGAB033206col_WORKERS_COMP_CHG</vt:lpstr>
      <vt:lpstr>AGAB033207col_1_27TH_PP</vt:lpstr>
      <vt:lpstr>AGAB033207col_DHR</vt:lpstr>
      <vt:lpstr>AGAB033207col_DHR_BY</vt:lpstr>
      <vt:lpstr>AGAB033207col_DHR_CHG</vt:lpstr>
      <vt:lpstr>AGAB033207col_FTI_SALARY_ELECT</vt:lpstr>
      <vt:lpstr>AGAB033207col_FTI_SALARY_PERM</vt:lpstr>
      <vt:lpstr>AGAB033207col_FTI_SALARY_SSDI</vt:lpstr>
      <vt:lpstr>AGAB033207col_Group_Ben</vt:lpstr>
      <vt:lpstr>AGAB033207col_Group_Salary</vt:lpstr>
      <vt:lpstr>AGAB033207col_HEALTH_ELECT</vt:lpstr>
      <vt:lpstr>AGAB033207col_HEALTH_ELECT_BY</vt:lpstr>
      <vt:lpstr>AGAB033207col_HEALTH_ELECT_CHG</vt:lpstr>
      <vt:lpstr>AGAB033207col_HEALTH_PERM</vt:lpstr>
      <vt:lpstr>AGAB033207col_HEALTH_PERM_BY</vt:lpstr>
      <vt:lpstr>AGAB033207col_HEALTH_PERM_CHG</vt:lpstr>
      <vt:lpstr>AGAB033207col_INC_FTI</vt:lpstr>
      <vt:lpstr>AGAB033207col_LIFE_INS</vt:lpstr>
      <vt:lpstr>AGAB033207col_LIFE_INS_BY</vt:lpstr>
      <vt:lpstr>AGAB033207col_LIFE_INS_CHG</vt:lpstr>
      <vt:lpstr>AGAB033207col_RETIREMENT</vt:lpstr>
      <vt:lpstr>AGAB033207col_RETIREMENT_BY</vt:lpstr>
      <vt:lpstr>AGAB033207col_RETIREMENT_CHG</vt:lpstr>
      <vt:lpstr>AGAB033207col_ROWS_PER_PCN</vt:lpstr>
      <vt:lpstr>AGAB033207col_SICK</vt:lpstr>
      <vt:lpstr>AGAB033207col_SICK_BY</vt:lpstr>
      <vt:lpstr>AGAB033207col_SICK_CHG</vt:lpstr>
      <vt:lpstr>AGAB033207col_SSDI</vt:lpstr>
      <vt:lpstr>AGAB033207col_SSDI_BY</vt:lpstr>
      <vt:lpstr>AGAB033207col_SSDI_CHG</vt:lpstr>
      <vt:lpstr>AGAB033207col_SSHI</vt:lpstr>
      <vt:lpstr>AGAB033207col_SSHI_BY</vt:lpstr>
      <vt:lpstr>AGAB033207col_SSHI_CHGv</vt:lpstr>
      <vt:lpstr>AGAB033207col_TOT_VB_ELECT</vt:lpstr>
      <vt:lpstr>AGAB033207col_TOT_VB_ELECT_BY</vt:lpstr>
      <vt:lpstr>AGAB033207col_TOT_VB_ELECT_CHG</vt:lpstr>
      <vt:lpstr>AGAB033207col_TOT_VB_PERM</vt:lpstr>
      <vt:lpstr>AGAB033207col_TOT_VB_PERM_BY</vt:lpstr>
      <vt:lpstr>AGAB033207col_TOT_VB_PERM_CHG</vt:lpstr>
      <vt:lpstr>AGAB033207col_TOTAL_ELECT_PCN_FTI</vt:lpstr>
      <vt:lpstr>AGAB033207col_TOTAL_ELECT_PCN_FTI_ALT</vt:lpstr>
      <vt:lpstr>AGAB033207col_TOTAL_PERM_PCN_FTI</vt:lpstr>
      <vt:lpstr>AGAB033207col_UNEMP_INS</vt:lpstr>
      <vt:lpstr>AGAB033207col_UNEMP_INS_BY</vt:lpstr>
      <vt:lpstr>AGAB033207col_UNEMP_INS_CHG</vt:lpstr>
      <vt:lpstr>AGAB033207col_WORKERS_COMP</vt:lpstr>
      <vt:lpstr>AGAB033207col_WORKERS_COMP_BY</vt:lpstr>
      <vt:lpstr>AGAB033207col_WORKERS_COMP_CHG</vt:lpstr>
      <vt:lpstr>AGAB033209col_1_27TH_PP</vt:lpstr>
      <vt:lpstr>AGAB033209col_DHR</vt:lpstr>
      <vt:lpstr>AGAB033209col_DHR_BY</vt:lpstr>
      <vt:lpstr>AGAB033209col_DHR_CHG</vt:lpstr>
      <vt:lpstr>AGAB033209col_FTI_SALARY_ELECT</vt:lpstr>
      <vt:lpstr>AGAB033209col_FTI_SALARY_PERM</vt:lpstr>
      <vt:lpstr>AGAB033209col_FTI_SALARY_SSDI</vt:lpstr>
      <vt:lpstr>AGAB033209col_Group_Ben</vt:lpstr>
      <vt:lpstr>AGAB033209col_Group_Salary</vt:lpstr>
      <vt:lpstr>AGAB033209col_HEALTH_ELECT</vt:lpstr>
      <vt:lpstr>AGAB033209col_HEALTH_ELECT_BY</vt:lpstr>
      <vt:lpstr>AGAB033209col_HEALTH_ELECT_CHG</vt:lpstr>
      <vt:lpstr>AGAB033209col_HEALTH_PERM</vt:lpstr>
      <vt:lpstr>AGAB033209col_HEALTH_PERM_BY</vt:lpstr>
      <vt:lpstr>AGAB033209col_HEALTH_PERM_CHG</vt:lpstr>
      <vt:lpstr>AGAB033209col_INC_FTI</vt:lpstr>
      <vt:lpstr>AGAB033209col_LIFE_INS</vt:lpstr>
      <vt:lpstr>AGAB033209col_LIFE_INS_BY</vt:lpstr>
      <vt:lpstr>AGAB033209col_LIFE_INS_CHG</vt:lpstr>
      <vt:lpstr>AGAB033209col_RETIREMENT</vt:lpstr>
      <vt:lpstr>AGAB033209col_RETIREMENT_BY</vt:lpstr>
      <vt:lpstr>AGAB033209col_RETIREMENT_CHG</vt:lpstr>
      <vt:lpstr>AGAB033209col_ROWS_PER_PCN</vt:lpstr>
      <vt:lpstr>AGAB033209col_SICK</vt:lpstr>
      <vt:lpstr>AGAB033209col_SICK_BY</vt:lpstr>
      <vt:lpstr>AGAB033209col_SICK_CHG</vt:lpstr>
      <vt:lpstr>AGAB033209col_SSDI</vt:lpstr>
      <vt:lpstr>AGAB033209col_SSDI_BY</vt:lpstr>
      <vt:lpstr>AGAB033209col_SSDI_CHG</vt:lpstr>
      <vt:lpstr>AGAB033209col_SSHI</vt:lpstr>
      <vt:lpstr>AGAB033209col_SSHI_BY</vt:lpstr>
      <vt:lpstr>AGAB033209col_SSHI_CHGv</vt:lpstr>
      <vt:lpstr>AGAB033209col_TOT_VB_ELECT</vt:lpstr>
      <vt:lpstr>AGAB033209col_TOT_VB_ELECT_BY</vt:lpstr>
      <vt:lpstr>AGAB033209col_TOT_VB_ELECT_CHG</vt:lpstr>
      <vt:lpstr>AGAB033209col_TOT_VB_PERM</vt:lpstr>
      <vt:lpstr>AGAB033209col_TOT_VB_PERM_BY</vt:lpstr>
      <vt:lpstr>AGAB033209col_TOT_VB_PERM_CHG</vt:lpstr>
      <vt:lpstr>AGAB033209col_TOTAL_ELECT_PCN_FTI</vt:lpstr>
      <vt:lpstr>AGAB033209col_TOTAL_ELECT_PCN_FTI_ALT</vt:lpstr>
      <vt:lpstr>AGAB033209col_TOTAL_PERM_PCN_FTI</vt:lpstr>
      <vt:lpstr>AGAB033209col_UNEMP_INS</vt:lpstr>
      <vt:lpstr>AGAB033209col_UNEMP_INS_BY</vt:lpstr>
      <vt:lpstr>AGAB033209col_UNEMP_INS_CHG</vt:lpstr>
      <vt:lpstr>AGAB033209col_WORKERS_COMP</vt:lpstr>
      <vt:lpstr>AGAB033209col_WORKERS_COMP_BY</vt:lpstr>
      <vt:lpstr>AGAB033209col_WORKERS_COMP_CHG</vt:lpstr>
      <vt:lpstr>AGAC000100col_1_27TH_PP</vt:lpstr>
      <vt:lpstr>AGAC000100col_DHR</vt:lpstr>
      <vt:lpstr>AGAC000100col_DHR_BY</vt:lpstr>
      <vt:lpstr>AGAC000100col_DHR_CHG</vt:lpstr>
      <vt:lpstr>AGAC000100col_FTI_SALARY_ELECT</vt:lpstr>
      <vt:lpstr>AGAC000100col_FTI_SALARY_PERM</vt:lpstr>
      <vt:lpstr>AGAC000100col_FTI_SALARY_SSDI</vt:lpstr>
      <vt:lpstr>AGAC000100col_Group_Ben</vt:lpstr>
      <vt:lpstr>AGAC000100col_Group_Salary</vt:lpstr>
      <vt:lpstr>AGAC000100col_HEALTH_ELECT</vt:lpstr>
      <vt:lpstr>AGAC000100col_HEALTH_ELECT_BY</vt:lpstr>
      <vt:lpstr>AGAC000100col_HEALTH_ELECT_CHG</vt:lpstr>
      <vt:lpstr>AGAC000100col_HEALTH_PERM</vt:lpstr>
      <vt:lpstr>AGAC000100col_HEALTH_PERM_BY</vt:lpstr>
      <vt:lpstr>AGAC000100col_HEALTH_PERM_CHG</vt:lpstr>
      <vt:lpstr>AGAC000100col_INC_FTI</vt:lpstr>
      <vt:lpstr>AGAC000100col_LIFE_INS</vt:lpstr>
      <vt:lpstr>AGAC000100col_LIFE_INS_BY</vt:lpstr>
      <vt:lpstr>AGAC000100col_LIFE_INS_CHG</vt:lpstr>
      <vt:lpstr>AGAC000100col_RETIREMENT</vt:lpstr>
      <vt:lpstr>AGAC000100col_RETIREMENT_BY</vt:lpstr>
      <vt:lpstr>AGAC000100col_RETIREMENT_CHG</vt:lpstr>
      <vt:lpstr>AGAC000100col_ROWS_PER_PCN</vt:lpstr>
      <vt:lpstr>AGAC000100col_SICK</vt:lpstr>
      <vt:lpstr>AGAC000100col_SICK_BY</vt:lpstr>
      <vt:lpstr>AGAC000100col_SICK_CHG</vt:lpstr>
      <vt:lpstr>AGAC000100col_SSDI</vt:lpstr>
      <vt:lpstr>AGAC000100col_SSDI_BY</vt:lpstr>
      <vt:lpstr>AGAC000100col_SSDI_CHG</vt:lpstr>
      <vt:lpstr>AGAC000100col_SSHI</vt:lpstr>
      <vt:lpstr>AGAC000100col_SSHI_BY</vt:lpstr>
      <vt:lpstr>AGAC000100col_SSHI_CHGv</vt:lpstr>
      <vt:lpstr>AGAC000100col_TOT_VB_ELECT</vt:lpstr>
      <vt:lpstr>AGAC000100col_TOT_VB_ELECT_BY</vt:lpstr>
      <vt:lpstr>AGAC000100col_TOT_VB_ELECT_CHG</vt:lpstr>
      <vt:lpstr>AGAC000100col_TOT_VB_PERM</vt:lpstr>
      <vt:lpstr>AGAC000100col_TOT_VB_PERM_BY</vt:lpstr>
      <vt:lpstr>AGAC000100col_TOT_VB_PERM_CHG</vt:lpstr>
      <vt:lpstr>AGAC000100col_TOTAL_ELECT_PCN_FTI</vt:lpstr>
      <vt:lpstr>AGAC000100col_TOTAL_ELECT_PCN_FTI_ALT</vt:lpstr>
      <vt:lpstr>AGAC000100col_TOTAL_PERM_PCN_FTI</vt:lpstr>
      <vt:lpstr>AGAC000100col_UNEMP_INS</vt:lpstr>
      <vt:lpstr>AGAC000100col_UNEMP_INS_BY</vt:lpstr>
      <vt:lpstr>AGAC000100col_UNEMP_INS_CHG</vt:lpstr>
      <vt:lpstr>AGAC000100col_WORKERS_COMP</vt:lpstr>
      <vt:lpstr>AGAC000100col_WORKERS_COMP_BY</vt:lpstr>
      <vt:lpstr>AGAC000100col_WORKERS_COMP_CHG</vt:lpstr>
      <vt:lpstr>AGAC033205col_1_27TH_PP</vt:lpstr>
      <vt:lpstr>AGAC033205col_DHR</vt:lpstr>
      <vt:lpstr>AGAC033205col_DHR_BY</vt:lpstr>
      <vt:lpstr>AGAC033205col_DHR_CHG</vt:lpstr>
      <vt:lpstr>AGAC033205col_FTI_SALARY_ELECT</vt:lpstr>
      <vt:lpstr>AGAC033205col_FTI_SALARY_PERM</vt:lpstr>
      <vt:lpstr>AGAC033205col_FTI_SALARY_SSDI</vt:lpstr>
      <vt:lpstr>AGAC033205col_Group_Ben</vt:lpstr>
      <vt:lpstr>AGAC033205col_Group_Salary</vt:lpstr>
      <vt:lpstr>AGAC033205col_HEALTH_ELECT</vt:lpstr>
      <vt:lpstr>AGAC033205col_HEALTH_ELECT_BY</vt:lpstr>
      <vt:lpstr>AGAC033205col_HEALTH_ELECT_CHG</vt:lpstr>
      <vt:lpstr>AGAC033205col_HEALTH_PERM</vt:lpstr>
      <vt:lpstr>AGAC033205col_HEALTH_PERM_BY</vt:lpstr>
      <vt:lpstr>AGAC033205col_HEALTH_PERM_CHG</vt:lpstr>
      <vt:lpstr>AGAC033205col_INC_FTI</vt:lpstr>
      <vt:lpstr>AGAC033205col_LIFE_INS</vt:lpstr>
      <vt:lpstr>AGAC033205col_LIFE_INS_BY</vt:lpstr>
      <vt:lpstr>AGAC033205col_LIFE_INS_CHG</vt:lpstr>
      <vt:lpstr>AGAC033205col_RETIREMENT</vt:lpstr>
      <vt:lpstr>AGAC033205col_RETIREMENT_BY</vt:lpstr>
      <vt:lpstr>AGAC033205col_RETIREMENT_CHG</vt:lpstr>
      <vt:lpstr>AGAC033205col_ROWS_PER_PCN</vt:lpstr>
      <vt:lpstr>AGAC033205col_SICK</vt:lpstr>
      <vt:lpstr>AGAC033205col_SICK_BY</vt:lpstr>
      <vt:lpstr>AGAC033205col_SICK_CHG</vt:lpstr>
      <vt:lpstr>AGAC033205col_SSDI</vt:lpstr>
      <vt:lpstr>AGAC033205col_SSDI_BY</vt:lpstr>
      <vt:lpstr>AGAC033205col_SSDI_CHG</vt:lpstr>
      <vt:lpstr>AGAC033205col_SSHI</vt:lpstr>
      <vt:lpstr>AGAC033205col_SSHI_BY</vt:lpstr>
      <vt:lpstr>AGAC033205col_SSHI_CHGv</vt:lpstr>
      <vt:lpstr>AGAC033205col_TOT_VB_ELECT</vt:lpstr>
      <vt:lpstr>AGAC033205col_TOT_VB_ELECT_BY</vt:lpstr>
      <vt:lpstr>AGAC033205col_TOT_VB_ELECT_CHG</vt:lpstr>
      <vt:lpstr>AGAC033205col_TOT_VB_PERM</vt:lpstr>
      <vt:lpstr>AGAC033205col_TOT_VB_PERM_BY</vt:lpstr>
      <vt:lpstr>AGAC033205col_TOT_VB_PERM_CHG</vt:lpstr>
      <vt:lpstr>AGAC033205col_TOTAL_ELECT_PCN_FTI</vt:lpstr>
      <vt:lpstr>AGAC033205col_TOTAL_ELECT_PCN_FTI_ALT</vt:lpstr>
      <vt:lpstr>AGAC033205col_TOTAL_PERM_PCN_FTI</vt:lpstr>
      <vt:lpstr>AGAC033205col_UNEMP_INS</vt:lpstr>
      <vt:lpstr>AGAC033205col_UNEMP_INS_BY</vt:lpstr>
      <vt:lpstr>AGAC033205col_UNEMP_INS_CHG</vt:lpstr>
      <vt:lpstr>AGAC033205col_WORKERS_COMP</vt:lpstr>
      <vt:lpstr>AGAC033205col_WORKERS_COMP_BY</vt:lpstr>
      <vt:lpstr>AGAC033205col_WORKERS_COMP_CHG</vt:lpstr>
      <vt:lpstr>AGAC034800col_1_27TH_PP</vt:lpstr>
      <vt:lpstr>AGAC034800col_DHR</vt:lpstr>
      <vt:lpstr>AGAC034800col_DHR_BY</vt:lpstr>
      <vt:lpstr>AGAC034800col_DHR_CHG</vt:lpstr>
      <vt:lpstr>AGAC034800col_FTI_SALARY_ELECT</vt:lpstr>
      <vt:lpstr>AGAC034800col_FTI_SALARY_PERM</vt:lpstr>
      <vt:lpstr>AGAC034800col_FTI_SALARY_SSDI</vt:lpstr>
      <vt:lpstr>AGAC034800col_Group_Ben</vt:lpstr>
      <vt:lpstr>AGAC034800col_Group_Salary</vt:lpstr>
      <vt:lpstr>AGAC034800col_HEALTH_ELECT</vt:lpstr>
      <vt:lpstr>AGAC034800col_HEALTH_ELECT_BY</vt:lpstr>
      <vt:lpstr>AGAC034800col_HEALTH_ELECT_CHG</vt:lpstr>
      <vt:lpstr>AGAC034800col_HEALTH_PERM</vt:lpstr>
      <vt:lpstr>AGAC034800col_HEALTH_PERM_BY</vt:lpstr>
      <vt:lpstr>AGAC034800col_HEALTH_PERM_CHG</vt:lpstr>
      <vt:lpstr>AGAC034800col_INC_FTI</vt:lpstr>
      <vt:lpstr>AGAC034800col_LIFE_INS</vt:lpstr>
      <vt:lpstr>AGAC034800col_LIFE_INS_BY</vt:lpstr>
      <vt:lpstr>AGAC034800col_LIFE_INS_CHG</vt:lpstr>
      <vt:lpstr>AGAC034800col_RETIREMENT</vt:lpstr>
      <vt:lpstr>AGAC034800col_RETIREMENT_BY</vt:lpstr>
      <vt:lpstr>AGAC034800col_RETIREMENT_CHG</vt:lpstr>
      <vt:lpstr>AGAC034800col_ROWS_PER_PCN</vt:lpstr>
      <vt:lpstr>AGAC034800col_SICK</vt:lpstr>
      <vt:lpstr>AGAC034800col_SICK_BY</vt:lpstr>
      <vt:lpstr>AGAC034800col_SICK_CHG</vt:lpstr>
      <vt:lpstr>AGAC034800col_SSDI</vt:lpstr>
      <vt:lpstr>AGAC034800col_SSDI_BY</vt:lpstr>
      <vt:lpstr>AGAC034800col_SSDI_CHG</vt:lpstr>
      <vt:lpstr>AGAC034800col_SSHI</vt:lpstr>
      <vt:lpstr>AGAC034800col_SSHI_BY</vt:lpstr>
      <vt:lpstr>AGAC034800col_SSHI_CHGv</vt:lpstr>
      <vt:lpstr>AGAC034800col_TOT_VB_ELECT</vt:lpstr>
      <vt:lpstr>AGAC034800col_TOT_VB_ELECT_BY</vt:lpstr>
      <vt:lpstr>AGAC034800col_TOT_VB_ELECT_CHG</vt:lpstr>
      <vt:lpstr>AGAC034800col_TOT_VB_PERM</vt:lpstr>
      <vt:lpstr>AGAC034800col_TOT_VB_PERM_BY</vt:lpstr>
      <vt:lpstr>AGAC034800col_TOT_VB_PERM_CHG</vt:lpstr>
      <vt:lpstr>AGAC034800col_TOTAL_ELECT_PCN_FTI</vt:lpstr>
      <vt:lpstr>AGAC034800col_TOTAL_ELECT_PCN_FTI_ALT</vt:lpstr>
      <vt:lpstr>AGAC034800col_TOTAL_PERM_PCN_FTI</vt:lpstr>
      <vt:lpstr>AGAC034800col_UNEMP_INS</vt:lpstr>
      <vt:lpstr>AGAC034800col_UNEMP_INS_BY</vt:lpstr>
      <vt:lpstr>AGAC034800col_UNEMP_INS_CHG</vt:lpstr>
      <vt:lpstr>AGAC034800col_WORKERS_COMP</vt:lpstr>
      <vt:lpstr>AGAC034800col_WORKERS_COMP_BY</vt:lpstr>
      <vt:lpstr>AGAC034800col_WORKERS_COMP_CHG</vt:lpstr>
      <vt:lpstr>AGAD000100col_1_27TH_PP</vt:lpstr>
      <vt:lpstr>AGAD000100col_DHR</vt:lpstr>
      <vt:lpstr>AGAD000100col_DHR_BY</vt:lpstr>
      <vt:lpstr>AGAD000100col_DHR_CHG</vt:lpstr>
      <vt:lpstr>AGAD000100col_FTI_SALARY_ELECT</vt:lpstr>
      <vt:lpstr>AGAD000100col_FTI_SALARY_PERM</vt:lpstr>
      <vt:lpstr>AGAD000100col_FTI_SALARY_SSDI</vt:lpstr>
      <vt:lpstr>AGAD000100col_Group_Ben</vt:lpstr>
      <vt:lpstr>AGAD000100col_Group_Salary</vt:lpstr>
      <vt:lpstr>AGAD000100col_HEALTH_ELECT</vt:lpstr>
      <vt:lpstr>AGAD000100col_HEALTH_ELECT_BY</vt:lpstr>
      <vt:lpstr>AGAD000100col_HEALTH_ELECT_CHG</vt:lpstr>
      <vt:lpstr>AGAD000100col_HEALTH_PERM</vt:lpstr>
      <vt:lpstr>AGAD000100col_HEALTH_PERM_BY</vt:lpstr>
      <vt:lpstr>AGAD000100col_HEALTH_PERM_CHG</vt:lpstr>
      <vt:lpstr>AGAD000100col_INC_FTI</vt:lpstr>
      <vt:lpstr>AGAD000100col_LIFE_INS</vt:lpstr>
      <vt:lpstr>AGAD000100col_LIFE_INS_BY</vt:lpstr>
      <vt:lpstr>AGAD000100col_LIFE_INS_CHG</vt:lpstr>
      <vt:lpstr>AGAD000100col_RETIREMENT</vt:lpstr>
      <vt:lpstr>AGAD000100col_RETIREMENT_BY</vt:lpstr>
      <vt:lpstr>AGAD000100col_RETIREMENT_CHG</vt:lpstr>
      <vt:lpstr>AGAD000100col_ROWS_PER_PCN</vt:lpstr>
      <vt:lpstr>AGAD000100col_SICK</vt:lpstr>
      <vt:lpstr>AGAD000100col_SICK_BY</vt:lpstr>
      <vt:lpstr>AGAD000100col_SICK_CHG</vt:lpstr>
      <vt:lpstr>AGAD000100col_SSDI</vt:lpstr>
      <vt:lpstr>AGAD000100col_SSDI_BY</vt:lpstr>
      <vt:lpstr>AGAD000100col_SSDI_CHG</vt:lpstr>
      <vt:lpstr>AGAD000100col_SSHI</vt:lpstr>
      <vt:lpstr>AGAD000100col_SSHI_BY</vt:lpstr>
      <vt:lpstr>AGAD000100col_SSHI_CHGv</vt:lpstr>
      <vt:lpstr>AGAD000100col_TOT_VB_ELECT</vt:lpstr>
      <vt:lpstr>AGAD000100col_TOT_VB_ELECT_BY</vt:lpstr>
      <vt:lpstr>AGAD000100col_TOT_VB_ELECT_CHG</vt:lpstr>
      <vt:lpstr>AGAD000100col_TOT_VB_PERM</vt:lpstr>
      <vt:lpstr>AGAD000100col_TOT_VB_PERM_BY</vt:lpstr>
      <vt:lpstr>AGAD000100col_TOT_VB_PERM_CHG</vt:lpstr>
      <vt:lpstr>AGAD000100col_TOTAL_ELECT_PCN_FTI</vt:lpstr>
      <vt:lpstr>AGAD000100col_TOTAL_ELECT_PCN_FTI_ALT</vt:lpstr>
      <vt:lpstr>AGAD000100col_TOTAL_PERM_PCN_FTI</vt:lpstr>
      <vt:lpstr>AGAD000100col_UNEMP_INS</vt:lpstr>
      <vt:lpstr>AGAD000100col_UNEMP_INS_BY</vt:lpstr>
      <vt:lpstr>AGAD000100col_UNEMP_INS_CHG</vt:lpstr>
      <vt:lpstr>AGAD000100col_WORKERS_COMP</vt:lpstr>
      <vt:lpstr>AGAD000100col_WORKERS_COMP_BY</vt:lpstr>
      <vt:lpstr>AGAD000100col_WORKERS_COMP_CHG</vt:lpstr>
      <vt:lpstr>AGAD033000col_1_27TH_PP</vt:lpstr>
      <vt:lpstr>AGAD033000col_DHR</vt:lpstr>
      <vt:lpstr>AGAD033000col_DHR_BY</vt:lpstr>
      <vt:lpstr>AGAD033000col_DHR_CHG</vt:lpstr>
      <vt:lpstr>AGAD033000col_FTI_SALARY_ELECT</vt:lpstr>
      <vt:lpstr>AGAD033000col_FTI_SALARY_PERM</vt:lpstr>
      <vt:lpstr>AGAD033000col_FTI_SALARY_SSDI</vt:lpstr>
      <vt:lpstr>AGAD033000col_Group_Ben</vt:lpstr>
      <vt:lpstr>AGAD033000col_Group_Salary</vt:lpstr>
      <vt:lpstr>AGAD033000col_HEALTH_ELECT</vt:lpstr>
      <vt:lpstr>AGAD033000col_HEALTH_ELECT_BY</vt:lpstr>
      <vt:lpstr>AGAD033000col_HEALTH_ELECT_CHG</vt:lpstr>
      <vt:lpstr>AGAD033000col_HEALTH_PERM</vt:lpstr>
      <vt:lpstr>AGAD033000col_HEALTH_PERM_BY</vt:lpstr>
      <vt:lpstr>AGAD033000col_HEALTH_PERM_CHG</vt:lpstr>
      <vt:lpstr>AGAD033000col_INC_FTI</vt:lpstr>
      <vt:lpstr>AGAD033000col_LIFE_INS</vt:lpstr>
      <vt:lpstr>AGAD033000col_LIFE_INS_BY</vt:lpstr>
      <vt:lpstr>AGAD033000col_LIFE_INS_CHG</vt:lpstr>
      <vt:lpstr>AGAD033000col_RETIREMENT</vt:lpstr>
      <vt:lpstr>AGAD033000col_RETIREMENT_BY</vt:lpstr>
      <vt:lpstr>AGAD033000col_RETIREMENT_CHG</vt:lpstr>
      <vt:lpstr>AGAD033000col_ROWS_PER_PCN</vt:lpstr>
      <vt:lpstr>AGAD033000col_SICK</vt:lpstr>
      <vt:lpstr>AGAD033000col_SICK_BY</vt:lpstr>
      <vt:lpstr>AGAD033000col_SICK_CHG</vt:lpstr>
      <vt:lpstr>AGAD033000col_SSDI</vt:lpstr>
      <vt:lpstr>AGAD033000col_SSDI_BY</vt:lpstr>
      <vt:lpstr>AGAD033000col_SSDI_CHG</vt:lpstr>
      <vt:lpstr>AGAD033000col_SSHI</vt:lpstr>
      <vt:lpstr>AGAD033000col_SSHI_BY</vt:lpstr>
      <vt:lpstr>AGAD033000col_SSHI_CHGv</vt:lpstr>
      <vt:lpstr>AGAD033000col_TOT_VB_ELECT</vt:lpstr>
      <vt:lpstr>AGAD033000col_TOT_VB_ELECT_BY</vt:lpstr>
      <vt:lpstr>AGAD033000col_TOT_VB_ELECT_CHG</vt:lpstr>
      <vt:lpstr>AGAD033000col_TOT_VB_PERM</vt:lpstr>
      <vt:lpstr>AGAD033000col_TOT_VB_PERM_BY</vt:lpstr>
      <vt:lpstr>AGAD033000col_TOT_VB_PERM_CHG</vt:lpstr>
      <vt:lpstr>AGAD033000col_TOTAL_ELECT_PCN_FTI</vt:lpstr>
      <vt:lpstr>AGAD033000col_TOTAL_ELECT_PCN_FTI_ALT</vt:lpstr>
      <vt:lpstr>AGAD033000col_TOTAL_PERM_PCN_FTI</vt:lpstr>
      <vt:lpstr>AGAD033000col_UNEMP_INS</vt:lpstr>
      <vt:lpstr>AGAD033000col_UNEMP_INS_BY</vt:lpstr>
      <vt:lpstr>AGAD033000col_UNEMP_INS_CHG</vt:lpstr>
      <vt:lpstr>AGAD033000col_WORKERS_COMP</vt:lpstr>
      <vt:lpstr>AGAD033000col_WORKERS_COMP_BY</vt:lpstr>
      <vt:lpstr>AGAD033000col_WORKERS_COMP_CHG</vt:lpstr>
      <vt:lpstr>AGAD033013col_1_27TH_PP</vt:lpstr>
      <vt:lpstr>AGAD033013col_DHR</vt:lpstr>
      <vt:lpstr>AGAD033013col_DHR_BY</vt:lpstr>
      <vt:lpstr>AGAD033013col_DHR_CHG</vt:lpstr>
      <vt:lpstr>AGAD033013col_FTI_SALARY_ELECT</vt:lpstr>
      <vt:lpstr>AGAD033013col_FTI_SALARY_PERM</vt:lpstr>
      <vt:lpstr>AGAD033013col_FTI_SALARY_SSDI</vt:lpstr>
      <vt:lpstr>AGAD033013col_Group_Ben</vt:lpstr>
      <vt:lpstr>AGAD033013col_Group_Salary</vt:lpstr>
      <vt:lpstr>AGAD033013col_HEALTH_ELECT</vt:lpstr>
      <vt:lpstr>AGAD033013col_HEALTH_ELECT_BY</vt:lpstr>
      <vt:lpstr>AGAD033013col_HEALTH_ELECT_CHG</vt:lpstr>
      <vt:lpstr>AGAD033013col_HEALTH_PERM</vt:lpstr>
      <vt:lpstr>AGAD033013col_HEALTH_PERM_BY</vt:lpstr>
      <vt:lpstr>AGAD033013col_HEALTH_PERM_CHG</vt:lpstr>
      <vt:lpstr>AGAD033013col_INC_FTI</vt:lpstr>
      <vt:lpstr>AGAD033013col_LIFE_INS</vt:lpstr>
      <vt:lpstr>AGAD033013col_LIFE_INS_BY</vt:lpstr>
      <vt:lpstr>AGAD033013col_LIFE_INS_CHG</vt:lpstr>
      <vt:lpstr>AGAD033013col_RETIREMENT</vt:lpstr>
      <vt:lpstr>AGAD033013col_RETIREMENT_BY</vt:lpstr>
      <vt:lpstr>AGAD033013col_RETIREMENT_CHG</vt:lpstr>
      <vt:lpstr>AGAD033013col_ROWS_PER_PCN</vt:lpstr>
      <vt:lpstr>AGAD033013col_SICK</vt:lpstr>
      <vt:lpstr>AGAD033013col_SICK_BY</vt:lpstr>
      <vt:lpstr>AGAD033013col_SICK_CHG</vt:lpstr>
      <vt:lpstr>AGAD033013col_SSDI</vt:lpstr>
      <vt:lpstr>AGAD033013col_SSDI_BY</vt:lpstr>
      <vt:lpstr>AGAD033013col_SSDI_CHG</vt:lpstr>
      <vt:lpstr>AGAD033013col_SSHI</vt:lpstr>
      <vt:lpstr>AGAD033013col_SSHI_BY</vt:lpstr>
      <vt:lpstr>AGAD033013col_SSHI_CHGv</vt:lpstr>
      <vt:lpstr>AGAD033013col_TOT_VB_ELECT</vt:lpstr>
      <vt:lpstr>AGAD033013col_TOT_VB_ELECT_BY</vt:lpstr>
      <vt:lpstr>AGAD033013col_TOT_VB_ELECT_CHG</vt:lpstr>
      <vt:lpstr>AGAD033013col_TOT_VB_PERM</vt:lpstr>
      <vt:lpstr>AGAD033013col_TOT_VB_PERM_BY</vt:lpstr>
      <vt:lpstr>AGAD033013col_TOT_VB_PERM_CHG</vt:lpstr>
      <vt:lpstr>AGAD033013col_TOTAL_ELECT_PCN_FTI</vt:lpstr>
      <vt:lpstr>AGAD033013col_TOTAL_ELECT_PCN_FTI_ALT</vt:lpstr>
      <vt:lpstr>AGAD033013col_TOTAL_PERM_PCN_FTI</vt:lpstr>
      <vt:lpstr>AGAD033013col_UNEMP_INS</vt:lpstr>
      <vt:lpstr>AGAD033013col_UNEMP_INS_BY</vt:lpstr>
      <vt:lpstr>AGAD033013col_UNEMP_INS_CHG</vt:lpstr>
      <vt:lpstr>AGAD033013col_WORKERS_COMP</vt:lpstr>
      <vt:lpstr>AGAD033013col_WORKERS_COMP_BY</vt:lpstr>
      <vt:lpstr>AGAD033013col_WORKERS_COMP_CHG</vt:lpstr>
      <vt:lpstr>AGAD033204col_1_27TH_PP</vt:lpstr>
      <vt:lpstr>AGAD033204col_DHR</vt:lpstr>
      <vt:lpstr>AGAD033204col_DHR_BY</vt:lpstr>
      <vt:lpstr>AGAD033204col_DHR_CHG</vt:lpstr>
      <vt:lpstr>AGAD033204col_FTI_SALARY_ELECT</vt:lpstr>
      <vt:lpstr>AGAD033204col_FTI_SALARY_PERM</vt:lpstr>
      <vt:lpstr>AGAD033204col_FTI_SALARY_SSDI</vt:lpstr>
      <vt:lpstr>AGAD033204col_Group_Ben</vt:lpstr>
      <vt:lpstr>AGAD033204col_Group_Salary</vt:lpstr>
      <vt:lpstr>AGAD033204col_HEALTH_ELECT</vt:lpstr>
      <vt:lpstr>AGAD033204col_HEALTH_ELECT_BY</vt:lpstr>
      <vt:lpstr>AGAD033204col_HEALTH_ELECT_CHG</vt:lpstr>
      <vt:lpstr>AGAD033204col_HEALTH_PERM</vt:lpstr>
      <vt:lpstr>AGAD033204col_HEALTH_PERM_BY</vt:lpstr>
      <vt:lpstr>AGAD033204col_HEALTH_PERM_CHG</vt:lpstr>
      <vt:lpstr>AGAD033204col_INC_FTI</vt:lpstr>
      <vt:lpstr>AGAD033204col_LIFE_INS</vt:lpstr>
      <vt:lpstr>AGAD033204col_LIFE_INS_BY</vt:lpstr>
      <vt:lpstr>AGAD033204col_LIFE_INS_CHG</vt:lpstr>
      <vt:lpstr>AGAD033204col_RETIREMENT</vt:lpstr>
      <vt:lpstr>AGAD033204col_RETIREMENT_BY</vt:lpstr>
      <vt:lpstr>AGAD033204col_RETIREMENT_CHG</vt:lpstr>
      <vt:lpstr>AGAD033204col_ROWS_PER_PCN</vt:lpstr>
      <vt:lpstr>AGAD033204col_SICK</vt:lpstr>
      <vt:lpstr>AGAD033204col_SICK_BY</vt:lpstr>
      <vt:lpstr>AGAD033204col_SICK_CHG</vt:lpstr>
      <vt:lpstr>AGAD033204col_SSDI</vt:lpstr>
      <vt:lpstr>AGAD033204col_SSDI_BY</vt:lpstr>
      <vt:lpstr>AGAD033204col_SSDI_CHG</vt:lpstr>
      <vt:lpstr>AGAD033204col_SSHI</vt:lpstr>
      <vt:lpstr>AGAD033204col_SSHI_BY</vt:lpstr>
      <vt:lpstr>AGAD033204col_SSHI_CHGv</vt:lpstr>
      <vt:lpstr>AGAD033204col_TOT_VB_ELECT</vt:lpstr>
      <vt:lpstr>AGAD033204col_TOT_VB_ELECT_BY</vt:lpstr>
      <vt:lpstr>AGAD033204col_TOT_VB_ELECT_CHG</vt:lpstr>
      <vt:lpstr>AGAD033204col_TOT_VB_PERM</vt:lpstr>
      <vt:lpstr>AGAD033204col_TOT_VB_PERM_BY</vt:lpstr>
      <vt:lpstr>AGAD033204col_TOT_VB_PERM_CHG</vt:lpstr>
      <vt:lpstr>AGAD033204col_TOTAL_ELECT_PCN_FTI</vt:lpstr>
      <vt:lpstr>AGAD033204col_TOTAL_ELECT_PCN_FTI_ALT</vt:lpstr>
      <vt:lpstr>AGAD033204col_TOTAL_PERM_PCN_FTI</vt:lpstr>
      <vt:lpstr>AGAD033204col_UNEMP_INS</vt:lpstr>
      <vt:lpstr>AGAD033204col_UNEMP_INS_BY</vt:lpstr>
      <vt:lpstr>AGAD033204col_UNEMP_INS_CHG</vt:lpstr>
      <vt:lpstr>AGAD033204col_WORKERS_COMP</vt:lpstr>
      <vt:lpstr>AGAD033204col_WORKERS_COMP_BY</vt:lpstr>
      <vt:lpstr>AGAD033204col_WORKERS_COMP_CHG</vt:lpstr>
      <vt:lpstr>AGAD033208col_1_27TH_PP</vt:lpstr>
      <vt:lpstr>AGAD033208col_DHR</vt:lpstr>
      <vt:lpstr>AGAD033208col_DHR_BY</vt:lpstr>
      <vt:lpstr>AGAD033208col_DHR_CHG</vt:lpstr>
      <vt:lpstr>AGAD033208col_FTI_SALARY_ELECT</vt:lpstr>
      <vt:lpstr>AGAD033208col_FTI_SALARY_PERM</vt:lpstr>
      <vt:lpstr>AGAD033208col_FTI_SALARY_SSDI</vt:lpstr>
      <vt:lpstr>AGAD033208col_Group_Ben</vt:lpstr>
      <vt:lpstr>AGAD033208col_Group_Salary</vt:lpstr>
      <vt:lpstr>AGAD033208col_HEALTH_ELECT</vt:lpstr>
      <vt:lpstr>AGAD033208col_HEALTH_ELECT_BY</vt:lpstr>
      <vt:lpstr>AGAD033208col_HEALTH_ELECT_CHG</vt:lpstr>
      <vt:lpstr>AGAD033208col_HEALTH_PERM</vt:lpstr>
      <vt:lpstr>AGAD033208col_HEALTH_PERM_BY</vt:lpstr>
      <vt:lpstr>AGAD033208col_HEALTH_PERM_CHG</vt:lpstr>
      <vt:lpstr>AGAD033208col_INC_FTI</vt:lpstr>
      <vt:lpstr>AGAD033208col_LIFE_INS</vt:lpstr>
      <vt:lpstr>AGAD033208col_LIFE_INS_BY</vt:lpstr>
      <vt:lpstr>AGAD033208col_LIFE_INS_CHG</vt:lpstr>
      <vt:lpstr>AGAD033208col_RETIREMENT</vt:lpstr>
      <vt:lpstr>AGAD033208col_RETIREMENT_BY</vt:lpstr>
      <vt:lpstr>AGAD033208col_RETIREMENT_CHG</vt:lpstr>
      <vt:lpstr>AGAD033208col_ROWS_PER_PCN</vt:lpstr>
      <vt:lpstr>AGAD033208col_SICK</vt:lpstr>
      <vt:lpstr>AGAD033208col_SICK_BY</vt:lpstr>
      <vt:lpstr>AGAD033208col_SICK_CHG</vt:lpstr>
      <vt:lpstr>AGAD033208col_SSDI</vt:lpstr>
      <vt:lpstr>AGAD033208col_SSDI_BY</vt:lpstr>
      <vt:lpstr>AGAD033208col_SSDI_CHG</vt:lpstr>
      <vt:lpstr>AGAD033208col_SSHI</vt:lpstr>
      <vt:lpstr>AGAD033208col_SSHI_BY</vt:lpstr>
      <vt:lpstr>AGAD033208col_SSHI_CHGv</vt:lpstr>
      <vt:lpstr>AGAD033208col_TOT_VB_ELECT</vt:lpstr>
      <vt:lpstr>AGAD033208col_TOT_VB_ELECT_BY</vt:lpstr>
      <vt:lpstr>AGAD033208col_TOT_VB_ELECT_CHG</vt:lpstr>
      <vt:lpstr>AGAD033208col_TOT_VB_PERM</vt:lpstr>
      <vt:lpstr>AGAD033208col_TOT_VB_PERM_BY</vt:lpstr>
      <vt:lpstr>AGAD033208col_TOT_VB_PERM_CHG</vt:lpstr>
      <vt:lpstr>AGAD033208col_TOTAL_ELECT_PCN_FTI</vt:lpstr>
      <vt:lpstr>AGAD033208col_TOTAL_ELECT_PCN_FTI_ALT</vt:lpstr>
      <vt:lpstr>AGAD033208col_TOTAL_PERM_PCN_FTI</vt:lpstr>
      <vt:lpstr>AGAD033208col_UNEMP_INS</vt:lpstr>
      <vt:lpstr>AGAD033208col_UNEMP_INS_BY</vt:lpstr>
      <vt:lpstr>AGAD033208col_UNEMP_INS_CHG</vt:lpstr>
      <vt:lpstr>AGAD033208col_WORKERS_COMP</vt:lpstr>
      <vt:lpstr>AGAD033208col_WORKERS_COMP_BY</vt:lpstr>
      <vt:lpstr>AGAD033208col_WORKERS_COMP_CHG</vt:lpstr>
      <vt:lpstr>AGAE000100col_1_27TH_PP</vt:lpstr>
      <vt:lpstr>AGAE000100col_DHR</vt:lpstr>
      <vt:lpstr>AGAE000100col_DHR_BY</vt:lpstr>
      <vt:lpstr>AGAE000100col_DHR_CHG</vt:lpstr>
      <vt:lpstr>AGAE000100col_FTI_SALARY_ELECT</vt:lpstr>
      <vt:lpstr>AGAE000100col_FTI_SALARY_PERM</vt:lpstr>
      <vt:lpstr>AGAE000100col_FTI_SALARY_SSDI</vt:lpstr>
      <vt:lpstr>AGAE000100col_Group_Ben</vt:lpstr>
      <vt:lpstr>AGAE000100col_Group_Salary</vt:lpstr>
      <vt:lpstr>AGAE000100col_HEALTH_ELECT</vt:lpstr>
      <vt:lpstr>AGAE000100col_HEALTH_ELECT_BY</vt:lpstr>
      <vt:lpstr>AGAE000100col_HEALTH_ELECT_CHG</vt:lpstr>
      <vt:lpstr>AGAE000100col_HEALTH_PERM</vt:lpstr>
      <vt:lpstr>AGAE000100col_HEALTH_PERM_BY</vt:lpstr>
      <vt:lpstr>AGAE000100col_HEALTH_PERM_CHG</vt:lpstr>
      <vt:lpstr>AGAE000100col_INC_FTI</vt:lpstr>
      <vt:lpstr>AGAE000100col_LIFE_INS</vt:lpstr>
      <vt:lpstr>AGAE000100col_LIFE_INS_BY</vt:lpstr>
      <vt:lpstr>AGAE000100col_LIFE_INS_CHG</vt:lpstr>
      <vt:lpstr>AGAE000100col_RETIREMENT</vt:lpstr>
      <vt:lpstr>AGAE000100col_RETIREMENT_BY</vt:lpstr>
      <vt:lpstr>AGAE000100col_RETIREMENT_CHG</vt:lpstr>
      <vt:lpstr>AGAE000100col_ROWS_PER_PCN</vt:lpstr>
      <vt:lpstr>AGAE000100col_SICK</vt:lpstr>
      <vt:lpstr>AGAE000100col_SICK_BY</vt:lpstr>
      <vt:lpstr>AGAE000100col_SICK_CHG</vt:lpstr>
      <vt:lpstr>AGAE000100col_SSDI</vt:lpstr>
      <vt:lpstr>AGAE000100col_SSDI_BY</vt:lpstr>
      <vt:lpstr>AGAE000100col_SSDI_CHG</vt:lpstr>
      <vt:lpstr>AGAE000100col_SSHI</vt:lpstr>
      <vt:lpstr>AGAE000100col_SSHI_BY</vt:lpstr>
      <vt:lpstr>AGAE000100col_SSHI_CHGv</vt:lpstr>
      <vt:lpstr>AGAE000100col_TOT_VB_ELECT</vt:lpstr>
      <vt:lpstr>AGAE000100col_TOT_VB_ELECT_BY</vt:lpstr>
      <vt:lpstr>AGAE000100col_TOT_VB_ELECT_CHG</vt:lpstr>
      <vt:lpstr>AGAE000100col_TOT_VB_PERM</vt:lpstr>
      <vt:lpstr>AGAE000100col_TOT_VB_PERM_BY</vt:lpstr>
      <vt:lpstr>AGAE000100col_TOT_VB_PERM_CHG</vt:lpstr>
      <vt:lpstr>AGAE000100col_TOTAL_ELECT_PCN_FTI</vt:lpstr>
      <vt:lpstr>AGAE000100col_TOTAL_ELECT_PCN_FTI_ALT</vt:lpstr>
      <vt:lpstr>AGAE000100col_TOTAL_PERM_PCN_FTI</vt:lpstr>
      <vt:lpstr>AGAE000100col_UNEMP_INS</vt:lpstr>
      <vt:lpstr>AGAE000100col_UNEMP_INS_BY</vt:lpstr>
      <vt:lpstr>AGAE000100col_UNEMP_INS_CHG</vt:lpstr>
      <vt:lpstr>AGAE000100col_WORKERS_COMP</vt:lpstr>
      <vt:lpstr>AGAE000100col_WORKERS_COMP_BY</vt:lpstr>
      <vt:lpstr>AGAE000100col_WORKERS_COMP_CHG</vt:lpstr>
      <vt:lpstr>AGAE033012col_1_27TH_PP</vt:lpstr>
      <vt:lpstr>AGAE033012col_DHR</vt:lpstr>
      <vt:lpstr>AGAE033012col_DHR_BY</vt:lpstr>
      <vt:lpstr>AGAE033012col_DHR_CHG</vt:lpstr>
      <vt:lpstr>AGAE033012col_FTI_SALARY_ELECT</vt:lpstr>
      <vt:lpstr>AGAE033012col_FTI_SALARY_PERM</vt:lpstr>
      <vt:lpstr>AGAE033012col_FTI_SALARY_SSDI</vt:lpstr>
      <vt:lpstr>AGAE033012col_Group_Ben</vt:lpstr>
      <vt:lpstr>AGAE033012col_Group_Salary</vt:lpstr>
      <vt:lpstr>AGAE033012col_HEALTH_ELECT</vt:lpstr>
      <vt:lpstr>AGAE033012col_HEALTH_ELECT_BY</vt:lpstr>
      <vt:lpstr>AGAE033012col_HEALTH_ELECT_CHG</vt:lpstr>
      <vt:lpstr>AGAE033012col_HEALTH_PERM</vt:lpstr>
      <vt:lpstr>AGAE033012col_HEALTH_PERM_BY</vt:lpstr>
      <vt:lpstr>AGAE033012col_HEALTH_PERM_CHG</vt:lpstr>
      <vt:lpstr>AGAE033012col_INC_FTI</vt:lpstr>
      <vt:lpstr>AGAE033012col_LIFE_INS</vt:lpstr>
      <vt:lpstr>AGAE033012col_LIFE_INS_BY</vt:lpstr>
      <vt:lpstr>AGAE033012col_LIFE_INS_CHG</vt:lpstr>
      <vt:lpstr>AGAE033012col_RETIREMENT</vt:lpstr>
      <vt:lpstr>AGAE033012col_RETIREMENT_BY</vt:lpstr>
      <vt:lpstr>AGAE033012col_RETIREMENT_CHG</vt:lpstr>
      <vt:lpstr>AGAE033012col_ROWS_PER_PCN</vt:lpstr>
      <vt:lpstr>AGAE033012col_SICK</vt:lpstr>
      <vt:lpstr>AGAE033012col_SICK_BY</vt:lpstr>
      <vt:lpstr>AGAE033012col_SICK_CHG</vt:lpstr>
      <vt:lpstr>AGAE033012col_SSDI</vt:lpstr>
      <vt:lpstr>AGAE033012col_SSDI_BY</vt:lpstr>
      <vt:lpstr>AGAE033012col_SSDI_CHG</vt:lpstr>
      <vt:lpstr>AGAE033012col_SSHI</vt:lpstr>
      <vt:lpstr>AGAE033012col_SSHI_BY</vt:lpstr>
      <vt:lpstr>AGAE033012col_SSHI_CHGv</vt:lpstr>
      <vt:lpstr>AGAE033012col_TOT_VB_ELECT</vt:lpstr>
      <vt:lpstr>AGAE033012col_TOT_VB_ELECT_BY</vt:lpstr>
      <vt:lpstr>AGAE033012col_TOT_VB_ELECT_CHG</vt:lpstr>
      <vt:lpstr>AGAE033012col_TOT_VB_PERM</vt:lpstr>
      <vt:lpstr>AGAE033012col_TOT_VB_PERM_BY</vt:lpstr>
      <vt:lpstr>AGAE033012col_TOT_VB_PERM_CHG</vt:lpstr>
      <vt:lpstr>AGAE033012col_TOTAL_ELECT_PCN_FTI</vt:lpstr>
      <vt:lpstr>AGAE033012col_TOTAL_ELECT_PCN_FTI_ALT</vt:lpstr>
      <vt:lpstr>AGAE033012col_TOTAL_PERM_PCN_FTI</vt:lpstr>
      <vt:lpstr>AGAE033012col_UNEMP_INS</vt:lpstr>
      <vt:lpstr>AGAE033012col_UNEMP_INS_BY</vt:lpstr>
      <vt:lpstr>AGAE033012col_UNEMP_INS_CHG</vt:lpstr>
      <vt:lpstr>AGAE033012col_WORKERS_COMP</vt:lpstr>
      <vt:lpstr>AGAE033012col_WORKERS_COMP_BY</vt:lpstr>
      <vt:lpstr>AGAE033012col_WORKERS_COMP_CHG</vt:lpstr>
      <vt:lpstr>AGAE033210col_1_27TH_PP</vt:lpstr>
      <vt:lpstr>AGAE033210col_DHR</vt:lpstr>
      <vt:lpstr>AGAE033210col_DHR_BY</vt:lpstr>
      <vt:lpstr>AGAE033210col_DHR_CHG</vt:lpstr>
      <vt:lpstr>AGAE033210col_FTI_SALARY_ELECT</vt:lpstr>
      <vt:lpstr>AGAE033210col_FTI_SALARY_PERM</vt:lpstr>
      <vt:lpstr>AGAE033210col_FTI_SALARY_SSDI</vt:lpstr>
      <vt:lpstr>AGAE033210col_Group_Ben</vt:lpstr>
      <vt:lpstr>AGAE033210col_Group_Salary</vt:lpstr>
      <vt:lpstr>AGAE033210col_HEALTH_ELECT</vt:lpstr>
      <vt:lpstr>AGAE033210col_HEALTH_ELECT_BY</vt:lpstr>
      <vt:lpstr>AGAE033210col_HEALTH_ELECT_CHG</vt:lpstr>
      <vt:lpstr>AGAE033210col_HEALTH_PERM</vt:lpstr>
      <vt:lpstr>AGAE033210col_HEALTH_PERM_BY</vt:lpstr>
      <vt:lpstr>AGAE033210col_HEALTH_PERM_CHG</vt:lpstr>
      <vt:lpstr>AGAE033210col_INC_FTI</vt:lpstr>
      <vt:lpstr>AGAE033210col_LIFE_INS</vt:lpstr>
      <vt:lpstr>AGAE033210col_LIFE_INS_BY</vt:lpstr>
      <vt:lpstr>AGAE033210col_LIFE_INS_CHG</vt:lpstr>
      <vt:lpstr>AGAE033210col_RETIREMENT</vt:lpstr>
      <vt:lpstr>AGAE033210col_RETIREMENT_BY</vt:lpstr>
      <vt:lpstr>AGAE033210col_RETIREMENT_CHG</vt:lpstr>
      <vt:lpstr>AGAE033210col_ROWS_PER_PCN</vt:lpstr>
      <vt:lpstr>AGAE033210col_SICK</vt:lpstr>
      <vt:lpstr>AGAE033210col_SICK_BY</vt:lpstr>
      <vt:lpstr>AGAE033210col_SICK_CHG</vt:lpstr>
      <vt:lpstr>AGAE033210col_SSDI</vt:lpstr>
      <vt:lpstr>AGAE033210col_SSDI_BY</vt:lpstr>
      <vt:lpstr>AGAE033210col_SSDI_CHG</vt:lpstr>
      <vt:lpstr>AGAE033210col_SSHI</vt:lpstr>
      <vt:lpstr>AGAE033210col_SSHI_BY</vt:lpstr>
      <vt:lpstr>AGAE033210col_SSHI_CHGv</vt:lpstr>
      <vt:lpstr>AGAE033210col_TOT_VB_ELECT</vt:lpstr>
      <vt:lpstr>AGAE033210col_TOT_VB_ELECT_BY</vt:lpstr>
      <vt:lpstr>AGAE033210col_TOT_VB_ELECT_CHG</vt:lpstr>
      <vt:lpstr>AGAE033210col_TOT_VB_PERM</vt:lpstr>
      <vt:lpstr>AGAE033210col_TOT_VB_PERM_BY</vt:lpstr>
      <vt:lpstr>AGAE033210col_TOT_VB_PERM_CHG</vt:lpstr>
      <vt:lpstr>AGAE033210col_TOTAL_ELECT_PCN_FTI</vt:lpstr>
      <vt:lpstr>AGAE033210col_TOTAL_ELECT_PCN_FTI_ALT</vt:lpstr>
      <vt:lpstr>AGAE033210col_TOTAL_PERM_PCN_FTI</vt:lpstr>
      <vt:lpstr>AGAE033210col_UNEMP_INS</vt:lpstr>
      <vt:lpstr>AGAE033210col_UNEMP_INS_BY</vt:lpstr>
      <vt:lpstr>AGAE033210col_UNEMP_INS_CHG</vt:lpstr>
      <vt:lpstr>AGAE033210col_WORKERS_COMP</vt:lpstr>
      <vt:lpstr>AGAE033210col_WORKERS_COMP_BY</vt:lpstr>
      <vt:lpstr>AGAE033210col_WORKERS_COMP_CHG</vt:lpstr>
      <vt:lpstr>AGAF000100col_1_27TH_PP</vt:lpstr>
      <vt:lpstr>AGAF000100col_DHR</vt:lpstr>
      <vt:lpstr>AGAF000100col_DHR_BY</vt:lpstr>
      <vt:lpstr>AGAF000100col_DHR_CHG</vt:lpstr>
      <vt:lpstr>AGAF000100col_FTI_SALARY_ELECT</vt:lpstr>
      <vt:lpstr>AGAF000100col_FTI_SALARY_PERM</vt:lpstr>
      <vt:lpstr>AGAF000100col_FTI_SALARY_SSDI</vt:lpstr>
      <vt:lpstr>AGAF000100col_Group_Ben</vt:lpstr>
      <vt:lpstr>AGAF000100col_Group_Salary</vt:lpstr>
      <vt:lpstr>AGAF000100col_HEALTH_ELECT</vt:lpstr>
      <vt:lpstr>AGAF000100col_HEALTH_ELECT_BY</vt:lpstr>
      <vt:lpstr>AGAF000100col_HEALTH_ELECT_CHG</vt:lpstr>
      <vt:lpstr>AGAF000100col_HEALTH_PERM</vt:lpstr>
      <vt:lpstr>AGAF000100col_HEALTH_PERM_BY</vt:lpstr>
      <vt:lpstr>AGAF000100col_HEALTH_PERM_CHG</vt:lpstr>
      <vt:lpstr>AGAF000100col_INC_FTI</vt:lpstr>
      <vt:lpstr>AGAF000100col_LIFE_INS</vt:lpstr>
      <vt:lpstr>AGAF000100col_LIFE_INS_BY</vt:lpstr>
      <vt:lpstr>AGAF000100col_LIFE_INS_CHG</vt:lpstr>
      <vt:lpstr>AGAF000100col_RETIREMENT</vt:lpstr>
      <vt:lpstr>AGAF000100col_RETIREMENT_BY</vt:lpstr>
      <vt:lpstr>AGAF000100col_RETIREMENT_CHG</vt:lpstr>
      <vt:lpstr>AGAF000100col_ROWS_PER_PCN</vt:lpstr>
      <vt:lpstr>AGAF000100col_SICK</vt:lpstr>
      <vt:lpstr>AGAF000100col_SICK_BY</vt:lpstr>
      <vt:lpstr>AGAF000100col_SICK_CHG</vt:lpstr>
      <vt:lpstr>AGAF000100col_SSDI</vt:lpstr>
      <vt:lpstr>AGAF000100col_SSDI_BY</vt:lpstr>
      <vt:lpstr>AGAF000100col_SSDI_CHG</vt:lpstr>
      <vt:lpstr>AGAF000100col_SSHI</vt:lpstr>
      <vt:lpstr>AGAF000100col_SSHI_BY</vt:lpstr>
      <vt:lpstr>AGAF000100col_SSHI_CHGv</vt:lpstr>
      <vt:lpstr>AGAF000100col_TOT_VB_ELECT</vt:lpstr>
      <vt:lpstr>AGAF000100col_TOT_VB_ELECT_BY</vt:lpstr>
      <vt:lpstr>AGAF000100col_TOT_VB_ELECT_CHG</vt:lpstr>
      <vt:lpstr>AGAF000100col_TOT_VB_PERM</vt:lpstr>
      <vt:lpstr>AGAF000100col_TOT_VB_PERM_BY</vt:lpstr>
      <vt:lpstr>AGAF000100col_TOT_VB_PERM_CHG</vt:lpstr>
      <vt:lpstr>AGAF000100col_TOTAL_ELECT_PCN_FTI</vt:lpstr>
      <vt:lpstr>AGAF000100col_TOTAL_ELECT_PCN_FTI_ALT</vt:lpstr>
      <vt:lpstr>AGAF000100col_TOTAL_PERM_PCN_FTI</vt:lpstr>
      <vt:lpstr>AGAF000100col_UNEMP_INS</vt:lpstr>
      <vt:lpstr>AGAF000100col_UNEMP_INS_BY</vt:lpstr>
      <vt:lpstr>AGAF000100col_UNEMP_INS_CHG</vt:lpstr>
      <vt:lpstr>AGAF000100col_WORKERS_COMP</vt:lpstr>
      <vt:lpstr>AGAF000100col_WORKERS_COMP_BY</vt:lpstr>
      <vt:lpstr>AGAF000100col_WORKERS_COMP_CHG</vt:lpstr>
      <vt:lpstr>AGAF033000col_1_27TH_PP</vt:lpstr>
      <vt:lpstr>AGAF033000col_DHR</vt:lpstr>
      <vt:lpstr>AGAF033000col_DHR_BY</vt:lpstr>
      <vt:lpstr>AGAF033000col_DHR_CHG</vt:lpstr>
      <vt:lpstr>AGAF033000col_FTI_SALARY_ELECT</vt:lpstr>
      <vt:lpstr>AGAF033000col_FTI_SALARY_PERM</vt:lpstr>
      <vt:lpstr>AGAF033000col_FTI_SALARY_SSDI</vt:lpstr>
      <vt:lpstr>AGAF033000col_Group_Ben</vt:lpstr>
      <vt:lpstr>AGAF033000col_Group_Salary</vt:lpstr>
      <vt:lpstr>AGAF033000col_HEALTH_ELECT</vt:lpstr>
      <vt:lpstr>AGAF033000col_HEALTH_ELECT_BY</vt:lpstr>
      <vt:lpstr>AGAF033000col_HEALTH_ELECT_CHG</vt:lpstr>
      <vt:lpstr>AGAF033000col_HEALTH_PERM</vt:lpstr>
      <vt:lpstr>AGAF033000col_HEALTH_PERM_BY</vt:lpstr>
      <vt:lpstr>AGAF033000col_HEALTH_PERM_CHG</vt:lpstr>
      <vt:lpstr>AGAF033000col_INC_FTI</vt:lpstr>
      <vt:lpstr>AGAF033000col_LIFE_INS</vt:lpstr>
      <vt:lpstr>AGAF033000col_LIFE_INS_BY</vt:lpstr>
      <vt:lpstr>AGAF033000col_LIFE_INS_CHG</vt:lpstr>
      <vt:lpstr>AGAF033000col_RETIREMENT</vt:lpstr>
      <vt:lpstr>AGAF033000col_RETIREMENT_BY</vt:lpstr>
      <vt:lpstr>AGAF033000col_RETIREMENT_CHG</vt:lpstr>
      <vt:lpstr>AGAF033000col_ROWS_PER_PCN</vt:lpstr>
      <vt:lpstr>AGAF033000col_SICK</vt:lpstr>
      <vt:lpstr>AGAF033000col_SICK_BY</vt:lpstr>
      <vt:lpstr>AGAF033000col_SICK_CHG</vt:lpstr>
      <vt:lpstr>AGAF033000col_SSDI</vt:lpstr>
      <vt:lpstr>AGAF033000col_SSDI_BY</vt:lpstr>
      <vt:lpstr>AGAF033000col_SSDI_CHG</vt:lpstr>
      <vt:lpstr>AGAF033000col_SSHI</vt:lpstr>
      <vt:lpstr>AGAF033000col_SSHI_BY</vt:lpstr>
      <vt:lpstr>AGAF033000col_SSHI_CHGv</vt:lpstr>
      <vt:lpstr>AGAF033000col_TOT_VB_ELECT</vt:lpstr>
      <vt:lpstr>AGAF033000col_TOT_VB_ELECT_BY</vt:lpstr>
      <vt:lpstr>AGAF033000col_TOT_VB_ELECT_CHG</vt:lpstr>
      <vt:lpstr>AGAF033000col_TOT_VB_PERM</vt:lpstr>
      <vt:lpstr>AGAF033000col_TOT_VB_PERM_BY</vt:lpstr>
      <vt:lpstr>AGAF033000col_TOT_VB_PERM_CHG</vt:lpstr>
      <vt:lpstr>AGAF033000col_TOTAL_ELECT_PCN_FTI</vt:lpstr>
      <vt:lpstr>AGAF033000col_TOTAL_ELECT_PCN_FTI_ALT</vt:lpstr>
      <vt:lpstr>AGAF033000col_TOTAL_PERM_PCN_FTI</vt:lpstr>
      <vt:lpstr>AGAF033000col_UNEMP_INS</vt:lpstr>
      <vt:lpstr>AGAF033000col_UNEMP_INS_BY</vt:lpstr>
      <vt:lpstr>AGAF033000col_UNEMP_INS_CHG</vt:lpstr>
      <vt:lpstr>AGAF033000col_WORKERS_COMP</vt:lpstr>
      <vt:lpstr>AGAF033000col_WORKERS_COMP_BY</vt:lpstr>
      <vt:lpstr>AGAF033000col_WORKERS_COMP_CHG</vt:lpstr>
      <vt:lpstr>AGAF049000col_1_27TH_PP</vt:lpstr>
      <vt:lpstr>AGAF049000col_DHR</vt:lpstr>
      <vt:lpstr>AGAF049000col_DHR_BY</vt:lpstr>
      <vt:lpstr>AGAF049000col_DHR_CHG</vt:lpstr>
      <vt:lpstr>AGAF049000col_FTI_SALARY_ELECT</vt:lpstr>
      <vt:lpstr>AGAF049000col_FTI_SALARY_PERM</vt:lpstr>
      <vt:lpstr>AGAF049000col_FTI_SALARY_SSDI</vt:lpstr>
      <vt:lpstr>AGAF049000col_Group_Ben</vt:lpstr>
      <vt:lpstr>AGAF049000col_Group_Salary</vt:lpstr>
      <vt:lpstr>AGAF049000col_HEALTH_ELECT</vt:lpstr>
      <vt:lpstr>AGAF049000col_HEALTH_ELECT_BY</vt:lpstr>
      <vt:lpstr>AGAF049000col_HEALTH_ELECT_CHG</vt:lpstr>
      <vt:lpstr>AGAF049000col_HEALTH_PERM</vt:lpstr>
      <vt:lpstr>AGAF049000col_HEALTH_PERM_BY</vt:lpstr>
      <vt:lpstr>AGAF049000col_HEALTH_PERM_CHG</vt:lpstr>
      <vt:lpstr>AGAF049000col_INC_FTI</vt:lpstr>
      <vt:lpstr>AGAF049000col_LIFE_INS</vt:lpstr>
      <vt:lpstr>AGAF049000col_LIFE_INS_BY</vt:lpstr>
      <vt:lpstr>AGAF049000col_LIFE_INS_CHG</vt:lpstr>
      <vt:lpstr>AGAF049000col_RETIREMENT</vt:lpstr>
      <vt:lpstr>AGAF049000col_RETIREMENT_BY</vt:lpstr>
      <vt:lpstr>AGAF049000col_RETIREMENT_CHG</vt:lpstr>
      <vt:lpstr>AGAF049000col_ROWS_PER_PCN</vt:lpstr>
      <vt:lpstr>AGAF049000col_SICK</vt:lpstr>
      <vt:lpstr>AGAF049000col_SICK_BY</vt:lpstr>
      <vt:lpstr>AGAF049000col_SICK_CHG</vt:lpstr>
      <vt:lpstr>AGAF049000col_SSDI</vt:lpstr>
      <vt:lpstr>AGAF049000col_SSDI_BY</vt:lpstr>
      <vt:lpstr>AGAF049000col_SSDI_CHG</vt:lpstr>
      <vt:lpstr>AGAF049000col_SSHI</vt:lpstr>
      <vt:lpstr>AGAF049000col_SSHI_BY</vt:lpstr>
      <vt:lpstr>AGAF049000col_SSHI_CHGv</vt:lpstr>
      <vt:lpstr>AGAF049000col_TOT_VB_ELECT</vt:lpstr>
      <vt:lpstr>AGAF049000col_TOT_VB_ELECT_BY</vt:lpstr>
      <vt:lpstr>AGAF049000col_TOT_VB_ELECT_CHG</vt:lpstr>
      <vt:lpstr>AGAF049000col_TOT_VB_PERM</vt:lpstr>
      <vt:lpstr>AGAF049000col_TOT_VB_PERM_BY</vt:lpstr>
      <vt:lpstr>AGAF049000col_TOT_VB_PERM_CHG</vt:lpstr>
      <vt:lpstr>AGAF049000col_TOTAL_ELECT_PCN_FTI</vt:lpstr>
      <vt:lpstr>AGAF049000col_TOTAL_ELECT_PCN_FTI_ALT</vt:lpstr>
      <vt:lpstr>AGAF049000col_TOTAL_PERM_PCN_FTI</vt:lpstr>
      <vt:lpstr>AGAF049000col_UNEMP_INS</vt:lpstr>
      <vt:lpstr>AGAF049000col_UNEMP_INS_BY</vt:lpstr>
      <vt:lpstr>AGAF049000col_UNEMP_INS_CHG</vt:lpstr>
      <vt:lpstr>AGAF049000col_WORKERS_COMP</vt:lpstr>
      <vt:lpstr>AGAF049000col_WORKERS_COMP_BY</vt:lpstr>
      <vt:lpstr>AGAF049000col_WORKERS_COMP_CHG</vt:lpstr>
      <vt:lpstr>AGAH000100col_1_27TH_PP</vt:lpstr>
      <vt:lpstr>AGAH000100col_DHR</vt:lpstr>
      <vt:lpstr>AGAH000100col_DHR_BY</vt:lpstr>
      <vt:lpstr>AGAH000100col_DHR_CHG</vt:lpstr>
      <vt:lpstr>AGAH000100col_FTI_SALARY_ELECT</vt:lpstr>
      <vt:lpstr>AGAH000100col_FTI_SALARY_PERM</vt:lpstr>
      <vt:lpstr>AGAH000100col_FTI_SALARY_SSDI</vt:lpstr>
      <vt:lpstr>AGAH000100col_Group_Ben</vt:lpstr>
      <vt:lpstr>AGAH000100col_Group_Salary</vt:lpstr>
      <vt:lpstr>AGAH000100col_HEALTH_ELECT</vt:lpstr>
      <vt:lpstr>AGAH000100col_HEALTH_ELECT_BY</vt:lpstr>
      <vt:lpstr>AGAH000100col_HEALTH_ELECT_CHG</vt:lpstr>
      <vt:lpstr>AGAH000100col_HEALTH_PERM</vt:lpstr>
      <vt:lpstr>AGAH000100col_HEALTH_PERM_BY</vt:lpstr>
      <vt:lpstr>AGAH000100col_HEALTH_PERM_CHG</vt:lpstr>
      <vt:lpstr>AGAH000100col_INC_FTI</vt:lpstr>
      <vt:lpstr>AGAH000100col_LIFE_INS</vt:lpstr>
      <vt:lpstr>AGAH000100col_LIFE_INS_BY</vt:lpstr>
      <vt:lpstr>AGAH000100col_LIFE_INS_CHG</vt:lpstr>
      <vt:lpstr>AGAH000100col_RETIREMENT</vt:lpstr>
      <vt:lpstr>AGAH000100col_RETIREMENT_BY</vt:lpstr>
      <vt:lpstr>AGAH000100col_RETIREMENT_CHG</vt:lpstr>
      <vt:lpstr>AGAH000100col_ROWS_PER_PCN</vt:lpstr>
      <vt:lpstr>AGAH000100col_SICK</vt:lpstr>
      <vt:lpstr>AGAH000100col_SICK_BY</vt:lpstr>
      <vt:lpstr>AGAH000100col_SICK_CHG</vt:lpstr>
      <vt:lpstr>AGAH000100col_SSDI</vt:lpstr>
      <vt:lpstr>AGAH000100col_SSDI_BY</vt:lpstr>
      <vt:lpstr>AGAH000100col_SSDI_CHG</vt:lpstr>
      <vt:lpstr>AGAH000100col_SSHI</vt:lpstr>
      <vt:lpstr>AGAH000100col_SSHI_BY</vt:lpstr>
      <vt:lpstr>AGAH000100col_SSHI_CHGv</vt:lpstr>
      <vt:lpstr>AGAH000100col_TOT_VB_ELECT</vt:lpstr>
      <vt:lpstr>AGAH000100col_TOT_VB_ELECT_BY</vt:lpstr>
      <vt:lpstr>AGAH000100col_TOT_VB_ELECT_CHG</vt:lpstr>
      <vt:lpstr>AGAH000100col_TOT_VB_PERM</vt:lpstr>
      <vt:lpstr>AGAH000100col_TOT_VB_PERM_BY</vt:lpstr>
      <vt:lpstr>AGAH000100col_TOT_VB_PERM_CHG</vt:lpstr>
      <vt:lpstr>AGAH000100col_TOTAL_ELECT_PCN_FTI</vt:lpstr>
      <vt:lpstr>AGAH000100col_TOTAL_ELECT_PCN_FTI_ALT</vt:lpstr>
      <vt:lpstr>AGAH000100col_TOTAL_PERM_PCN_FTI</vt:lpstr>
      <vt:lpstr>AGAH000100col_UNEMP_INS</vt:lpstr>
      <vt:lpstr>AGAH000100col_UNEMP_INS_BY</vt:lpstr>
      <vt:lpstr>AGAH000100col_UNEMP_INS_CHG</vt:lpstr>
      <vt:lpstr>AGAH000100col_WORKERS_COMP</vt:lpstr>
      <vt:lpstr>AGAH000100col_WORKERS_COMP_BY</vt:lpstr>
      <vt:lpstr>AGAH000100col_WORKERS_COMP_CHG</vt:lpstr>
      <vt:lpstr>AGAH033203col_1_27TH_PP</vt:lpstr>
      <vt:lpstr>AGAH033203col_DHR</vt:lpstr>
      <vt:lpstr>AGAH033203col_DHR_BY</vt:lpstr>
      <vt:lpstr>AGAH033203col_DHR_CHG</vt:lpstr>
      <vt:lpstr>AGAH033203col_FTI_SALARY_ELECT</vt:lpstr>
      <vt:lpstr>AGAH033203col_FTI_SALARY_PERM</vt:lpstr>
      <vt:lpstr>AGAH033203col_FTI_SALARY_SSDI</vt:lpstr>
      <vt:lpstr>AGAH033203col_Group_Ben</vt:lpstr>
      <vt:lpstr>AGAH033203col_Group_Salary</vt:lpstr>
      <vt:lpstr>AGAH033203col_HEALTH_ELECT</vt:lpstr>
      <vt:lpstr>AGAH033203col_HEALTH_ELECT_BY</vt:lpstr>
      <vt:lpstr>AGAH033203col_HEALTH_ELECT_CHG</vt:lpstr>
      <vt:lpstr>AGAH033203col_HEALTH_PERM</vt:lpstr>
      <vt:lpstr>AGAH033203col_HEALTH_PERM_BY</vt:lpstr>
      <vt:lpstr>AGAH033203col_HEALTH_PERM_CHG</vt:lpstr>
      <vt:lpstr>AGAH033203col_INC_FTI</vt:lpstr>
      <vt:lpstr>AGAH033203col_LIFE_INS</vt:lpstr>
      <vt:lpstr>AGAH033203col_LIFE_INS_BY</vt:lpstr>
      <vt:lpstr>AGAH033203col_LIFE_INS_CHG</vt:lpstr>
      <vt:lpstr>AGAH033203col_RETIREMENT</vt:lpstr>
      <vt:lpstr>AGAH033203col_RETIREMENT_BY</vt:lpstr>
      <vt:lpstr>AGAH033203col_RETIREMENT_CHG</vt:lpstr>
      <vt:lpstr>AGAH033203col_ROWS_PER_PCN</vt:lpstr>
      <vt:lpstr>AGAH033203col_SICK</vt:lpstr>
      <vt:lpstr>AGAH033203col_SICK_BY</vt:lpstr>
      <vt:lpstr>AGAH033203col_SICK_CHG</vt:lpstr>
      <vt:lpstr>AGAH033203col_SSDI</vt:lpstr>
      <vt:lpstr>AGAH033203col_SSDI_BY</vt:lpstr>
      <vt:lpstr>AGAH033203col_SSDI_CHG</vt:lpstr>
      <vt:lpstr>AGAH033203col_SSHI</vt:lpstr>
      <vt:lpstr>AGAH033203col_SSHI_BY</vt:lpstr>
      <vt:lpstr>AGAH033203col_SSHI_CHGv</vt:lpstr>
      <vt:lpstr>AGAH033203col_TOT_VB_ELECT</vt:lpstr>
      <vt:lpstr>AGAH033203col_TOT_VB_ELECT_BY</vt:lpstr>
      <vt:lpstr>AGAH033203col_TOT_VB_ELECT_CHG</vt:lpstr>
      <vt:lpstr>AGAH033203col_TOT_VB_PERM</vt:lpstr>
      <vt:lpstr>AGAH033203col_TOT_VB_PERM_BY</vt:lpstr>
      <vt:lpstr>AGAH033203col_TOT_VB_PERM_CHG</vt:lpstr>
      <vt:lpstr>AGAH033203col_TOTAL_ELECT_PCN_FTI</vt:lpstr>
      <vt:lpstr>AGAH033203col_TOTAL_ELECT_PCN_FTI_ALT</vt:lpstr>
      <vt:lpstr>AGAH033203col_TOTAL_PERM_PCN_FTI</vt:lpstr>
      <vt:lpstr>AGAH033203col_UNEMP_INS</vt:lpstr>
      <vt:lpstr>AGAH033203col_UNEMP_INS_BY</vt:lpstr>
      <vt:lpstr>AGAH033203col_UNEMP_INS_CHG</vt:lpstr>
      <vt:lpstr>AGAH033203col_WORKERS_COMP</vt:lpstr>
      <vt:lpstr>AGAH033203col_WORKERS_COMP_BY</vt:lpstr>
      <vt:lpstr>AGAH033203col_WORKERS_COMP_CHG</vt:lpstr>
      <vt:lpstr>AGAK033100col_1_27TH_PP</vt:lpstr>
      <vt:lpstr>AGAK033100col_DHR</vt:lpstr>
      <vt:lpstr>AGAK033100col_DHR_BY</vt:lpstr>
      <vt:lpstr>AGAK033100col_DHR_CHG</vt:lpstr>
      <vt:lpstr>AGAK033100col_FTI_SALARY_ELECT</vt:lpstr>
      <vt:lpstr>AGAK033100col_FTI_SALARY_PERM</vt:lpstr>
      <vt:lpstr>AGAK033100col_FTI_SALARY_SSDI</vt:lpstr>
      <vt:lpstr>AGAK033100col_Group_Ben</vt:lpstr>
      <vt:lpstr>AGAK033100col_Group_Salary</vt:lpstr>
      <vt:lpstr>AGAK033100col_HEALTH_ELECT</vt:lpstr>
      <vt:lpstr>AGAK033100col_HEALTH_ELECT_BY</vt:lpstr>
      <vt:lpstr>AGAK033100col_HEALTH_ELECT_CHG</vt:lpstr>
      <vt:lpstr>AGAK033100col_HEALTH_PERM</vt:lpstr>
      <vt:lpstr>AGAK033100col_HEALTH_PERM_BY</vt:lpstr>
      <vt:lpstr>AGAK033100col_HEALTH_PERM_CHG</vt:lpstr>
      <vt:lpstr>AGAK033100col_INC_FTI</vt:lpstr>
      <vt:lpstr>AGAK033100col_LIFE_INS</vt:lpstr>
      <vt:lpstr>AGAK033100col_LIFE_INS_BY</vt:lpstr>
      <vt:lpstr>AGAK033100col_LIFE_INS_CHG</vt:lpstr>
      <vt:lpstr>AGAK033100col_RETIREMENT</vt:lpstr>
      <vt:lpstr>AGAK033100col_RETIREMENT_BY</vt:lpstr>
      <vt:lpstr>AGAK033100col_RETIREMENT_CHG</vt:lpstr>
      <vt:lpstr>AGAK033100col_ROWS_PER_PCN</vt:lpstr>
      <vt:lpstr>AGAK033100col_SICK</vt:lpstr>
      <vt:lpstr>AGAK033100col_SICK_BY</vt:lpstr>
      <vt:lpstr>AGAK033100col_SICK_CHG</vt:lpstr>
      <vt:lpstr>AGAK033100col_SSDI</vt:lpstr>
      <vt:lpstr>AGAK033100col_SSDI_BY</vt:lpstr>
      <vt:lpstr>AGAK033100col_SSDI_CHG</vt:lpstr>
      <vt:lpstr>AGAK033100col_SSHI</vt:lpstr>
      <vt:lpstr>AGAK033100col_SSHI_BY</vt:lpstr>
      <vt:lpstr>AGAK033100col_SSHI_CHGv</vt:lpstr>
      <vt:lpstr>AGAK033100col_TOT_VB_ELECT</vt:lpstr>
      <vt:lpstr>AGAK033100col_TOT_VB_ELECT_BY</vt:lpstr>
      <vt:lpstr>AGAK033100col_TOT_VB_ELECT_CHG</vt:lpstr>
      <vt:lpstr>AGAK033100col_TOT_VB_PERM</vt:lpstr>
      <vt:lpstr>AGAK033100col_TOT_VB_PERM_BY</vt:lpstr>
      <vt:lpstr>AGAK033100col_TOT_VB_PERM_CHG</vt:lpstr>
      <vt:lpstr>AGAK033100col_TOTAL_ELECT_PCN_FTI</vt:lpstr>
      <vt:lpstr>AGAK033100col_TOTAL_ELECT_PCN_FTI_ALT</vt:lpstr>
      <vt:lpstr>AGAK033100col_TOTAL_PERM_PCN_FTI</vt:lpstr>
      <vt:lpstr>AGAK033100col_UNEMP_INS</vt:lpstr>
      <vt:lpstr>AGAK033100col_UNEMP_INS_BY</vt:lpstr>
      <vt:lpstr>AGAK033100col_UNEMP_INS_CHG</vt:lpstr>
      <vt:lpstr>AGAK033100col_WORKERS_COMP</vt:lpstr>
      <vt:lpstr>AGAK033100col_WORKERS_COMP_BY</vt:lpstr>
      <vt:lpstr>AGAK033100col_WORKERS_COMP_CHG</vt:lpstr>
      <vt:lpstr>AGAL048600col_1_27TH_PP</vt:lpstr>
      <vt:lpstr>AGAL048600col_DHR</vt:lpstr>
      <vt:lpstr>AGAL048600col_DHR_BY</vt:lpstr>
      <vt:lpstr>AGAL048600col_DHR_CHG</vt:lpstr>
      <vt:lpstr>AGAL048600col_FTI_SALARY_ELECT</vt:lpstr>
      <vt:lpstr>AGAL048600col_FTI_SALARY_PERM</vt:lpstr>
      <vt:lpstr>AGAL048600col_FTI_SALARY_SSDI</vt:lpstr>
      <vt:lpstr>AGAL048600col_Group_Ben</vt:lpstr>
      <vt:lpstr>AGAL048600col_Group_Salary</vt:lpstr>
      <vt:lpstr>AGAL048600col_HEALTH_ELECT</vt:lpstr>
      <vt:lpstr>AGAL048600col_HEALTH_ELECT_BY</vt:lpstr>
      <vt:lpstr>AGAL048600col_HEALTH_ELECT_CHG</vt:lpstr>
      <vt:lpstr>AGAL048600col_HEALTH_PERM</vt:lpstr>
      <vt:lpstr>AGAL048600col_HEALTH_PERM_BY</vt:lpstr>
      <vt:lpstr>AGAL048600col_HEALTH_PERM_CHG</vt:lpstr>
      <vt:lpstr>AGAL048600col_INC_FTI</vt:lpstr>
      <vt:lpstr>AGAL048600col_LIFE_INS</vt:lpstr>
      <vt:lpstr>AGAL048600col_LIFE_INS_BY</vt:lpstr>
      <vt:lpstr>AGAL048600col_LIFE_INS_CHG</vt:lpstr>
      <vt:lpstr>AGAL048600col_RETIREMENT</vt:lpstr>
      <vt:lpstr>AGAL048600col_RETIREMENT_BY</vt:lpstr>
      <vt:lpstr>AGAL048600col_RETIREMENT_CHG</vt:lpstr>
      <vt:lpstr>AGAL048600col_ROWS_PER_PCN</vt:lpstr>
      <vt:lpstr>AGAL048600col_SICK</vt:lpstr>
      <vt:lpstr>AGAL048600col_SICK_BY</vt:lpstr>
      <vt:lpstr>AGAL048600col_SICK_CHG</vt:lpstr>
      <vt:lpstr>AGAL048600col_SSDI</vt:lpstr>
      <vt:lpstr>AGAL048600col_SSDI_BY</vt:lpstr>
      <vt:lpstr>AGAL048600col_SSDI_CHG</vt:lpstr>
      <vt:lpstr>AGAL048600col_SSHI</vt:lpstr>
      <vt:lpstr>AGAL048600col_SSHI_BY</vt:lpstr>
      <vt:lpstr>AGAL048600col_SSHI_CHGv</vt:lpstr>
      <vt:lpstr>AGAL048600col_TOT_VB_ELECT</vt:lpstr>
      <vt:lpstr>AGAL048600col_TOT_VB_ELECT_BY</vt:lpstr>
      <vt:lpstr>AGAL048600col_TOT_VB_ELECT_CHG</vt:lpstr>
      <vt:lpstr>AGAL048600col_TOT_VB_PERM</vt:lpstr>
      <vt:lpstr>AGAL048600col_TOT_VB_PERM_BY</vt:lpstr>
      <vt:lpstr>AGAL048600col_TOT_VB_PERM_CHG</vt:lpstr>
      <vt:lpstr>AGAL048600col_TOTAL_ELECT_PCN_FTI</vt:lpstr>
      <vt:lpstr>AGAL048600col_TOTAL_ELECT_PCN_FTI_ALT</vt:lpstr>
      <vt:lpstr>AGAL048600col_TOTAL_PERM_PCN_FTI</vt:lpstr>
      <vt:lpstr>AGAL048600col_UNEMP_INS</vt:lpstr>
      <vt:lpstr>AGAL048600col_UNEMP_INS_BY</vt:lpstr>
      <vt:lpstr>AGAL048600col_UNEMP_INS_CHG</vt:lpstr>
      <vt:lpstr>AGAL048600col_WORKERS_COMP</vt:lpstr>
      <vt:lpstr>AGAL048600col_WORKERS_COMP_BY</vt:lpstr>
      <vt:lpstr>AGAL048600col_WORKERS_COMP_CHG</vt:lpstr>
      <vt:lpstr>AGAM034800col_1_27TH_PP</vt:lpstr>
      <vt:lpstr>AGAM034800col_DHR</vt:lpstr>
      <vt:lpstr>AGAM034800col_DHR_BY</vt:lpstr>
      <vt:lpstr>AGAM034800col_DHR_CHG</vt:lpstr>
      <vt:lpstr>AGAM034800col_FTI_SALARY_ELECT</vt:lpstr>
      <vt:lpstr>AGAM034800col_FTI_SALARY_PERM</vt:lpstr>
      <vt:lpstr>AGAM034800col_FTI_SALARY_SSDI</vt:lpstr>
      <vt:lpstr>AGAM034800col_Group_Ben</vt:lpstr>
      <vt:lpstr>AGAM034800col_Group_Salary</vt:lpstr>
      <vt:lpstr>AGAM034800col_HEALTH_ELECT</vt:lpstr>
      <vt:lpstr>AGAM034800col_HEALTH_ELECT_BY</vt:lpstr>
      <vt:lpstr>AGAM034800col_HEALTH_ELECT_CHG</vt:lpstr>
      <vt:lpstr>AGAM034800col_HEALTH_PERM</vt:lpstr>
      <vt:lpstr>AGAM034800col_HEALTH_PERM_BY</vt:lpstr>
      <vt:lpstr>AGAM034800col_HEALTH_PERM_CHG</vt:lpstr>
      <vt:lpstr>AGAM034800col_INC_FTI</vt:lpstr>
      <vt:lpstr>AGAM034800col_LIFE_INS</vt:lpstr>
      <vt:lpstr>AGAM034800col_LIFE_INS_BY</vt:lpstr>
      <vt:lpstr>AGAM034800col_LIFE_INS_CHG</vt:lpstr>
      <vt:lpstr>AGAM034800col_RETIREMENT</vt:lpstr>
      <vt:lpstr>AGAM034800col_RETIREMENT_BY</vt:lpstr>
      <vt:lpstr>AGAM034800col_RETIREMENT_CHG</vt:lpstr>
      <vt:lpstr>AGAM034800col_ROWS_PER_PCN</vt:lpstr>
      <vt:lpstr>AGAM034800col_SICK</vt:lpstr>
      <vt:lpstr>AGAM034800col_SICK_BY</vt:lpstr>
      <vt:lpstr>AGAM034800col_SICK_CHG</vt:lpstr>
      <vt:lpstr>AGAM034800col_SSDI</vt:lpstr>
      <vt:lpstr>AGAM034800col_SSDI_BY</vt:lpstr>
      <vt:lpstr>AGAM034800col_SSDI_CHG</vt:lpstr>
      <vt:lpstr>AGAM034800col_SSHI</vt:lpstr>
      <vt:lpstr>AGAM034800col_SSHI_BY</vt:lpstr>
      <vt:lpstr>AGAM034800col_SSHI_CHGv</vt:lpstr>
      <vt:lpstr>AGAM034800col_TOT_VB_ELECT</vt:lpstr>
      <vt:lpstr>AGAM034800col_TOT_VB_ELECT_BY</vt:lpstr>
      <vt:lpstr>AGAM034800col_TOT_VB_ELECT_CHG</vt:lpstr>
      <vt:lpstr>AGAM034800col_TOT_VB_PERM</vt:lpstr>
      <vt:lpstr>AGAM034800col_TOT_VB_PERM_BY</vt:lpstr>
      <vt:lpstr>AGAM034800col_TOT_VB_PERM_CHG</vt:lpstr>
      <vt:lpstr>AGAM034800col_TOTAL_ELECT_PCN_FTI</vt:lpstr>
      <vt:lpstr>AGAM034800col_TOTAL_ELECT_PCN_FTI_ALT</vt:lpstr>
      <vt:lpstr>AGAM034800col_TOTAL_PERM_PCN_FTI</vt:lpstr>
      <vt:lpstr>AGAM034800col_UNEMP_INS</vt:lpstr>
      <vt:lpstr>AGAM034800col_UNEMP_INS_BY</vt:lpstr>
      <vt:lpstr>AGAM034800col_UNEMP_INS_CHG</vt:lpstr>
      <vt:lpstr>AGAM034800col_WORKERS_COMP</vt:lpstr>
      <vt:lpstr>AGAM034800col_WORKERS_COMP_BY</vt:lpstr>
      <vt:lpstr>AGAM034800col_WORKERS_COMP_CHG</vt:lpstr>
      <vt:lpstr>AGAM040303col_1_27TH_PP</vt:lpstr>
      <vt:lpstr>AGAM040303col_DHR</vt:lpstr>
      <vt:lpstr>AGAM040303col_DHR_BY</vt:lpstr>
      <vt:lpstr>AGAM040303col_DHR_CHG</vt:lpstr>
      <vt:lpstr>AGAM040303col_FTI_SALARY_ELECT</vt:lpstr>
      <vt:lpstr>AGAM040303col_FTI_SALARY_PERM</vt:lpstr>
      <vt:lpstr>AGAM040303col_FTI_SALARY_SSDI</vt:lpstr>
      <vt:lpstr>AGAM040303col_Group_Ben</vt:lpstr>
      <vt:lpstr>AGAM040303col_Group_Salary</vt:lpstr>
      <vt:lpstr>AGAM040303col_HEALTH_ELECT</vt:lpstr>
      <vt:lpstr>AGAM040303col_HEALTH_ELECT_BY</vt:lpstr>
      <vt:lpstr>AGAM040303col_HEALTH_ELECT_CHG</vt:lpstr>
      <vt:lpstr>AGAM040303col_HEALTH_PERM</vt:lpstr>
      <vt:lpstr>AGAM040303col_HEALTH_PERM_BY</vt:lpstr>
      <vt:lpstr>AGAM040303col_HEALTH_PERM_CHG</vt:lpstr>
      <vt:lpstr>AGAM040303col_INC_FTI</vt:lpstr>
      <vt:lpstr>AGAM040303col_LIFE_INS</vt:lpstr>
      <vt:lpstr>AGAM040303col_LIFE_INS_BY</vt:lpstr>
      <vt:lpstr>AGAM040303col_LIFE_INS_CHG</vt:lpstr>
      <vt:lpstr>AGAM040303col_RETIREMENT</vt:lpstr>
      <vt:lpstr>AGAM040303col_RETIREMENT_BY</vt:lpstr>
      <vt:lpstr>AGAM040303col_RETIREMENT_CHG</vt:lpstr>
      <vt:lpstr>AGAM040303col_ROWS_PER_PCN</vt:lpstr>
      <vt:lpstr>AGAM040303col_SICK</vt:lpstr>
      <vt:lpstr>AGAM040303col_SICK_BY</vt:lpstr>
      <vt:lpstr>AGAM040303col_SICK_CHG</vt:lpstr>
      <vt:lpstr>AGAM040303col_SSDI</vt:lpstr>
      <vt:lpstr>AGAM040303col_SSDI_BY</vt:lpstr>
      <vt:lpstr>AGAM040303col_SSDI_CHG</vt:lpstr>
      <vt:lpstr>AGAM040303col_SSHI</vt:lpstr>
      <vt:lpstr>AGAM040303col_SSHI_BY</vt:lpstr>
      <vt:lpstr>AGAM040303col_SSHI_CHGv</vt:lpstr>
      <vt:lpstr>AGAM040303col_TOT_VB_ELECT</vt:lpstr>
      <vt:lpstr>AGAM040303col_TOT_VB_ELECT_BY</vt:lpstr>
      <vt:lpstr>AGAM040303col_TOT_VB_ELECT_CHG</vt:lpstr>
      <vt:lpstr>AGAM040303col_TOT_VB_PERM</vt:lpstr>
      <vt:lpstr>AGAM040303col_TOT_VB_PERM_BY</vt:lpstr>
      <vt:lpstr>AGAM040303col_TOT_VB_PERM_CHG</vt:lpstr>
      <vt:lpstr>AGAM040303col_TOTAL_ELECT_PCN_FTI</vt:lpstr>
      <vt:lpstr>AGAM040303col_TOTAL_ELECT_PCN_FTI_ALT</vt:lpstr>
      <vt:lpstr>AGAM040303col_TOTAL_PERM_PCN_FTI</vt:lpstr>
      <vt:lpstr>AGAM040303col_UNEMP_INS</vt:lpstr>
      <vt:lpstr>AGAM040303col_UNEMP_INS_BY</vt:lpstr>
      <vt:lpstr>AGAM040303col_UNEMP_INS_CHG</vt:lpstr>
      <vt:lpstr>AGAM040303col_WORKERS_COMP</vt:lpstr>
      <vt:lpstr>AGAM040303col_WORKERS_COMP_BY</vt:lpstr>
      <vt:lpstr>AGAM040303col_WORKERS_COMP_CHG</vt:lpstr>
      <vt:lpstr>AGAN049101col_1_27TH_PP</vt:lpstr>
      <vt:lpstr>AGAN049101col_DHR</vt:lpstr>
      <vt:lpstr>AGAN049101col_DHR_BY</vt:lpstr>
      <vt:lpstr>AGAN049101col_DHR_CHG</vt:lpstr>
      <vt:lpstr>AGAN049101col_FTI_SALARY_ELECT</vt:lpstr>
      <vt:lpstr>AGAN049101col_FTI_SALARY_PERM</vt:lpstr>
      <vt:lpstr>AGAN049101col_FTI_SALARY_SSDI</vt:lpstr>
      <vt:lpstr>AGAN049101col_Group_Ben</vt:lpstr>
      <vt:lpstr>AGAN049101col_Group_Salary</vt:lpstr>
      <vt:lpstr>AGAN049101col_HEALTH_ELECT</vt:lpstr>
      <vt:lpstr>AGAN049101col_HEALTH_ELECT_BY</vt:lpstr>
      <vt:lpstr>AGAN049101col_HEALTH_ELECT_CHG</vt:lpstr>
      <vt:lpstr>AGAN049101col_HEALTH_PERM</vt:lpstr>
      <vt:lpstr>AGAN049101col_HEALTH_PERM_BY</vt:lpstr>
      <vt:lpstr>AGAN049101col_HEALTH_PERM_CHG</vt:lpstr>
      <vt:lpstr>AGAN049101col_INC_FTI</vt:lpstr>
      <vt:lpstr>AGAN049101col_LIFE_INS</vt:lpstr>
      <vt:lpstr>AGAN049101col_LIFE_INS_BY</vt:lpstr>
      <vt:lpstr>AGAN049101col_LIFE_INS_CHG</vt:lpstr>
      <vt:lpstr>AGAN049101col_RETIREMENT</vt:lpstr>
      <vt:lpstr>AGAN049101col_RETIREMENT_BY</vt:lpstr>
      <vt:lpstr>AGAN049101col_RETIREMENT_CHG</vt:lpstr>
      <vt:lpstr>AGAN049101col_ROWS_PER_PCN</vt:lpstr>
      <vt:lpstr>AGAN049101col_SICK</vt:lpstr>
      <vt:lpstr>AGAN049101col_SICK_BY</vt:lpstr>
      <vt:lpstr>AGAN049101col_SICK_CHG</vt:lpstr>
      <vt:lpstr>AGAN049101col_SSDI</vt:lpstr>
      <vt:lpstr>AGAN049101col_SSDI_BY</vt:lpstr>
      <vt:lpstr>AGAN049101col_SSDI_CHG</vt:lpstr>
      <vt:lpstr>AGAN049101col_SSHI</vt:lpstr>
      <vt:lpstr>AGAN049101col_SSHI_BY</vt:lpstr>
      <vt:lpstr>AGAN049101col_SSHI_CHGv</vt:lpstr>
      <vt:lpstr>AGAN049101col_TOT_VB_ELECT</vt:lpstr>
      <vt:lpstr>AGAN049101col_TOT_VB_ELECT_BY</vt:lpstr>
      <vt:lpstr>AGAN049101col_TOT_VB_ELECT_CHG</vt:lpstr>
      <vt:lpstr>AGAN049101col_TOT_VB_PERM</vt:lpstr>
      <vt:lpstr>AGAN049101col_TOT_VB_PERM_BY</vt:lpstr>
      <vt:lpstr>AGAN049101col_TOT_VB_PERM_CHG</vt:lpstr>
      <vt:lpstr>AGAN049101col_TOTAL_ELECT_PCN_FTI</vt:lpstr>
      <vt:lpstr>AGAN049101col_TOTAL_ELECT_PCN_FTI_ALT</vt:lpstr>
      <vt:lpstr>AGAN049101col_TOTAL_PERM_PCN_FTI</vt:lpstr>
      <vt:lpstr>AGAN049101col_UNEMP_INS</vt:lpstr>
      <vt:lpstr>AGAN049101col_UNEMP_INS_BY</vt:lpstr>
      <vt:lpstr>AGAN049101col_UNEMP_INS_CHG</vt:lpstr>
      <vt:lpstr>AGAN049101col_WORKERS_COMP</vt:lpstr>
      <vt:lpstr>AGAN049101col_WORKERS_COMP_BY</vt:lpstr>
      <vt:lpstr>AGAN049101col_WORKERS_COMP_CHG</vt:lpstr>
      <vt:lpstr>AGAN049102col_1_27TH_PP</vt:lpstr>
      <vt:lpstr>AGAN049102col_DHR</vt:lpstr>
      <vt:lpstr>AGAN049102col_DHR_BY</vt:lpstr>
      <vt:lpstr>AGAN049102col_DHR_CHG</vt:lpstr>
      <vt:lpstr>AGAN049102col_FTI_SALARY_ELECT</vt:lpstr>
      <vt:lpstr>AGAN049102col_FTI_SALARY_PERM</vt:lpstr>
      <vt:lpstr>AGAN049102col_FTI_SALARY_SSDI</vt:lpstr>
      <vt:lpstr>AGAN049102col_Group_Ben</vt:lpstr>
      <vt:lpstr>AGAN049102col_Group_Salary</vt:lpstr>
      <vt:lpstr>AGAN049102col_HEALTH_ELECT</vt:lpstr>
      <vt:lpstr>AGAN049102col_HEALTH_ELECT_BY</vt:lpstr>
      <vt:lpstr>AGAN049102col_HEALTH_ELECT_CHG</vt:lpstr>
      <vt:lpstr>AGAN049102col_HEALTH_PERM</vt:lpstr>
      <vt:lpstr>AGAN049102col_HEALTH_PERM_BY</vt:lpstr>
      <vt:lpstr>AGAN049102col_HEALTH_PERM_CHG</vt:lpstr>
      <vt:lpstr>AGAN049102col_INC_FTI</vt:lpstr>
      <vt:lpstr>AGAN049102col_LIFE_INS</vt:lpstr>
      <vt:lpstr>AGAN049102col_LIFE_INS_BY</vt:lpstr>
      <vt:lpstr>AGAN049102col_LIFE_INS_CHG</vt:lpstr>
      <vt:lpstr>AGAN049102col_RETIREMENT</vt:lpstr>
      <vt:lpstr>AGAN049102col_RETIREMENT_BY</vt:lpstr>
      <vt:lpstr>AGAN049102col_RETIREMENT_CHG</vt:lpstr>
      <vt:lpstr>AGAN049102col_ROWS_PER_PCN</vt:lpstr>
      <vt:lpstr>AGAN049102col_SICK</vt:lpstr>
      <vt:lpstr>AGAN049102col_SICK_BY</vt:lpstr>
      <vt:lpstr>AGAN049102col_SICK_CHG</vt:lpstr>
      <vt:lpstr>AGAN049102col_SSDI</vt:lpstr>
      <vt:lpstr>AGAN049102col_SSDI_BY</vt:lpstr>
      <vt:lpstr>AGAN049102col_SSDI_CHG</vt:lpstr>
      <vt:lpstr>AGAN049102col_SSHI</vt:lpstr>
      <vt:lpstr>AGAN049102col_SSHI_BY</vt:lpstr>
      <vt:lpstr>AGAN049102col_SSHI_CHGv</vt:lpstr>
      <vt:lpstr>AGAN049102col_TOT_VB_ELECT</vt:lpstr>
      <vt:lpstr>AGAN049102col_TOT_VB_ELECT_BY</vt:lpstr>
      <vt:lpstr>AGAN049102col_TOT_VB_ELECT_CHG</vt:lpstr>
      <vt:lpstr>AGAN049102col_TOT_VB_PERM</vt:lpstr>
      <vt:lpstr>AGAN049102col_TOT_VB_PERM_BY</vt:lpstr>
      <vt:lpstr>AGAN049102col_TOT_VB_PERM_CHG</vt:lpstr>
      <vt:lpstr>AGAN049102col_TOTAL_ELECT_PCN_FTI</vt:lpstr>
      <vt:lpstr>AGAN049102col_TOTAL_ELECT_PCN_FTI_ALT</vt:lpstr>
      <vt:lpstr>AGAN049102col_TOTAL_PERM_PCN_FTI</vt:lpstr>
      <vt:lpstr>AGAN049102col_UNEMP_INS</vt:lpstr>
      <vt:lpstr>AGAN049102col_UNEMP_INS_BY</vt:lpstr>
      <vt:lpstr>AGAN049102col_UNEMP_INS_CHG</vt:lpstr>
      <vt:lpstr>AGAN049102col_WORKERS_COMP</vt:lpstr>
      <vt:lpstr>AGAN049102col_WORKERS_COMP_BY</vt:lpstr>
      <vt:lpstr>AGAN049102col_WORKERS_COMP_CHG</vt:lpstr>
      <vt:lpstr>AGAO033000col_1_27TH_PP</vt:lpstr>
      <vt:lpstr>AGAO033000col_DHR</vt:lpstr>
      <vt:lpstr>AGAO033000col_DHR_BY</vt:lpstr>
      <vt:lpstr>AGAO033000col_DHR_CHG</vt:lpstr>
      <vt:lpstr>AGAO033000col_FTI_SALARY_ELECT</vt:lpstr>
      <vt:lpstr>AGAO033000col_FTI_SALARY_PERM</vt:lpstr>
      <vt:lpstr>AGAO033000col_FTI_SALARY_SSDI</vt:lpstr>
      <vt:lpstr>AGAO033000col_Group_Ben</vt:lpstr>
      <vt:lpstr>AGAO033000col_Group_Salary</vt:lpstr>
      <vt:lpstr>AGAO033000col_HEALTH_ELECT</vt:lpstr>
      <vt:lpstr>AGAO033000col_HEALTH_ELECT_BY</vt:lpstr>
      <vt:lpstr>AGAO033000col_HEALTH_ELECT_CHG</vt:lpstr>
      <vt:lpstr>AGAO033000col_HEALTH_PERM</vt:lpstr>
      <vt:lpstr>AGAO033000col_HEALTH_PERM_BY</vt:lpstr>
      <vt:lpstr>AGAO033000col_HEALTH_PERM_CHG</vt:lpstr>
      <vt:lpstr>AGAO033000col_INC_FTI</vt:lpstr>
      <vt:lpstr>AGAO033000col_LIFE_INS</vt:lpstr>
      <vt:lpstr>AGAO033000col_LIFE_INS_BY</vt:lpstr>
      <vt:lpstr>AGAO033000col_LIFE_INS_CHG</vt:lpstr>
      <vt:lpstr>AGAO033000col_RETIREMENT</vt:lpstr>
      <vt:lpstr>AGAO033000col_RETIREMENT_BY</vt:lpstr>
      <vt:lpstr>AGAO033000col_RETIREMENT_CHG</vt:lpstr>
      <vt:lpstr>AGAO033000col_ROWS_PER_PCN</vt:lpstr>
      <vt:lpstr>AGAO033000col_SICK</vt:lpstr>
      <vt:lpstr>AGAO033000col_SICK_BY</vt:lpstr>
      <vt:lpstr>AGAO033000col_SICK_CHG</vt:lpstr>
      <vt:lpstr>AGAO033000col_SSDI</vt:lpstr>
      <vt:lpstr>AGAO033000col_SSDI_BY</vt:lpstr>
      <vt:lpstr>AGAO033000col_SSDI_CHG</vt:lpstr>
      <vt:lpstr>AGAO033000col_SSHI</vt:lpstr>
      <vt:lpstr>AGAO033000col_SSHI_BY</vt:lpstr>
      <vt:lpstr>AGAO033000col_SSHI_CHGv</vt:lpstr>
      <vt:lpstr>AGAO033000col_TOT_VB_ELECT</vt:lpstr>
      <vt:lpstr>AGAO033000col_TOT_VB_ELECT_BY</vt:lpstr>
      <vt:lpstr>AGAO033000col_TOT_VB_ELECT_CHG</vt:lpstr>
      <vt:lpstr>AGAO033000col_TOT_VB_PERM</vt:lpstr>
      <vt:lpstr>AGAO033000col_TOT_VB_PERM_BY</vt:lpstr>
      <vt:lpstr>AGAO033000col_TOT_VB_PERM_CHG</vt:lpstr>
      <vt:lpstr>AGAO033000col_TOTAL_ELECT_PCN_FTI</vt:lpstr>
      <vt:lpstr>AGAO033000col_TOTAL_ELECT_PCN_FTI_ALT</vt:lpstr>
      <vt:lpstr>AGAO033000col_TOTAL_PERM_PCN_FTI</vt:lpstr>
      <vt:lpstr>AGAO033000col_UNEMP_INS</vt:lpstr>
      <vt:lpstr>AGAO033000col_UNEMP_INS_BY</vt:lpstr>
      <vt:lpstr>AGAO033000col_UNEMP_INS_CHG</vt:lpstr>
      <vt:lpstr>AGAO033000col_WORKERS_COMP</vt:lpstr>
      <vt:lpstr>AGAO033000col_WORKERS_COMP_BY</vt:lpstr>
      <vt:lpstr>AGAO033000col_WORKERS_COMP_CHG</vt:lpstr>
      <vt:lpstr>AGAO033211col_1_27TH_PP</vt:lpstr>
      <vt:lpstr>AGAO033211col_DHR</vt:lpstr>
      <vt:lpstr>AGAO033211col_DHR_BY</vt:lpstr>
      <vt:lpstr>AGAO033211col_DHR_CHG</vt:lpstr>
      <vt:lpstr>AGAO033211col_FTI_SALARY_ELECT</vt:lpstr>
      <vt:lpstr>AGAO033211col_FTI_SALARY_PERM</vt:lpstr>
      <vt:lpstr>AGAO033211col_FTI_SALARY_SSDI</vt:lpstr>
      <vt:lpstr>AGAO033211col_Group_Ben</vt:lpstr>
      <vt:lpstr>AGAO033211col_Group_Salary</vt:lpstr>
      <vt:lpstr>AGAO033211col_HEALTH_ELECT</vt:lpstr>
      <vt:lpstr>AGAO033211col_HEALTH_ELECT_BY</vt:lpstr>
      <vt:lpstr>AGAO033211col_HEALTH_ELECT_CHG</vt:lpstr>
      <vt:lpstr>AGAO033211col_HEALTH_PERM</vt:lpstr>
      <vt:lpstr>AGAO033211col_HEALTH_PERM_BY</vt:lpstr>
      <vt:lpstr>AGAO033211col_HEALTH_PERM_CHG</vt:lpstr>
      <vt:lpstr>AGAO033211col_INC_FTI</vt:lpstr>
      <vt:lpstr>AGAO033211col_LIFE_INS</vt:lpstr>
      <vt:lpstr>AGAO033211col_LIFE_INS_BY</vt:lpstr>
      <vt:lpstr>AGAO033211col_LIFE_INS_CHG</vt:lpstr>
      <vt:lpstr>AGAO033211col_RETIREMENT</vt:lpstr>
      <vt:lpstr>AGAO033211col_RETIREMENT_BY</vt:lpstr>
      <vt:lpstr>AGAO033211col_RETIREMENT_CHG</vt:lpstr>
      <vt:lpstr>AGAO033211col_ROWS_PER_PCN</vt:lpstr>
      <vt:lpstr>AGAO033211col_SICK</vt:lpstr>
      <vt:lpstr>AGAO033211col_SICK_BY</vt:lpstr>
      <vt:lpstr>AGAO033211col_SICK_CHG</vt:lpstr>
      <vt:lpstr>AGAO033211col_SSDI</vt:lpstr>
      <vt:lpstr>AGAO033211col_SSDI_BY</vt:lpstr>
      <vt:lpstr>AGAO033211col_SSDI_CHG</vt:lpstr>
      <vt:lpstr>AGAO033211col_SSHI</vt:lpstr>
      <vt:lpstr>AGAO033211col_SSHI_BY</vt:lpstr>
      <vt:lpstr>AGAO033211col_SSHI_CHGv</vt:lpstr>
      <vt:lpstr>AGAO033211col_TOT_VB_ELECT</vt:lpstr>
      <vt:lpstr>AGAO033211col_TOT_VB_ELECT_BY</vt:lpstr>
      <vt:lpstr>AGAO033211col_TOT_VB_ELECT_CHG</vt:lpstr>
      <vt:lpstr>AGAO033211col_TOT_VB_PERM</vt:lpstr>
      <vt:lpstr>AGAO033211col_TOT_VB_PERM_BY</vt:lpstr>
      <vt:lpstr>AGAO033211col_TOT_VB_PERM_CHG</vt:lpstr>
      <vt:lpstr>AGAO033211col_TOTAL_ELECT_PCN_FTI</vt:lpstr>
      <vt:lpstr>AGAO033211col_TOTAL_ELECT_PCN_FTI_ALT</vt:lpstr>
      <vt:lpstr>AGAO033211col_TOTAL_PERM_PCN_FTI</vt:lpstr>
      <vt:lpstr>AGAO033211col_UNEMP_INS</vt:lpstr>
      <vt:lpstr>AGAO033211col_UNEMP_INS_BY</vt:lpstr>
      <vt:lpstr>AGAO033211col_UNEMP_INS_CHG</vt:lpstr>
      <vt:lpstr>AGAO033211col_WORKERS_COMP</vt:lpstr>
      <vt:lpstr>AGAO033211col_WORKERS_COMP_BY</vt:lpstr>
      <vt:lpstr>AGAO033211col_WORKERS_COMP_CHG</vt:lpstr>
      <vt:lpstr>AGAO033212col_1_27TH_PP</vt:lpstr>
      <vt:lpstr>AGAO033212col_DHR</vt:lpstr>
      <vt:lpstr>AGAO033212col_DHR_BY</vt:lpstr>
      <vt:lpstr>AGAO033212col_DHR_CHG</vt:lpstr>
      <vt:lpstr>AGAO033212col_FTI_SALARY_ELECT</vt:lpstr>
      <vt:lpstr>AGAO033212col_FTI_SALARY_PERM</vt:lpstr>
      <vt:lpstr>AGAO033212col_FTI_SALARY_SSDI</vt:lpstr>
      <vt:lpstr>AGAO033212col_Group_Ben</vt:lpstr>
      <vt:lpstr>AGAO033212col_Group_Salary</vt:lpstr>
      <vt:lpstr>AGAO033212col_HEALTH_ELECT</vt:lpstr>
      <vt:lpstr>AGAO033212col_HEALTH_ELECT_BY</vt:lpstr>
      <vt:lpstr>AGAO033212col_HEALTH_ELECT_CHG</vt:lpstr>
      <vt:lpstr>AGAO033212col_HEALTH_PERM</vt:lpstr>
      <vt:lpstr>AGAO033212col_HEALTH_PERM_BY</vt:lpstr>
      <vt:lpstr>AGAO033212col_HEALTH_PERM_CHG</vt:lpstr>
      <vt:lpstr>AGAO033212col_INC_FTI</vt:lpstr>
      <vt:lpstr>AGAO033212col_LIFE_INS</vt:lpstr>
      <vt:lpstr>AGAO033212col_LIFE_INS_BY</vt:lpstr>
      <vt:lpstr>AGAO033212col_LIFE_INS_CHG</vt:lpstr>
      <vt:lpstr>AGAO033212col_RETIREMENT</vt:lpstr>
      <vt:lpstr>AGAO033212col_RETIREMENT_BY</vt:lpstr>
      <vt:lpstr>AGAO033212col_RETIREMENT_CHG</vt:lpstr>
      <vt:lpstr>AGAO033212col_ROWS_PER_PCN</vt:lpstr>
      <vt:lpstr>AGAO033212col_SICK</vt:lpstr>
      <vt:lpstr>AGAO033212col_SICK_BY</vt:lpstr>
      <vt:lpstr>AGAO033212col_SICK_CHG</vt:lpstr>
      <vt:lpstr>AGAO033212col_SSDI</vt:lpstr>
      <vt:lpstr>AGAO033212col_SSDI_BY</vt:lpstr>
      <vt:lpstr>AGAO033212col_SSDI_CHG</vt:lpstr>
      <vt:lpstr>AGAO033212col_SSHI</vt:lpstr>
      <vt:lpstr>AGAO033212col_SSHI_BY</vt:lpstr>
      <vt:lpstr>AGAO033212col_SSHI_CHGv</vt:lpstr>
      <vt:lpstr>AGAO033212col_TOT_VB_ELECT</vt:lpstr>
      <vt:lpstr>AGAO033212col_TOT_VB_ELECT_BY</vt:lpstr>
      <vt:lpstr>AGAO033212col_TOT_VB_ELECT_CHG</vt:lpstr>
      <vt:lpstr>AGAO033212col_TOT_VB_PERM</vt:lpstr>
      <vt:lpstr>AGAO033212col_TOT_VB_PERM_BY</vt:lpstr>
      <vt:lpstr>AGAO033212col_TOT_VB_PERM_CHG</vt:lpstr>
      <vt:lpstr>AGAO033212col_TOTAL_ELECT_PCN_FTI</vt:lpstr>
      <vt:lpstr>AGAO033212col_TOTAL_ELECT_PCN_FTI_ALT</vt:lpstr>
      <vt:lpstr>AGAO033212col_TOTAL_PERM_PCN_FTI</vt:lpstr>
      <vt:lpstr>AGAO033212col_UNEMP_INS</vt:lpstr>
      <vt:lpstr>AGAO033212col_UNEMP_INS_BY</vt:lpstr>
      <vt:lpstr>AGAO033212col_UNEMP_INS_CHG</vt:lpstr>
      <vt:lpstr>AGAO033212col_WORKERS_COMP</vt:lpstr>
      <vt:lpstr>AGAO033212col_WORKERS_COMP_BY</vt:lpstr>
      <vt:lpstr>AGAO033212col_WORKERS_COMP_CHG</vt:lpstr>
      <vt:lpstr>AGAO034800col_1_27TH_PP</vt:lpstr>
      <vt:lpstr>AGAO034800col_DHR</vt:lpstr>
      <vt:lpstr>AGAO034800col_DHR_BY</vt:lpstr>
      <vt:lpstr>AGAO034800col_DHR_CHG</vt:lpstr>
      <vt:lpstr>AGAO034800col_FTI_SALARY_ELECT</vt:lpstr>
      <vt:lpstr>AGAO034800col_FTI_SALARY_PERM</vt:lpstr>
      <vt:lpstr>AGAO034800col_FTI_SALARY_SSDI</vt:lpstr>
      <vt:lpstr>AGAO034800col_Group_Ben</vt:lpstr>
      <vt:lpstr>AGAO034800col_Group_Salary</vt:lpstr>
      <vt:lpstr>AGAO034800col_HEALTH_ELECT</vt:lpstr>
      <vt:lpstr>AGAO034800col_HEALTH_ELECT_BY</vt:lpstr>
      <vt:lpstr>AGAO034800col_HEALTH_ELECT_CHG</vt:lpstr>
      <vt:lpstr>AGAO034800col_HEALTH_PERM</vt:lpstr>
      <vt:lpstr>AGAO034800col_HEALTH_PERM_BY</vt:lpstr>
      <vt:lpstr>AGAO034800col_HEALTH_PERM_CHG</vt:lpstr>
      <vt:lpstr>AGAO034800col_INC_FTI</vt:lpstr>
      <vt:lpstr>AGAO034800col_LIFE_INS</vt:lpstr>
      <vt:lpstr>AGAO034800col_LIFE_INS_BY</vt:lpstr>
      <vt:lpstr>AGAO034800col_LIFE_INS_CHG</vt:lpstr>
      <vt:lpstr>AGAO034800col_RETIREMENT</vt:lpstr>
      <vt:lpstr>AGAO034800col_RETIREMENT_BY</vt:lpstr>
      <vt:lpstr>AGAO034800col_RETIREMENT_CHG</vt:lpstr>
      <vt:lpstr>AGAO034800col_ROWS_PER_PCN</vt:lpstr>
      <vt:lpstr>AGAO034800col_SICK</vt:lpstr>
      <vt:lpstr>AGAO034800col_SICK_BY</vt:lpstr>
      <vt:lpstr>AGAO034800col_SICK_CHG</vt:lpstr>
      <vt:lpstr>AGAO034800col_SSDI</vt:lpstr>
      <vt:lpstr>AGAO034800col_SSDI_BY</vt:lpstr>
      <vt:lpstr>AGAO034800col_SSDI_CHG</vt:lpstr>
      <vt:lpstr>AGAO034800col_SSHI</vt:lpstr>
      <vt:lpstr>AGAO034800col_SSHI_BY</vt:lpstr>
      <vt:lpstr>AGAO034800col_SSHI_CHGv</vt:lpstr>
      <vt:lpstr>AGAO034800col_TOT_VB_ELECT</vt:lpstr>
      <vt:lpstr>AGAO034800col_TOT_VB_ELECT_BY</vt:lpstr>
      <vt:lpstr>AGAO034800col_TOT_VB_ELECT_CHG</vt:lpstr>
      <vt:lpstr>AGAO034800col_TOT_VB_PERM</vt:lpstr>
      <vt:lpstr>AGAO034800col_TOT_VB_PERM_BY</vt:lpstr>
      <vt:lpstr>AGAO034800col_TOT_VB_PERM_CHG</vt:lpstr>
      <vt:lpstr>AGAO034800col_TOTAL_ELECT_PCN_FTI</vt:lpstr>
      <vt:lpstr>AGAO034800col_TOTAL_ELECT_PCN_FTI_ALT</vt:lpstr>
      <vt:lpstr>AGAO034800col_TOTAL_PERM_PCN_FTI</vt:lpstr>
      <vt:lpstr>AGAO034800col_UNEMP_INS</vt:lpstr>
      <vt:lpstr>AGAO034800col_UNEMP_INS_BY</vt:lpstr>
      <vt:lpstr>AGAO034800col_UNEMP_INS_CHG</vt:lpstr>
      <vt:lpstr>AGAO034800col_WORKERS_COMP</vt:lpstr>
      <vt:lpstr>AGAO034800col_WORKERS_COMP_BY</vt:lpstr>
      <vt:lpstr>AGAO034800col_WORKERS_COMP_CHG</vt:lpstr>
      <vt:lpstr>AGAP034800col_1_27TH_PP</vt:lpstr>
      <vt:lpstr>AGAP034800col_DHR</vt:lpstr>
      <vt:lpstr>AGAP034800col_DHR_BY</vt:lpstr>
      <vt:lpstr>AGAP034800col_DHR_CHG</vt:lpstr>
      <vt:lpstr>AGAP034800col_FTI_SALARY_ELECT</vt:lpstr>
      <vt:lpstr>AGAP034800col_FTI_SALARY_PERM</vt:lpstr>
      <vt:lpstr>AGAP034800col_FTI_SALARY_SSDI</vt:lpstr>
      <vt:lpstr>AGAP034800col_Group_Ben</vt:lpstr>
      <vt:lpstr>AGAP034800col_Group_Salary</vt:lpstr>
      <vt:lpstr>AGAP034800col_HEALTH_ELECT</vt:lpstr>
      <vt:lpstr>AGAP034800col_HEALTH_ELECT_BY</vt:lpstr>
      <vt:lpstr>AGAP034800col_HEALTH_ELECT_CHG</vt:lpstr>
      <vt:lpstr>AGAP034800col_HEALTH_PERM</vt:lpstr>
      <vt:lpstr>AGAP034800col_HEALTH_PERM_BY</vt:lpstr>
      <vt:lpstr>AGAP034800col_HEALTH_PERM_CHG</vt:lpstr>
      <vt:lpstr>AGAP034800col_INC_FTI</vt:lpstr>
      <vt:lpstr>AGAP034800col_LIFE_INS</vt:lpstr>
      <vt:lpstr>AGAP034800col_LIFE_INS_BY</vt:lpstr>
      <vt:lpstr>AGAP034800col_LIFE_INS_CHG</vt:lpstr>
      <vt:lpstr>AGAP034800col_RETIREMENT</vt:lpstr>
      <vt:lpstr>AGAP034800col_RETIREMENT_BY</vt:lpstr>
      <vt:lpstr>AGAP034800col_RETIREMENT_CHG</vt:lpstr>
      <vt:lpstr>AGAP034800col_ROWS_PER_PCN</vt:lpstr>
      <vt:lpstr>AGAP034800col_SICK</vt:lpstr>
      <vt:lpstr>AGAP034800col_SICK_BY</vt:lpstr>
      <vt:lpstr>AGAP034800col_SICK_CHG</vt:lpstr>
      <vt:lpstr>AGAP034800col_SSDI</vt:lpstr>
      <vt:lpstr>AGAP034800col_SSDI_BY</vt:lpstr>
      <vt:lpstr>AGAP034800col_SSDI_CHG</vt:lpstr>
      <vt:lpstr>AGAP034800col_SSHI</vt:lpstr>
      <vt:lpstr>AGAP034800col_SSHI_BY</vt:lpstr>
      <vt:lpstr>AGAP034800col_SSHI_CHGv</vt:lpstr>
      <vt:lpstr>AGAP034800col_TOT_VB_ELECT</vt:lpstr>
      <vt:lpstr>AGAP034800col_TOT_VB_ELECT_BY</vt:lpstr>
      <vt:lpstr>AGAP034800col_TOT_VB_ELECT_CHG</vt:lpstr>
      <vt:lpstr>AGAP034800col_TOT_VB_PERM</vt:lpstr>
      <vt:lpstr>AGAP034800col_TOT_VB_PERM_BY</vt:lpstr>
      <vt:lpstr>AGAP034800col_TOT_VB_PERM_CHG</vt:lpstr>
      <vt:lpstr>AGAP034800col_TOTAL_ELECT_PCN_FTI</vt:lpstr>
      <vt:lpstr>AGAP034800col_TOTAL_ELECT_PCN_FTI_ALT</vt:lpstr>
      <vt:lpstr>AGAP034800col_TOTAL_PERM_PCN_FTI</vt:lpstr>
      <vt:lpstr>AGAP034800col_UNEMP_INS</vt:lpstr>
      <vt:lpstr>AGAP034800col_UNEMP_INS_BY</vt:lpstr>
      <vt:lpstr>AGAP034800col_UNEMP_INS_CHG</vt:lpstr>
      <vt:lpstr>AGAP034800col_WORKERS_COMP</vt:lpstr>
      <vt:lpstr>AGAP034800col_WORKERS_COMP_BY</vt:lpstr>
      <vt:lpstr>AGAP034800col_WORKERS_COMP_CHG</vt:lpstr>
      <vt:lpstr>AGAP040200col_1_27TH_PP</vt:lpstr>
      <vt:lpstr>AGAP040200col_DHR</vt:lpstr>
      <vt:lpstr>AGAP040200col_DHR_BY</vt:lpstr>
      <vt:lpstr>AGAP040200col_DHR_CHG</vt:lpstr>
      <vt:lpstr>AGAP040200col_FTI_SALARY_ELECT</vt:lpstr>
      <vt:lpstr>AGAP040200col_FTI_SALARY_PERM</vt:lpstr>
      <vt:lpstr>AGAP040200col_FTI_SALARY_SSDI</vt:lpstr>
      <vt:lpstr>AGAP040200col_Group_Ben</vt:lpstr>
      <vt:lpstr>AGAP040200col_Group_Salary</vt:lpstr>
      <vt:lpstr>AGAP040200col_HEALTH_ELECT</vt:lpstr>
      <vt:lpstr>AGAP040200col_HEALTH_ELECT_BY</vt:lpstr>
      <vt:lpstr>AGAP040200col_HEALTH_ELECT_CHG</vt:lpstr>
      <vt:lpstr>AGAP040200col_HEALTH_PERM</vt:lpstr>
      <vt:lpstr>AGAP040200col_HEALTH_PERM_BY</vt:lpstr>
      <vt:lpstr>AGAP040200col_HEALTH_PERM_CHG</vt:lpstr>
      <vt:lpstr>AGAP040200col_INC_FTI</vt:lpstr>
      <vt:lpstr>AGAP040200col_LIFE_INS</vt:lpstr>
      <vt:lpstr>AGAP040200col_LIFE_INS_BY</vt:lpstr>
      <vt:lpstr>AGAP040200col_LIFE_INS_CHG</vt:lpstr>
      <vt:lpstr>AGAP040200col_RETIREMENT</vt:lpstr>
      <vt:lpstr>AGAP040200col_RETIREMENT_BY</vt:lpstr>
      <vt:lpstr>AGAP040200col_RETIREMENT_CHG</vt:lpstr>
      <vt:lpstr>AGAP040200col_ROWS_PER_PCN</vt:lpstr>
      <vt:lpstr>AGAP040200col_SICK</vt:lpstr>
      <vt:lpstr>AGAP040200col_SICK_BY</vt:lpstr>
      <vt:lpstr>AGAP040200col_SICK_CHG</vt:lpstr>
      <vt:lpstr>AGAP040200col_SSDI</vt:lpstr>
      <vt:lpstr>AGAP040200col_SSDI_BY</vt:lpstr>
      <vt:lpstr>AGAP040200col_SSDI_CHG</vt:lpstr>
      <vt:lpstr>AGAP040200col_SSHI</vt:lpstr>
      <vt:lpstr>AGAP040200col_SSHI_BY</vt:lpstr>
      <vt:lpstr>AGAP040200col_SSHI_CHGv</vt:lpstr>
      <vt:lpstr>AGAP040200col_TOT_VB_ELECT</vt:lpstr>
      <vt:lpstr>AGAP040200col_TOT_VB_ELECT_BY</vt:lpstr>
      <vt:lpstr>AGAP040200col_TOT_VB_ELECT_CHG</vt:lpstr>
      <vt:lpstr>AGAP040200col_TOT_VB_PERM</vt:lpstr>
      <vt:lpstr>AGAP040200col_TOT_VB_PERM_BY</vt:lpstr>
      <vt:lpstr>AGAP040200col_TOT_VB_PERM_CHG</vt:lpstr>
      <vt:lpstr>AGAP040200col_TOTAL_ELECT_PCN_FTI</vt:lpstr>
      <vt:lpstr>AGAP040200col_TOTAL_ELECT_PCN_FTI_ALT</vt:lpstr>
      <vt:lpstr>AGAP040200col_TOTAL_PERM_PCN_FTI</vt:lpstr>
      <vt:lpstr>AGAP040200col_UNEMP_INS</vt:lpstr>
      <vt:lpstr>AGAP040200col_UNEMP_INS_BY</vt:lpstr>
      <vt:lpstr>AGAP040200col_UNEMP_INS_CHG</vt:lpstr>
      <vt:lpstr>AGAP040200col_WORKERS_COMP</vt:lpstr>
      <vt:lpstr>AGAP040200col_WORKERS_COMP_BY</vt:lpstr>
      <vt:lpstr>AGAP040200col_WORKERS_COMP_CHG</vt:lpstr>
      <vt:lpstr>'AGAA|0001-00'!AgencyNum</vt:lpstr>
      <vt:lpstr>'AGAA|0125-01'!AgencyNum</vt:lpstr>
      <vt:lpstr>'AGAA|0125-02'!AgencyNum</vt:lpstr>
      <vt:lpstr>'AGAB|0001-00'!AgencyNum</vt:lpstr>
      <vt:lpstr>'AGAB|0332-06'!AgencyNum</vt:lpstr>
      <vt:lpstr>'AGAB|0332-07'!AgencyNum</vt:lpstr>
      <vt:lpstr>'AGAB|0332-09'!AgencyNum</vt:lpstr>
      <vt:lpstr>'AGAC|0001-00'!AgencyNum</vt:lpstr>
      <vt:lpstr>'AGAC|0332-05'!AgencyNum</vt:lpstr>
      <vt:lpstr>'AGAC|0348-00'!AgencyNum</vt:lpstr>
      <vt:lpstr>'AGAD|0001-00'!AgencyNum</vt:lpstr>
      <vt:lpstr>'AGAD|0330-00'!AgencyNum</vt:lpstr>
      <vt:lpstr>'AGAD|0330-13'!AgencyNum</vt:lpstr>
      <vt:lpstr>'AGAD|0332-04'!AgencyNum</vt:lpstr>
      <vt:lpstr>'AGAD|0332-08'!AgencyNum</vt:lpstr>
      <vt:lpstr>'AGAE|0001-00'!AgencyNum</vt:lpstr>
      <vt:lpstr>'AGAE|0330-12'!AgencyNum</vt:lpstr>
      <vt:lpstr>'AGAE|0332-10'!AgencyNum</vt:lpstr>
      <vt:lpstr>'AGAF|0001-00'!AgencyNum</vt:lpstr>
      <vt:lpstr>'AGAF|0330-00'!AgencyNum</vt:lpstr>
      <vt:lpstr>'AGAF|0490-00'!AgencyNum</vt:lpstr>
      <vt:lpstr>'AGAH|0001-00'!AgencyNum</vt:lpstr>
      <vt:lpstr>'AGAH|0332-03'!AgencyNum</vt:lpstr>
      <vt:lpstr>'AGAL|0486-00'!AgencyNum</vt:lpstr>
      <vt:lpstr>'AGAM|0348-00'!AgencyNum</vt:lpstr>
      <vt:lpstr>'AGAM|0403-03'!AgencyNum</vt:lpstr>
      <vt:lpstr>'AGAO|0330-00'!AgencyNum</vt:lpstr>
      <vt:lpstr>'AGAO|0332-11'!AgencyNum</vt:lpstr>
      <vt:lpstr>'AGAO|0332-12'!AgencyNum</vt:lpstr>
      <vt:lpstr>'AGAO|0348-00'!AgencyNum</vt:lpstr>
      <vt:lpstr>'AGAP|0348-00'!AgencyNum</vt:lpstr>
      <vt:lpstr>'AGAP|0402-00'!AgencyNum</vt:lpstr>
      <vt:lpstr>AgencyNum</vt:lpstr>
      <vt:lpstr>'AGAA|0001-00'!AppropFTP</vt:lpstr>
      <vt:lpstr>'AGAA|0125-01'!AppropFTP</vt:lpstr>
      <vt:lpstr>'AGAA|0125-02'!AppropFTP</vt:lpstr>
      <vt:lpstr>'AGAB|0001-00'!AppropFTP</vt:lpstr>
      <vt:lpstr>'AGAB|0332-06'!AppropFTP</vt:lpstr>
      <vt:lpstr>'AGAB|0332-07'!AppropFTP</vt:lpstr>
      <vt:lpstr>'AGAB|0332-09'!AppropFTP</vt:lpstr>
      <vt:lpstr>'AGAC|0001-00'!AppropFTP</vt:lpstr>
      <vt:lpstr>'AGAC|0332-05'!AppropFTP</vt:lpstr>
      <vt:lpstr>'AGAC|0348-00'!AppropFTP</vt:lpstr>
      <vt:lpstr>'AGAD|0001-00'!AppropFTP</vt:lpstr>
      <vt:lpstr>'AGAD|0330-00'!AppropFTP</vt:lpstr>
      <vt:lpstr>'AGAD|0330-13'!AppropFTP</vt:lpstr>
      <vt:lpstr>'AGAD|0332-04'!AppropFTP</vt:lpstr>
      <vt:lpstr>'AGAD|0332-08'!AppropFTP</vt:lpstr>
      <vt:lpstr>'AGAE|0001-00'!AppropFTP</vt:lpstr>
      <vt:lpstr>'AGAE|0330-12'!AppropFTP</vt:lpstr>
      <vt:lpstr>'AGAE|0332-10'!AppropFTP</vt:lpstr>
      <vt:lpstr>'AGAF|0001-00'!AppropFTP</vt:lpstr>
      <vt:lpstr>'AGAF|0330-00'!AppropFTP</vt:lpstr>
      <vt:lpstr>'AGAF|0490-00'!AppropFTP</vt:lpstr>
      <vt:lpstr>'AGAH|0001-00'!AppropFTP</vt:lpstr>
      <vt:lpstr>'AGAH|0332-03'!AppropFTP</vt:lpstr>
      <vt:lpstr>'AGAL|0486-00'!AppropFTP</vt:lpstr>
      <vt:lpstr>'AGAM|0348-00'!AppropFTP</vt:lpstr>
      <vt:lpstr>'AGAM|0403-03'!AppropFTP</vt:lpstr>
      <vt:lpstr>'AGAO|0330-00'!AppropFTP</vt:lpstr>
      <vt:lpstr>'AGAO|0332-11'!AppropFTP</vt:lpstr>
      <vt:lpstr>'AGAO|0332-12'!AppropFTP</vt:lpstr>
      <vt:lpstr>'AGAO|0348-00'!AppropFTP</vt:lpstr>
      <vt:lpstr>'AGAP|0348-00'!AppropFTP</vt:lpstr>
      <vt:lpstr>'AGAP|0402-00'!AppropFTP</vt:lpstr>
      <vt:lpstr>AppropFTP</vt:lpstr>
      <vt:lpstr>'AGAA|0001-00'!AppropTotal</vt:lpstr>
      <vt:lpstr>'AGAA|0125-01'!AppropTotal</vt:lpstr>
      <vt:lpstr>'AGAA|0125-02'!AppropTotal</vt:lpstr>
      <vt:lpstr>'AGAB|0001-00'!AppropTotal</vt:lpstr>
      <vt:lpstr>'AGAB|0332-06'!AppropTotal</vt:lpstr>
      <vt:lpstr>'AGAB|0332-07'!AppropTotal</vt:lpstr>
      <vt:lpstr>'AGAB|0332-09'!AppropTotal</vt:lpstr>
      <vt:lpstr>'AGAC|0001-00'!AppropTotal</vt:lpstr>
      <vt:lpstr>'AGAC|0332-05'!AppropTotal</vt:lpstr>
      <vt:lpstr>'AGAC|0348-00'!AppropTotal</vt:lpstr>
      <vt:lpstr>'AGAD|0001-00'!AppropTotal</vt:lpstr>
      <vt:lpstr>'AGAD|0330-00'!AppropTotal</vt:lpstr>
      <vt:lpstr>'AGAD|0330-13'!AppropTotal</vt:lpstr>
      <vt:lpstr>'AGAD|0332-04'!AppropTotal</vt:lpstr>
      <vt:lpstr>'AGAD|0332-08'!AppropTotal</vt:lpstr>
      <vt:lpstr>'AGAE|0001-00'!AppropTotal</vt:lpstr>
      <vt:lpstr>'AGAE|0330-12'!AppropTotal</vt:lpstr>
      <vt:lpstr>'AGAE|0332-10'!AppropTotal</vt:lpstr>
      <vt:lpstr>'AGAF|0001-00'!AppropTotal</vt:lpstr>
      <vt:lpstr>'AGAF|0330-00'!AppropTotal</vt:lpstr>
      <vt:lpstr>'AGAF|0490-00'!AppropTotal</vt:lpstr>
      <vt:lpstr>'AGAH|0001-00'!AppropTotal</vt:lpstr>
      <vt:lpstr>'AGAH|0332-03'!AppropTotal</vt:lpstr>
      <vt:lpstr>'AGAL|0486-00'!AppropTotal</vt:lpstr>
      <vt:lpstr>'AGAM|0348-00'!AppropTotal</vt:lpstr>
      <vt:lpstr>'AGAM|0403-03'!AppropTotal</vt:lpstr>
      <vt:lpstr>'AGAO|0330-00'!AppropTotal</vt:lpstr>
      <vt:lpstr>'AGAO|0332-11'!AppropTotal</vt:lpstr>
      <vt:lpstr>'AGAO|0332-12'!AppropTotal</vt:lpstr>
      <vt:lpstr>'AGAO|0348-00'!AppropTotal</vt:lpstr>
      <vt:lpstr>'AGAP|0348-00'!AppropTotal</vt:lpstr>
      <vt:lpstr>'AGAP|0402-00'!AppropTotal</vt:lpstr>
      <vt:lpstr>AppropTotal</vt:lpstr>
      <vt:lpstr>'AGAA|0001-00'!AtZHealth</vt:lpstr>
      <vt:lpstr>'AGAA|0125-01'!AtZHealth</vt:lpstr>
      <vt:lpstr>'AGAA|0125-02'!AtZHealth</vt:lpstr>
      <vt:lpstr>'AGAB|0001-00'!AtZHealth</vt:lpstr>
      <vt:lpstr>'AGAB|0332-06'!AtZHealth</vt:lpstr>
      <vt:lpstr>'AGAB|0332-07'!AtZHealth</vt:lpstr>
      <vt:lpstr>'AGAB|0332-09'!AtZHealth</vt:lpstr>
      <vt:lpstr>'AGAC|0001-00'!AtZHealth</vt:lpstr>
      <vt:lpstr>'AGAC|0332-05'!AtZHealth</vt:lpstr>
      <vt:lpstr>'AGAC|0348-00'!AtZHealth</vt:lpstr>
      <vt:lpstr>'AGAD|0001-00'!AtZHealth</vt:lpstr>
      <vt:lpstr>'AGAD|0330-00'!AtZHealth</vt:lpstr>
      <vt:lpstr>'AGAD|0330-13'!AtZHealth</vt:lpstr>
      <vt:lpstr>'AGAD|0332-04'!AtZHealth</vt:lpstr>
      <vt:lpstr>'AGAD|0332-08'!AtZHealth</vt:lpstr>
      <vt:lpstr>'AGAE|0001-00'!AtZHealth</vt:lpstr>
      <vt:lpstr>'AGAE|0330-12'!AtZHealth</vt:lpstr>
      <vt:lpstr>'AGAE|0332-10'!AtZHealth</vt:lpstr>
      <vt:lpstr>'AGAF|0001-00'!AtZHealth</vt:lpstr>
      <vt:lpstr>'AGAF|0330-00'!AtZHealth</vt:lpstr>
      <vt:lpstr>'AGAF|0490-00'!AtZHealth</vt:lpstr>
      <vt:lpstr>'AGAH|0001-00'!AtZHealth</vt:lpstr>
      <vt:lpstr>'AGAH|0332-03'!AtZHealth</vt:lpstr>
      <vt:lpstr>'AGAL|0486-00'!AtZHealth</vt:lpstr>
      <vt:lpstr>'AGAM|0348-00'!AtZHealth</vt:lpstr>
      <vt:lpstr>'AGAM|0403-03'!AtZHealth</vt:lpstr>
      <vt:lpstr>'AGAO|0330-00'!AtZHealth</vt:lpstr>
      <vt:lpstr>'AGAO|0332-11'!AtZHealth</vt:lpstr>
      <vt:lpstr>'AGAO|0332-12'!AtZHealth</vt:lpstr>
      <vt:lpstr>'AGAO|0348-00'!AtZHealth</vt:lpstr>
      <vt:lpstr>'AGAP|0348-00'!AtZHealth</vt:lpstr>
      <vt:lpstr>'AGAP|0402-00'!AtZHealth</vt:lpstr>
      <vt:lpstr>AtZHealth</vt:lpstr>
      <vt:lpstr>'AGAA|0001-00'!AtZSalary</vt:lpstr>
      <vt:lpstr>'AGAA|0125-01'!AtZSalary</vt:lpstr>
      <vt:lpstr>'AGAA|0125-02'!AtZSalary</vt:lpstr>
      <vt:lpstr>'AGAB|0001-00'!AtZSalary</vt:lpstr>
      <vt:lpstr>'AGAB|0332-06'!AtZSalary</vt:lpstr>
      <vt:lpstr>'AGAB|0332-07'!AtZSalary</vt:lpstr>
      <vt:lpstr>'AGAB|0332-09'!AtZSalary</vt:lpstr>
      <vt:lpstr>'AGAC|0001-00'!AtZSalary</vt:lpstr>
      <vt:lpstr>'AGAC|0332-05'!AtZSalary</vt:lpstr>
      <vt:lpstr>'AGAC|0348-00'!AtZSalary</vt:lpstr>
      <vt:lpstr>'AGAD|0001-00'!AtZSalary</vt:lpstr>
      <vt:lpstr>'AGAD|0330-00'!AtZSalary</vt:lpstr>
      <vt:lpstr>'AGAD|0330-13'!AtZSalary</vt:lpstr>
      <vt:lpstr>'AGAD|0332-04'!AtZSalary</vt:lpstr>
      <vt:lpstr>'AGAD|0332-08'!AtZSalary</vt:lpstr>
      <vt:lpstr>'AGAE|0001-00'!AtZSalary</vt:lpstr>
      <vt:lpstr>'AGAE|0330-12'!AtZSalary</vt:lpstr>
      <vt:lpstr>'AGAE|0332-10'!AtZSalary</vt:lpstr>
      <vt:lpstr>'AGAF|0001-00'!AtZSalary</vt:lpstr>
      <vt:lpstr>'AGAF|0330-00'!AtZSalary</vt:lpstr>
      <vt:lpstr>'AGAF|0490-00'!AtZSalary</vt:lpstr>
      <vt:lpstr>'AGAH|0001-00'!AtZSalary</vt:lpstr>
      <vt:lpstr>'AGAH|0332-03'!AtZSalary</vt:lpstr>
      <vt:lpstr>'AGAL|0486-00'!AtZSalary</vt:lpstr>
      <vt:lpstr>'AGAM|0348-00'!AtZSalary</vt:lpstr>
      <vt:lpstr>'AGAM|0403-03'!AtZSalary</vt:lpstr>
      <vt:lpstr>'AGAO|0330-00'!AtZSalary</vt:lpstr>
      <vt:lpstr>'AGAO|0332-11'!AtZSalary</vt:lpstr>
      <vt:lpstr>'AGAO|0332-12'!AtZSalary</vt:lpstr>
      <vt:lpstr>'AGAO|0348-00'!AtZSalary</vt:lpstr>
      <vt:lpstr>'AGAP|0348-00'!AtZSalary</vt:lpstr>
      <vt:lpstr>'AGAP|0402-00'!AtZSalary</vt:lpstr>
      <vt:lpstr>AtZSalary</vt:lpstr>
      <vt:lpstr>'AGAA|0001-00'!AtZTotal</vt:lpstr>
      <vt:lpstr>'AGAA|0125-01'!AtZTotal</vt:lpstr>
      <vt:lpstr>'AGAA|0125-02'!AtZTotal</vt:lpstr>
      <vt:lpstr>'AGAB|0001-00'!AtZTotal</vt:lpstr>
      <vt:lpstr>'AGAB|0332-06'!AtZTotal</vt:lpstr>
      <vt:lpstr>'AGAB|0332-07'!AtZTotal</vt:lpstr>
      <vt:lpstr>'AGAB|0332-09'!AtZTotal</vt:lpstr>
      <vt:lpstr>'AGAC|0001-00'!AtZTotal</vt:lpstr>
      <vt:lpstr>'AGAC|0332-05'!AtZTotal</vt:lpstr>
      <vt:lpstr>'AGAC|0348-00'!AtZTotal</vt:lpstr>
      <vt:lpstr>'AGAD|0001-00'!AtZTotal</vt:lpstr>
      <vt:lpstr>'AGAD|0330-00'!AtZTotal</vt:lpstr>
      <vt:lpstr>'AGAD|0330-13'!AtZTotal</vt:lpstr>
      <vt:lpstr>'AGAD|0332-04'!AtZTotal</vt:lpstr>
      <vt:lpstr>'AGAD|0332-08'!AtZTotal</vt:lpstr>
      <vt:lpstr>'AGAE|0001-00'!AtZTotal</vt:lpstr>
      <vt:lpstr>'AGAE|0330-12'!AtZTotal</vt:lpstr>
      <vt:lpstr>'AGAE|0332-10'!AtZTotal</vt:lpstr>
      <vt:lpstr>'AGAF|0001-00'!AtZTotal</vt:lpstr>
      <vt:lpstr>'AGAF|0330-00'!AtZTotal</vt:lpstr>
      <vt:lpstr>'AGAF|0490-00'!AtZTotal</vt:lpstr>
      <vt:lpstr>'AGAH|0001-00'!AtZTotal</vt:lpstr>
      <vt:lpstr>'AGAH|0332-03'!AtZTotal</vt:lpstr>
      <vt:lpstr>'AGAL|0486-00'!AtZTotal</vt:lpstr>
      <vt:lpstr>'AGAM|0348-00'!AtZTotal</vt:lpstr>
      <vt:lpstr>'AGAM|0403-03'!AtZTotal</vt:lpstr>
      <vt:lpstr>'AGAO|0330-00'!AtZTotal</vt:lpstr>
      <vt:lpstr>'AGAO|0332-11'!AtZTotal</vt:lpstr>
      <vt:lpstr>'AGAO|0332-12'!AtZTotal</vt:lpstr>
      <vt:lpstr>'AGAO|0348-00'!AtZTotal</vt:lpstr>
      <vt:lpstr>'AGAP|0348-00'!AtZTotal</vt:lpstr>
      <vt:lpstr>'AGAP|0402-00'!AtZTotal</vt:lpstr>
      <vt:lpstr>AtZTotal</vt:lpstr>
      <vt:lpstr>'AGAA|0001-00'!AtZVarBen</vt:lpstr>
      <vt:lpstr>'AGAA|0125-01'!AtZVarBen</vt:lpstr>
      <vt:lpstr>'AGAA|0125-02'!AtZVarBen</vt:lpstr>
      <vt:lpstr>'AGAB|0001-00'!AtZVarBen</vt:lpstr>
      <vt:lpstr>'AGAB|0332-06'!AtZVarBen</vt:lpstr>
      <vt:lpstr>'AGAB|0332-07'!AtZVarBen</vt:lpstr>
      <vt:lpstr>'AGAB|0332-09'!AtZVarBen</vt:lpstr>
      <vt:lpstr>'AGAC|0001-00'!AtZVarBen</vt:lpstr>
      <vt:lpstr>'AGAC|0332-05'!AtZVarBen</vt:lpstr>
      <vt:lpstr>'AGAC|0348-00'!AtZVarBen</vt:lpstr>
      <vt:lpstr>'AGAD|0001-00'!AtZVarBen</vt:lpstr>
      <vt:lpstr>'AGAD|0330-00'!AtZVarBen</vt:lpstr>
      <vt:lpstr>'AGAD|0330-13'!AtZVarBen</vt:lpstr>
      <vt:lpstr>'AGAD|0332-04'!AtZVarBen</vt:lpstr>
      <vt:lpstr>'AGAD|0332-08'!AtZVarBen</vt:lpstr>
      <vt:lpstr>'AGAE|0001-00'!AtZVarBen</vt:lpstr>
      <vt:lpstr>'AGAE|0330-12'!AtZVarBen</vt:lpstr>
      <vt:lpstr>'AGAE|0332-10'!AtZVarBen</vt:lpstr>
      <vt:lpstr>'AGAF|0001-00'!AtZVarBen</vt:lpstr>
      <vt:lpstr>'AGAF|0330-00'!AtZVarBen</vt:lpstr>
      <vt:lpstr>'AGAF|0490-00'!AtZVarBen</vt:lpstr>
      <vt:lpstr>'AGAH|0001-00'!AtZVarBen</vt:lpstr>
      <vt:lpstr>'AGAH|0332-03'!AtZVarBen</vt:lpstr>
      <vt:lpstr>'AGAL|0486-00'!AtZVarBen</vt:lpstr>
      <vt:lpstr>'AGAM|0348-00'!AtZVarBen</vt:lpstr>
      <vt:lpstr>'AGAM|0403-03'!AtZVarBen</vt:lpstr>
      <vt:lpstr>'AGAO|0330-00'!AtZVarBen</vt:lpstr>
      <vt:lpstr>'AGAO|0332-11'!AtZVarBen</vt:lpstr>
      <vt:lpstr>'AGAO|0332-12'!AtZVarBen</vt:lpstr>
      <vt:lpstr>'AGAO|0348-00'!AtZVarBen</vt:lpstr>
      <vt:lpstr>'AGAP|0348-00'!AtZVarBen</vt:lpstr>
      <vt:lpstr>'AGAP|0402-00'!AtZVarBen</vt:lpstr>
      <vt:lpstr>AtZVarBen</vt:lpstr>
      <vt:lpstr>'AGAA|0001-00'!BudgetUnit</vt:lpstr>
      <vt:lpstr>'AGAA|0125-01'!BudgetUnit</vt:lpstr>
      <vt:lpstr>'AGAA|0125-02'!BudgetUnit</vt:lpstr>
      <vt:lpstr>'AGAB|0001-00'!BudgetUnit</vt:lpstr>
      <vt:lpstr>'AGAB|0332-06'!BudgetUnit</vt:lpstr>
      <vt:lpstr>'AGAB|0332-07'!BudgetUnit</vt:lpstr>
      <vt:lpstr>'AGAB|0332-09'!BudgetUnit</vt:lpstr>
      <vt:lpstr>'AGAC|0001-00'!BudgetUnit</vt:lpstr>
      <vt:lpstr>'AGAC|0332-05'!BudgetUnit</vt:lpstr>
      <vt:lpstr>'AGAC|0348-00'!BudgetUnit</vt:lpstr>
      <vt:lpstr>'AGAD|0001-00'!BudgetUnit</vt:lpstr>
      <vt:lpstr>'AGAD|0330-00'!BudgetUnit</vt:lpstr>
      <vt:lpstr>'AGAD|0330-13'!BudgetUnit</vt:lpstr>
      <vt:lpstr>'AGAD|0332-04'!BudgetUnit</vt:lpstr>
      <vt:lpstr>'AGAD|0332-08'!BudgetUnit</vt:lpstr>
      <vt:lpstr>'AGAE|0001-00'!BudgetUnit</vt:lpstr>
      <vt:lpstr>'AGAE|0330-12'!BudgetUnit</vt:lpstr>
      <vt:lpstr>'AGAE|0332-10'!BudgetUnit</vt:lpstr>
      <vt:lpstr>'AGAF|0001-00'!BudgetUnit</vt:lpstr>
      <vt:lpstr>'AGAF|0330-00'!BudgetUnit</vt:lpstr>
      <vt:lpstr>'AGAF|0490-00'!BudgetUnit</vt:lpstr>
      <vt:lpstr>'AGAH|0001-00'!BudgetUnit</vt:lpstr>
      <vt:lpstr>'AGAH|0332-03'!BudgetUnit</vt:lpstr>
      <vt:lpstr>'AGAL|0486-00'!BudgetUnit</vt:lpstr>
      <vt:lpstr>'AGAM|0348-00'!BudgetUnit</vt:lpstr>
      <vt:lpstr>'AGAM|0403-03'!BudgetUnit</vt:lpstr>
      <vt:lpstr>'AGAO|0330-00'!BudgetUnit</vt:lpstr>
      <vt:lpstr>'AGAO|0332-11'!BudgetUnit</vt:lpstr>
      <vt:lpstr>'AGAO|0332-12'!BudgetUnit</vt:lpstr>
      <vt:lpstr>'AGAO|0348-00'!BudgetUnit</vt:lpstr>
      <vt:lpstr>'AGAP|0348-00'!BudgetUnit</vt:lpstr>
      <vt:lpstr>'AGAP|0402-00'!BudgetUnit</vt:lpstr>
      <vt:lpstr>BudgetUnit</vt:lpstr>
      <vt:lpstr>BudgetYear</vt:lpstr>
      <vt:lpstr>CECGroup</vt:lpstr>
      <vt:lpstr>'AGAA|0001-00'!CECOrigElectSalary</vt:lpstr>
      <vt:lpstr>'AGAA|0125-01'!CECOrigElectSalary</vt:lpstr>
      <vt:lpstr>'AGAA|0125-02'!CECOrigElectSalary</vt:lpstr>
      <vt:lpstr>'AGAB|0001-00'!CECOrigElectSalary</vt:lpstr>
      <vt:lpstr>'AGAB|0332-06'!CECOrigElectSalary</vt:lpstr>
      <vt:lpstr>'AGAB|0332-07'!CECOrigElectSalary</vt:lpstr>
      <vt:lpstr>'AGAB|0332-09'!CECOrigElectSalary</vt:lpstr>
      <vt:lpstr>'AGAC|0001-00'!CECOrigElectSalary</vt:lpstr>
      <vt:lpstr>'AGAC|0332-05'!CECOrigElectSalary</vt:lpstr>
      <vt:lpstr>'AGAC|0348-00'!CECOrigElectSalary</vt:lpstr>
      <vt:lpstr>'AGAD|0001-00'!CECOrigElectSalary</vt:lpstr>
      <vt:lpstr>'AGAD|0330-00'!CECOrigElectSalary</vt:lpstr>
      <vt:lpstr>'AGAD|0330-13'!CECOrigElectSalary</vt:lpstr>
      <vt:lpstr>'AGAD|0332-04'!CECOrigElectSalary</vt:lpstr>
      <vt:lpstr>'AGAD|0332-08'!CECOrigElectSalary</vt:lpstr>
      <vt:lpstr>'AGAE|0001-00'!CECOrigElectSalary</vt:lpstr>
      <vt:lpstr>'AGAE|0330-12'!CECOrigElectSalary</vt:lpstr>
      <vt:lpstr>'AGAE|0332-10'!CECOrigElectSalary</vt:lpstr>
      <vt:lpstr>'AGAF|0001-00'!CECOrigElectSalary</vt:lpstr>
      <vt:lpstr>'AGAF|0330-00'!CECOrigElectSalary</vt:lpstr>
      <vt:lpstr>'AGAF|0490-00'!CECOrigElectSalary</vt:lpstr>
      <vt:lpstr>'AGAH|0001-00'!CECOrigElectSalary</vt:lpstr>
      <vt:lpstr>'AGAH|0332-03'!CECOrigElectSalary</vt:lpstr>
      <vt:lpstr>'AGAL|0486-00'!CECOrigElectSalary</vt:lpstr>
      <vt:lpstr>'AGAM|0348-00'!CECOrigElectSalary</vt:lpstr>
      <vt:lpstr>'AGAM|0403-03'!CECOrigElectSalary</vt:lpstr>
      <vt:lpstr>'AGAO|0330-00'!CECOrigElectSalary</vt:lpstr>
      <vt:lpstr>'AGAO|0332-11'!CECOrigElectSalary</vt:lpstr>
      <vt:lpstr>'AGAO|0332-12'!CECOrigElectSalary</vt:lpstr>
      <vt:lpstr>'AGAO|0348-00'!CECOrigElectSalary</vt:lpstr>
      <vt:lpstr>'AGAP|0348-00'!CECOrigElectSalary</vt:lpstr>
      <vt:lpstr>'AGAP|0402-00'!CECOrigElectSalary</vt:lpstr>
      <vt:lpstr>CECOrigElectSalary</vt:lpstr>
      <vt:lpstr>'AGAA|0001-00'!CECOrigElectVB</vt:lpstr>
      <vt:lpstr>'AGAA|0125-01'!CECOrigElectVB</vt:lpstr>
      <vt:lpstr>'AGAA|0125-02'!CECOrigElectVB</vt:lpstr>
      <vt:lpstr>'AGAB|0001-00'!CECOrigElectVB</vt:lpstr>
      <vt:lpstr>'AGAB|0332-06'!CECOrigElectVB</vt:lpstr>
      <vt:lpstr>'AGAB|0332-07'!CECOrigElectVB</vt:lpstr>
      <vt:lpstr>'AGAB|0332-09'!CECOrigElectVB</vt:lpstr>
      <vt:lpstr>'AGAC|0001-00'!CECOrigElectVB</vt:lpstr>
      <vt:lpstr>'AGAC|0332-05'!CECOrigElectVB</vt:lpstr>
      <vt:lpstr>'AGAC|0348-00'!CECOrigElectVB</vt:lpstr>
      <vt:lpstr>'AGAD|0001-00'!CECOrigElectVB</vt:lpstr>
      <vt:lpstr>'AGAD|0330-00'!CECOrigElectVB</vt:lpstr>
      <vt:lpstr>'AGAD|0330-13'!CECOrigElectVB</vt:lpstr>
      <vt:lpstr>'AGAD|0332-04'!CECOrigElectVB</vt:lpstr>
      <vt:lpstr>'AGAD|0332-08'!CECOrigElectVB</vt:lpstr>
      <vt:lpstr>'AGAE|0001-00'!CECOrigElectVB</vt:lpstr>
      <vt:lpstr>'AGAE|0330-12'!CECOrigElectVB</vt:lpstr>
      <vt:lpstr>'AGAE|0332-10'!CECOrigElectVB</vt:lpstr>
      <vt:lpstr>'AGAF|0001-00'!CECOrigElectVB</vt:lpstr>
      <vt:lpstr>'AGAF|0330-00'!CECOrigElectVB</vt:lpstr>
      <vt:lpstr>'AGAF|0490-00'!CECOrigElectVB</vt:lpstr>
      <vt:lpstr>'AGAH|0001-00'!CECOrigElectVB</vt:lpstr>
      <vt:lpstr>'AGAH|0332-03'!CECOrigElectVB</vt:lpstr>
      <vt:lpstr>'AGAL|0486-00'!CECOrigElectVB</vt:lpstr>
      <vt:lpstr>'AGAM|0348-00'!CECOrigElectVB</vt:lpstr>
      <vt:lpstr>'AGAM|0403-03'!CECOrigElectVB</vt:lpstr>
      <vt:lpstr>'AGAO|0330-00'!CECOrigElectVB</vt:lpstr>
      <vt:lpstr>'AGAO|0332-11'!CECOrigElectVB</vt:lpstr>
      <vt:lpstr>'AGAO|0332-12'!CECOrigElectVB</vt:lpstr>
      <vt:lpstr>'AGAO|0348-00'!CECOrigElectVB</vt:lpstr>
      <vt:lpstr>'AGAP|0348-00'!CECOrigElectVB</vt:lpstr>
      <vt:lpstr>'AGAP|0402-00'!CECOrigElectVB</vt:lpstr>
      <vt:lpstr>CECOrigElectVB</vt:lpstr>
      <vt:lpstr>'AGAA|0001-00'!CECOrigGroupSalary</vt:lpstr>
      <vt:lpstr>'AGAA|0125-01'!CECOrigGroupSalary</vt:lpstr>
      <vt:lpstr>'AGAA|0125-02'!CECOrigGroupSalary</vt:lpstr>
      <vt:lpstr>'AGAB|0001-00'!CECOrigGroupSalary</vt:lpstr>
      <vt:lpstr>'AGAB|0332-06'!CECOrigGroupSalary</vt:lpstr>
      <vt:lpstr>'AGAB|0332-07'!CECOrigGroupSalary</vt:lpstr>
      <vt:lpstr>'AGAB|0332-09'!CECOrigGroupSalary</vt:lpstr>
      <vt:lpstr>'AGAC|0001-00'!CECOrigGroupSalary</vt:lpstr>
      <vt:lpstr>'AGAC|0332-05'!CECOrigGroupSalary</vt:lpstr>
      <vt:lpstr>'AGAC|0348-00'!CECOrigGroupSalary</vt:lpstr>
      <vt:lpstr>'AGAD|0001-00'!CECOrigGroupSalary</vt:lpstr>
      <vt:lpstr>'AGAD|0330-00'!CECOrigGroupSalary</vt:lpstr>
      <vt:lpstr>'AGAD|0330-13'!CECOrigGroupSalary</vt:lpstr>
      <vt:lpstr>'AGAD|0332-04'!CECOrigGroupSalary</vt:lpstr>
      <vt:lpstr>'AGAD|0332-08'!CECOrigGroupSalary</vt:lpstr>
      <vt:lpstr>'AGAE|0001-00'!CECOrigGroupSalary</vt:lpstr>
      <vt:lpstr>'AGAE|0330-12'!CECOrigGroupSalary</vt:lpstr>
      <vt:lpstr>'AGAE|0332-10'!CECOrigGroupSalary</vt:lpstr>
      <vt:lpstr>'AGAF|0001-00'!CECOrigGroupSalary</vt:lpstr>
      <vt:lpstr>'AGAF|0330-00'!CECOrigGroupSalary</vt:lpstr>
      <vt:lpstr>'AGAF|0490-00'!CECOrigGroupSalary</vt:lpstr>
      <vt:lpstr>'AGAH|0001-00'!CECOrigGroupSalary</vt:lpstr>
      <vt:lpstr>'AGAH|0332-03'!CECOrigGroupSalary</vt:lpstr>
      <vt:lpstr>'AGAL|0486-00'!CECOrigGroupSalary</vt:lpstr>
      <vt:lpstr>'AGAM|0348-00'!CECOrigGroupSalary</vt:lpstr>
      <vt:lpstr>'AGAM|0403-03'!CECOrigGroupSalary</vt:lpstr>
      <vt:lpstr>'AGAO|0330-00'!CECOrigGroupSalary</vt:lpstr>
      <vt:lpstr>'AGAO|0332-11'!CECOrigGroupSalary</vt:lpstr>
      <vt:lpstr>'AGAO|0332-12'!CECOrigGroupSalary</vt:lpstr>
      <vt:lpstr>'AGAO|0348-00'!CECOrigGroupSalary</vt:lpstr>
      <vt:lpstr>'AGAP|0348-00'!CECOrigGroupSalary</vt:lpstr>
      <vt:lpstr>'AGAP|0402-00'!CECOrigGroupSalary</vt:lpstr>
      <vt:lpstr>CECOrigGroupSalary</vt:lpstr>
      <vt:lpstr>'AGAA|0001-00'!CECOrigGroupVB</vt:lpstr>
      <vt:lpstr>'AGAA|0125-01'!CECOrigGroupVB</vt:lpstr>
      <vt:lpstr>'AGAA|0125-02'!CECOrigGroupVB</vt:lpstr>
      <vt:lpstr>'AGAB|0001-00'!CECOrigGroupVB</vt:lpstr>
      <vt:lpstr>'AGAB|0332-06'!CECOrigGroupVB</vt:lpstr>
      <vt:lpstr>'AGAB|0332-07'!CECOrigGroupVB</vt:lpstr>
      <vt:lpstr>'AGAB|0332-09'!CECOrigGroupVB</vt:lpstr>
      <vt:lpstr>'AGAC|0001-00'!CECOrigGroupVB</vt:lpstr>
      <vt:lpstr>'AGAC|0332-05'!CECOrigGroupVB</vt:lpstr>
      <vt:lpstr>'AGAC|0348-00'!CECOrigGroupVB</vt:lpstr>
      <vt:lpstr>'AGAD|0001-00'!CECOrigGroupVB</vt:lpstr>
      <vt:lpstr>'AGAD|0330-00'!CECOrigGroupVB</vt:lpstr>
      <vt:lpstr>'AGAD|0330-13'!CECOrigGroupVB</vt:lpstr>
      <vt:lpstr>'AGAD|0332-04'!CECOrigGroupVB</vt:lpstr>
      <vt:lpstr>'AGAD|0332-08'!CECOrigGroupVB</vt:lpstr>
      <vt:lpstr>'AGAE|0001-00'!CECOrigGroupVB</vt:lpstr>
      <vt:lpstr>'AGAE|0330-12'!CECOrigGroupVB</vt:lpstr>
      <vt:lpstr>'AGAE|0332-10'!CECOrigGroupVB</vt:lpstr>
      <vt:lpstr>'AGAF|0001-00'!CECOrigGroupVB</vt:lpstr>
      <vt:lpstr>'AGAF|0330-00'!CECOrigGroupVB</vt:lpstr>
      <vt:lpstr>'AGAF|0490-00'!CECOrigGroupVB</vt:lpstr>
      <vt:lpstr>'AGAH|0001-00'!CECOrigGroupVB</vt:lpstr>
      <vt:lpstr>'AGAH|0332-03'!CECOrigGroupVB</vt:lpstr>
      <vt:lpstr>'AGAL|0486-00'!CECOrigGroupVB</vt:lpstr>
      <vt:lpstr>'AGAM|0348-00'!CECOrigGroupVB</vt:lpstr>
      <vt:lpstr>'AGAM|0403-03'!CECOrigGroupVB</vt:lpstr>
      <vt:lpstr>'AGAO|0330-00'!CECOrigGroupVB</vt:lpstr>
      <vt:lpstr>'AGAO|0332-11'!CECOrigGroupVB</vt:lpstr>
      <vt:lpstr>'AGAO|0332-12'!CECOrigGroupVB</vt:lpstr>
      <vt:lpstr>'AGAO|0348-00'!CECOrigGroupVB</vt:lpstr>
      <vt:lpstr>'AGAP|0348-00'!CECOrigGroupVB</vt:lpstr>
      <vt:lpstr>'AGAP|0402-00'!CECOrigGroupVB</vt:lpstr>
      <vt:lpstr>CECOrigGroupVB</vt:lpstr>
      <vt:lpstr>'AGAA|0001-00'!CECOrigPermSalary</vt:lpstr>
      <vt:lpstr>'AGAA|0125-01'!CECOrigPermSalary</vt:lpstr>
      <vt:lpstr>'AGAA|0125-02'!CECOrigPermSalary</vt:lpstr>
      <vt:lpstr>'AGAB|0001-00'!CECOrigPermSalary</vt:lpstr>
      <vt:lpstr>'AGAB|0332-06'!CECOrigPermSalary</vt:lpstr>
      <vt:lpstr>'AGAB|0332-07'!CECOrigPermSalary</vt:lpstr>
      <vt:lpstr>'AGAB|0332-09'!CECOrigPermSalary</vt:lpstr>
      <vt:lpstr>'AGAC|0001-00'!CECOrigPermSalary</vt:lpstr>
      <vt:lpstr>'AGAC|0332-05'!CECOrigPermSalary</vt:lpstr>
      <vt:lpstr>'AGAC|0348-00'!CECOrigPermSalary</vt:lpstr>
      <vt:lpstr>'AGAD|0001-00'!CECOrigPermSalary</vt:lpstr>
      <vt:lpstr>'AGAD|0330-00'!CECOrigPermSalary</vt:lpstr>
      <vt:lpstr>'AGAD|0330-13'!CECOrigPermSalary</vt:lpstr>
      <vt:lpstr>'AGAD|0332-04'!CECOrigPermSalary</vt:lpstr>
      <vt:lpstr>'AGAD|0332-08'!CECOrigPermSalary</vt:lpstr>
      <vt:lpstr>'AGAE|0001-00'!CECOrigPermSalary</vt:lpstr>
      <vt:lpstr>'AGAE|0330-12'!CECOrigPermSalary</vt:lpstr>
      <vt:lpstr>'AGAE|0332-10'!CECOrigPermSalary</vt:lpstr>
      <vt:lpstr>'AGAF|0001-00'!CECOrigPermSalary</vt:lpstr>
      <vt:lpstr>'AGAF|0330-00'!CECOrigPermSalary</vt:lpstr>
      <vt:lpstr>'AGAF|0490-00'!CECOrigPermSalary</vt:lpstr>
      <vt:lpstr>'AGAH|0001-00'!CECOrigPermSalary</vt:lpstr>
      <vt:lpstr>'AGAH|0332-03'!CECOrigPermSalary</vt:lpstr>
      <vt:lpstr>'AGAL|0486-00'!CECOrigPermSalary</vt:lpstr>
      <vt:lpstr>'AGAM|0348-00'!CECOrigPermSalary</vt:lpstr>
      <vt:lpstr>'AGAM|0403-03'!CECOrigPermSalary</vt:lpstr>
      <vt:lpstr>'AGAO|0330-00'!CECOrigPermSalary</vt:lpstr>
      <vt:lpstr>'AGAO|0332-11'!CECOrigPermSalary</vt:lpstr>
      <vt:lpstr>'AGAO|0332-12'!CECOrigPermSalary</vt:lpstr>
      <vt:lpstr>'AGAO|0348-00'!CECOrigPermSalary</vt:lpstr>
      <vt:lpstr>'AGAP|0348-00'!CECOrigPermSalary</vt:lpstr>
      <vt:lpstr>'AGAP|0402-00'!CECOrigPermSalary</vt:lpstr>
      <vt:lpstr>CECOrigPermSalary</vt:lpstr>
      <vt:lpstr>'AGAA|0001-00'!CECOrigPermVB</vt:lpstr>
      <vt:lpstr>'AGAA|0125-01'!CECOrigPermVB</vt:lpstr>
      <vt:lpstr>'AGAA|0125-02'!CECOrigPermVB</vt:lpstr>
      <vt:lpstr>'AGAB|0001-00'!CECOrigPermVB</vt:lpstr>
      <vt:lpstr>'AGAB|0332-06'!CECOrigPermVB</vt:lpstr>
      <vt:lpstr>'AGAB|0332-07'!CECOrigPermVB</vt:lpstr>
      <vt:lpstr>'AGAB|0332-09'!CECOrigPermVB</vt:lpstr>
      <vt:lpstr>'AGAC|0001-00'!CECOrigPermVB</vt:lpstr>
      <vt:lpstr>'AGAC|0332-05'!CECOrigPermVB</vt:lpstr>
      <vt:lpstr>'AGAC|0348-00'!CECOrigPermVB</vt:lpstr>
      <vt:lpstr>'AGAD|0001-00'!CECOrigPermVB</vt:lpstr>
      <vt:lpstr>'AGAD|0330-00'!CECOrigPermVB</vt:lpstr>
      <vt:lpstr>'AGAD|0330-13'!CECOrigPermVB</vt:lpstr>
      <vt:lpstr>'AGAD|0332-04'!CECOrigPermVB</vt:lpstr>
      <vt:lpstr>'AGAD|0332-08'!CECOrigPermVB</vt:lpstr>
      <vt:lpstr>'AGAE|0001-00'!CECOrigPermVB</vt:lpstr>
      <vt:lpstr>'AGAE|0330-12'!CECOrigPermVB</vt:lpstr>
      <vt:lpstr>'AGAE|0332-10'!CECOrigPermVB</vt:lpstr>
      <vt:lpstr>'AGAF|0001-00'!CECOrigPermVB</vt:lpstr>
      <vt:lpstr>'AGAF|0330-00'!CECOrigPermVB</vt:lpstr>
      <vt:lpstr>'AGAF|0490-00'!CECOrigPermVB</vt:lpstr>
      <vt:lpstr>'AGAH|0001-00'!CECOrigPermVB</vt:lpstr>
      <vt:lpstr>'AGAH|0332-03'!CECOrigPermVB</vt:lpstr>
      <vt:lpstr>'AGAL|0486-00'!CECOrigPermVB</vt:lpstr>
      <vt:lpstr>'AGAM|0348-00'!CECOrigPermVB</vt:lpstr>
      <vt:lpstr>'AGAM|0403-03'!CECOrigPermVB</vt:lpstr>
      <vt:lpstr>'AGAO|0330-00'!CECOrigPermVB</vt:lpstr>
      <vt:lpstr>'AGAO|0332-11'!CECOrigPermVB</vt:lpstr>
      <vt:lpstr>'AGAO|0332-12'!CECOrigPermVB</vt:lpstr>
      <vt:lpstr>'AGAO|0348-00'!CECOrigPermVB</vt:lpstr>
      <vt:lpstr>'AGAP|0348-00'!CECOrigPermVB</vt:lpstr>
      <vt:lpstr>'AGAP|0402-00'!CECOrigPermVB</vt:lpstr>
      <vt:lpstr>CECOrigPermVB</vt:lpstr>
      <vt:lpstr>CECPerm</vt:lpstr>
      <vt:lpstr>'AGAA|0001-00'!CECpermCalc</vt:lpstr>
      <vt:lpstr>'AGAA|0125-01'!CECpermCalc</vt:lpstr>
      <vt:lpstr>'AGAA|0125-02'!CECpermCalc</vt:lpstr>
      <vt:lpstr>'AGAB|0001-00'!CECpermCalc</vt:lpstr>
      <vt:lpstr>'AGAB|0332-06'!CECpermCalc</vt:lpstr>
      <vt:lpstr>'AGAB|0332-07'!CECpermCalc</vt:lpstr>
      <vt:lpstr>'AGAB|0332-09'!CECpermCalc</vt:lpstr>
      <vt:lpstr>'AGAC|0001-00'!CECpermCalc</vt:lpstr>
      <vt:lpstr>'AGAC|0332-05'!CECpermCalc</vt:lpstr>
      <vt:lpstr>'AGAC|0348-00'!CECpermCalc</vt:lpstr>
      <vt:lpstr>'AGAD|0001-00'!CECpermCalc</vt:lpstr>
      <vt:lpstr>'AGAD|0330-00'!CECpermCalc</vt:lpstr>
      <vt:lpstr>'AGAD|0330-13'!CECpermCalc</vt:lpstr>
      <vt:lpstr>'AGAD|0332-04'!CECpermCalc</vt:lpstr>
      <vt:lpstr>'AGAD|0332-08'!CECpermCalc</vt:lpstr>
      <vt:lpstr>'AGAE|0001-00'!CECpermCalc</vt:lpstr>
      <vt:lpstr>'AGAE|0330-12'!CECpermCalc</vt:lpstr>
      <vt:lpstr>'AGAE|0332-10'!CECpermCalc</vt:lpstr>
      <vt:lpstr>'AGAF|0001-00'!CECpermCalc</vt:lpstr>
      <vt:lpstr>'AGAF|0330-00'!CECpermCalc</vt:lpstr>
      <vt:lpstr>'AGAF|0490-00'!CECpermCalc</vt:lpstr>
      <vt:lpstr>'AGAH|0001-00'!CECpermCalc</vt:lpstr>
      <vt:lpstr>'AGAH|0332-03'!CECpermCalc</vt:lpstr>
      <vt:lpstr>'AGAL|0486-00'!CECpermCalc</vt:lpstr>
      <vt:lpstr>'AGAM|0348-00'!CECpermCalc</vt:lpstr>
      <vt:lpstr>'AGAM|0403-03'!CECpermCalc</vt:lpstr>
      <vt:lpstr>'AGAO|0330-00'!CECpermCalc</vt:lpstr>
      <vt:lpstr>'AGAO|0332-11'!CECpermCalc</vt:lpstr>
      <vt:lpstr>'AGAO|0332-12'!CECpermCalc</vt:lpstr>
      <vt:lpstr>'AGAO|0348-00'!CECpermCalc</vt:lpstr>
      <vt:lpstr>'AGAP|0348-00'!CECpermCalc</vt:lpstr>
      <vt:lpstr>'AGAP|0402-00'!CECpermCalc</vt:lpstr>
      <vt:lpstr>CECpermCalc</vt:lpstr>
      <vt:lpstr>'AGAA|0001-00'!Department</vt:lpstr>
      <vt:lpstr>'AGAA|0125-01'!Department</vt:lpstr>
      <vt:lpstr>'AGAA|0125-02'!Department</vt:lpstr>
      <vt:lpstr>'AGAB|0001-00'!Department</vt:lpstr>
      <vt:lpstr>'AGAB|0332-06'!Department</vt:lpstr>
      <vt:lpstr>'AGAB|0332-07'!Department</vt:lpstr>
      <vt:lpstr>'AGAB|0332-09'!Department</vt:lpstr>
      <vt:lpstr>'AGAC|0001-00'!Department</vt:lpstr>
      <vt:lpstr>'AGAC|0332-05'!Department</vt:lpstr>
      <vt:lpstr>'AGAC|0348-00'!Department</vt:lpstr>
      <vt:lpstr>'AGAD|0001-00'!Department</vt:lpstr>
      <vt:lpstr>'AGAD|0330-00'!Department</vt:lpstr>
      <vt:lpstr>'AGAD|0330-13'!Department</vt:lpstr>
      <vt:lpstr>'AGAD|0332-04'!Department</vt:lpstr>
      <vt:lpstr>'AGAD|0332-08'!Department</vt:lpstr>
      <vt:lpstr>'AGAE|0001-00'!Department</vt:lpstr>
      <vt:lpstr>'AGAE|0330-12'!Department</vt:lpstr>
      <vt:lpstr>'AGAE|0332-10'!Department</vt:lpstr>
      <vt:lpstr>'AGAF|0001-00'!Department</vt:lpstr>
      <vt:lpstr>'AGAF|0330-00'!Department</vt:lpstr>
      <vt:lpstr>'AGAF|0490-00'!Department</vt:lpstr>
      <vt:lpstr>'AGAH|0001-00'!Department</vt:lpstr>
      <vt:lpstr>'AGAH|0332-03'!Department</vt:lpstr>
      <vt:lpstr>'AGAL|0486-00'!Department</vt:lpstr>
      <vt:lpstr>'AGAM|0348-00'!Department</vt:lpstr>
      <vt:lpstr>'AGAM|0403-03'!Department</vt:lpstr>
      <vt:lpstr>'AGAO|0330-00'!Department</vt:lpstr>
      <vt:lpstr>'AGAO|0332-11'!Department</vt:lpstr>
      <vt:lpstr>'AGAO|0332-12'!Department</vt:lpstr>
      <vt:lpstr>'AGAO|0348-00'!Department</vt:lpstr>
      <vt:lpstr>'AGAP|0348-00'!Department</vt:lpstr>
      <vt:lpstr>'AGAP|0402-00'!Department</vt:lpstr>
      <vt:lpstr>Department</vt:lpstr>
      <vt:lpstr>DHR</vt:lpstr>
      <vt:lpstr>DHRBY</vt:lpstr>
      <vt:lpstr>DHRCHG</vt:lpstr>
      <vt:lpstr>'AGAA|0001-00'!Division</vt:lpstr>
      <vt:lpstr>'AGAA|0125-01'!Division</vt:lpstr>
      <vt:lpstr>'AGAA|0125-02'!Division</vt:lpstr>
      <vt:lpstr>'AGAB|0001-00'!Division</vt:lpstr>
      <vt:lpstr>'AGAB|0332-06'!Division</vt:lpstr>
      <vt:lpstr>'AGAB|0332-07'!Division</vt:lpstr>
      <vt:lpstr>'AGAB|0332-09'!Division</vt:lpstr>
      <vt:lpstr>'AGAC|0001-00'!Division</vt:lpstr>
      <vt:lpstr>'AGAC|0332-05'!Division</vt:lpstr>
      <vt:lpstr>'AGAC|0348-00'!Division</vt:lpstr>
      <vt:lpstr>'AGAD|0001-00'!Division</vt:lpstr>
      <vt:lpstr>'AGAD|0330-00'!Division</vt:lpstr>
      <vt:lpstr>'AGAD|0330-13'!Division</vt:lpstr>
      <vt:lpstr>'AGAD|0332-04'!Division</vt:lpstr>
      <vt:lpstr>'AGAD|0332-08'!Division</vt:lpstr>
      <vt:lpstr>'AGAE|0001-00'!Division</vt:lpstr>
      <vt:lpstr>'AGAE|0330-12'!Division</vt:lpstr>
      <vt:lpstr>'AGAE|0332-10'!Division</vt:lpstr>
      <vt:lpstr>'AGAF|0001-00'!Division</vt:lpstr>
      <vt:lpstr>'AGAF|0330-00'!Division</vt:lpstr>
      <vt:lpstr>'AGAF|0490-00'!Division</vt:lpstr>
      <vt:lpstr>'AGAH|0001-00'!Division</vt:lpstr>
      <vt:lpstr>'AGAH|0332-03'!Division</vt:lpstr>
      <vt:lpstr>'AGAL|0486-00'!Division</vt:lpstr>
      <vt:lpstr>'AGAM|0348-00'!Division</vt:lpstr>
      <vt:lpstr>'AGAM|0403-03'!Division</vt:lpstr>
      <vt:lpstr>'AGAO|0330-00'!Division</vt:lpstr>
      <vt:lpstr>'AGAO|0332-11'!Division</vt:lpstr>
      <vt:lpstr>'AGAO|0332-12'!Division</vt:lpstr>
      <vt:lpstr>'AGAO|0348-00'!Division</vt:lpstr>
      <vt:lpstr>'AGAP|0348-00'!Division</vt:lpstr>
      <vt:lpstr>'AGAP|0402-00'!Division</vt:lpstr>
      <vt:lpstr>Division</vt:lpstr>
      <vt:lpstr>'AGAA|0001-00'!DUCECElect</vt:lpstr>
      <vt:lpstr>'AGAA|0125-01'!DUCECElect</vt:lpstr>
      <vt:lpstr>'AGAA|0125-02'!DUCECElect</vt:lpstr>
      <vt:lpstr>'AGAB|0001-00'!DUCECElect</vt:lpstr>
      <vt:lpstr>'AGAB|0332-06'!DUCECElect</vt:lpstr>
      <vt:lpstr>'AGAB|0332-07'!DUCECElect</vt:lpstr>
      <vt:lpstr>'AGAB|0332-09'!DUCECElect</vt:lpstr>
      <vt:lpstr>'AGAC|0001-00'!DUCECElect</vt:lpstr>
      <vt:lpstr>'AGAC|0332-05'!DUCECElect</vt:lpstr>
      <vt:lpstr>'AGAC|0348-00'!DUCECElect</vt:lpstr>
      <vt:lpstr>'AGAD|0001-00'!DUCECElect</vt:lpstr>
      <vt:lpstr>'AGAD|0330-00'!DUCECElect</vt:lpstr>
      <vt:lpstr>'AGAD|0330-13'!DUCECElect</vt:lpstr>
      <vt:lpstr>'AGAD|0332-04'!DUCECElect</vt:lpstr>
      <vt:lpstr>'AGAD|0332-08'!DUCECElect</vt:lpstr>
      <vt:lpstr>'AGAE|0001-00'!DUCECElect</vt:lpstr>
      <vt:lpstr>'AGAE|0330-12'!DUCECElect</vt:lpstr>
      <vt:lpstr>'AGAE|0332-10'!DUCECElect</vt:lpstr>
      <vt:lpstr>'AGAF|0001-00'!DUCECElect</vt:lpstr>
      <vt:lpstr>'AGAF|0330-00'!DUCECElect</vt:lpstr>
      <vt:lpstr>'AGAF|0490-00'!DUCECElect</vt:lpstr>
      <vt:lpstr>'AGAH|0001-00'!DUCECElect</vt:lpstr>
      <vt:lpstr>'AGAH|0332-03'!DUCECElect</vt:lpstr>
      <vt:lpstr>'AGAL|0486-00'!DUCECElect</vt:lpstr>
      <vt:lpstr>'AGAM|0348-00'!DUCECElect</vt:lpstr>
      <vt:lpstr>'AGAM|0403-03'!DUCECElect</vt:lpstr>
      <vt:lpstr>'AGAO|0330-00'!DUCECElect</vt:lpstr>
      <vt:lpstr>'AGAO|0332-11'!DUCECElect</vt:lpstr>
      <vt:lpstr>'AGAO|0332-12'!DUCECElect</vt:lpstr>
      <vt:lpstr>'AGAO|0348-00'!DUCECElect</vt:lpstr>
      <vt:lpstr>'AGAP|0348-00'!DUCECElect</vt:lpstr>
      <vt:lpstr>'AGAP|0402-00'!DUCECElect</vt:lpstr>
      <vt:lpstr>DUCECElect</vt:lpstr>
      <vt:lpstr>'AGAA|0001-00'!DUCECGroup</vt:lpstr>
      <vt:lpstr>'AGAA|0125-01'!DUCECGroup</vt:lpstr>
      <vt:lpstr>'AGAA|0125-02'!DUCECGroup</vt:lpstr>
      <vt:lpstr>'AGAB|0001-00'!DUCECGroup</vt:lpstr>
      <vt:lpstr>'AGAB|0332-06'!DUCECGroup</vt:lpstr>
      <vt:lpstr>'AGAB|0332-07'!DUCECGroup</vt:lpstr>
      <vt:lpstr>'AGAB|0332-09'!DUCECGroup</vt:lpstr>
      <vt:lpstr>'AGAC|0001-00'!DUCECGroup</vt:lpstr>
      <vt:lpstr>'AGAC|0332-05'!DUCECGroup</vt:lpstr>
      <vt:lpstr>'AGAC|0348-00'!DUCECGroup</vt:lpstr>
      <vt:lpstr>'AGAD|0001-00'!DUCECGroup</vt:lpstr>
      <vt:lpstr>'AGAD|0330-00'!DUCECGroup</vt:lpstr>
      <vt:lpstr>'AGAD|0330-13'!DUCECGroup</vt:lpstr>
      <vt:lpstr>'AGAD|0332-04'!DUCECGroup</vt:lpstr>
      <vt:lpstr>'AGAD|0332-08'!DUCECGroup</vt:lpstr>
      <vt:lpstr>'AGAE|0001-00'!DUCECGroup</vt:lpstr>
      <vt:lpstr>'AGAE|0330-12'!DUCECGroup</vt:lpstr>
      <vt:lpstr>'AGAE|0332-10'!DUCECGroup</vt:lpstr>
      <vt:lpstr>'AGAF|0001-00'!DUCECGroup</vt:lpstr>
      <vt:lpstr>'AGAF|0330-00'!DUCECGroup</vt:lpstr>
      <vt:lpstr>'AGAF|0490-00'!DUCECGroup</vt:lpstr>
      <vt:lpstr>'AGAH|0001-00'!DUCECGroup</vt:lpstr>
      <vt:lpstr>'AGAH|0332-03'!DUCECGroup</vt:lpstr>
      <vt:lpstr>'AGAL|0486-00'!DUCECGroup</vt:lpstr>
      <vt:lpstr>'AGAM|0348-00'!DUCECGroup</vt:lpstr>
      <vt:lpstr>'AGAM|0403-03'!DUCECGroup</vt:lpstr>
      <vt:lpstr>'AGAO|0330-00'!DUCECGroup</vt:lpstr>
      <vt:lpstr>'AGAO|0332-11'!DUCECGroup</vt:lpstr>
      <vt:lpstr>'AGAO|0332-12'!DUCECGroup</vt:lpstr>
      <vt:lpstr>'AGAO|0348-00'!DUCECGroup</vt:lpstr>
      <vt:lpstr>'AGAP|0348-00'!DUCECGroup</vt:lpstr>
      <vt:lpstr>'AGAP|0402-00'!DUCECGroup</vt:lpstr>
      <vt:lpstr>DUCECGroup</vt:lpstr>
      <vt:lpstr>'AGAA|0001-00'!DUCECPerm</vt:lpstr>
      <vt:lpstr>'AGAA|0125-01'!DUCECPerm</vt:lpstr>
      <vt:lpstr>'AGAA|0125-02'!DUCECPerm</vt:lpstr>
      <vt:lpstr>'AGAB|0001-00'!DUCECPerm</vt:lpstr>
      <vt:lpstr>'AGAB|0332-06'!DUCECPerm</vt:lpstr>
      <vt:lpstr>'AGAB|0332-07'!DUCECPerm</vt:lpstr>
      <vt:lpstr>'AGAB|0332-09'!DUCECPerm</vt:lpstr>
      <vt:lpstr>'AGAC|0001-00'!DUCECPerm</vt:lpstr>
      <vt:lpstr>'AGAC|0332-05'!DUCECPerm</vt:lpstr>
      <vt:lpstr>'AGAC|0348-00'!DUCECPerm</vt:lpstr>
      <vt:lpstr>'AGAD|0001-00'!DUCECPerm</vt:lpstr>
      <vt:lpstr>'AGAD|0330-00'!DUCECPerm</vt:lpstr>
      <vt:lpstr>'AGAD|0330-13'!DUCECPerm</vt:lpstr>
      <vt:lpstr>'AGAD|0332-04'!DUCECPerm</vt:lpstr>
      <vt:lpstr>'AGAD|0332-08'!DUCECPerm</vt:lpstr>
      <vt:lpstr>'AGAE|0001-00'!DUCECPerm</vt:lpstr>
      <vt:lpstr>'AGAE|0330-12'!DUCECPerm</vt:lpstr>
      <vt:lpstr>'AGAE|0332-10'!DUCECPerm</vt:lpstr>
      <vt:lpstr>'AGAF|0001-00'!DUCECPerm</vt:lpstr>
      <vt:lpstr>'AGAF|0330-00'!DUCECPerm</vt:lpstr>
      <vt:lpstr>'AGAF|0490-00'!DUCECPerm</vt:lpstr>
      <vt:lpstr>'AGAH|0001-00'!DUCECPerm</vt:lpstr>
      <vt:lpstr>'AGAH|0332-03'!DUCECPerm</vt:lpstr>
      <vt:lpstr>'AGAL|0486-00'!DUCECPerm</vt:lpstr>
      <vt:lpstr>'AGAM|0348-00'!DUCECPerm</vt:lpstr>
      <vt:lpstr>'AGAM|0403-03'!DUCECPerm</vt:lpstr>
      <vt:lpstr>'AGAO|0330-00'!DUCECPerm</vt:lpstr>
      <vt:lpstr>'AGAO|0332-11'!DUCECPerm</vt:lpstr>
      <vt:lpstr>'AGAO|0332-12'!DUCECPerm</vt:lpstr>
      <vt:lpstr>'AGAO|0348-00'!DUCECPerm</vt:lpstr>
      <vt:lpstr>'AGAP|0348-00'!DUCECPerm</vt:lpstr>
      <vt:lpstr>'AGAP|0402-00'!DUCECPerm</vt:lpstr>
      <vt:lpstr>DUCECPerm</vt:lpstr>
      <vt:lpstr>'AGAA|0001-00'!DUEleven</vt:lpstr>
      <vt:lpstr>'AGAA|0125-01'!DUEleven</vt:lpstr>
      <vt:lpstr>'AGAA|0125-02'!DUEleven</vt:lpstr>
      <vt:lpstr>'AGAB|0001-00'!DUEleven</vt:lpstr>
      <vt:lpstr>'AGAB|0332-06'!DUEleven</vt:lpstr>
      <vt:lpstr>'AGAB|0332-07'!DUEleven</vt:lpstr>
      <vt:lpstr>'AGAB|0332-09'!DUEleven</vt:lpstr>
      <vt:lpstr>'AGAC|0001-00'!DUEleven</vt:lpstr>
      <vt:lpstr>'AGAC|0332-05'!DUEleven</vt:lpstr>
      <vt:lpstr>'AGAC|0348-00'!DUEleven</vt:lpstr>
      <vt:lpstr>'AGAD|0001-00'!DUEleven</vt:lpstr>
      <vt:lpstr>'AGAD|0330-00'!DUEleven</vt:lpstr>
      <vt:lpstr>'AGAD|0330-13'!DUEleven</vt:lpstr>
      <vt:lpstr>'AGAD|0332-04'!DUEleven</vt:lpstr>
      <vt:lpstr>'AGAD|0332-08'!DUEleven</vt:lpstr>
      <vt:lpstr>'AGAE|0001-00'!DUEleven</vt:lpstr>
      <vt:lpstr>'AGAE|0330-12'!DUEleven</vt:lpstr>
      <vt:lpstr>'AGAE|0332-10'!DUEleven</vt:lpstr>
      <vt:lpstr>'AGAF|0001-00'!DUEleven</vt:lpstr>
      <vt:lpstr>'AGAF|0330-00'!DUEleven</vt:lpstr>
      <vt:lpstr>'AGAF|0490-00'!DUEleven</vt:lpstr>
      <vt:lpstr>'AGAH|0001-00'!DUEleven</vt:lpstr>
      <vt:lpstr>'AGAH|0332-03'!DUEleven</vt:lpstr>
      <vt:lpstr>'AGAL|0486-00'!DUEleven</vt:lpstr>
      <vt:lpstr>'AGAM|0348-00'!DUEleven</vt:lpstr>
      <vt:lpstr>'AGAM|0403-03'!DUEleven</vt:lpstr>
      <vt:lpstr>'AGAO|0330-00'!DUEleven</vt:lpstr>
      <vt:lpstr>'AGAO|0332-11'!DUEleven</vt:lpstr>
      <vt:lpstr>'AGAO|0332-12'!DUEleven</vt:lpstr>
      <vt:lpstr>'AGAO|0348-00'!DUEleven</vt:lpstr>
      <vt:lpstr>'AGAP|0348-00'!DUEleven</vt:lpstr>
      <vt:lpstr>'AGAP|0402-00'!DUEleven</vt:lpstr>
      <vt:lpstr>DUEleven</vt:lpstr>
      <vt:lpstr>'AGAA|0001-00'!DUHealthBen</vt:lpstr>
      <vt:lpstr>'AGAA|0125-01'!DUHealthBen</vt:lpstr>
      <vt:lpstr>'AGAA|0125-02'!DUHealthBen</vt:lpstr>
      <vt:lpstr>'AGAB|0001-00'!DUHealthBen</vt:lpstr>
      <vt:lpstr>'AGAB|0332-06'!DUHealthBen</vt:lpstr>
      <vt:lpstr>'AGAB|0332-07'!DUHealthBen</vt:lpstr>
      <vt:lpstr>'AGAB|0332-09'!DUHealthBen</vt:lpstr>
      <vt:lpstr>'AGAC|0001-00'!DUHealthBen</vt:lpstr>
      <vt:lpstr>'AGAC|0332-05'!DUHealthBen</vt:lpstr>
      <vt:lpstr>'AGAC|0348-00'!DUHealthBen</vt:lpstr>
      <vt:lpstr>'AGAD|0001-00'!DUHealthBen</vt:lpstr>
      <vt:lpstr>'AGAD|0330-00'!DUHealthBen</vt:lpstr>
      <vt:lpstr>'AGAD|0330-13'!DUHealthBen</vt:lpstr>
      <vt:lpstr>'AGAD|0332-04'!DUHealthBen</vt:lpstr>
      <vt:lpstr>'AGAD|0332-08'!DUHealthBen</vt:lpstr>
      <vt:lpstr>'AGAE|0001-00'!DUHealthBen</vt:lpstr>
      <vt:lpstr>'AGAE|0330-12'!DUHealthBen</vt:lpstr>
      <vt:lpstr>'AGAE|0332-10'!DUHealthBen</vt:lpstr>
      <vt:lpstr>'AGAF|0001-00'!DUHealthBen</vt:lpstr>
      <vt:lpstr>'AGAF|0330-00'!DUHealthBen</vt:lpstr>
      <vt:lpstr>'AGAF|0490-00'!DUHealthBen</vt:lpstr>
      <vt:lpstr>'AGAH|0001-00'!DUHealthBen</vt:lpstr>
      <vt:lpstr>'AGAH|0332-03'!DUHealthBen</vt:lpstr>
      <vt:lpstr>'AGAL|0486-00'!DUHealthBen</vt:lpstr>
      <vt:lpstr>'AGAM|0348-00'!DUHealthBen</vt:lpstr>
      <vt:lpstr>'AGAM|0403-03'!DUHealthBen</vt:lpstr>
      <vt:lpstr>'AGAO|0330-00'!DUHealthBen</vt:lpstr>
      <vt:lpstr>'AGAO|0332-11'!DUHealthBen</vt:lpstr>
      <vt:lpstr>'AGAO|0332-12'!DUHealthBen</vt:lpstr>
      <vt:lpstr>'AGAO|0348-00'!DUHealthBen</vt:lpstr>
      <vt:lpstr>'AGAP|0348-00'!DUHealthBen</vt:lpstr>
      <vt:lpstr>'AGAP|0402-00'!DUHealthBen</vt:lpstr>
      <vt:lpstr>DUHealthBen</vt:lpstr>
      <vt:lpstr>'AGAA|0001-00'!DUNine</vt:lpstr>
      <vt:lpstr>'AGAA|0125-01'!DUNine</vt:lpstr>
      <vt:lpstr>'AGAA|0125-02'!DUNine</vt:lpstr>
      <vt:lpstr>'AGAB|0001-00'!DUNine</vt:lpstr>
      <vt:lpstr>'AGAB|0332-06'!DUNine</vt:lpstr>
      <vt:lpstr>'AGAB|0332-07'!DUNine</vt:lpstr>
      <vt:lpstr>'AGAB|0332-09'!DUNine</vt:lpstr>
      <vt:lpstr>'AGAC|0001-00'!DUNine</vt:lpstr>
      <vt:lpstr>'AGAC|0332-05'!DUNine</vt:lpstr>
      <vt:lpstr>'AGAC|0348-00'!DUNine</vt:lpstr>
      <vt:lpstr>'AGAD|0001-00'!DUNine</vt:lpstr>
      <vt:lpstr>'AGAD|0330-00'!DUNine</vt:lpstr>
      <vt:lpstr>'AGAD|0330-13'!DUNine</vt:lpstr>
      <vt:lpstr>'AGAD|0332-04'!DUNine</vt:lpstr>
      <vt:lpstr>'AGAD|0332-08'!DUNine</vt:lpstr>
      <vt:lpstr>'AGAE|0001-00'!DUNine</vt:lpstr>
      <vt:lpstr>'AGAE|0330-12'!DUNine</vt:lpstr>
      <vt:lpstr>'AGAE|0332-10'!DUNine</vt:lpstr>
      <vt:lpstr>'AGAF|0001-00'!DUNine</vt:lpstr>
      <vt:lpstr>'AGAF|0330-00'!DUNine</vt:lpstr>
      <vt:lpstr>'AGAF|0490-00'!DUNine</vt:lpstr>
      <vt:lpstr>'AGAH|0001-00'!DUNine</vt:lpstr>
      <vt:lpstr>'AGAH|0332-03'!DUNine</vt:lpstr>
      <vt:lpstr>'AGAL|0486-00'!DUNine</vt:lpstr>
      <vt:lpstr>'AGAM|0348-00'!DUNine</vt:lpstr>
      <vt:lpstr>'AGAM|0403-03'!DUNine</vt:lpstr>
      <vt:lpstr>'AGAO|0330-00'!DUNine</vt:lpstr>
      <vt:lpstr>'AGAO|0332-11'!DUNine</vt:lpstr>
      <vt:lpstr>'AGAO|0332-12'!DUNine</vt:lpstr>
      <vt:lpstr>'AGAO|0348-00'!DUNine</vt:lpstr>
      <vt:lpstr>'AGAP|0348-00'!DUNine</vt:lpstr>
      <vt:lpstr>'AGAP|0402-00'!DUNine</vt:lpstr>
      <vt:lpstr>DUNine</vt:lpstr>
      <vt:lpstr>'AGAA|0001-00'!DUThirteen</vt:lpstr>
      <vt:lpstr>'AGAA|0125-01'!DUThirteen</vt:lpstr>
      <vt:lpstr>'AGAA|0125-02'!DUThirteen</vt:lpstr>
      <vt:lpstr>'AGAB|0001-00'!DUThirteen</vt:lpstr>
      <vt:lpstr>'AGAB|0332-06'!DUThirteen</vt:lpstr>
      <vt:lpstr>'AGAB|0332-07'!DUThirteen</vt:lpstr>
      <vt:lpstr>'AGAB|0332-09'!DUThirteen</vt:lpstr>
      <vt:lpstr>'AGAC|0001-00'!DUThirteen</vt:lpstr>
      <vt:lpstr>'AGAC|0332-05'!DUThirteen</vt:lpstr>
      <vt:lpstr>'AGAC|0348-00'!DUThirteen</vt:lpstr>
      <vt:lpstr>'AGAD|0001-00'!DUThirteen</vt:lpstr>
      <vt:lpstr>'AGAD|0330-00'!DUThirteen</vt:lpstr>
      <vt:lpstr>'AGAD|0330-13'!DUThirteen</vt:lpstr>
      <vt:lpstr>'AGAD|0332-04'!DUThirteen</vt:lpstr>
      <vt:lpstr>'AGAD|0332-08'!DUThirteen</vt:lpstr>
      <vt:lpstr>'AGAE|0001-00'!DUThirteen</vt:lpstr>
      <vt:lpstr>'AGAE|0330-12'!DUThirteen</vt:lpstr>
      <vt:lpstr>'AGAE|0332-10'!DUThirteen</vt:lpstr>
      <vt:lpstr>'AGAF|0001-00'!DUThirteen</vt:lpstr>
      <vt:lpstr>'AGAF|0330-00'!DUThirteen</vt:lpstr>
      <vt:lpstr>'AGAF|0490-00'!DUThirteen</vt:lpstr>
      <vt:lpstr>'AGAH|0001-00'!DUThirteen</vt:lpstr>
      <vt:lpstr>'AGAH|0332-03'!DUThirteen</vt:lpstr>
      <vt:lpstr>'AGAL|0486-00'!DUThirteen</vt:lpstr>
      <vt:lpstr>'AGAM|0348-00'!DUThirteen</vt:lpstr>
      <vt:lpstr>'AGAM|0403-03'!DUThirteen</vt:lpstr>
      <vt:lpstr>'AGAO|0330-00'!DUThirteen</vt:lpstr>
      <vt:lpstr>'AGAO|0332-11'!DUThirteen</vt:lpstr>
      <vt:lpstr>'AGAO|0332-12'!DUThirteen</vt:lpstr>
      <vt:lpstr>'AGAO|0348-00'!DUThirteen</vt:lpstr>
      <vt:lpstr>'AGAP|0348-00'!DUThirteen</vt:lpstr>
      <vt:lpstr>'AGAP|0402-00'!DUThirteen</vt:lpstr>
      <vt:lpstr>DUThirteen</vt:lpstr>
      <vt:lpstr>'AGAA|0001-00'!DUVariableBen</vt:lpstr>
      <vt:lpstr>'AGAA|0125-01'!DUVariableBen</vt:lpstr>
      <vt:lpstr>'AGAA|0125-02'!DUVariableBen</vt:lpstr>
      <vt:lpstr>'AGAB|0001-00'!DUVariableBen</vt:lpstr>
      <vt:lpstr>'AGAB|0332-06'!DUVariableBen</vt:lpstr>
      <vt:lpstr>'AGAB|0332-07'!DUVariableBen</vt:lpstr>
      <vt:lpstr>'AGAB|0332-09'!DUVariableBen</vt:lpstr>
      <vt:lpstr>'AGAC|0001-00'!DUVariableBen</vt:lpstr>
      <vt:lpstr>'AGAC|0332-05'!DUVariableBen</vt:lpstr>
      <vt:lpstr>'AGAC|0348-00'!DUVariableBen</vt:lpstr>
      <vt:lpstr>'AGAD|0001-00'!DUVariableBen</vt:lpstr>
      <vt:lpstr>'AGAD|0330-00'!DUVariableBen</vt:lpstr>
      <vt:lpstr>'AGAD|0330-13'!DUVariableBen</vt:lpstr>
      <vt:lpstr>'AGAD|0332-04'!DUVariableBen</vt:lpstr>
      <vt:lpstr>'AGAD|0332-08'!DUVariableBen</vt:lpstr>
      <vt:lpstr>'AGAE|0001-00'!DUVariableBen</vt:lpstr>
      <vt:lpstr>'AGAE|0330-12'!DUVariableBen</vt:lpstr>
      <vt:lpstr>'AGAE|0332-10'!DUVariableBen</vt:lpstr>
      <vt:lpstr>'AGAF|0001-00'!DUVariableBen</vt:lpstr>
      <vt:lpstr>'AGAF|0330-00'!DUVariableBen</vt:lpstr>
      <vt:lpstr>'AGAF|0490-00'!DUVariableBen</vt:lpstr>
      <vt:lpstr>'AGAH|0001-00'!DUVariableBen</vt:lpstr>
      <vt:lpstr>'AGAH|0332-03'!DUVariableBen</vt:lpstr>
      <vt:lpstr>'AGAL|0486-00'!DUVariableBen</vt:lpstr>
      <vt:lpstr>'AGAM|0348-00'!DUVariableBen</vt:lpstr>
      <vt:lpstr>'AGAM|0403-03'!DUVariableBen</vt:lpstr>
      <vt:lpstr>'AGAO|0330-00'!DUVariableBen</vt:lpstr>
      <vt:lpstr>'AGAO|0332-11'!DUVariableBen</vt:lpstr>
      <vt:lpstr>'AGAO|0332-12'!DUVariableBen</vt:lpstr>
      <vt:lpstr>'AGAO|0348-00'!DUVariableBen</vt:lpstr>
      <vt:lpstr>'AGAP|0348-00'!DUVariableBen</vt:lpstr>
      <vt:lpstr>'AGAP|0402-00'!DUVariableBen</vt:lpstr>
      <vt:lpstr>DUVariableBen</vt:lpstr>
      <vt:lpstr>'AGAA|0001-00'!Elect_chg_health</vt:lpstr>
      <vt:lpstr>'AGAA|0125-01'!Elect_chg_health</vt:lpstr>
      <vt:lpstr>'AGAA|0125-02'!Elect_chg_health</vt:lpstr>
      <vt:lpstr>'AGAB|0001-00'!Elect_chg_health</vt:lpstr>
      <vt:lpstr>'AGAB|0332-06'!Elect_chg_health</vt:lpstr>
      <vt:lpstr>'AGAB|0332-07'!Elect_chg_health</vt:lpstr>
      <vt:lpstr>'AGAB|0332-09'!Elect_chg_health</vt:lpstr>
      <vt:lpstr>'AGAC|0001-00'!Elect_chg_health</vt:lpstr>
      <vt:lpstr>'AGAC|0332-05'!Elect_chg_health</vt:lpstr>
      <vt:lpstr>'AGAC|0348-00'!Elect_chg_health</vt:lpstr>
      <vt:lpstr>'AGAD|0001-00'!Elect_chg_health</vt:lpstr>
      <vt:lpstr>'AGAD|0330-00'!Elect_chg_health</vt:lpstr>
      <vt:lpstr>'AGAD|0330-13'!Elect_chg_health</vt:lpstr>
      <vt:lpstr>'AGAD|0332-04'!Elect_chg_health</vt:lpstr>
      <vt:lpstr>'AGAD|0332-08'!Elect_chg_health</vt:lpstr>
      <vt:lpstr>'AGAE|0001-00'!Elect_chg_health</vt:lpstr>
      <vt:lpstr>'AGAE|0330-12'!Elect_chg_health</vt:lpstr>
      <vt:lpstr>'AGAE|0332-10'!Elect_chg_health</vt:lpstr>
      <vt:lpstr>'AGAF|0001-00'!Elect_chg_health</vt:lpstr>
      <vt:lpstr>'AGAF|0330-00'!Elect_chg_health</vt:lpstr>
      <vt:lpstr>'AGAF|0490-00'!Elect_chg_health</vt:lpstr>
      <vt:lpstr>'AGAH|0001-00'!Elect_chg_health</vt:lpstr>
      <vt:lpstr>'AGAH|0332-03'!Elect_chg_health</vt:lpstr>
      <vt:lpstr>'AGAL|0486-00'!Elect_chg_health</vt:lpstr>
      <vt:lpstr>'AGAM|0348-00'!Elect_chg_health</vt:lpstr>
      <vt:lpstr>'AGAM|0403-03'!Elect_chg_health</vt:lpstr>
      <vt:lpstr>'AGAO|0330-00'!Elect_chg_health</vt:lpstr>
      <vt:lpstr>'AGAO|0332-11'!Elect_chg_health</vt:lpstr>
      <vt:lpstr>'AGAO|0332-12'!Elect_chg_health</vt:lpstr>
      <vt:lpstr>'AGAO|0348-00'!Elect_chg_health</vt:lpstr>
      <vt:lpstr>'AGAP|0348-00'!Elect_chg_health</vt:lpstr>
      <vt:lpstr>'AGAP|0402-00'!Elect_chg_health</vt:lpstr>
      <vt:lpstr>Elect_chg_health</vt:lpstr>
      <vt:lpstr>'AGAA|0001-00'!Elect_chg_Var</vt:lpstr>
      <vt:lpstr>'AGAA|0125-01'!Elect_chg_Var</vt:lpstr>
      <vt:lpstr>'AGAA|0125-02'!Elect_chg_Var</vt:lpstr>
      <vt:lpstr>'AGAB|0001-00'!Elect_chg_Var</vt:lpstr>
      <vt:lpstr>'AGAB|0332-06'!Elect_chg_Var</vt:lpstr>
      <vt:lpstr>'AGAB|0332-07'!Elect_chg_Var</vt:lpstr>
      <vt:lpstr>'AGAB|0332-09'!Elect_chg_Var</vt:lpstr>
      <vt:lpstr>'AGAC|0001-00'!Elect_chg_Var</vt:lpstr>
      <vt:lpstr>'AGAC|0332-05'!Elect_chg_Var</vt:lpstr>
      <vt:lpstr>'AGAC|0348-00'!Elect_chg_Var</vt:lpstr>
      <vt:lpstr>'AGAD|0001-00'!Elect_chg_Var</vt:lpstr>
      <vt:lpstr>'AGAD|0330-00'!Elect_chg_Var</vt:lpstr>
      <vt:lpstr>'AGAD|0330-13'!Elect_chg_Var</vt:lpstr>
      <vt:lpstr>'AGAD|0332-04'!Elect_chg_Var</vt:lpstr>
      <vt:lpstr>'AGAD|0332-08'!Elect_chg_Var</vt:lpstr>
      <vt:lpstr>'AGAE|0001-00'!Elect_chg_Var</vt:lpstr>
      <vt:lpstr>'AGAE|0330-12'!Elect_chg_Var</vt:lpstr>
      <vt:lpstr>'AGAE|0332-10'!Elect_chg_Var</vt:lpstr>
      <vt:lpstr>'AGAF|0001-00'!Elect_chg_Var</vt:lpstr>
      <vt:lpstr>'AGAF|0330-00'!Elect_chg_Var</vt:lpstr>
      <vt:lpstr>'AGAF|0490-00'!Elect_chg_Var</vt:lpstr>
      <vt:lpstr>'AGAH|0001-00'!Elect_chg_Var</vt:lpstr>
      <vt:lpstr>'AGAH|0332-03'!Elect_chg_Var</vt:lpstr>
      <vt:lpstr>'AGAL|0486-00'!Elect_chg_Var</vt:lpstr>
      <vt:lpstr>'AGAM|0348-00'!Elect_chg_Var</vt:lpstr>
      <vt:lpstr>'AGAM|0403-03'!Elect_chg_Var</vt:lpstr>
      <vt:lpstr>'AGAO|0330-00'!Elect_chg_Var</vt:lpstr>
      <vt:lpstr>'AGAO|0332-11'!Elect_chg_Var</vt:lpstr>
      <vt:lpstr>'AGAO|0332-12'!Elect_chg_Var</vt:lpstr>
      <vt:lpstr>'AGAO|0348-00'!Elect_chg_Var</vt:lpstr>
      <vt:lpstr>'AGAP|0348-00'!Elect_chg_Var</vt:lpstr>
      <vt:lpstr>'AGAP|0402-00'!Elect_chg_Var</vt:lpstr>
      <vt:lpstr>Elect_chg_Var</vt:lpstr>
      <vt:lpstr>'AGAA|0001-00'!elect_FTP</vt:lpstr>
      <vt:lpstr>'AGAA|0125-01'!elect_FTP</vt:lpstr>
      <vt:lpstr>'AGAA|0125-02'!elect_FTP</vt:lpstr>
      <vt:lpstr>'AGAB|0001-00'!elect_FTP</vt:lpstr>
      <vt:lpstr>'AGAB|0332-06'!elect_FTP</vt:lpstr>
      <vt:lpstr>'AGAB|0332-07'!elect_FTP</vt:lpstr>
      <vt:lpstr>'AGAB|0332-09'!elect_FTP</vt:lpstr>
      <vt:lpstr>'AGAC|0001-00'!elect_FTP</vt:lpstr>
      <vt:lpstr>'AGAC|0332-05'!elect_FTP</vt:lpstr>
      <vt:lpstr>'AGAC|0348-00'!elect_FTP</vt:lpstr>
      <vt:lpstr>'AGAD|0001-00'!elect_FTP</vt:lpstr>
      <vt:lpstr>'AGAD|0330-00'!elect_FTP</vt:lpstr>
      <vt:lpstr>'AGAD|0330-13'!elect_FTP</vt:lpstr>
      <vt:lpstr>'AGAD|0332-04'!elect_FTP</vt:lpstr>
      <vt:lpstr>'AGAD|0332-08'!elect_FTP</vt:lpstr>
      <vt:lpstr>'AGAE|0001-00'!elect_FTP</vt:lpstr>
      <vt:lpstr>'AGAE|0330-12'!elect_FTP</vt:lpstr>
      <vt:lpstr>'AGAE|0332-10'!elect_FTP</vt:lpstr>
      <vt:lpstr>'AGAF|0001-00'!elect_FTP</vt:lpstr>
      <vt:lpstr>'AGAF|0330-00'!elect_FTP</vt:lpstr>
      <vt:lpstr>'AGAF|0490-00'!elect_FTP</vt:lpstr>
      <vt:lpstr>'AGAH|0001-00'!elect_FTP</vt:lpstr>
      <vt:lpstr>'AGAH|0332-03'!elect_FTP</vt:lpstr>
      <vt:lpstr>'AGAL|0486-00'!elect_FTP</vt:lpstr>
      <vt:lpstr>'AGAM|0348-00'!elect_FTP</vt:lpstr>
      <vt:lpstr>'AGAM|0403-03'!elect_FTP</vt:lpstr>
      <vt:lpstr>'AGAO|0330-00'!elect_FTP</vt:lpstr>
      <vt:lpstr>'AGAO|0332-11'!elect_FTP</vt:lpstr>
      <vt:lpstr>'AGAO|0332-12'!elect_FTP</vt:lpstr>
      <vt:lpstr>'AGAO|0348-00'!elect_FTP</vt:lpstr>
      <vt:lpstr>'AGAP|0348-00'!elect_FTP</vt:lpstr>
      <vt:lpstr>'AGAP|0402-00'!elect_FTP</vt:lpstr>
      <vt:lpstr>elect_FTP</vt:lpstr>
      <vt:lpstr>'AGAA|0001-00'!Elect_health</vt:lpstr>
      <vt:lpstr>'AGAA|0125-01'!Elect_health</vt:lpstr>
      <vt:lpstr>'AGAA|0125-02'!Elect_health</vt:lpstr>
      <vt:lpstr>'AGAB|0001-00'!Elect_health</vt:lpstr>
      <vt:lpstr>'AGAB|0332-06'!Elect_health</vt:lpstr>
      <vt:lpstr>'AGAB|0332-07'!Elect_health</vt:lpstr>
      <vt:lpstr>'AGAB|0332-09'!Elect_health</vt:lpstr>
      <vt:lpstr>'AGAC|0001-00'!Elect_health</vt:lpstr>
      <vt:lpstr>'AGAC|0332-05'!Elect_health</vt:lpstr>
      <vt:lpstr>'AGAC|0348-00'!Elect_health</vt:lpstr>
      <vt:lpstr>'AGAD|0001-00'!Elect_health</vt:lpstr>
      <vt:lpstr>'AGAD|0330-00'!Elect_health</vt:lpstr>
      <vt:lpstr>'AGAD|0330-13'!Elect_health</vt:lpstr>
      <vt:lpstr>'AGAD|0332-04'!Elect_health</vt:lpstr>
      <vt:lpstr>'AGAD|0332-08'!Elect_health</vt:lpstr>
      <vt:lpstr>'AGAE|0001-00'!Elect_health</vt:lpstr>
      <vt:lpstr>'AGAE|0330-12'!Elect_health</vt:lpstr>
      <vt:lpstr>'AGAE|0332-10'!Elect_health</vt:lpstr>
      <vt:lpstr>'AGAF|0001-00'!Elect_health</vt:lpstr>
      <vt:lpstr>'AGAF|0330-00'!Elect_health</vt:lpstr>
      <vt:lpstr>'AGAF|0490-00'!Elect_health</vt:lpstr>
      <vt:lpstr>'AGAH|0001-00'!Elect_health</vt:lpstr>
      <vt:lpstr>'AGAH|0332-03'!Elect_health</vt:lpstr>
      <vt:lpstr>'AGAL|0486-00'!Elect_health</vt:lpstr>
      <vt:lpstr>'AGAM|0348-00'!Elect_health</vt:lpstr>
      <vt:lpstr>'AGAM|0403-03'!Elect_health</vt:lpstr>
      <vt:lpstr>'AGAO|0330-00'!Elect_health</vt:lpstr>
      <vt:lpstr>'AGAO|0332-11'!Elect_health</vt:lpstr>
      <vt:lpstr>'AGAO|0332-12'!Elect_health</vt:lpstr>
      <vt:lpstr>'AGAO|0348-00'!Elect_health</vt:lpstr>
      <vt:lpstr>'AGAP|0348-00'!Elect_health</vt:lpstr>
      <vt:lpstr>'AGAP|0402-00'!Elect_health</vt:lpstr>
      <vt:lpstr>Elect_health</vt:lpstr>
      <vt:lpstr>'AGAA|0001-00'!Elect_name</vt:lpstr>
      <vt:lpstr>'AGAA|0125-01'!Elect_name</vt:lpstr>
      <vt:lpstr>'AGAA|0125-02'!Elect_name</vt:lpstr>
      <vt:lpstr>'AGAB|0001-00'!Elect_name</vt:lpstr>
      <vt:lpstr>'AGAB|0332-06'!Elect_name</vt:lpstr>
      <vt:lpstr>'AGAB|0332-07'!Elect_name</vt:lpstr>
      <vt:lpstr>'AGAB|0332-09'!Elect_name</vt:lpstr>
      <vt:lpstr>'AGAC|0001-00'!Elect_name</vt:lpstr>
      <vt:lpstr>'AGAC|0332-05'!Elect_name</vt:lpstr>
      <vt:lpstr>'AGAC|0348-00'!Elect_name</vt:lpstr>
      <vt:lpstr>'AGAD|0001-00'!Elect_name</vt:lpstr>
      <vt:lpstr>'AGAD|0330-00'!Elect_name</vt:lpstr>
      <vt:lpstr>'AGAD|0330-13'!Elect_name</vt:lpstr>
      <vt:lpstr>'AGAD|0332-04'!Elect_name</vt:lpstr>
      <vt:lpstr>'AGAD|0332-08'!Elect_name</vt:lpstr>
      <vt:lpstr>'AGAE|0001-00'!Elect_name</vt:lpstr>
      <vt:lpstr>'AGAE|0330-12'!Elect_name</vt:lpstr>
      <vt:lpstr>'AGAE|0332-10'!Elect_name</vt:lpstr>
      <vt:lpstr>'AGAF|0001-00'!Elect_name</vt:lpstr>
      <vt:lpstr>'AGAF|0330-00'!Elect_name</vt:lpstr>
      <vt:lpstr>'AGAF|0490-00'!Elect_name</vt:lpstr>
      <vt:lpstr>'AGAH|0001-00'!Elect_name</vt:lpstr>
      <vt:lpstr>'AGAH|0332-03'!Elect_name</vt:lpstr>
      <vt:lpstr>'AGAL|0486-00'!Elect_name</vt:lpstr>
      <vt:lpstr>'AGAM|0348-00'!Elect_name</vt:lpstr>
      <vt:lpstr>'AGAM|0403-03'!Elect_name</vt:lpstr>
      <vt:lpstr>'AGAO|0330-00'!Elect_name</vt:lpstr>
      <vt:lpstr>'AGAO|0332-11'!Elect_name</vt:lpstr>
      <vt:lpstr>'AGAO|0332-12'!Elect_name</vt:lpstr>
      <vt:lpstr>'AGAO|0348-00'!Elect_name</vt:lpstr>
      <vt:lpstr>'AGAP|0348-00'!Elect_name</vt:lpstr>
      <vt:lpstr>'AGAP|0402-00'!Elect_name</vt:lpstr>
      <vt:lpstr>Elect_name</vt:lpstr>
      <vt:lpstr>'AGAA|0001-00'!Elect_salary</vt:lpstr>
      <vt:lpstr>'AGAA|0125-01'!Elect_salary</vt:lpstr>
      <vt:lpstr>'AGAA|0125-02'!Elect_salary</vt:lpstr>
      <vt:lpstr>'AGAB|0001-00'!Elect_salary</vt:lpstr>
      <vt:lpstr>'AGAB|0332-06'!Elect_salary</vt:lpstr>
      <vt:lpstr>'AGAB|0332-07'!Elect_salary</vt:lpstr>
      <vt:lpstr>'AGAB|0332-09'!Elect_salary</vt:lpstr>
      <vt:lpstr>'AGAC|0001-00'!Elect_salary</vt:lpstr>
      <vt:lpstr>'AGAC|0332-05'!Elect_salary</vt:lpstr>
      <vt:lpstr>'AGAC|0348-00'!Elect_salary</vt:lpstr>
      <vt:lpstr>'AGAD|0001-00'!Elect_salary</vt:lpstr>
      <vt:lpstr>'AGAD|0330-00'!Elect_salary</vt:lpstr>
      <vt:lpstr>'AGAD|0330-13'!Elect_salary</vt:lpstr>
      <vt:lpstr>'AGAD|0332-04'!Elect_salary</vt:lpstr>
      <vt:lpstr>'AGAD|0332-08'!Elect_salary</vt:lpstr>
      <vt:lpstr>'AGAE|0001-00'!Elect_salary</vt:lpstr>
      <vt:lpstr>'AGAE|0330-12'!Elect_salary</vt:lpstr>
      <vt:lpstr>'AGAE|0332-10'!Elect_salary</vt:lpstr>
      <vt:lpstr>'AGAF|0001-00'!Elect_salary</vt:lpstr>
      <vt:lpstr>'AGAF|0330-00'!Elect_salary</vt:lpstr>
      <vt:lpstr>'AGAF|0490-00'!Elect_salary</vt:lpstr>
      <vt:lpstr>'AGAH|0001-00'!Elect_salary</vt:lpstr>
      <vt:lpstr>'AGAH|0332-03'!Elect_salary</vt:lpstr>
      <vt:lpstr>'AGAL|0486-00'!Elect_salary</vt:lpstr>
      <vt:lpstr>'AGAM|0348-00'!Elect_salary</vt:lpstr>
      <vt:lpstr>'AGAM|0403-03'!Elect_salary</vt:lpstr>
      <vt:lpstr>'AGAO|0330-00'!Elect_salary</vt:lpstr>
      <vt:lpstr>'AGAO|0332-11'!Elect_salary</vt:lpstr>
      <vt:lpstr>'AGAO|0332-12'!Elect_salary</vt:lpstr>
      <vt:lpstr>'AGAO|0348-00'!Elect_salary</vt:lpstr>
      <vt:lpstr>'AGAP|0348-00'!Elect_salary</vt:lpstr>
      <vt:lpstr>'AGAP|0402-00'!Elect_salary</vt:lpstr>
      <vt:lpstr>Elect_salary</vt:lpstr>
      <vt:lpstr>'AGAA|0001-00'!Elect_Var</vt:lpstr>
      <vt:lpstr>'AGAA|0125-01'!Elect_Var</vt:lpstr>
      <vt:lpstr>'AGAA|0125-02'!Elect_Var</vt:lpstr>
      <vt:lpstr>'AGAB|0001-00'!Elect_Var</vt:lpstr>
      <vt:lpstr>'AGAB|0332-06'!Elect_Var</vt:lpstr>
      <vt:lpstr>'AGAB|0332-07'!Elect_Var</vt:lpstr>
      <vt:lpstr>'AGAB|0332-09'!Elect_Var</vt:lpstr>
      <vt:lpstr>'AGAC|0001-00'!Elect_Var</vt:lpstr>
      <vt:lpstr>'AGAC|0332-05'!Elect_Var</vt:lpstr>
      <vt:lpstr>'AGAC|0348-00'!Elect_Var</vt:lpstr>
      <vt:lpstr>'AGAD|0001-00'!Elect_Var</vt:lpstr>
      <vt:lpstr>'AGAD|0330-00'!Elect_Var</vt:lpstr>
      <vt:lpstr>'AGAD|0330-13'!Elect_Var</vt:lpstr>
      <vt:lpstr>'AGAD|0332-04'!Elect_Var</vt:lpstr>
      <vt:lpstr>'AGAD|0332-08'!Elect_Var</vt:lpstr>
      <vt:lpstr>'AGAE|0001-00'!Elect_Var</vt:lpstr>
      <vt:lpstr>'AGAE|0330-12'!Elect_Var</vt:lpstr>
      <vt:lpstr>'AGAE|0332-10'!Elect_Var</vt:lpstr>
      <vt:lpstr>'AGAF|0001-00'!Elect_Var</vt:lpstr>
      <vt:lpstr>'AGAF|0330-00'!Elect_Var</vt:lpstr>
      <vt:lpstr>'AGAF|0490-00'!Elect_Var</vt:lpstr>
      <vt:lpstr>'AGAH|0001-00'!Elect_Var</vt:lpstr>
      <vt:lpstr>'AGAH|0332-03'!Elect_Var</vt:lpstr>
      <vt:lpstr>'AGAL|0486-00'!Elect_Var</vt:lpstr>
      <vt:lpstr>'AGAM|0348-00'!Elect_Var</vt:lpstr>
      <vt:lpstr>'AGAM|0403-03'!Elect_Var</vt:lpstr>
      <vt:lpstr>'AGAO|0330-00'!Elect_Var</vt:lpstr>
      <vt:lpstr>'AGAO|0332-11'!Elect_Var</vt:lpstr>
      <vt:lpstr>'AGAO|0332-12'!Elect_Var</vt:lpstr>
      <vt:lpstr>'AGAO|0348-00'!Elect_Var</vt:lpstr>
      <vt:lpstr>'AGAP|0348-00'!Elect_Var</vt:lpstr>
      <vt:lpstr>'AGAP|0402-00'!Elect_Var</vt:lpstr>
      <vt:lpstr>Elect_Var</vt:lpstr>
      <vt:lpstr>'AGAA|0001-00'!Elect_VarBen</vt:lpstr>
      <vt:lpstr>'AGAA|0125-01'!Elect_VarBen</vt:lpstr>
      <vt:lpstr>'AGAA|0125-02'!Elect_VarBen</vt:lpstr>
      <vt:lpstr>'AGAB|0001-00'!Elect_VarBen</vt:lpstr>
      <vt:lpstr>'AGAB|0332-06'!Elect_VarBen</vt:lpstr>
      <vt:lpstr>'AGAB|0332-07'!Elect_VarBen</vt:lpstr>
      <vt:lpstr>'AGAB|0332-09'!Elect_VarBen</vt:lpstr>
      <vt:lpstr>'AGAC|0001-00'!Elect_VarBen</vt:lpstr>
      <vt:lpstr>'AGAC|0332-05'!Elect_VarBen</vt:lpstr>
      <vt:lpstr>'AGAC|0348-00'!Elect_VarBen</vt:lpstr>
      <vt:lpstr>'AGAD|0001-00'!Elect_VarBen</vt:lpstr>
      <vt:lpstr>'AGAD|0330-00'!Elect_VarBen</vt:lpstr>
      <vt:lpstr>'AGAD|0330-13'!Elect_VarBen</vt:lpstr>
      <vt:lpstr>'AGAD|0332-04'!Elect_VarBen</vt:lpstr>
      <vt:lpstr>'AGAD|0332-08'!Elect_VarBen</vt:lpstr>
      <vt:lpstr>'AGAE|0001-00'!Elect_VarBen</vt:lpstr>
      <vt:lpstr>'AGAE|0330-12'!Elect_VarBen</vt:lpstr>
      <vt:lpstr>'AGAE|0332-10'!Elect_VarBen</vt:lpstr>
      <vt:lpstr>'AGAF|0001-00'!Elect_VarBen</vt:lpstr>
      <vt:lpstr>'AGAF|0330-00'!Elect_VarBen</vt:lpstr>
      <vt:lpstr>'AGAF|0490-00'!Elect_VarBen</vt:lpstr>
      <vt:lpstr>'AGAH|0001-00'!Elect_VarBen</vt:lpstr>
      <vt:lpstr>'AGAH|0332-03'!Elect_VarBen</vt:lpstr>
      <vt:lpstr>'AGAL|0486-00'!Elect_VarBen</vt:lpstr>
      <vt:lpstr>'AGAM|0348-00'!Elect_VarBen</vt:lpstr>
      <vt:lpstr>'AGAM|0403-03'!Elect_VarBen</vt:lpstr>
      <vt:lpstr>'AGAO|0330-00'!Elect_VarBen</vt:lpstr>
      <vt:lpstr>'AGAO|0332-11'!Elect_VarBen</vt:lpstr>
      <vt:lpstr>'AGAO|0332-12'!Elect_VarBen</vt:lpstr>
      <vt:lpstr>'AGAO|0348-00'!Elect_VarBen</vt:lpstr>
      <vt:lpstr>'AGAP|0348-00'!Elect_VarBen</vt:lpstr>
      <vt:lpstr>'AGAP|0402-00'!Elect_VarBen</vt:lpstr>
      <vt:lpstr>Elect_VarBen</vt:lpstr>
      <vt:lpstr>ElectVB</vt:lpstr>
      <vt:lpstr>ElectVBBY</vt:lpstr>
      <vt:lpstr>ElectVBCHG</vt:lpstr>
      <vt:lpstr>FillRate_Avg</vt:lpstr>
      <vt:lpstr>'AGAA|0001-00'!FiscalYear</vt:lpstr>
      <vt:lpstr>'AGAA|0125-01'!FiscalYear</vt:lpstr>
      <vt:lpstr>'AGAA|0125-02'!FiscalYear</vt:lpstr>
      <vt:lpstr>'AGAB|0001-00'!FiscalYear</vt:lpstr>
      <vt:lpstr>'AGAB|0332-06'!FiscalYear</vt:lpstr>
      <vt:lpstr>'AGAB|0332-07'!FiscalYear</vt:lpstr>
      <vt:lpstr>'AGAB|0332-09'!FiscalYear</vt:lpstr>
      <vt:lpstr>'AGAC|0001-00'!FiscalYear</vt:lpstr>
      <vt:lpstr>'AGAC|0332-05'!FiscalYear</vt:lpstr>
      <vt:lpstr>'AGAC|0348-00'!FiscalYear</vt:lpstr>
      <vt:lpstr>'AGAD|0001-00'!FiscalYear</vt:lpstr>
      <vt:lpstr>'AGAD|0330-00'!FiscalYear</vt:lpstr>
      <vt:lpstr>'AGAD|0330-13'!FiscalYear</vt:lpstr>
      <vt:lpstr>'AGAD|0332-04'!FiscalYear</vt:lpstr>
      <vt:lpstr>'AGAD|0332-08'!FiscalYear</vt:lpstr>
      <vt:lpstr>'AGAE|0001-00'!FiscalYear</vt:lpstr>
      <vt:lpstr>'AGAE|0330-12'!FiscalYear</vt:lpstr>
      <vt:lpstr>'AGAE|0332-10'!FiscalYear</vt:lpstr>
      <vt:lpstr>'AGAF|0001-00'!FiscalYear</vt:lpstr>
      <vt:lpstr>'AGAF|0330-00'!FiscalYear</vt:lpstr>
      <vt:lpstr>'AGAF|0490-00'!FiscalYear</vt:lpstr>
      <vt:lpstr>'AGAH|0001-00'!FiscalYear</vt:lpstr>
      <vt:lpstr>'AGAH|0332-03'!FiscalYear</vt:lpstr>
      <vt:lpstr>'AGAL|0486-00'!FiscalYear</vt:lpstr>
      <vt:lpstr>'AGAM|0348-00'!FiscalYear</vt:lpstr>
      <vt:lpstr>'AGAM|0403-03'!FiscalYear</vt:lpstr>
      <vt:lpstr>'AGAO|0330-00'!FiscalYear</vt:lpstr>
      <vt:lpstr>'AGAO|0332-11'!FiscalYear</vt:lpstr>
      <vt:lpstr>'AGAO|0332-12'!FiscalYear</vt:lpstr>
      <vt:lpstr>'AGAO|0348-00'!FiscalYear</vt:lpstr>
      <vt:lpstr>'AGAP|0348-00'!FiscalYear</vt:lpstr>
      <vt:lpstr>'AGAP|0402-00'!FiscalYear</vt:lpstr>
      <vt:lpstr>FiscalYear</vt:lpstr>
      <vt:lpstr>'AGAA|0001-00'!FundName</vt:lpstr>
      <vt:lpstr>'AGAA|0125-01'!FundName</vt:lpstr>
      <vt:lpstr>'AGAA|0125-02'!FundName</vt:lpstr>
      <vt:lpstr>'AGAB|0001-00'!FundName</vt:lpstr>
      <vt:lpstr>'AGAB|0332-06'!FundName</vt:lpstr>
      <vt:lpstr>'AGAB|0332-07'!FundName</vt:lpstr>
      <vt:lpstr>'AGAB|0332-09'!FundName</vt:lpstr>
      <vt:lpstr>'AGAC|0001-00'!FundName</vt:lpstr>
      <vt:lpstr>'AGAC|0332-05'!FundName</vt:lpstr>
      <vt:lpstr>'AGAC|0348-00'!FundName</vt:lpstr>
      <vt:lpstr>'AGAD|0001-00'!FundName</vt:lpstr>
      <vt:lpstr>'AGAD|0330-00'!FundName</vt:lpstr>
      <vt:lpstr>'AGAD|0330-13'!FundName</vt:lpstr>
      <vt:lpstr>'AGAD|0332-04'!FundName</vt:lpstr>
      <vt:lpstr>'AGAD|0332-08'!FundName</vt:lpstr>
      <vt:lpstr>'AGAE|0001-00'!FundName</vt:lpstr>
      <vt:lpstr>'AGAE|0330-12'!FundName</vt:lpstr>
      <vt:lpstr>'AGAE|0332-10'!FundName</vt:lpstr>
      <vt:lpstr>'AGAF|0001-00'!FundName</vt:lpstr>
      <vt:lpstr>'AGAF|0330-00'!FundName</vt:lpstr>
      <vt:lpstr>'AGAF|0490-00'!FundName</vt:lpstr>
      <vt:lpstr>'AGAH|0001-00'!FundName</vt:lpstr>
      <vt:lpstr>'AGAH|0332-03'!FundName</vt:lpstr>
      <vt:lpstr>'AGAL|0486-00'!FundName</vt:lpstr>
      <vt:lpstr>'AGAM|0348-00'!FundName</vt:lpstr>
      <vt:lpstr>'AGAM|0403-03'!FundName</vt:lpstr>
      <vt:lpstr>'AGAO|0330-00'!FundName</vt:lpstr>
      <vt:lpstr>'AGAO|0332-11'!FundName</vt:lpstr>
      <vt:lpstr>'AGAO|0332-12'!FundName</vt:lpstr>
      <vt:lpstr>'AGAO|0348-00'!FundName</vt:lpstr>
      <vt:lpstr>'AGAP|0348-00'!FundName</vt:lpstr>
      <vt:lpstr>'AGAP|0402-00'!FundName</vt:lpstr>
      <vt:lpstr>FundName</vt:lpstr>
      <vt:lpstr>'AGAA|0001-00'!FundNum</vt:lpstr>
      <vt:lpstr>'AGAA|0125-01'!FundNum</vt:lpstr>
      <vt:lpstr>'AGAA|0125-02'!FundNum</vt:lpstr>
      <vt:lpstr>'AGAB|0001-00'!FundNum</vt:lpstr>
      <vt:lpstr>'AGAB|0332-06'!FundNum</vt:lpstr>
      <vt:lpstr>'AGAB|0332-07'!FundNum</vt:lpstr>
      <vt:lpstr>'AGAB|0332-09'!FundNum</vt:lpstr>
      <vt:lpstr>'AGAC|0001-00'!FundNum</vt:lpstr>
      <vt:lpstr>'AGAC|0332-05'!FundNum</vt:lpstr>
      <vt:lpstr>'AGAC|0348-00'!FundNum</vt:lpstr>
      <vt:lpstr>'AGAD|0001-00'!FundNum</vt:lpstr>
      <vt:lpstr>'AGAD|0330-00'!FundNum</vt:lpstr>
      <vt:lpstr>'AGAD|0330-13'!FundNum</vt:lpstr>
      <vt:lpstr>'AGAD|0332-04'!FundNum</vt:lpstr>
      <vt:lpstr>'AGAD|0332-08'!FundNum</vt:lpstr>
      <vt:lpstr>'AGAE|0001-00'!FundNum</vt:lpstr>
      <vt:lpstr>'AGAE|0330-12'!FundNum</vt:lpstr>
      <vt:lpstr>'AGAE|0332-10'!FundNum</vt:lpstr>
      <vt:lpstr>'AGAF|0001-00'!FundNum</vt:lpstr>
      <vt:lpstr>'AGAF|0330-00'!FundNum</vt:lpstr>
      <vt:lpstr>'AGAF|0490-00'!FundNum</vt:lpstr>
      <vt:lpstr>'AGAH|0001-00'!FundNum</vt:lpstr>
      <vt:lpstr>'AGAH|0332-03'!FundNum</vt:lpstr>
      <vt:lpstr>'AGAL|0486-00'!FundNum</vt:lpstr>
      <vt:lpstr>'AGAM|0348-00'!FundNum</vt:lpstr>
      <vt:lpstr>'AGAM|0403-03'!FundNum</vt:lpstr>
      <vt:lpstr>'AGAO|0330-00'!FundNum</vt:lpstr>
      <vt:lpstr>'AGAO|0332-11'!FundNum</vt:lpstr>
      <vt:lpstr>'AGAO|0332-12'!FundNum</vt:lpstr>
      <vt:lpstr>'AGAO|0348-00'!FundNum</vt:lpstr>
      <vt:lpstr>'AGAP|0348-00'!FundNum</vt:lpstr>
      <vt:lpstr>'AGAP|0402-00'!FundNum</vt:lpstr>
      <vt:lpstr>FundNum</vt:lpstr>
      <vt:lpstr>'AGAA|0001-00'!FundNumber</vt:lpstr>
      <vt:lpstr>'AGAA|0125-01'!FundNumber</vt:lpstr>
      <vt:lpstr>'AGAA|0125-02'!FundNumber</vt:lpstr>
      <vt:lpstr>'AGAB|0001-00'!FundNumber</vt:lpstr>
      <vt:lpstr>'AGAB|0332-06'!FundNumber</vt:lpstr>
      <vt:lpstr>'AGAB|0332-07'!FundNumber</vt:lpstr>
      <vt:lpstr>'AGAB|0332-09'!FundNumber</vt:lpstr>
      <vt:lpstr>'AGAC|0001-00'!FundNumber</vt:lpstr>
      <vt:lpstr>'AGAC|0332-05'!FundNumber</vt:lpstr>
      <vt:lpstr>'AGAC|0348-00'!FundNumber</vt:lpstr>
      <vt:lpstr>'AGAD|0001-00'!FundNumber</vt:lpstr>
      <vt:lpstr>'AGAD|0330-00'!FundNumber</vt:lpstr>
      <vt:lpstr>'AGAD|0330-13'!FundNumber</vt:lpstr>
      <vt:lpstr>'AGAD|0332-04'!FundNumber</vt:lpstr>
      <vt:lpstr>'AGAD|0332-08'!FundNumber</vt:lpstr>
      <vt:lpstr>'AGAE|0001-00'!FundNumber</vt:lpstr>
      <vt:lpstr>'AGAE|0330-12'!FundNumber</vt:lpstr>
      <vt:lpstr>'AGAE|0332-10'!FundNumber</vt:lpstr>
      <vt:lpstr>'AGAF|0001-00'!FundNumber</vt:lpstr>
      <vt:lpstr>'AGAF|0330-00'!FundNumber</vt:lpstr>
      <vt:lpstr>'AGAF|0490-00'!FundNumber</vt:lpstr>
      <vt:lpstr>'AGAH|0001-00'!FundNumber</vt:lpstr>
      <vt:lpstr>'AGAH|0332-03'!FundNumber</vt:lpstr>
      <vt:lpstr>'AGAL|0486-00'!FundNumber</vt:lpstr>
      <vt:lpstr>'AGAM|0348-00'!FundNumber</vt:lpstr>
      <vt:lpstr>'AGAM|0403-03'!FundNumber</vt:lpstr>
      <vt:lpstr>'AGAO|0330-00'!FundNumber</vt:lpstr>
      <vt:lpstr>'AGAO|0332-11'!FundNumber</vt:lpstr>
      <vt:lpstr>'AGAO|0332-12'!FundNumber</vt:lpstr>
      <vt:lpstr>'AGAO|0348-00'!FundNumber</vt:lpstr>
      <vt:lpstr>'AGAP|0348-00'!FundNumber</vt:lpstr>
      <vt:lpstr>'AGAP|0402-00'!FundNumber</vt:lpstr>
      <vt:lpstr>FundNumber</vt:lpstr>
      <vt:lpstr>FundSummaryEst</vt:lpstr>
      <vt:lpstr>FundSummaryLastColumn</vt:lpstr>
      <vt:lpstr>FundSummaryPermActual</vt:lpstr>
      <vt:lpstr>FundSummaryPermBY</vt:lpstr>
      <vt:lpstr>FundSummaryPermCY</vt:lpstr>
      <vt:lpstr>FundSummaryProj</vt:lpstr>
      <vt:lpstr>FundSummaryStartData</vt:lpstr>
      <vt:lpstr>'AGAA|0001-00'!Group_name</vt:lpstr>
      <vt:lpstr>'AGAA|0125-01'!Group_name</vt:lpstr>
      <vt:lpstr>'AGAA|0125-02'!Group_name</vt:lpstr>
      <vt:lpstr>'AGAB|0001-00'!Group_name</vt:lpstr>
      <vt:lpstr>'AGAB|0332-06'!Group_name</vt:lpstr>
      <vt:lpstr>'AGAB|0332-07'!Group_name</vt:lpstr>
      <vt:lpstr>'AGAB|0332-09'!Group_name</vt:lpstr>
      <vt:lpstr>'AGAC|0001-00'!Group_name</vt:lpstr>
      <vt:lpstr>'AGAC|0332-05'!Group_name</vt:lpstr>
      <vt:lpstr>'AGAC|0348-00'!Group_name</vt:lpstr>
      <vt:lpstr>'AGAD|0001-00'!Group_name</vt:lpstr>
      <vt:lpstr>'AGAD|0330-00'!Group_name</vt:lpstr>
      <vt:lpstr>'AGAD|0330-13'!Group_name</vt:lpstr>
      <vt:lpstr>'AGAD|0332-04'!Group_name</vt:lpstr>
      <vt:lpstr>'AGAD|0332-08'!Group_name</vt:lpstr>
      <vt:lpstr>'AGAE|0001-00'!Group_name</vt:lpstr>
      <vt:lpstr>'AGAE|0330-12'!Group_name</vt:lpstr>
      <vt:lpstr>'AGAE|0332-10'!Group_name</vt:lpstr>
      <vt:lpstr>'AGAF|0001-00'!Group_name</vt:lpstr>
      <vt:lpstr>'AGAF|0330-00'!Group_name</vt:lpstr>
      <vt:lpstr>'AGAF|0490-00'!Group_name</vt:lpstr>
      <vt:lpstr>'AGAH|0001-00'!Group_name</vt:lpstr>
      <vt:lpstr>'AGAH|0332-03'!Group_name</vt:lpstr>
      <vt:lpstr>'AGAL|0486-00'!Group_name</vt:lpstr>
      <vt:lpstr>'AGAM|0348-00'!Group_name</vt:lpstr>
      <vt:lpstr>'AGAM|0403-03'!Group_name</vt:lpstr>
      <vt:lpstr>'AGAO|0330-00'!Group_name</vt:lpstr>
      <vt:lpstr>'AGAO|0332-11'!Group_name</vt:lpstr>
      <vt:lpstr>'AGAO|0332-12'!Group_name</vt:lpstr>
      <vt:lpstr>'AGAO|0348-00'!Group_name</vt:lpstr>
      <vt:lpstr>'AGAP|0348-00'!Group_name</vt:lpstr>
      <vt:lpstr>'AGAP|0402-00'!Group_name</vt:lpstr>
      <vt:lpstr>Group_name</vt:lpstr>
      <vt:lpstr>'AGAA|0001-00'!GroupFxdBen</vt:lpstr>
      <vt:lpstr>'AGAA|0125-01'!GroupFxdBen</vt:lpstr>
      <vt:lpstr>'AGAA|0125-02'!GroupFxdBen</vt:lpstr>
      <vt:lpstr>'AGAB|0001-00'!GroupFxdBen</vt:lpstr>
      <vt:lpstr>'AGAB|0332-06'!GroupFxdBen</vt:lpstr>
      <vt:lpstr>'AGAB|0332-07'!GroupFxdBen</vt:lpstr>
      <vt:lpstr>'AGAB|0332-09'!GroupFxdBen</vt:lpstr>
      <vt:lpstr>'AGAC|0001-00'!GroupFxdBen</vt:lpstr>
      <vt:lpstr>'AGAC|0332-05'!GroupFxdBen</vt:lpstr>
      <vt:lpstr>'AGAC|0348-00'!GroupFxdBen</vt:lpstr>
      <vt:lpstr>'AGAD|0001-00'!GroupFxdBen</vt:lpstr>
      <vt:lpstr>'AGAD|0330-00'!GroupFxdBen</vt:lpstr>
      <vt:lpstr>'AGAD|0330-13'!GroupFxdBen</vt:lpstr>
      <vt:lpstr>'AGAD|0332-04'!GroupFxdBen</vt:lpstr>
      <vt:lpstr>'AGAD|0332-08'!GroupFxdBen</vt:lpstr>
      <vt:lpstr>'AGAE|0001-00'!GroupFxdBen</vt:lpstr>
      <vt:lpstr>'AGAE|0330-12'!GroupFxdBen</vt:lpstr>
      <vt:lpstr>'AGAE|0332-10'!GroupFxdBen</vt:lpstr>
      <vt:lpstr>'AGAF|0001-00'!GroupFxdBen</vt:lpstr>
      <vt:lpstr>'AGAF|0330-00'!GroupFxdBen</vt:lpstr>
      <vt:lpstr>'AGAF|0490-00'!GroupFxdBen</vt:lpstr>
      <vt:lpstr>'AGAH|0001-00'!GroupFxdBen</vt:lpstr>
      <vt:lpstr>'AGAH|0332-03'!GroupFxdBen</vt:lpstr>
      <vt:lpstr>'AGAL|0486-00'!GroupFxdBen</vt:lpstr>
      <vt:lpstr>'AGAM|0348-00'!GroupFxdBen</vt:lpstr>
      <vt:lpstr>'AGAM|0403-03'!GroupFxdBen</vt:lpstr>
      <vt:lpstr>'AGAO|0330-00'!GroupFxdBen</vt:lpstr>
      <vt:lpstr>'AGAO|0332-11'!GroupFxdBen</vt:lpstr>
      <vt:lpstr>'AGAO|0332-12'!GroupFxdBen</vt:lpstr>
      <vt:lpstr>'AGAO|0348-00'!GroupFxdBen</vt:lpstr>
      <vt:lpstr>'AGAP|0348-00'!GroupFxdBen</vt:lpstr>
      <vt:lpstr>'AGAP|0402-00'!GroupFxdBen</vt:lpstr>
      <vt:lpstr>GroupFxdBen</vt:lpstr>
      <vt:lpstr>'AGAA|0001-00'!GroupSalary</vt:lpstr>
      <vt:lpstr>'AGAA|0125-01'!GroupSalary</vt:lpstr>
      <vt:lpstr>'AGAA|0125-02'!GroupSalary</vt:lpstr>
      <vt:lpstr>'AGAB|0001-00'!GroupSalary</vt:lpstr>
      <vt:lpstr>'AGAB|0332-06'!GroupSalary</vt:lpstr>
      <vt:lpstr>'AGAB|0332-07'!GroupSalary</vt:lpstr>
      <vt:lpstr>'AGAB|0332-09'!GroupSalary</vt:lpstr>
      <vt:lpstr>'AGAC|0001-00'!GroupSalary</vt:lpstr>
      <vt:lpstr>'AGAC|0332-05'!GroupSalary</vt:lpstr>
      <vt:lpstr>'AGAC|0348-00'!GroupSalary</vt:lpstr>
      <vt:lpstr>'AGAD|0001-00'!GroupSalary</vt:lpstr>
      <vt:lpstr>'AGAD|0330-00'!GroupSalary</vt:lpstr>
      <vt:lpstr>'AGAD|0330-13'!GroupSalary</vt:lpstr>
      <vt:lpstr>'AGAD|0332-04'!GroupSalary</vt:lpstr>
      <vt:lpstr>'AGAD|0332-08'!GroupSalary</vt:lpstr>
      <vt:lpstr>'AGAE|0001-00'!GroupSalary</vt:lpstr>
      <vt:lpstr>'AGAE|0330-12'!GroupSalary</vt:lpstr>
      <vt:lpstr>'AGAE|0332-10'!GroupSalary</vt:lpstr>
      <vt:lpstr>'AGAF|0001-00'!GroupSalary</vt:lpstr>
      <vt:lpstr>'AGAF|0330-00'!GroupSalary</vt:lpstr>
      <vt:lpstr>'AGAF|0490-00'!GroupSalary</vt:lpstr>
      <vt:lpstr>'AGAH|0001-00'!GroupSalary</vt:lpstr>
      <vt:lpstr>'AGAH|0332-03'!GroupSalary</vt:lpstr>
      <vt:lpstr>'AGAL|0486-00'!GroupSalary</vt:lpstr>
      <vt:lpstr>'AGAM|0348-00'!GroupSalary</vt:lpstr>
      <vt:lpstr>'AGAM|0403-03'!GroupSalary</vt:lpstr>
      <vt:lpstr>'AGAO|0330-00'!GroupSalary</vt:lpstr>
      <vt:lpstr>'AGAO|0332-11'!GroupSalary</vt:lpstr>
      <vt:lpstr>'AGAO|0332-12'!GroupSalary</vt:lpstr>
      <vt:lpstr>'AGAO|0348-00'!GroupSalary</vt:lpstr>
      <vt:lpstr>'AGAP|0348-00'!GroupSalary</vt:lpstr>
      <vt:lpstr>'AGAP|0402-00'!GroupSalary</vt:lpstr>
      <vt:lpstr>GroupSalary</vt:lpstr>
      <vt:lpstr>'AGAA|0001-00'!GroupVarBen</vt:lpstr>
      <vt:lpstr>'AGAA|0125-01'!GroupVarBen</vt:lpstr>
      <vt:lpstr>'AGAA|0125-02'!GroupVarBen</vt:lpstr>
      <vt:lpstr>'AGAB|0001-00'!GroupVarBen</vt:lpstr>
      <vt:lpstr>'AGAB|0332-06'!GroupVarBen</vt:lpstr>
      <vt:lpstr>'AGAB|0332-07'!GroupVarBen</vt:lpstr>
      <vt:lpstr>'AGAB|0332-09'!GroupVarBen</vt:lpstr>
      <vt:lpstr>'AGAC|0001-00'!GroupVarBen</vt:lpstr>
      <vt:lpstr>'AGAC|0332-05'!GroupVarBen</vt:lpstr>
      <vt:lpstr>'AGAC|0348-00'!GroupVarBen</vt:lpstr>
      <vt:lpstr>'AGAD|0001-00'!GroupVarBen</vt:lpstr>
      <vt:lpstr>'AGAD|0330-00'!GroupVarBen</vt:lpstr>
      <vt:lpstr>'AGAD|0330-13'!GroupVarBen</vt:lpstr>
      <vt:lpstr>'AGAD|0332-04'!GroupVarBen</vt:lpstr>
      <vt:lpstr>'AGAD|0332-08'!GroupVarBen</vt:lpstr>
      <vt:lpstr>'AGAE|0001-00'!GroupVarBen</vt:lpstr>
      <vt:lpstr>'AGAE|0330-12'!GroupVarBen</vt:lpstr>
      <vt:lpstr>'AGAE|0332-10'!GroupVarBen</vt:lpstr>
      <vt:lpstr>'AGAF|0001-00'!GroupVarBen</vt:lpstr>
      <vt:lpstr>'AGAF|0330-00'!GroupVarBen</vt:lpstr>
      <vt:lpstr>'AGAF|0490-00'!GroupVarBen</vt:lpstr>
      <vt:lpstr>'AGAH|0001-00'!GroupVarBen</vt:lpstr>
      <vt:lpstr>'AGAH|0332-03'!GroupVarBen</vt:lpstr>
      <vt:lpstr>'AGAL|0486-00'!GroupVarBen</vt:lpstr>
      <vt:lpstr>'AGAM|0348-00'!GroupVarBen</vt:lpstr>
      <vt:lpstr>'AGAM|0403-03'!GroupVarBen</vt:lpstr>
      <vt:lpstr>'AGAO|0330-00'!GroupVarBen</vt:lpstr>
      <vt:lpstr>'AGAO|0332-11'!GroupVarBen</vt:lpstr>
      <vt:lpstr>'AGAO|0332-12'!GroupVarBen</vt:lpstr>
      <vt:lpstr>'AGAO|0348-00'!GroupVarBen</vt:lpstr>
      <vt:lpstr>'AGAP|0348-00'!GroupVarBen</vt:lpstr>
      <vt:lpstr>'AGAP|0402-00'!GroupVarBen</vt:lpstr>
      <vt:lpstr>GroupVarBen</vt:lpstr>
      <vt:lpstr>GroupVB</vt:lpstr>
      <vt:lpstr>GroupVBBY</vt:lpstr>
      <vt:lpstr>GroupVBCHG</vt:lpstr>
      <vt:lpstr>Health</vt:lpstr>
      <vt:lpstr>HealthBY</vt:lpstr>
      <vt:lpstr>HealthCHG</vt:lpstr>
      <vt:lpstr>Life</vt:lpstr>
      <vt:lpstr>LifeBY</vt:lpstr>
      <vt:lpstr>LifeCHG</vt:lpstr>
      <vt:lpstr>'AGAA|0001-00'!LUMAFund</vt:lpstr>
      <vt:lpstr>'AGAA|0125-01'!LUMAFund</vt:lpstr>
      <vt:lpstr>'AGAA|0125-02'!LUMAFund</vt:lpstr>
      <vt:lpstr>'AGAB|0001-00'!LUMAFund</vt:lpstr>
      <vt:lpstr>'AGAB|0332-06'!LUMAFund</vt:lpstr>
      <vt:lpstr>'AGAB|0332-07'!LUMAFund</vt:lpstr>
      <vt:lpstr>'AGAB|0332-09'!LUMAFund</vt:lpstr>
      <vt:lpstr>'AGAC|0001-00'!LUMAFund</vt:lpstr>
      <vt:lpstr>'AGAC|0332-05'!LUMAFund</vt:lpstr>
      <vt:lpstr>'AGAC|0348-00'!LUMAFund</vt:lpstr>
      <vt:lpstr>'AGAD|0001-00'!LUMAFund</vt:lpstr>
      <vt:lpstr>'AGAD|0330-00'!LUMAFund</vt:lpstr>
      <vt:lpstr>'AGAD|0330-13'!LUMAFund</vt:lpstr>
      <vt:lpstr>'AGAD|0332-04'!LUMAFund</vt:lpstr>
      <vt:lpstr>'AGAD|0332-08'!LUMAFund</vt:lpstr>
      <vt:lpstr>'AGAE|0001-00'!LUMAFund</vt:lpstr>
      <vt:lpstr>'AGAE|0330-12'!LUMAFund</vt:lpstr>
      <vt:lpstr>'AGAE|0332-10'!LUMAFund</vt:lpstr>
      <vt:lpstr>'AGAF|0001-00'!LUMAFund</vt:lpstr>
      <vt:lpstr>'AGAF|0330-00'!LUMAFund</vt:lpstr>
      <vt:lpstr>'AGAF|0490-00'!LUMAFund</vt:lpstr>
      <vt:lpstr>'AGAH|0001-00'!LUMAFund</vt:lpstr>
      <vt:lpstr>'AGAH|0332-03'!LUMAFund</vt:lpstr>
      <vt:lpstr>'AGAL|0486-00'!LUMAFund</vt:lpstr>
      <vt:lpstr>'AGAM|0348-00'!LUMAFund</vt:lpstr>
      <vt:lpstr>'AGAM|0403-03'!LUMAFund</vt:lpstr>
      <vt:lpstr>'AGAO|0330-00'!LUMAFund</vt:lpstr>
      <vt:lpstr>'AGAO|0332-11'!LUMAFund</vt:lpstr>
      <vt:lpstr>'AGAO|0332-12'!LUMAFund</vt:lpstr>
      <vt:lpstr>'AGAO|0348-00'!LUMAFund</vt:lpstr>
      <vt:lpstr>'AGAP|0348-00'!LUMAFund</vt:lpstr>
      <vt:lpstr>'AGAP|0402-00'!LUMAFund</vt:lpstr>
      <vt:lpstr>LUMAFund</vt:lpstr>
      <vt:lpstr>MAXSSDI</vt:lpstr>
      <vt:lpstr>MAXSSDIBY</vt:lpstr>
      <vt:lpstr>'AGAA|0001-00'!NEW_AdjGroup</vt:lpstr>
      <vt:lpstr>'AGAA|0125-01'!NEW_AdjGroup</vt:lpstr>
      <vt:lpstr>'AGAA|0125-02'!NEW_AdjGroup</vt:lpstr>
      <vt:lpstr>'AGAB|0001-00'!NEW_AdjGroup</vt:lpstr>
      <vt:lpstr>'AGAB|0332-06'!NEW_AdjGroup</vt:lpstr>
      <vt:lpstr>'AGAB|0332-07'!NEW_AdjGroup</vt:lpstr>
      <vt:lpstr>'AGAB|0332-09'!NEW_AdjGroup</vt:lpstr>
      <vt:lpstr>'AGAC|0001-00'!NEW_AdjGroup</vt:lpstr>
      <vt:lpstr>'AGAC|0332-05'!NEW_AdjGroup</vt:lpstr>
      <vt:lpstr>'AGAC|0348-00'!NEW_AdjGroup</vt:lpstr>
      <vt:lpstr>'AGAD|0001-00'!NEW_AdjGroup</vt:lpstr>
      <vt:lpstr>'AGAD|0330-00'!NEW_AdjGroup</vt:lpstr>
      <vt:lpstr>'AGAD|0330-13'!NEW_AdjGroup</vt:lpstr>
      <vt:lpstr>'AGAD|0332-04'!NEW_AdjGroup</vt:lpstr>
      <vt:lpstr>'AGAD|0332-08'!NEW_AdjGroup</vt:lpstr>
      <vt:lpstr>'AGAE|0001-00'!NEW_AdjGroup</vt:lpstr>
      <vt:lpstr>'AGAE|0330-12'!NEW_AdjGroup</vt:lpstr>
      <vt:lpstr>'AGAE|0332-10'!NEW_AdjGroup</vt:lpstr>
      <vt:lpstr>'AGAF|0001-00'!NEW_AdjGroup</vt:lpstr>
      <vt:lpstr>'AGAF|0330-00'!NEW_AdjGroup</vt:lpstr>
      <vt:lpstr>'AGAF|0490-00'!NEW_AdjGroup</vt:lpstr>
      <vt:lpstr>'AGAH|0001-00'!NEW_AdjGroup</vt:lpstr>
      <vt:lpstr>'AGAH|0332-03'!NEW_AdjGroup</vt:lpstr>
      <vt:lpstr>'AGAL|0486-00'!NEW_AdjGroup</vt:lpstr>
      <vt:lpstr>'AGAM|0348-00'!NEW_AdjGroup</vt:lpstr>
      <vt:lpstr>'AGAM|0403-03'!NEW_AdjGroup</vt:lpstr>
      <vt:lpstr>'AGAO|0330-00'!NEW_AdjGroup</vt:lpstr>
      <vt:lpstr>'AGAO|0332-11'!NEW_AdjGroup</vt:lpstr>
      <vt:lpstr>'AGAO|0332-12'!NEW_AdjGroup</vt:lpstr>
      <vt:lpstr>'AGAO|0348-00'!NEW_AdjGroup</vt:lpstr>
      <vt:lpstr>'AGAP|0348-00'!NEW_AdjGroup</vt:lpstr>
      <vt:lpstr>'AGAP|0402-00'!NEW_AdjGroup</vt:lpstr>
      <vt:lpstr>NEW_AdjGroup</vt:lpstr>
      <vt:lpstr>'AGAA|0001-00'!NEW_AdjGroupSalary</vt:lpstr>
      <vt:lpstr>'AGAA|0125-01'!NEW_AdjGroupSalary</vt:lpstr>
      <vt:lpstr>'AGAA|0125-02'!NEW_AdjGroupSalary</vt:lpstr>
      <vt:lpstr>'AGAB|0001-00'!NEW_AdjGroupSalary</vt:lpstr>
      <vt:lpstr>'AGAB|0332-06'!NEW_AdjGroupSalary</vt:lpstr>
      <vt:lpstr>'AGAB|0332-07'!NEW_AdjGroupSalary</vt:lpstr>
      <vt:lpstr>'AGAB|0332-09'!NEW_AdjGroupSalary</vt:lpstr>
      <vt:lpstr>'AGAC|0001-00'!NEW_AdjGroupSalary</vt:lpstr>
      <vt:lpstr>'AGAC|0332-05'!NEW_AdjGroupSalary</vt:lpstr>
      <vt:lpstr>'AGAC|0348-00'!NEW_AdjGroupSalary</vt:lpstr>
      <vt:lpstr>'AGAD|0001-00'!NEW_AdjGroupSalary</vt:lpstr>
      <vt:lpstr>'AGAD|0330-00'!NEW_AdjGroupSalary</vt:lpstr>
      <vt:lpstr>'AGAD|0330-13'!NEW_AdjGroupSalary</vt:lpstr>
      <vt:lpstr>'AGAD|0332-04'!NEW_AdjGroupSalary</vt:lpstr>
      <vt:lpstr>'AGAD|0332-08'!NEW_AdjGroupSalary</vt:lpstr>
      <vt:lpstr>'AGAE|0001-00'!NEW_AdjGroupSalary</vt:lpstr>
      <vt:lpstr>'AGAE|0330-12'!NEW_AdjGroupSalary</vt:lpstr>
      <vt:lpstr>'AGAE|0332-10'!NEW_AdjGroupSalary</vt:lpstr>
      <vt:lpstr>'AGAF|0001-00'!NEW_AdjGroupSalary</vt:lpstr>
      <vt:lpstr>'AGAF|0330-00'!NEW_AdjGroupSalary</vt:lpstr>
      <vt:lpstr>'AGAF|0490-00'!NEW_AdjGroupSalary</vt:lpstr>
      <vt:lpstr>'AGAH|0001-00'!NEW_AdjGroupSalary</vt:lpstr>
      <vt:lpstr>'AGAH|0332-03'!NEW_AdjGroupSalary</vt:lpstr>
      <vt:lpstr>'AGAL|0486-00'!NEW_AdjGroupSalary</vt:lpstr>
      <vt:lpstr>'AGAM|0348-00'!NEW_AdjGroupSalary</vt:lpstr>
      <vt:lpstr>'AGAM|0403-03'!NEW_AdjGroupSalary</vt:lpstr>
      <vt:lpstr>'AGAO|0330-00'!NEW_AdjGroupSalary</vt:lpstr>
      <vt:lpstr>'AGAO|0332-11'!NEW_AdjGroupSalary</vt:lpstr>
      <vt:lpstr>'AGAO|0332-12'!NEW_AdjGroupSalary</vt:lpstr>
      <vt:lpstr>'AGAO|0348-00'!NEW_AdjGroupSalary</vt:lpstr>
      <vt:lpstr>'AGAP|0348-00'!NEW_AdjGroupSalary</vt:lpstr>
      <vt:lpstr>'AGAP|0402-00'!NEW_AdjGroupSalary</vt:lpstr>
      <vt:lpstr>NEW_AdjGroupSalary</vt:lpstr>
      <vt:lpstr>'AGAA|0001-00'!NEW_AdjGroupVB</vt:lpstr>
      <vt:lpstr>'AGAA|0125-01'!NEW_AdjGroupVB</vt:lpstr>
      <vt:lpstr>'AGAA|0125-02'!NEW_AdjGroupVB</vt:lpstr>
      <vt:lpstr>'AGAB|0001-00'!NEW_AdjGroupVB</vt:lpstr>
      <vt:lpstr>'AGAB|0332-06'!NEW_AdjGroupVB</vt:lpstr>
      <vt:lpstr>'AGAB|0332-07'!NEW_AdjGroupVB</vt:lpstr>
      <vt:lpstr>'AGAB|0332-09'!NEW_AdjGroupVB</vt:lpstr>
      <vt:lpstr>'AGAC|0001-00'!NEW_AdjGroupVB</vt:lpstr>
      <vt:lpstr>'AGAC|0332-05'!NEW_AdjGroupVB</vt:lpstr>
      <vt:lpstr>'AGAC|0348-00'!NEW_AdjGroupVB</vt:lpstr>
      <vt:lpstr>'AGAD|0001-00'!NEW_AdjGroupVB</vt:lpstr>
      <vt:lpstr>'AGAD|0330-00'!NEW_AdjGroupVB</vt:lpstr>
      <vt:lpstr>'AGAD|0330-13'!NEW_AdjGroupVB</vt:lpstr>
      <vt:lpstr>'AGAD|0332-04'!NEW_AdjGroupVB</vt:lpstr>
      <vt:lpstr>'AGAD|0332-08'!NEW_AdjGroupVB</vt:lpstr>
      <vt:lpstr>'AGAE|0001-00'!NEW_AdjGroupVB</vt:lpstr>
      <vt:lpstr>'AGAE|0330-12'!NEW_AdjGroupVB</vt:lpstr>
      <vt:lpstr>'AGAE|0332-10'!NEW_AdjGroupVB</vt:lpstr>
      <vt:lpstr>'AGAF|0001-00'!NEW_AdjGroupVB</vt:lpstr>
      <vt:lpstr>'AGAF|0330-00'!NEW_AdjGroupVB</vt:lpstr>
      <vt:lpstr>'AGAF|0490-00'!NEW_AdjGroupVB</vt:lpstr>
      <vt:lpstr>'AGAH|0001-00'!NEW_AdjGroupVB</vt:lpstr>
      <vt:lpstr>'AGAH|0332-03'!NEW_AdjGroupVB</vt:lpstr>
      <vt:lpstr>'AGAL|0486-00'!NEW_AdjGroupVB</vt:lpstr>
      <vt:lpstr>'AGAM|0348-00'!NEW_AdjGroupVB</vt:lpstr>
      <vt:lpstr>'AGAM|0403-03'!NEW_AdjGroupVB</vt:lpstr>
      <vt:lpstr>'AGAO|0330-00'!NEW_AdjGroupVB</vt:lpstr>
      <vt:lpstr>'AGAO|0332-11'!NEW_AdjGroupVB</vt:lpstr>
      <vt:lpstr>'AGAO|0332-12'!NEW_AdjGroupVB</vt:lpstr>
      <vt:lpstr>'AGAO|0348-00'!NEW_AdjGroupVB</vt:lpstr>
      <vt:lpstr>'AGAP|0348-00'!NEW_AdjGroupVB</vt:lpstr>
      <vt:lpstr>'AGAP|0402-00'!NEW_AdjGroupVB</vt:lpstr>
      <vt:lpstr>NEW_AdjGroupVB</vt:lpstr>
      <vt:lpstr>'AGAA|0001-00'!NEW_AdjONLYGroup</vt:lpstr>
      <vt:lpstr>'AGAA|0125-01'!NEW_AdjONLYGroup</vt:lpstr>
      <vt:lpstr>'AGAA|0125-02'!NEW_AdjONLYGroup</vt:lpstr>
      <vt:lpstr>'AGAB|0001-00'!NEW_AdjONLYGroup</vt:lpstr>
      <vt:lpstr>'AGAB|0332-06'!NEW_AdjONLYGroup</vt:lpstr>
      <vt:lpstr>'AGAB|0332-07'!NEW_AdjONLYGroup</vt:lpstr>
      <vt:lpstr>'AGAB|0332-09'!NEW_AdjONLYGroup</vt:lpstr>
      <vt:lpstr>'AGAC|0001-00'!NEW_AdjONLYGroup</vt:lpstr>
      <vt:lpstr>'AGAC|0332-05'!NEW_AdjONLYGroup</vt:lpstr>
      <vt:lpstr>'AGAC|0348-00'!NEW_AdjONLYGroup</vt:lpstr>
      <vt:lpstr>'AGAD|0001-00'!NEW_AdjONLYGroup</vt:lpstr>
      <vt:lpstr>'AGAD|0330-00'!NEW_AdjONLYGroup</vt:lpstr>
      <vt:lpstr>'AGAD|0330-13'!NEW_AdjONLYGroup</vt:lpstr>
      <vt:lpstr>'AGAD|0332-04'!NEW_AdjONLYGroup</vt:lpstr>
      <vt:lpstr>'AGAD|0332-08'!NEW_AdjONLYGroup</vt:lpstr>
      <vt:lpstr>'AGAE|0001-00'!NEW_AdjONLYGroup</vt:lpstr>
      <vt:lpstr>'AGAE|0330-12'!NEW_AdjONLYGroup</vt:lpstr>
      <vt:lpstr>'AGAE|0332-10'!NEW_AdjONLYGroup</vt:lpstr>
      <vt:lpstr>'AGAF|0001-00'!NEW_AdjONLYGroup</vt:lpstr>
      <vt:lpstr>'AGAF|0330-00'!NEW_AdjONLYGroup</vt:lpstr>
      <vt:lpstr>'AGAF|0490-00'!NEW_AdjONLYGroup</vt:lpstr>
      <vt:lpstr>'AGAH|0001-00'!NEW_AdjONLYGroup</vt:lpstr>
      <vt:lpstr>'AGAH|0332-03'!NEW_AdjONLYGroup</vt:lpstr>
      <vt:lpstr>'AGAL|0486-00'!NEW_AdjONLYGroup</vt:lpstr>
      <vt:lpstr>'AGAM|0348-00'!NEW_AdjONLYGroup</vt:lpstr>
      <vt:lpstr>'AGAM|0403-03'!NEW_AdjONLYGroup</vt:lpstr>
      <vt:lpstr>'AGAO|0330-00'!NEW_AdjONLYGroup</vt:lpstr>
      <vt:lpstr>'AGAO|0332-11'!NEW_AdjONLYGroup</vt:lpstr>
      <vt:lpstr>'AGAO|0332-12'!NEW_AdjONLYGroup</vt:lpstr>
      <vt:lpstr>'AGAO|0348-00'!NEW_AdjONLYGroup</vt:lpstr>
      <vt:lpstr>'AGAP|0348-00'!NEW_AdjONLYGroup</vt:lpstr>
      <vt:lpstr>'AGAP|0402-00'!NEW_AdjONLYGroup</vt:lpstr>
      <vt:lpstr>NEW_AdjONLYGroup</vt:lpstr>
      <vt:lpstr>'AGAA|0001-00'!NEW_AdjONLYGroupSalary</vt:lpstr>
      <vt:lpstr>'AGAA|0125-01'!NEW_AdjONLYGroupSalary</vt:lpstr>
      <vt:lpstr>'AGAA|0125-02'!NEW_AdjONLYGroupSalary</vt:lpstr>
      <vt:lpstr>'AGAB|0001-00'!NEW_AdjONLYGroupSalary</vt:lpstr>
      <vt:lpstr>'AGAB|0332-06'!NEW_AdjONLYGroupSalary</vt:lpstr>
      <vt:lpstr>'AGAB|0332-07'!NEW_AdjONLYGroupSalary</vt:lpstr>
      <vt:lpstr>'AGAB|0332-09'!NEW_AdjONLYGroupSalary</vt:lpstr>
      <vt:lpstr>'AGAC|0001-00'!NEW_AdjONLYGroupSalary</vt:lpstr>
      <vt:lpstr>'AGAC|0332-05'!NEW_AdjONLYGroupSalary</vt:lpstr>
      <vt:lpstr>'AGAC|0348-00'!NEW_AdjONLYGroupSalary</vt:lpstr>
      <vt:lpstr>'AGAD|0001-00'!NEW_AdjONLYGroupSalary</vt:lpstr>
      <vt:lpstr>'AGAD|0330-00'!NEW_AdjONLYGroupSalary</vt:lpstr>
      <vt:lpstr>'AGAD|0330-13'!NEW_AdjONLYGroupSalary</vt:lpstr>
      <vt:lpstr>'AGAD|0332-04'!NEW_AdjONLYGroupSalary</vt:lpstr>
      <vt:lpstr>'AGAD|0332-08'!NEW_AdjONLYGroupSalary</vt:lpstr>
      <vt:lpstr>'AGAE|0001-00'!NEW_AdjONLYGroupSalary</vt:lpstr>
      <vt:lpstr>'AGAE|0330-12'!NEW_AdjONLYGroupSalary</vt:lpstr>
      <vt:lpstr>'AGAE|0332-10'!NEW_AdjONLYGroupSalary</vt:lpstr>
      <vt:lpstr>'AGAF|0001-00'!NEW_AdjONLYGroupSalary</vt:lpstr>
      <vt:lpstr>'AGAF|0330-00'!NEW_AdjONLYGroupSalary</vt:lpstr>
      <vt:lpstr>'AGAF|0490-00'!NEW_AdjONLYGroupSalary</vt:lpstr>
      <vt:lpstr>'AGAH|0001-00'!NEW_AdjONLYGroupSalary</vt:lpstr>
      <vt:lpstr>'AGAH|0332-03'!NEW_AdjONLYGroupSalary</vt:lpstr>
      <vt:lpstr>'AGAL|0486-00'!NEW_AdjONLYGroupSalary</vt:lpstr>
      <vt:lpstr>'AGAM|0348-00'!NEW_AdjONLYGroupSalary</vt:lpstr>
      <vt:lpstr>'AGAM|0403-03'!NEW_AdjONLYGroupSalary</vt:lpstr>
      <vt:lpstr>'AGAO|0330-00'!NEW_AdjONLYGroupSalary</vt:lpstr>
      <vt:lpstr>'AGAO|0332-11'!NEW_AdjONLYGroupSalary</vt:lpstr>
      <vt:lpstr>'AGAO|0332-12'!NEW_AdjONLYGroupSalary</vt:lpstr>
      <vt:lpstr>'AGAO|0348-00'!NEW_AdjONLYGroupSalary</vt:lpstr>
      <vt:lpstr>'AGAP|0348-00'!NEW_AdjONLYGroupSalary</vt:lpstr>
      <vt:lpstr>'AGAP|0402-00'!NEW_AdjONLYGroupSalary</vt:lpstr>
      <vt:lpstr>NEW_AdjONLYGroupSalary</vt:lpstr>
      <vt:lpstr>'AGAA|0001-00'!NEW_AdjONLYGroupVB</vt:lpstr>
      <vt:lpstr>'AGAA|0125-01'!NEW_AdjONLYGroupVB</vt:lpstr>
      <vt:lpstr>'AGAA|0125-02'!NEW_AdjONLYGroupVB</vt:lpstr>
      <vt:lpstr>'AGAB|0001-00'!NEW_AdjONLYGroupVB</vt:lpstr>
      <vt:lpstr>'AGAB|0332-06'!NEW_AdjONLYGroupVB</vt:lpstr>
      <vt:lpstr>'AGAB|0332-07'!NEW_AdjONLYGroupVB</vt:lpstr>
      <vt:lpstr>'AGAB|0332-09'!NEW_AdjONLYGroupVB</vt:lpstr>
      <vt:lpstr>'AGAC|0001-00'!NEW_AdjONLYGroupVB</vt:lpstr>
      <vt:lpstr>'AGAC|0332-05'!NEW_AdjONLYGroupVB</vt:lpstr>
      <vt:lpstr>'AGAC|0348-00'!NEW_AdjONLYGroupVB</vt:lpstr>
      <vt:lpstr>'AGAD|0001-00'!NEW_AdjONLYGroupVB</vt:lpstr>
      <vt:lpstr>'AGAD|0330-00'!NEW_AdjONLYGroupVB</vt:lpstr>
      <vt:lpstr>'AGAD|0330-13'!NEW_AdjONLYGroupVB</vt:lpstr>
      <vt:lpstr>'AGAD|0332-04'!NEW_AdjONLYGroupVB</vt:lpstr>
      <vt:lpstr>'AGAD|0332-08'!NEW_AdjONLYGroupVB</vt:lpstr>
      <vt:lpstr>'AGAE|0001-00'!NEW_AdjONLYGroupVB</vt:lpstr>
      <vt:lpstr>'AGAE|0330-12'!NEW_AdjONLYGroupVB</vt:lpstr>
      <vt:lpstr>'AGAE|0332-10'!NEW_AdjONLYGroupVB</vt:lpstr>
      <vt:lpstr>'AGAF|0001-00'!NEW_AdjONLYGroupVB</vt:lpstr>
      <vt:lpstr>'AGAF|0330-00'!NEW_AdjONLYGroupVB</vt:lpstr>
      <vt:lpstr>'AGAF|0490-00'!NEW_AdjONLYGroupVB</vt:lpstr>
      <vt:lpstr>'AGAH|0001-00'!NEW_AdjONLYGroupVB</vt:lpstr>
      <vt:lpstr>'AGAH|0332-03'!NEW_AdjONLYGroupVB</vt:lpstr>
      <vt:lpstr>'AGAL|0486-00'!NEW_AdjONLYGroupVB</vt:lpstr>
      <vt:lpstr>'AGAM|0348-00'!NEW_AdjONLYGroupVB</vt:lpstr>
      <vt:lpstr>'AGAM|0403-03'!NEW_AdjONLYGroupVB</vt:lpstr>
      <vt:lpstr>'AGAO|0330-00'!NEW_AdjONLYGroupVB</vt:lpstr>
      <vt:lpstr>'AGAO|0332-11'!NEW_AdjONLYGroupVB</vt:lpstr>
      <vt:lpstr>'AGAO|0332-12'!NEW_AdjONLYGroupVB</vt:lpstr>
      <vt:lpstr>'AGAO|0348-00'!NEW_AdjONLYGroupVB</vt:lpstr>
      <vt:lpstr>'AGAP|0348-00'!NEW_AdjONLYGroupVB</vt:lpstr>
      <vt:lpstr>'AGAP|0402-00'!NEW_AdjONLYGroupVB</vt:lpstr>
      <vt:lpstr>NEW_AdjONLYGroupVB</vt:lpstr>
      <vt:lpstr>'AGAA|0001-00'!NEW_AdjONLYPerm</vt:lpstr>
      <vt:lpstr>'AGAA|0125-01'!NEW_AdjONLYPerm</vt:lpstr>
      <vt:lpstr>'AGAA|0125-02'!NEW_AdjONLYPerm</vt:lpstr>
      <vt:lpstr>'AGAB|0001-00'!NEW_AdjONLYPerm</vt:lpstr>
      <vt:lpstr>'AGAB|0332-06'!NEW_AdjONLYPerm</vt:lpstr>
      <vt:lpstr>'AGAB|0332-07'!NEW_AdjONLYPerm</vt:lpstr>
      <vt:lpstr>'AGAB|0332-09'!NEW_AdjONLYPerm</vt:lpstr>
      <vt:lpstr>'AGAC|0001-00'!NEW_AdjONLYPerm</vt:lpstr>
      <vt:lpstr>'AGAC|0332-05'!NEW_AdjONLYPerm</vt:lpstr>
      <vt:lpstr>'AGAC|0348-00'!NEW_AdjONLYPerm</vt:lpstr>
      <vt:lpstr>'AGAD|0001-00'!NEW_AdjONLYPerm</vt:lpstr>
      <vt:lpstr>'AGAD|0330-00'!NEW_AdjONLYPerm</vt:lpstr>
      <vt:lpstr>'AGAD|0330-13'!NEW_AdjONLYPerm</vt:lpstr>
      <vt:lpstr>'AGAD|0332-04'!NEW_AdjONLYPerm</vt:lpstr>
      <vt:lpstr>'AGAD|0332-08'!NEW_AdjONLYPerm</vt:lpstr>
      <vt:lpstr>'AGAE|0001-00'!NEW_AdjONLYPerm</vt:lpstr>
      <vt:lpstr>'AGAE|0330-12'!NEW_AdjONLYPerm</vt:lpstr>
      <vt:lpstr>'AGAE|0332-10'!NEW_AdjONLYPerm</vt:lpstr>
      <vt:lpstr>'AGAF|0001-00'!NEW_AdjONLYPerm</vt:lpstr>
      <vt:lpstr>'AGAF|0330-00'!NEW_AdjONLYPerm</vt:lpstr>
      <vt:lpstr>'AGAF|0490-00'!NEW_AdjONLYPerm</vt:lpstr>
      <vt:lpstr>'AGAH|0001-00'!NEW_AdjONLYPerm</vt:lpstr>
      <vt:lpstr>'AGAH|0332-03'!NEW_AdjONLYPerm</vt:lpstr>
      <vt:lpstr>'AGAL|0486-00'!NEW_AdjONLYPerm</vt:lpstr>
      <vt:lpstr>'AGAM|0348-00'!NEW_AdjONLYPerm</vt:lpstr>
      <vt:lpstr>'AGAM|0403-03'!NEW_AdjONLYPerm</vt:lpstr>
      <vt:lpstr>'AGAO|0330-00'!NEW_AdjONLYPerm</vt:lpstr>
      <vt:lpstr>'AGAO|0332-11'!NEW_AdjONLYPerm</vt:lpstr>
      <vt:lpstr>'AGAO|0332-12'!NEW_AdjONLYPerm</vt:lpstr>
      <vt:lpstr>'AGAO|0348-00'!NEW_AdjONLYPerm</vt:lpstr>
      <vt:lpstr>'AGAP|0348-00'!NEW_AdjONLYPerm</vt:lpstr>
      <vt:lpstr>'AGAP|0402-00'!NEW_AdjONLYPerm</vt:lpstr>
      <vt:lpstr>NEW_AdjONLYPerm</vt:lpstr>
      <vt:lpstr>'AGAA|0001-00'!NEW_AdjONLYPermSalary</vt:lpstr>
      <vt:lpstr>'AGAA|0125-01'!NEW_AdjONLYPermSalary</vt:lpstr>
      <vt:lpstr>'AGAA|0125-02'!NEW_AdjONLYPermSalary</vt:lpstr>
      <vt:lpstr>'AGAB|0001-00'!NEW_AdjONLYPermSalary</vt:lpstr>
      <vt:lpstr>'AGAB|0332-06'!NEW_AdjONLYPermSalary</vt:lpstr>
      <vt:lpstr>'AGAB|0332-07'!NEW_AdjONLYPermSalary</vt:lpstr>
      <vt:lpstr>'AGAB|0332-09'!NEW_AdjONLYPermSalary</vt:lpstr>
      <vt:lpstr>'AGAC|0001-00'!NEW_AdjONLYPermSalary</vt:lpstr>
      <vt:lpstr>'AGAC|0332-05'!NEW_AdjONLYPermSalary</vt:lpstr>
      <vt:lpstr>'AGAC|0348-00'!NEW_AdjONLYPermSalary</vt:lpstr>
      <vt:lpstr>'AGAD|0001-00'!NEW_AdjONLYPermSalary</vt:lpstr>
      <vt:lpstr>'AGAD|0330-00'!NEW_AdjONLYPermSalary</vt:lpstr>
      <vt:lpstr>'AGAD|0330-13'!NEW_AdjONLYPermSalary</vt:lpstr>
      <vt:lpstr>'AGAD|0332-04'!NEW_AdjONLYPermSalary</vt:lpstr>
      <vt:lpstr>'AGAD|0332-08'!NEW_AdjONLYPermSalary</vt:lpstr>
      <vt:lpstr>'AGAE|0001-00'!NEW_AdjONLYPermSalary</vt:lpstr>
      <vt:lpstr>'AGAE|0330-12'!NEW_AdjONLYPermSalary</vt:lpstr>
      <vt:lpstr>'AGAE|0332-10'!NEW_AdjONLYPermSalary</vt:lpstr>
      <vt:lpstr>'AGAF|0001-00'!NEW_AdjONLYPermSalary</vt:lpstr>
      <vt:lpstr>'AGAF|0330-00'!NEW_AdjONLYPermSalary</vt:lpstr>
      <vt:lpstr>'AGAF|0490-00'!NEW_AdjONLYPermSalary</vt:lpstr>
      <vt:lpstr>'AGAH|0001-00'!NEW_AdjONLYPermSalary</vt:lpstr>
      <vt:lpstr>'AGAH|0332-03'!NEW_AdjONLYPermSalary</vt:lpstr>
      <vt:lpstr>'AGAL|0486-00'!NEW_AdjONLYPermSalary</vt:lpstr>
      <vt:lpstr>'AGAM|0348-00'!NEW_AdjONLYPermSalary</vt:lpstr>
      <vt:lpstr>'AGAM|0403-03'!NEW_AdjONLYPermSalary</vt:lpstr>
      <vt:lpstr>'AGAO|0330-00'!NEW_AdjONLYPermSalary</vt:lpstr>
      <vt:lpstr>'AGAO|0332-11'!NEW_AdjONLYPermSalary</vt:lpstr>
      <vt:lpstr>'AGAO|0332-12'!NEW_AdjONLYPermSalary</vt:lpstr>
      <vt:lpstr>'AGAO|0348-00'!NEW_AdjONLYPermSalary</vt:lpstr>
      <vt:lpstr>'AGAP|0348-00'!NEW_AdjONLYPermSalary</vt:lpstr>
      <vt:lpstr>'AGAP|0402-00'!NEW_AdjONLYPermSalary</vt:lpstr>
      <vt:lpstr>NEW_AdjONLYPermSalary</vt:lpstr>
      <vt:lpstr>'AGAA|0001-00'!NEW_AdjONLYPermVB</vt:lpstr>
      <vt:lpstr>'AGAA|0125-01'!NEW_AdjONLYPermVB</vt:lpstr>
      <vt:lpstr>'AGAA|0125-02'!NEW_AdjONLYPermVB</vt:lpstr>
      <vt:lpstr>'AGAB|0001-00'!NEW_AdjONLYPermVB</vt:lpstr>
      <vt:lpstr>'AGAB|0332-06'!NEW_AdjONLYPermVB</vt:lpstr>
      <vt:lpstr>'AGAB|0332-07'!NEW_AdjONLYPermVB</vt:lpstr>
      <vt:lpstr>'AGAB|0332-09'!NEW_AdjONLYPermVB</vt:lpstr>
      <vt:lpstr>'AGAC|0001-00'!NEW_AdjONLYPermVB</vt:lpstr>
      <vt:lpstr>'AGAC|0332-05'!NEW_AdjONLYPermVB</vt:lpstr>
      <vt:lpstr>'AGAC|0348-00'!NEW_AdjONLYPermVB</vt:lpstr>
      <vt:lpstr>'AGAD|0001-00'!NEW_AdjONLYPermVB</vt:lpstr>
      <vt:lpstr>'AGAD|0330-00'!NEW_AdjONLYPermVB</vt:lpstr>
      <vt:lpstr>'AGAD|0330-13'!NEW_AdjONLYPermVB</vt:lpstr>
      <vt:lpstr>'AGAD|0332-04'!NEW_AdjONLYPermVB</vt:lpstr>
      <vt:lpstr>'AGAD|0332-08'!NEW_AdjONLYPermVB</vt:lpstr>
      <vt:lpstr>'AGAE|0001-00'!NEW_AdjONLYPermVB</vt:lpstr>
      <vt:lpstr>'AGAE|0330-12'!NEW_AdjONLYPermVB</vt:lpstr>
      <vt:lpstr>'AGAE|0332-10'!NEW_AdjONLYPermVB</vt:lpstr>
      <vt:lpstr>'AGAF|0001-00'!NEW_AdjONLYPermVB</vt:lpstr>
      <vt:lpstr>'AGAF|0330-00'!NEW_AdjONLYPermVB</vt:lpstr>
      <vt:lpstr>'AGAF|0490-00'!NEW_AdjONLYPermVB</vt:lpstr>
      <vt:lpstr>'AGAH|0001-00'!NEW_AdjONLYPermVB</vt:lpstr>
      <vt:lpstr>'AGAH|0332-03'!NEW_AdjONLYPermVB</vt:lpstr>
      <vt:lpstr>'AGAL|0486-00'!NEW_AdjONLYPermVB</vt:lpstr>
      <vt:lpstr>'AGAM|0348-00'!NEW_AdjONLYPermVB</vt:lpstr>
      <vt:lpstr>'AGAM|0403-03'!NEW_AdjONLYPermVB</vt:lpstr>
      <vt:lpstr>'AGAO|0330-00'!NEW_AdjONLYPermVB</vt:lpstr>
      <vt:lpstr>'AGAO|0332-11'!NEW_AdjONLYPermVB</vt:lpstr>
      <vt:lpstr>'AGAO|0332-12'!NEW_AdjONLYPermVB</vt:lpstr>
      <vt:lpstr>'AGAO|0348-00'!NEW_AdjONLYPermVB</vt:lpstr>
      <vt:lpstr>'AGAP|0348-00'!NEW_AdjONLYPermVB</vt:lpstr>
      <vt:lpstr>'AGAP|0402-00'!NEW_AdjONLYPermVB</vt:lpstr>
      <vt:lpstr>NEW_AdjONLYPermVB</vt:lpstr>
      <vt:lpstr>'AGAA|0001-00'!NEW_AdjPerm</vt:lpstr>
      <vt:lpstr>'AGAA|0125-01'!NEW_AdjPerm</vt:lpstr>
      <vt:lpstr>'AGAA|0125-02'!NEW_AdjPerm</vt:lpstr>
      <vt:lpstr>'AGAB|0001-00'!NEW_AdjPerm</vt:lpstr>
      <vt:lpstr>'AGAB|0332-06'!NEW_AdjPerm</vt:lpstr>
      <vt:lpstr>'AGAB|0332-07'!NEW_AdjPerm</vt:lpstr>
      <vt:lpstr>'AGAB|0332-09'!NEW_AdjPerm</vt:lpstr>
      <vt:lpstr>'AGAC|0001-00'!NEW_AdjPerm</vt:lpstr>
      <vt:lpstr>'AGAC|0332-05'!NEW_AdjPerm</vt:lpstr>
      <vt:lpstr>'AGAC|0348-00'!NEW_AdjPerm</vt:lpstr>
      <vt:lpstr>'AGAD|0001-00'!NEW_AdjPerm</vt:lpstr>
      <vt:lpstr>'AGAD|0330-00'!NEW_AdjPerm</vt:lpstr>
      <vt:lpstr>'AGAD|0330-13'!NEW_AdjPerm</vt:lpstr>
      <vt:lpstr>'AGAD|0332-04'!NEW_AdjPerm</vt:lpstr>
      <vt:lpstr>'AGAD|0332-08'!NEW_AdjPerm</vt:lpstr>
      <vt:lpstr>'AGAE|0001-00'!NEW_AdjPerm</vt:lpstr>
      <vt:lpstr>'AGAE|0330-12'!NEW_AdjPerm</vt:lpstr>
      <vt:lpstr>'AGAE|0332-10'!NEW_AdjPerm</vt:lpstr>
      <vt:lpstr>'AGAF|0001-00'!NEW_AdjPerm</vt:lpstr>
      <vt:lpstr>'AGAF|0330-00'!NEW_AdjPerm</vt:lpstr>
      <vt:lpstr>'AGAF|0490-00'!NEW_AdjPerm</vt:lpstr>
      <vt:lpstr>'AGAH|0001-00'!NEW_AdjPerm</vt:lpstr>
      <vt:lpstr>'AGAH|0332-03'!NEW_AdjPerm</vt:lpstr>
      <vt:lpstr>'AGAL|0486-00'!NEW_AdjPerm</vt:lpstr>
      <vt:lpstr>'AGAM|0348-00'!NEW_AdjPerm</vt:lpstr>
      <vt:lpstr>'AGAM|0403-03'!NEW_AdjPerm</vt:lpstr>
      <vt:lpstr>'AGAO|0330-00'!NEW_AdjPerm</vt:lpstr>
      <vt:lpstr>'AGAO|0332-11'!NEW_AdjPerm</vt:lpstr>
      <vt:lpstr>'AGAO|0332-12'!NEW_AdjPerm</vt:lpstr>
      <vt:lpstr>'AGAO|0348-00'!NEW_AdjPerm</vt:lpstr>
      <vt:lpstr>'AGAP|0348-00'!NEW_AdjPerm</vt:lpstr>
      <vt:lpstr>'AGAP|0402-00'!NEW_AdjPerm</vt:lpstr>
      <vt:lpstr>NEW_AdjPerm</vt:lpstr>
      <vt:lpstr>'AGAA|0001-00'!NEW_AdjPermSalary</vt:lpstr>
      <vt:lpstr>'AGAA|0125-01'!NEW_AdjPermSalary</vt:lpstr>
      <vt:lpstr>'AGAA|0125-02'!NEW_AdjPermSalary</vt:lpstr>
      <vt:lpstr>'AGAB|0001-00'!NEW_AdjPermSalary</vt:lpstr>
      <vt:lpstr>'AGAB|0332-06'!NEW_AdjPermSalary</vt:lpstr>
      <vt:lpstr>'AGAB|0332-07'!NEW_AdjPermSalary</vt:lpstr>
      <vt:lpstr>'AGAB|0332-09'!NEW_AdjPermSalary</vt:lpstr>
      <vt:lpstr>'AGAC|0001-00'!NEW_AdjPermSalary</vt:lpstr>
      <vt:lpstr>'AGAC|0332-05'!NEW_AdjPermSalary</vt:lpstr>
      <vt:lpstr>'AGAC|0348-00'!NEW_AdjPermSalary</vt:lpstr>
      <vt:lpstr>'AGAD|0001-00'!NEW_AdjPermSalary</vt:lpstr>
      <vt:lpstr>'AGAD|0330-00'!NEW_AdjPermSalary</vt:lpstr>
      <vt:lpstr>'AGAD|0330-13'!NEW_AdjPermSalary</vt:lpstr>
      <vt:lpstr>'AGAD|0332-04'!NEW_AdjPermSalary</vt:lpstr>
      <vt:lpstr>'AGAD|0332-08'!NEW_AdjPermSalary</vt:lpstr>
      <vt:lpstr>'AGAE|0001-00'!NEW_AdjPermSalary</vt:lpstr>
      <vt:lpstr>'AGAE|0330-12'!NEW_AdjPermSalary</vt:lpstr>
      <vt:lpstr>'AGAE|0332-10'!NEW_AdjPermSalary</vt:lpstr>
      <vt:lpstr>'AGAF|0001-00'!NEW_AdjPermSalary</vt:lpstr>
      <vt:lpstr>'AGAF|0330-00'!NEW_AdjPermSalary</vt:lpstr>
      <vt:lpstr>'AGAF|0490-00'!NEW_AdjPermSalary</vt:lpstr>
      <vt:lpstr>'AGAH|0001-00'!NEW_AdjPermSalary</vt:lpstr>
      <vt:lpstr>'AGAH|0332-03'!NEW_AdjPermSalary</vt:lpstr>
      <vt:lpstr>'AGAL|0486-00'!NEW_AdjPermSalary</vt:lpstr>
      <vt:lpstr>'AGAM|0348-00'!NEW_AdjPermSalary</vt:lpstr>
      <vt:lpstr>'AGAM|0403-03'!NEW_AdjPermSalary</vt:lpstr>
      <vt:lpstr>'AGAO|0330-00'!NEW_AdjPermSalary</vt:lpstr>
      <vt:lpstr>'AGAO|0332-11'!NEW_AdjPermSalary</vt:lpstr>
      <vt:lpstr>'AGAO|0332-12'!NEW_AdjPermSalary</vt:lpstr>
      <vt:lpstr>'AGAO|0348-00'!NEW_AdjPermSalary</vt:lpstr>
      <vt:lpstr>'AGAP|0348-00'!NEW_AdjPermSalary</vt:lpstr>
      <vt:lpstr>'AGAP|0402-00'!NEW_AdjPermSalary</vt:lpstr>
      <vt:lpstr>NEW_AdjPermSalary</vt:lpstr>
      <vt:lpstr>'AGAA|0001-00'!NEW_AdjPermVB</vt:lpstr>
      <vt:lpstr>'AGAA|0125-01'!NEW_AdjPermVB</vt:lpstr>
      <vt:lpstr>'AGAA|0125-02'!NEW_AdjPermVB</vt:lpstr>
      <vt:lpstr>'AGAB|0001-00'!NEW_AdjPermVB</vt:lpstr>
      <vt:lpstr>'AGAB|0332-06'!NEW_AdjPermVB</vt:lpstr>
      <vt:lpstr>'AGAB|0332-07'!NEW_AdjPermVB</vt:lpstr>
      <vt:lpstr>'AGAB|0332-09'!NEW_AdjPermVB</vt:lpstr>
      <vt:lpstr>'AGAC|0001-00'!NEW_AdjPermVB</vt:lpstr>
      <vt:lpstr>'AGAC|0332-05'!NEW_AdjPermVB</vt:lpstr>
      <vt:lpstr>'AGAC|0348-00'!NEW_AdjPermVB</vt:lpstr>
      <vt:lpstr>'AGAD|0001-00'!NEW_AdjPermVB</vt:lpstr>
      <vt:lpstr>'AGAD|0330-00'!NEW_AdjPermVB</vt:lpstr>
      <vt:lpstr>'AGAD|0330-13'!NEW_AdjPermVB</vt:lpstr>
      <vt:lpstr>'AGAD|0332-04'!NEW_AdjPermVB</vt:lpstr>
      <vt:lpstr>'AGAD|0332-08'!NEW_AdjPermVB</vt:lpstr>
      <vt:lpstr>'AGAE|0001-00'!NEW_AdjPermVB</vt:lpstr>
      <vt:lpstr>'AGAE|0330-12'!NEW_AdjPermVB</vt:lpstr>
      <vt:lpstr>'AGAE|0332-10'!NEW_AdjPermVB</vt:lpstr>
      <vt:lpstr>'AGAF|0001-00'!NEW_AdjPermVB</vt:lpstr>
      <vt:lpstr>'AGAF|0330-00'!NEW_AdjPermVB</vt:lpstr>
      <vt:lpstr>'AGAF|0490-00'!NEW_AdjPermVB</vt:lpstr>
      <vt:lpstr>'AGAH|0001-00'!NEW_AdjPermVB</vt:lpstr>
      <vt:lpstr>'AGAH|0332-03'!NEW_AdjPermVB</vt:lpstr>
      <vt:lpstr>'AGAL|0486-00'!NEW_AdjPermVB</vt:lpstr>
      <vt:lpstr>'AGAM|0348-00'!NEW_AdjPermVB</vt:lpstr>
      <vt:lpstr>'AGAM|0403-03'!NEW_AdjPermVB</vt:lpstr>
      <vt:lpstr>'AGAO|0330-00'!NEW_AdjPermVB</vt:lpstr>
      <vt:lpstr>'AGAO|0332-11'!NEW_AdjPermVB</vt:lpstr>
      <vt:lpstr>'AGAO|0332-12'!NEW_AdjPermVB</vt:lpstr>
      <vt:lpstr>'AGAO|0348-00'!NEW_AdjPermVB</vt:lpstr>
      <vt:lpstr>'AGAP|0348-00'!NEW_AdjPermVB</vt:lpstr>
      <vt:lpstr>'AGAP|0402-00'!NEW_AdjPermVB</vt:lpstr>
      <vt:lpstr>NEW_AdjPermVB</vt:lpstr>
      <vt:lpstr>'AGAA|0001-00'!NEW_GroupFilled</vt:lpstr>
      <vt:lpstr>'AGAA|0125-01'!NEW_GroupFilled</vt:lpstr>
      <vt:lpstr>'AGAA|0125-02'!NEW_GroupFilled</vt:lpstr>
      <vt:lpstr>'AGAB|0001-00'!NEW_GroupFilled</vt:lpstr>
      <vt:lpstr>'AGAB|0332-06'!NEW_GroupFilled</vt:lpstr>
      <vt:lpstr>'AGAB|0332-07'!NEW_GroupFilled</vt:lpstr>
      <vt:lpstr>'AGAB|0332-09'!NEW_GroupFilled</vt:lpstr>
      <vt:lpstr>'AGAC|0001-00'!NEW_GroupFilled</vt:lpstr>
      <vt:lpstr>'AGAC|0332-05'!NEW_GroupFilled</vt:lpstr>
      <vt:lpstr>'AGAC|0348-00'!NEW_GroupFilled</vt:lpstr>
      <vt:lpstr>'AGAD|0001-00'!NEW_GroupFilled</vt:lpstr>
      <vt:lpstr>'AGAD|0330-00'!NEW_GroupFilled</vt:lpstr>
      <vt:lpstr>'AGAD|0330-13'!NEW_GroupFilled</vt:lpstr>
      <vt:lpstr>'AGAD|0332-04'!NEW_GroupFilled</vt:lpstr>
      <vt:lpstr>'AGAD|0332-08'!NEW_GroupFilled</vt:lpstr>
      <vt:lpstr>'AGAE|0001-00'!NEW_GroupFilled</vt:lpstr>
      <vt:lpstr>'AGAE|0330-12'!NEW_GroupFilled</vt:lpstr>
      <vt:lpstr>'AGAE|0332-10'!NEW_GroupFilled</vt:lpstr>
      <vt:lpstr>'AGAF|0001-00'!NEW_GroupFilled</vt:lpstr>
      <vt:lpstr>'AGAF|0330-00'!NEW_GroupFilled</vt:lpstr>
      <vt:lpstr>'AGAF|0490-00'!NEW_GroupFilled</vt:lpstr>
      <vt:lpstr>'AGAH|0001-00'!NEW_GroupFilled</vt:lpstr>
      <vt:lpstr>'AGAH|0332-03'!NEW_GroupFilled</vt:lpstr>
      <vt:lpstr>'AGAL|0486-00'!NEW_GroupFilled</vt:lpstr>
      <vt:lpstr>'AGAM|0348-00'!NEW_GroupFilled</vt:lpstr>
      <vt:lpstr>'AGAM|0403-03'!NEW_GroupFilled</vt:lpstr>
      <vt:lpstr>'AGAO|0330-00'!NEW_GroupFilled</vt:lpstr>
      <vt:lpstr>'AGAO|0332-11'!NEW_GroupFilled</vt:lpstr>
      <vt:lpstr>'AGAO|0332-12'!NEW_GroupFilled</vt:lpstr>
      <vt:lpstr>'AGAO|0348-00'!NEW_GroupFilled</vt:lpstr>
      <vt:lpstr>'AGAP|0348-00'!NEW_GroupFilled</vt:lpstr>
      <vt:lpstr>'AGAP|0402-00'!NEW_GroupFilled</vt:lpstr>
      <vt:lpstr>NEW_GroupFilled</vt:lpstr>
      <vt:lpstr>'AGAA|0001-00'!NEW_GroupSalaryFilled</vt:lpstr>
      <vt:lpstr>'AGAA|0125-01'!NEW_GroupSalaryFilled</vt:lpstr>
      <vt:lpstr>'AGAA|0125-02'!NEW_GroupSalaryFilled</vt:lpstr>
      <vt:lpstr>'AGAB|0001-00'!NEW_GroupSalaryFilled</vt:lpstr>
      <vt:lpstr>'AGAB|0332-06'!NEW_GroupSalaryFilled</vt:lpstr>
      <vt:lpstr>'AGAB|0332-07'!NEW_GroupSalaryFilled</vt:lpstr>
      <vt:lpstr>'AGAB|0332-09'!NEW_GroupSalaryFilled</vt:lpstr>
      <vt:lpstr>'AGAC|0001-00'!NEW_GroupSalaryFilled</vt:lpstr>
      <vt:lpstr>'AGAC|0332-05'!NEW_GroupSalaryFilled</vt:lpstr>
      <vt:lpstr>'AGAC|0348-00'!NEW_GroupSalaryFilled</vt:lpstr>
      <vt:lpstr>'AGAD|0001-00'!NEW_GroupSalaryFilled</vt:lpstr>
      <vt:lpstr>'AGAD|0330-00'!NEW_GroupSalaryFilled</vt:lpstr>
      <vt:lpstr>'AGAD|0330-13'!NEW_GroupSalaryFilled</vt:lpstr>
      <vt:lpstr>'AGAD|0332-04'!NEW_GroupSalaryFilled</vt:lpstr>
      <vt:lpstr>'AGAD|0332-08'!NEW_GroupSalaryFilled</vt:lpstr>
      <vt:lpstr>'AGAE|0001-00'!NEW_GroupSalaryFilled</vt:lpstr>
      <vt:lpstr>'AGAE|0330-12'!NEW_GroupSalaryFilled</vt:lpstr>
      <vt:lpstr>'AGAE|0332-10'!NEW_GroupSalaryFilled</vt:lpstr>
      <vt:lpstr>'AGAF|0001-00'!NEW_GroupSalaryFilled</vt:lpstr>
      <vt:lpstr>'AGAF|0330-00'!NEW_GroupSalaryFilled</vt:lpstr>
      <vt:lpstr>'AGAF|0490-00'!NEW_GroupSalaryFilled</vt:lpstr>
      <vt:lpstr>'AGAH|0001-00'!NEW_GroupSalaryFilled</vt:lpstr>
      <vt:lpstr>'AGAH|0332-03'!NEW_GroupSalaryFilled</vt:lpstr>
      <vt:lpstr>'AGAL|0486-00'!NEW_GroupSalaryFilled</vt:lpstr>
      <vt:lpstr>'AGAM|0348-00'!NEW_GroupSalaryFilled</vt:lpstr>
      <vt:lpstr>'AGAM|0403-03'!NEW_GroupSalaryFilled</vt:lpstr>
      <vt:lpstr>'AGAO|0330-00'!NEW_GroupSalaryFilled</vt:lpstr>
      <vt:lpstr>'AGAO|0332-11'!NEW_GroupSalaryFilled</vt:lpstr>
      <vt:lpstr>'AGAO|0332-12'!NEW_GroupSalaryFilled</vt:lpstr>
      <vt:lpstr>'AGAO|0348-00'!NEW_GroupSalaryFilled</vt:lpstr>
      <vt:lpstr>'AGAP|0348-00'!NEW_GroupSalaryFilled</vt:lpstr>
      <vt:lpstr>'AGAP|0402-00'!NEW_GroupSalaryFilled</vt:lpstr>
      <vt:lpstr>NEW_GroupSalaryFilled</vt:lpstr>
      <vt:lpstr>'AGAA|0001-00'!NEW_GroupVBFilled</vt:lpstr>
      <vt:lpstr>'AGAA|0125-01'!NEW_GroupVBFilled</vt:lpstr>
      <vt:lpstr>'AGAA|0125-02'!NEW_GroupVBFilled</vt:lpstr>
      <vt:lpstr>'AGAB|0001-00'!NEW_GroupVBFilled</vt:lpstr>
      <vt:lpstr>'AGAB|0332-06'!NEW_GroupVBFilled</vt:lpstr>
      <vt:lpstr>'AGAB|0332-07'!NEW_GroupVBFilled</vt:lpstr>
      <vt:lpstr>'AGAB|0332-09'!NEW_GroupVBFilled</vt:lpstr>
      <vt:lpstr>'AGAC|0001-00'!NEW_GroupVBFilled</vt:lpstr>
      <vt:lpstr>'AGAC|0332-05'!NEW_GroupVBFilled</vt:lpstr>
      <vt:lpstr>'AGAC|0348-00'!NEW_GroupVBFilled</vt:lpstr>
      <vt:lpstr>'AGAD|0001-00'!NEW_GroupVBFilled</vt:lpstr>
      <vt:lpstr>'AGAD|0330-00'!NEW_GroupVBFilled</vt:lpstr>
      <vt:lpstr>'AGAD|0330-13'!NEW_GroupVBFilled</vt:lpstr>
      <vt:lpstr>'AGAD|0332-04'!NEW_GroupVBFilled</vt:lpstr>
      <vt:lpstr>'AGAD|0332-08'!NEW_GroupVBFilled</vt:lpstr>
      <vt:lpstr>'AGAE|0001-00'!NEW_GroupVBFilled</vt:lpstr>
      <vt:lpstr>'AGAE|0330-12'!NEW_GroupVBFilled</vt:lpstr>
      <vt:lpstr>'AGAE|0332-10'!NEW_GroupVBFilled</vt:lpstr>
      <vt:lpstr>'AGAF|0001-00'!NEW_GroupVBFilled</vt:lpstr>
      <vt:lpstr>'AGAF|0330-00'!NEW_GroupVBFilled</vt:lpstr>
      <vt:lpstr>'AGAF|0490-00'!NEW_GroupVBFilled</vt:lpstr>
      <vt:lpstr>'AGAH|0001-00'!NEW_GroupVBFilled</vt:lpstr>
      <vt:lpstr>'AGAH|0332-03'!NEW_GroupVBFilled</vt:lpstr>
      <vt:lpstr>'AGAL|0486-00'!NEW_GroupVBFilled</vt:lpstr>
      <vt:lpstr>'AGAM|0348-00'!NEW_GroupVBFilled</vt:lpstr>
      <vt:lpstr>'AGAM|0403-03'!NEW_GroupVBFilled</vt:lpstr>
      <vt:lpstr>'AGAO|0330-00'!NEW_GroupVBFilled</vt:lpstr>
      <vt:lpstr>'AGAO|0332-11'!NEW_GroupVBFilled</vt:lpstr>
      <vt:lpstr>'AGAO|0332-12'!NEW_GroupVBFilled</vt:lpstr>
      <vt:lpstr>'AGAO|0348-00'!NEW_GroupVBFilled</vt:lpstr>
      <vt:lpstr>'AGAP|0348-00'!NEW_GroupVBFilled</vt:lpstr>
      <vt:lpstr>'AGAP|0402-00'!NEW_GroupVBFilled</vt:lpstr>
      <vt:lpstr>NEW_GroupVBFilled</vt:lpstr>
      <vt:lpstr>'AGAA|0001-00'!NEW_PermFilled</vt:lpstr>
      <vt:lpstr>'AGAA|0125-01'!NEW_PermFilled</vt:lpstr>
      <vt:lpstr>'AGAA|0125-02'!NEW_PermFilled</vt:lpstr>
      <vt:lpstr>'AGAB|0001-00'!NEW_PermFilled</vt:lpstr>
      <vt:lpstr>'AGAB|0332-06'!NEW_PermFilled</vt:lpstr>
      <vt:lpstr>'AGAB|0332-07'!NEW_PermFilled</vt:lpstr>
      <vt:lpstr>'AGAB|0332-09'!NEW_PermFilled</vt:lpstr>
      <vt:lpstr>'AGAC|0001-00'!NEW_PermFilled</vt:lpstr>
      <vt:lpstr>'AGAC|0332-05'!NEW_PermFilled</vt:lpstr>
      <vt:lpstr>'AGAC|0348-00'!NEW_PermFilled</vt:lpstr>
      <vt:lpstr>'AGAD|0001-00'!NEW_PermFilled</vt:lpstr>
      <vt:lpstr>'AGAD|0330-00'!NEW_PermFilled</vt:lpstr>
      <vt:lpstr>'AGAD|0330-13'!NEW_PermFilled</vt:lpstr>
      <vt:lpstr>'AGAD|0332-04'!NEW_PermFilled</vt:lpstr>
      <vt:lpstr>'AGAD|0332-08'!NEW_PermFilled</vt:lpstr>
      <vt:lpstr>'AGAE|0001-00'!NEW_PermFilled</vt:lpstr>
      <vt:lpstr>'AGAE|0330-12'!NEW_PermFilled</vt:lpstr>
      <vt:lpstr>'AGAE|0332-10'!NEW_PermFilled</vt:lpstr>
      <vt:lpstr>'AGAF|0001-00'!NEW_PermFilled</vt:lpstr>
      <vt:lpstr>'AGAF|0330-00'!NEW_PermFilled</vt:lpstr>
      <vt:lpstr>'AGAF|0490-00'!NEW_PermFilled</vt:lpstr>
      <vt:lpstr>'AGAH|0001-00'!NEW_PermFilled</vt:lpstr>
      <vt:lpstr>'AGAH|0332-03'!NEW_PermFilled</vt:lpstr>
      <vt:lpstr>'AGAL|0486-00'!NEW_PermFilled</vt:lpstr>
      <vt:lpstr>'AGAM|0348-00'!NEW_PermFilled</vt:lpstr>
      <vt:lpstr>'AGAM|0403-03'!NEW_PermFilled</vt:lpstr>
      <vt:lpstr>'AGAO|0330-00'!NEW_PermFilled</vt:lpstr>
      <vt:lpstr>'AGAO|0332-11'!NEW_PermFilled</vt:lpstr>
      <vt:lpstr>'AGAO|0332-12'!NEW_PermFilled</vt:lpstr>
      <vt:lpstr>'AGAO|0348-00'!NEW_PermFilled</vt:lpstr>
      <vt:lpstr>'AGAP|0348-00'!NEW_PermFilled</vt:lpstr>
      <vt:lpstr>'AGAP|0402-00'!NEW_PermFilled</vt:lpstr>
      <vt:lpstr>NEW_PermFilled</vt:lpstr>
      <vt:lpstr>'AGAA|0001-00'!NEW_PermSalaryFilled</vt:lpstr>
      <vt:lpstr>'AGAA|0125-01'!NEW_PermSalaryFilled</vt:lpstr>
      <vt:lpstr>'AGAA|0125-02'!NEW_PermSalaryFilled</vt:lpstr>
      <vt:lpstr>'AGAB|0001-00'!NEW_PermSalaryFilled</vt:lpstr>
      <vt:lpstr>'AGAB|0332-06'!NEW_PermSalaryFilled</vt:lpstr>
      <vt:lpstr>'AGAB|0332-07'!NEW_PermSalaryFilled</vt:lpstr>
      <vt:lpstr>'AGAB|0332-09'!NEW_PermSalaryFilled</vt:lpstr>
      <vt:lpstr>'AGAC|0001-00'!NEW_PermSalaryFilled</vt:lpstr>
      <vt:lpstr>'AGAC|0332-05'!NEW_PermSalaryFilled</vt:lpstr>
      <vt:lpstr>'AGAC|0348-00'!NEW_PermSalaryFilled</vt:lpstr>
      <vt:lpstr>'AGAD|0001-00'!NEW_PermSalaryFilled</vt:lpstr>
      <vt:lpstr>'AGAD|0330-00'!NEW_PermSalaryFilled</vt:lpstr>
      <vt:lpstr>'AGAD|0330-13'!NEW_PermSalaryFilled</vt:lpstr>
      <vt:lpstr>'AGAD|0332-04'!NEW_PermSalaryFilled</vt:lpstr>
      <vt:lpstr>'AGAD|0332-08'!NEW_PermSalaryFilled</vt:lpstr>
      <vt:lpstr>'AGAE|0001-00'!NEW_PermSalaryFilled</vt:lpstr>
      <vt:lpstr>'AGAE|0330-12'!NEW_PermSalaryFilled</vt:lpstr>
      <vt:lpstr>'AGAE|0332-10'!NEW_PermSalaryFilled</vt:lpstr>
      <vt:lpstr>'AGAF|0001-00'!NEW_PermSalaryFilled</vt:lpstr>
      <vt:lpstr>'AGAF|0330-00'!NEW_PermSalaryFilled</vt:lpstr>
      <vt:lpstr>'AGAF|0490-00'!NEW_PermSalaryFilled</vt:lpstr>
      <vt:lpstr>'AGAH|0001-00'!NEW_PermSalaryFilled</vt:lpstr>
      <vt:lpstr>'AGAH|0332-03'!NEW_PermSalaryFilled</vt:lpstr>
      <vt:lpstr>'AGAL|0486-00'!NEW_PermSalaryFilled</vt:lpstr>
      <vt:lpstr>'AGAM|0348-00'!NEW_PermSalaryFilled</vt:lpstr>
      <vt:lpstr>'AGAM|0403-03'!NEW_PermSalaryFilled</vt:lpstr>
      <vt:lpstr>'AGAO|0330-00'!NEW_PermSalaryFilled</vt:lpstr>
      <vt:lpstr>'AGAO|0332-11'!NEW_PermSalaryFilled</vt:lpstr>
      <vt:lpstr>'AGAO|0332-12'!NEW_PermSalaryFilled</vt:lpstr>
      <vt:lpstr>'AGAO|0348-00'!NEW_PermSalaryFilled</vt:lpstr>
      <vt:lpstr>'AGAP|0348-00'!NEW_PermSalaryFilled</vt:lpstr>
      <vt:lpstr>'AGAP|0402-00'!NEW_PermSalaryFilled</vt:lpstr>
      <vt:lpstr>NEW_PermSalaryFilled</vt:lpstr>
      <vt:lpstr>'AGAA|0001-00'!NEW_PermVBFilled</vt:lpstr>
      <vt:lpstr>'AGAA|0125-01'!NEW_PermVBFilled</vt:lpstr>
      <vt:lpstr>'AGAA|0125-02'!NEW_PermVBFilled</vt:lpstr>
      <vt:lpstr>'AGAB|0001-00'!NEW_PermVBFilled</vt:lpstr>
      <vt:lpstr>'AGAB|0332-06'!NEW_PermVBFilled</vt:lpstr>
      <vt:lpstr>'AGAB|0332-07'!NEW_PermVBFilled</vt:lpstr>
      <vt:lpstr>'AGAB|0332-09'!NEW_PermVBFilled</vt:lpstr>
      <vt:lpstr>'AGAC|0001-00'!NEW_PermVBFilled</vt:lpstr>
      <vt:lpstr>'AGAC|0332-05'!NEW_PermVBFilled</vt:lpstr>
      <vt:lpstr>'AGAC|0348-00'!NEW_PermVBFilled</vt:lpstr>
      <vt:lpstr>'AGAD|0001-00'!NEW_PermVBFilled</vt:lpstr>
      <vt:lpstr>'AGAD|0330-00'!NEW_PermVBFilled</vt:lpstr>
      <vt:lpstr>'AGAD|0330-13'!NEW_PermVBFilled</vt:lpstr>
      <vt:lpstr>'AGAD|0332-04'!NEW_PermVBFilled</vt:lpstr>
      <vt:lpstr>'AGAD|0332-08'!NEW_PermVBFilled</vt:lpstr>
      <vt:lpstr>'AGAE|0001-00'!NEW_PermVBFilled</vt:lpstr>
      <vt:lpstr>'AGAE|0330-12'!NEW_PermVBFilled</vt:lpstr>
      <vt:lpstr>'AGAE|0332-10'!NEW_PermVBFilled</vt:lpstr>
      <vt:lpstr>'AGAF|0001-00'!NEW_PermVBFilled</vt:lpstr>
      <vt:lpstr>'AGAF|0330-00'!NEW_PermVBFilled</vt:lpstr>
      <vt:lpstr>'AGAF|0490-00'!NEW_PermVBFilled</vt:lpstr>
      <vt:lpstr>'AGAH|0001-00'!NEW_PermVBFilled</vt:lpstr>
      <vt:lpstr>'AGAH|0332-03'!NEW_PermVBFilled</vt:lpstr>
      <vt:lpstr>'AGAL|0486-00'!NEW_PermVBFilled</vt:lpstr>
      <vt:lpstr>'AGAM|0348-00'!NEW_PermVBFilled</vt:lpstr>
      <vt:lpstr>'AGAM|0403-03'!NEW_PermVBFilled</vt:lpstr>
      <vt:lpstr>'AGAO|0330-00'!NEW_PermVBFilled</vt:lpstr>
      <vt:lpstr>'AGAO|0332-11'!NEW_PermVBFilled</vt:lpstr>
      <vt:lpstr>'AGAO|0332-12'!NEW_PermVBFilled</vt:lpstr>
      <vt:lpstr>'AGAO|0348-00'!NEW_PermVBFilled</vt:lpstr>
      <vt:lpstr>'AGAP|0348-00'!NEW_PermVBFilled</vt:lpstr>
      <vt:lpstr>'AGAP|0402-00'!NEW_PermVBFilled</vt:lpstr>
      <vt:lpstr>NEW_PermVBFilled</vt:lpstr>
      <vt:lpstr>'AGAA|0001-00'!OneTimePC_Total</vt:lpstr>
      <vt:lpstr>'AGAA|0125-01'!OneTimePC_Total</vt:lpstr>
      <vt:lpstr>'AGAA|0125-02'!OneTimePC_Total</vt:lpstr>
      <vt:lpstr>'AGAB|0001-00'!OneTimePC_Total</vt:lpstr>
      <vt:lpstr>'AGAB|0332-06'!OneTimePC_Total</vt:lpstr>
      <vt:lpstr>'AGAB|0332-07'!OneTimePC_Total</vt:lpstr>
      <vt:lpstr>'AGAB|0332-09'!OneTimePC_Total</vt:lpstr>
      <vt:lpstr>'AGAC|0001-00'!OneTimePC_Total</vt:lpstr>
      <vt:lpstr>'AGAC|0332-05'!OneTimePC_Total</vt:lpstr>
      <vt:lpstr>'AGAC|0348-00'!OneTimePC_Total</vt:lpstr>
      <vt:lpstr>'AGAD|0001-00'!OneTimePC_Total</vt:lpstr>
      <vt:lpstr>'AGAD|0330-00'!OneTimePC_Total</vt:lpstr>
      <vt:lpstr>'AGAD|0330-13'!OneTimePC_Total</vt:lpstr>
      <vt:lpstr>'AGAD|0332-04'!OneTimePC_Total</vt:lpstr>
      <vt:lpstr>'AGAD|0332-08'!OneTimePC_Total</vt:lpstr>
      <vt:lpstr>'AGAE|0001-00'!OneTimePC_Total</vt:lpstr>
      <vt:lpstr>'AGAE|0330-12'!OneTimePC_Total</vt:lpstr>
      <vt:lpstr>'AGAE|0332-10'!OneTimePC_Total</vt:lpstr>
      <vt:lpstr>'AGAF|0001-00'!OneTimePC_Total</vt:lpstr>
      <vt:lpstr>'AGAF|0330-00'!OneTimePC_Total</vt:lpstr>
      <vt:lpstr>'AGAF|0490-00'!OneTimePC_Total</vt:lpstr>
      <vt:lpstr>'AGAH|0001-00'!OneTimePC_Total</vt:lpstr>
      <vt:lpstr>'AGAH|0332-03'!OneTimePC_Total</vt:lpstr>
      <vt:lpstr>'AGAL|0486-00'!OneTimePC_Total</vt:lpstr>
      <vt:lpstr>'AGAM|0348-00'!OneTimePC_Total</vt:lpstr>
      <vt:lpstr>'AGAM|0403-03'!OneTimePC_Total</vt:lpstr>
      <vt:lpstr>'AGAO|0330-00'!OneTimePC_Total</vt:lpstr>
      <vt:lpstr>'AGAO|0332-11'!OneTimePC_Total</vt:lpstr>
      <vt:lpstr>'AGAO|0332-12'!OneTimePC_Total</vt:lpstr>
      <vt:lpstr>'AGAO|0348-00'!OneTimePC_Total</vt:lpstr>
      <vt:lpstr>'AGAP|0348-00'!OneTimePC_Total</vt:lpstr>
      <vt:lpstr>'AGAP|0402-00'!OneTimePC_Total</vt:lpstr>
      <vt:lpstr>OneTimePC_Total</vt:lpstr>
      <vt:lpstr>'AGAA|0001-00'!OrigApprop</vt:lpstr>
      <vt:lpstr>'AGAA|0125-01'!OrigApprop</vt:lpstr>
      <vt:lpstr>'AGAA|0125-02'!OrigApprop</vt:lpstr>
      <vt:lpstr>'AGAB|0001-00'!OrigApprop</vt:lpstr>
      <vt:lpstr>'AGAB|0332-06'!OrigApprop</vt:lpstr>
      <vt:lpstr>'AGAB|0332-07'!OrigApprop</vt:lpstr>
      <vt:lpstr>'AGAB|0332-09'!OrigApprop</vt:lpstr>
      <vt:lpstr>'AGAC|0001-00'!OrigApprop</vt:lpstr>
      <vt:lpstr>'AGAC|0332-05'!OrigApprop</vt:lpstr>
      <vt:lpstr>'AGAC|0348-00'!OrigApprop</vt:lpstr>
      <vt:lpstr>'AGAD|0001-00'!OrigApprop</vt:lpstr>
      <vt:lpstr>'AGAD|0330-00'!OrigApprop</vt:lpstr>
      <vt:lpstr>'AGAD|0330-13'!OrigApprop</vt:lpstr>
      <vt:lpstr>'AGAD|0332-04'!OrigApprop</vt:lpstr>
      <vt:lpstr>'AGAD|0332-08'!OrigApprop</vt:lpstr>
      <vt:lpstr>'AGAE|0001-00'!OrigApprop</vt:lpstr>
      <vt:lpstr>'AGAE|0330-12'!OrigApprop</vt:lpstr>
      <vt:lpstr>'AGAE|0332-10'!OrigApprop</vt:lpstr>
      <vt:lpstr>'AGAF|0001-00'!OrigApprop</vt:lpstr>
      <vt:lpstr>'AGAF|0330-00'!OrigApprop</vt:lpstr>
      <vt:lpstr>'AGAF|0490-00'!OrigApprop</vt:lpstr>
      <vt:lpstr>'AGAH|0001-00'!OrigApprop</vt:lpstr>
      <vt:lpstr>'AGAH|0332-03'!OrigApprop</vt:lpstr>
      <vt:lpstr>'AGAL|0486-00'!OrigApprop</vt:lpstr>
      <vt:lpstr>'AGAM|0348-00'!OrigApprop</vt:lpstr>
      <vt:lpstr>'AGAM|0403-03'!OrigApprop</vt:lpstr>
      <vt:lpstr>'AGAO|0330-00'!OrigApprop</vt:lpstr>
      <vt:lpstr>'AGAO|0332-11'!OrigApprop</vt:lpstr>
      <vt:lpstr>'AGAO|0332-12'!OrigApprop</vt:lpstr>
      <vt:lpstr>'AGAO|0348-00'!OrigApprop</vt:lpstr>
      <vt:lpstr>'AGAP|0348-00'!OrigApprop</vt:lpstr>
      <vt:lpstr>'AGAP|0402-00'!OrigApprop</vt:lpstr>
      <vt:lpstr>OrigApprop</vt:lpstr>
      <vt:lpstr>'AGAA|0001-00'!perm_name</vt:lpstr>
      <vt:lpstr>'AGAA|0125-01'!perm_name</vt:lpstr>
      <vt:lpstr>'AGAA|0125-02'!perm_name</vt:lpstr>
      <vt:lpstr>'AGAB|0001-00'!perm_name</vt:lpstr>
      <vt:lpstr>'AGAB|0332-06'!perm_name</vt:lpstr>
      <vt:lpstr>'AGAB|0332-07'!perm_name</vt:lpstr>
      <vt:lpstr>'AGAB|0332-09'!perm_name</vt:lpstr>
      <vt:lpstr>'AGAC|0001-00'!perm_name</vt:lpstr>
      <vt:lpstr>'AGAC|0332-05'!perm_name</vt:lpstr>
      <vt:lpstr>'AGAC|0348-00'!perm_name</vt:lpstr>
      <vt:lpstr>'AGAD|0001-00'!perm_name</vt:lpstr>
      <vt:lpstr>'AGAD|0330-00'!perm_name</vt:lpstr>
      <vt:lpstr>'AGAD|0330-13'!perm_name</vt:lpstr>
      <vt:lpstr>'AGAD|0332-04'!perm_name</vt:lpstr>
      <vt:lpstr>'AGAD|0332-08'!perm_name</vt:lpstr>
      <vt:lpstr>'AGAE|0001-00'!perm_name</vt:lpstr>
      <vt:lpstr>'AGAE|0330-12'!perm_name</vt:lpstr>
      <vt:lpstr>'AGAE|0332-10'!perm_name</vt:lpstr>
      <vt:lpstr>'AGAF|0001-00'!perm_name</vt:lpstr>
      <vt:lpstr>'AGAF|0330-00'!perm_name</vt:lpstr>
      <vt:lpstr>'AGAF|0490-00'!perm_name</vt:lpstr>
      <vt:lpstr>'AGAH|0001-00'!perm_name</vt:lpstr>
      <vt:lpstr>'AGAH|0332-03'!perm_name</vt:lpstr>
      <vt:lpstr>'AGAL|0486-00'!perm_name</vt:lpstr>
      <vt:lpstr>'AGAM|0348-00'!perm_name</vt:lpstr>
      <vt:lpstr>'AGAM|0403-03'!perm_name</vt:lpstr>
      <vt:lpstr>'AGAO|0330-00'!perm_name</vt:lpstr>
      <vt:lpstr>'AGAO|0332-11'!perm_name</vt:lpstr>
      <vt:lpstr>'AGAO|0332-12'!perm_name</vt:lpstr>
      <vt:lpstr>'AGAO|0348-00'!perm_name</vt:lpstr>
      <vt:lpstr>'AGAP|0348-00'!perm_name</vt:lpstr>
      <vt:lpstr>'AGAP|0402-00'!perm_name</vt:lpstr>
      <vt:lpstr>perm_name</vt:lpstr>
      <vt:lpstr>'AGAA|0001-00'!PermFTP</vt:lpstr>
      <vt:lpstr>'AGAA|0125-01'!PermFTP</vt:lpstr>
      <vt:lpstr>'AGAA|0125-02'!PermFTP</vt:lpstr>
      <vt:lpstr>'AGAB|0001-00'!PermFTP</vt:lpstr>
      <vt:lpstr>'AGAB|0332-06'!PermFTP</vt:lpstr>
      <vt:lpstr>'AGAB|0332-07'!PermFTP</vt:lpstr>
      <vt:lpstr>'AGAB|0332-09'!PermFTP</vt:lpstr>
      <vt:lpstr>'AGAC|0001-00'!PermFTP</vt:lpstr>
      <vt:lpstr>'AGAC|0332-05'!PermFTP</vt:lpstr>
      <vt:lpstr>'AGAC|0348-00'!PermFTP</vt:lpstr>
      <vt:lpstr>'AGAD|0001-00'!PermFTP</vt:lpstr>
      <vt:lpstr>'AGAD|0330-00'!PermFTP</vt:lpstr>
      <vt:lpstr>'AGAD|0330-13'!PermFTP</vt:lpstr>
      <vt:lpstr>'AGAD|0332-04'!PermFTP</vt:lpstr>
      <vt:lpstr>'AGAD|0332-08'!PermFTP</vt:lpstr>
      <vt:lpstr>'AGAE|0001-00'!PermFTP</vt:lpstr>
      <vt:lpstr>'AGAE|0330-12'!PermFTP</vt:lpstr>
      <vt:lpstr>'AGAE|0332-10'!PermFTP</vt:lpstr>
      <vt:lpstr>'AGAF|0001-00'!PermFTP</vt:lpstr>
      <vt:lpstr>'AGAF|0330-00'!PermFTP</vt:lpstr>
      <vt:lpstr>'AGAF|0490-00'!PermFTP</vt:lpstr>
      <vt:lpstr>'AGAH|0001-00'!PermFTP</vt:lpstr>
      <vt:lpstr>'AGAH|0332-03'!PermFTP</vt:lpstr>
      <vt:lpstr>'AGAL|0486-00'!PermFTP</vt:lpstr>
      <vt:lpstr>'AGAM|0348-00'!PermFTP</vt:lpstr>
      <vt:lpstr>'AGAM|0403-03'!PermFTP</vt:lpstr>
      <vt:lpstr>'AGAO|0330-00'!PermFTP</vt:lpstr>
      <vt:lpstr>'AGAO|0332-11'!PermFTP</vt:lpstr>
      <vt:lpstr>'AGAO|0332-12'!PermFTP</vt:lpstr>
      <vt:lpstr>'AGAO|0348-00'!PermFTP</vt:lpstr>
      <vt:lpstr>'AGAP|0348-00'!PermFTP</vt:lpstr>
      <vt:lpstr>'AGAP|0402-00'!PermFTP</vt:lpstr>
      <vt:lpstr>PermFTP</vt:lpstr>
      <vt:lpstr>'AGAA|0001-00'!PermFxdBen</vt:lpstr>
      <vt:lpstr>'AGAA|0125-01'!PermFxdBen</vt:lpstr>
      <vt:lpstr>'AGAA|0125-02'!PermFxdBen</vt:lpstr>
      <vt:lpstr>'AGAB|0001-00'!PermFxdBen</vt:lpstr>
      <vt:lpstr>'AGAB|0332-06'!PermFxdBen</vt:lpstr>
      <vt:lpstr>'AGAB|0332-07'!PermFxdBen</vt:lpstr>
      <vt:lpstr>'AGAB|0332-09'!PermFxdBen</vt:lpstr>
      <vt:lpstr>'AGAC|0001-00'!PermFxdBen</vt:lpstr>
      <vt:lpstr>'AGAC|0332-05'!PermFxdBen</vt:lpstr>
      <vt:lpstr>'AGAC|0348-00'!PermFxdBen</vt:lpstr>
      <vt:lpstr>'AGAD|0001-00'!PermFxdBen</vt:lpstr>
      <vt:lpstr>'AGAD|0330-00'!PermFxdBen</vt:lpstr>
      <vt:lpstr>'AGAD|0330-13'!PermFxdBen</vt:lpstr>
      <vt:lpstr>'AGAD|0332-04'!PermFxdBen</vt:lpstr>
      <vt:lpstr>'AGAD|0332-08'!PermFxdBen</vt:lpstr>
      <vt:lpstr>'AGAE|0001-00'!PermFxdBen</vt:lpstr>
      <vt:lpstr>'AGAE|0330-12'!PermFxdBen</vt:lpstr>
      <vt:lpstr>'AGAE|0332-10'!PermFxdBen</vt:lpstr>
      <vt:lpstr>'AGAF|0001-00'!PermFxdBen</vt:lpstr>
      <vt:lpstr>'AGAF|0330-00'!PermFxdBen</vt:lpstr>
      <vt:lpstr>'AGAF|0490-00'!PermFxdBen</vt:lpstr>
      <vt:lpstr>'AGAH|0001-00'!PermFxdBen</vt:lpstr>
      <vt:lpstr>'AGAH|0332-03'!PermFxdBen</vt:lpstr>
      <vt:lpstr>'AGAL|0486-00'!PermFxdBen</vt:lpstr>
      <vt:lpstr>'AGAM|0348-00'!PermFxdBen</vt:lpstr>
      <vt:lpstr>'AGAM|0403-03'!PermFxdBen</vt:lpstr>
      <vt:lpstr>'AGAO|0330-00'!PermFxdBen</vt:lpstr>
      <vt:lpstr>'AGAO|0332-11'!PermFxdBen</vt:lpstr>
      <vt:lpstr>'AGAO|0332-12'!PermFxdBen</vt:lpstr>
      <vt:lpstr>'AGAO|0348-00'!PermFxdBen</vt:lpstr>
      <vt:lpstr>'AGAP|0348-00'!PermFxdBen</vt:lpstr>
      <vt:lpstr>'AGAP|0402-00'!PermFxdBen</vt:lpstr>
      <vt:lpstr>PermFxdBen</vt:lpstr>
      <vt:lpstr>'AGAA|0001-00'!PermFxdBenChg</vt:lpstr>
      <vt:lpstr>'AGAA|0125-01'!PermFxdBenChg</vt:lpstr>
      <vt:lpstr>'AGAA|0125-02'!PermFxdBenChg</vt:lpstr>
      <vt:lpstr>'AGAB|0001-00'!PermFxdBenChg</vt:lpstr>
      <vt:lpstr>'AGAB|0332-06'!PermFxdBenChg</vt:lpstr>
      <vt:lpstr>'AGAB|0332-07'!PermFxdBenChg</vt:lpstr>
      <vt:lpstr>'AGAB|0332-09'!PermFxdBenChg</vt:lpstr>
      <vt:lpstr>'AGAC|0001-00'!PermFxdBenChg</vt:lpstr>
      <vt:lpstr>'AGAC|0332-05'!PermFxdBenChg</vt:lpstr>
      <vt:lpstr>'AGAC|0348-00'!PermFxdBenChg</vt:lpstr>
      <vt:lpstr>'AGAD|0001-00'!PermFxdBenChg</vt:lpstr>
      <vt:lpstr>'AGAD|0330-00'!PermFxdBenChg</vt:lpstr>
      <vt:lpstr>'AGAD|0330-13'!PermFxdBenChg</vt:lpstr>
      <vt:lpstr>'AGAD|0332-04'!PermFxdBenChg</vt:lpstr>
      <vt:lpstr>'AGAD|0332-08'!PermFxdBenChg</vt:lpstr>
      <vt:lpstr>'AGAE|0001-00'!PermFxdBenChg</vt:lpstr>
      <vt:lpstr>'AGAE|0330-12'!PermFxdBenChg</vt:lpstr>
      <vt:lpstr>'AGAE|0332-10'!PermFxdBenChg</vt:lpstr>
      <vt:lpstr>'AGAF|0001-00'!PermFxdBenChg</vt:lpstr>
      <vt:lpstr>'AGAF|0330-00'!PermFxdBenChg</vt:lpstr>
      <vt:lpstr>'AGAF|0490-00'!PermFxdBenChg</vt:lpstr>
      <vt:lpstr>'AGAH|0001-00'!PermFxdBenChg</vt:lpstr>
      <vt:lpstr>'AGAH|0332-03'!PermFxdBenChg</vt:lpstr>
      <vt:lpstr>'AGAL|0486-00'!PermFxdBenChg</vt:lpstr>
      <vt:lpstr>'AGAM|0348-00'!PermFxdBenChg</vt:lpstr>
      <vt:lpstr>'AGAM|0403-03'!PermFxdBenChg</vt:lpstr>
      <vt:lpstr>'AGAO|0330-00'!PermFxdBenChg</vt:lpstr>
      <vt:lpstr>'AGAO|0332-11'!PermFxdBenChg</vt:lpstr>
      <vt:lpstr>'AGAO|0332-12'!PermFxdBenChg</vt:lpstr>
      <vt:lpstr>'AGAO|0348-00'!PermFxdBenChg</vt:lpstr>
      <vt:lpstr>'AGAP|0348-00'!PermFxdBenChg</vt:lpstr>
      <vt:lpstr>'AGAP|0402-00'!PermFxdBenChg</vt:lpstr>
      <vt:lpstr>PermFxdBenChg</vt:lpstr>
      <vt:lpstr>'AGAA|0001-00'!PermFxdChg</vt:lpstr>
      <vt:lpstr>'AGAA|0125-01'!PermFxdChg</vt:lpstr>
      <vt:lpstr>'AGAA|0125-02'!PermFxdChg</vt:lpstr>
      <vt:lpstr>'AGAB|0001-00'!PermFxdChg</vt:lpstr>
      <vt:lpstr>'AGAB|0332-06'!PermFxdChg</vt:lpstr>
      <vt:lpstr>'AGAB|0332-07'!PermFxdChg</vt:lpstr>
      <vt:lpstr>'AGAB|0332-09'!PermFxdChg</vt:lpstr>
      <vt:lpstr>'AGAC|0001-00'!PermFxdChg</vt:lpstr>
      <vt:lpstr>'AGAC|0332-05'!PermFxdChg</vt:lpstr>
      <vt:lpstr>'AGAC|0348-00'!PermFxdChg</vt:lpstr>
      <vt:lpstr>'AGAD|0001-00'!PermFxdChg</vt:lpstr>
      <vt:lpstr>'AGAD|0330-00'!PermFxdChg</vt:lpstr>
      <vt:lpstr>'AGAD|0330-13'!PermFxdChg</vt:lpstr>
      <vt:lpstr>'AGAD|0332-04'!PermFxdChg</vt:lpstr>
      <vt:lpstr>'AGAD|0332-08'!PermFxdChg</vt:lpstr>
      <vt:lpstr>'AGAE|0001-00'!PermFxdChg</vt:lpstr>
      <vt:lpstr>'AGAE|0330-12'!PermFxdChg</vt:lpstr>
      <vt:lpstr>'AGAE|0332-10'!PermFxdChg</vt:lpstr>
      <vt:lpstr>'AGAF|0001-00'!PermFxdChg</vt:lpstr>
      <vt:lpstr>'AGAF|0330-00'!PermFxdChg</vt:lpstr>
      <vt:lpstr>'AGAF|0490-00'!PermFxdChg</vt:lpstr>
      <vt:lpstr>'AGAH|0001-00'!PermFxdChg</vt:lpstr>
      <vt:lpstr>'AGAH|0332-03'!PermFxdChg</vt:lpstr>
      <vt:lpstr>'AGAL|0486-00'!PermFxdChg</vt:lpstr>
      <vt:lpstr>'AGAM|0348-00'!PermFxdChg</vt:lpstr>
      <vt:lpstr>'AGAM|0403-03'!PermFxdChg</vt:lpstr>
      <vt:lpstr>'AGAO|0330-00'!PermFxdChg</vt:lpstr>
      <vt:lpstr>'AGAO|0332-11'!PermFxdChg</vt:lpstr>
      <vt:lpstr>'AGAO|0332-12'!PermFxdChg</vt:lpstr>
      <vt:lpstr>'AGAO|0348-00'!PermFxdChg</vt:lpstr>
      <vt:lpstr>'AGAP|0348-00'!PermFxdChg</vt:lpstr>
      <vt:lpstr>'AGAP|0402-00'!PermFxdChg</vt:lpstr>
      <vt:lpstr>PermFxdChg</vt:lpstr>
      <vt:lpstr>'AGAA|0001-00'!PermSalary</vt:lpstr>
      <vt:lpstr>'AGAA|0125-01'!PermSalary</vt:lpstr>
      <vt:lpstr>'AGAA|0125-02'!PermSalary</vt:lpstr>
      <vt:lpstr>'AGAB|0001-00'!PermSalary</vt:lpstr>
      <vt:lpstr>'AGAB|0332-06'!PermSalary</vt:lpstr>
      <vt:lpstr>'AGAB|0332-07'!PermSalary</vt:lpstr>
      <vt:lpstr>'AGAB|0332-09'!PermSalary</vt:lpstr>
      <vt:lpstr>'AGAC|0001-00'!PermSalary</vt:lpstr>
      <vt:lpstr>'AGAC|0332-05'!PermSalary</vt:lpstr>
      <vt:lpstr>'AGAC|0348-00'!PermSalary</vt:lpstr>
      <vt:lpstr>'AGAD|0001-00'!PermSalary</vt:lpstr>
      <vt:lpstr>'AGAD|0330-00'!PermSalary</vt:lpstr>
      <vt:lpstr>'AGAD|0330-13'!PermSalary</vt:lpstr>
      <vt:lpstr>'AGAD|0332-04'!PermSalary</vt:lpstr>
      <vt:lpstr>'AGAD|0332-08'!PermSalary</vt:lpstr>
      <vt:lpstr>'AGAE|0001-00'!PermSalary</vt:lpstr>
      <vt:lpstr>'AGAE|0330-12'!PermSalary</vt:lpstr>
      <vt:lpstr>'AGAE|0332-10'!PermSalary</vt:lpstr>
      <vt:lpstr>'AGAF|0001-00'!PermSalary</vt:lpstr>
      <vt:lpstr>'AGAF|0330-00'!PermSalary</vt:lpstr>
      <vt:lpstr>'AGAF|0490-00'!PermSalary</vt:lpstr>
      <vt:lpstr>'AGAH|0001-00'!PermSalary</vt:lpstr>
      <vt:lpstr>'AGAH|0332-03'!PermSalary</vt:lpstr>
      <vt:lpstr>'AGAL|0486-00'!PermSalary</vt:lpstr>
      <vt:lpstr>'AGAM|0348-00'!PermSalary</vt:lpstr>
      <vt:lpstr>'AGAM|0403-03'!PermSalary</vt:lpstr>
      <vt:lpstr>'AGAO|0330-00'!PermSalary</vt:lpstr>
      <vt:lpstr>'AGAO|0332-11'!PermSalary</vt:lpstr>
      <vt:lpstr>'AGAO|0332-12'!PermSalary</vt:lpstr>
      <vt:lpstr>'AGAO|0348-00'!PermSalary</vt:lpstr>
      <vt:lpstr>'AGAP|0348-00'!PermSalary</vt:lpstr>
      <vt:lpstr>'AGAP|0402-00'!PermSalary</vt:lpstr>
      <vt:lpstr>PermSalary</vt:lpstr>
      <vt:lpstr>'AGAA|0001-00'!PermVarBen</vt:lpstr>
      <vt:lpstr>'AGAA|0125-01'!PermVarBen</vt:lpstr>
      <vt:lpstr>'AGAA|0125-02'!PermVarBen</vt:lpstr>
      <vt:lpstr>'AGAB|0001-00'!PermVarBen</vt:lpstr>
      <vt:lpstr>'AGAB|0332-06'!PermVarBen</vt:lpstr>
      <vt:lpstr>'AGAB|0332-07'!PermVarBen</vt:lpstr>
      <vt:lpstr>'AGAB|0332-09'!PermVarBen</vt:lpstr>
      <vt:lpstr>'AGAC|0001-00'!PermVarBen</vt:lpstr>
      <vt:lpstr>'AGAC|0332-05'!PermVarBen</vt:lpstr>
      <vt:lpstr>'AGAC|0348-00'!PermVarBen</vt:lpstr>
      <vt:lpstr>'AGAD|0001-00'!PermVarBen</vt:lpstr>
      <vt:lpstr>'AGAD|0330-00'!PermVarBen</vt:lpstr>
      <vt:lpstr>'AGAD|0330-13'!PermVarBen</vt:lpstr>
      <vt:lpstr>'AGAD|0332-04'!PermVarBen</vt:lpstr>
      <vt:lpstr>'AGAD|0332-08'!PermVarBen</vt:lpstr>
      <vt:lpstr>'AGAE|0001-00'!PermVarBen</vt:lpstr>
      <vt:lpstr>'AGAE|0330-12'!PermVarBen</vt:lpstr>
      <vt:lpstr>'AGAE|0332-10'!PermVarBen</vt:lpstr>
      <vt:lpstr>'AGAF|0001-00'!PermVarBen</vt:lpstr>
      <vt:lpstr>'AGAF|0330-00'!PermVarBen</vt:lpstr>
      <vt:lpstr>'AGAF|0490-00'!PermVarBen</vt:lpstr>
      <vt:lpstr>'AGAH|0001-00'!PermVarBen</vt:lpstr>
      <vt:lpstr>'AGAH|0332-03'!PermVarBen</vt:lpstr>
      <vt:lpstr>'AGAL|0486-00'!PermVarBen</vt:lpstr>
      <vt:lpstr>'AGAM|0348-00'!PermVarBen</vt:lpstr>
      <vt:lpstr>'AGAM|0403-03'!PermVarBen</vt:lpstr>
      <vt:lpstr>'AGAO|0330-00'!PermVarBen</vt:lpstr>
      <vt:lpstr>'AGAO|0332-11'!PermVarBen</vt:lpstr>
      <vt:lpstr>'AGAO|0332-12'!PermVarBen</vt:lpstr>
      <vt:lpstr>'AGAO|0348-00'!PermVarBen</vt:lpstr>
      <vt:lpstr>'AGAP|0348-00'!PermVarBen</vt:lpstr>
      <vt:lpstr>'AGAP|0402-00'!PermVarBen</vt:lpstr>
      <vt:lpstr>PermVarBen</vt:lpstr>
      <vt:lpstr>'AGAA|0001-00'!PermVarBenChg</vt:lpstr>
      <vt:lpstr>'AGAA|0125-01'!PermVarBenChg</vt:lpstr>
      <vt:lpstr>'AGAA|0125-02'!PermVarBenChg</vt:lpstr>
      <vt:lpstr>'AGAB|0001-00'!PermVarBenChg</vt:lpstr>
      <vt:lpstr>'AGAB|0332-06'!PermVarBenChg</vt:lpstr>
      <vt:lpstr>'AGAB|0332-07'!PermVarBenChg</vt:lpstr>
      <vt:lpstr>'AGAB|0332-09'!PermVarBenChg</vt:lpstr>
      <vt:lpstr>'AGAC|0001-00'!PermVarBenChg</vt:lpstr>
      <vt:lpstr>'AGAC|0332-05'!PermVarBenChg</vt:lpstr>
      <vt:lpstr>'AGAC|0348-00'!PermVarBenChg</vt:lpstr>
      <vt:lpstr>'AGAD|0001-00'!PermVarBenChg</vt:lpstr>
      <vt:lpstr>'AGAD|0330-00'!PermVarBenChg</vt:lpstr>
      <vt:lpstr>'AGAD|0330-13'!PermVarBenChg</vt:lpstr>
      <vt:lpstr>'AGAD|0332-04'!PermVarBenChg</vt:lpstr>
      <vt:lpstr>'AGAD|0332-08'!PermVarBenChg</vt:lpstr>
      <vt:lpstr>'AGAE|0001-00'!PermVarBenChg</vt:lpstr>
      <vt:lpstr>'AGAE|0330-12'!PermVarBenChg</vt:lpstr>
      <vt:lpstr>'AGAE|0332-10'!PermVarBenChg</vt:lpstr>
      <vt:lpstr>'AGAF|0001-00'!PermVarBenChg</vt:lpstr>
      <vt:lpstr>'AGAF|0330-00'!PermVarBenChg</vt:lpstr>
      <vt:lpstr>'AGAF|0490-00'!PermVarBenChg</vt:lpstr>
      <vt:lpstr>'AGAH|0001-00'!PermVarBenChg</vt:lpstr>
      <vt:lpstr>'AGAH|0332-03'!PermVarBenChg</vt:lpstr>
      <vt:lpstr>'AGAL|0486-00'!PermVarBenChg</vt:lpstr>
      <vt:lpstr>'AGAM|0348-00'!PermVarBenChg</vt:lpstr>
      <vt:lpstr>'AGAM|0403-03'!PermVarBenChg</vt:lpstr>
      <vt:lpstr>'AGAO|0330-00'!PermVarBenChg</vt:lpstr>
      <vt:lpstr>'AGAO|0332-11'!PermVarBenChg</vt:lpstr>
      <vt:lpstr>'AGAO|0332-12'!PermVarBenChg</vt:lpstr>
      <vt:lpstr>'AGAO|0348-00'!PermVarBenChg</vt:lpstr>
      <vt:lpstr>'AGAP|0348-00'!PermVarBenChg</vt:lpstr>
      <vt:lpstr>'AGAP|0402-00'!PermVarBenChg</vt:lpstr>
      <vt:lpstr>PermVarBenChg</vt:lpstr>
      <vt:lpstr>PermVB</vt:lpstr>
      <vt:lpstr>PermVBBY</vt:lpstr>
      <vt:lpstr>PermVBCHG</vt:lpstr>
      <vt:lpstr>'AGAA|0001-00'!Print_Area</vt:lpstr>
      <vt:lpstr>'AGAA|0125-01'!Print_Area</vt:lpstr>
      <vt:lpstr>'AGAA|0125-02'!Print_Area</vt:lpstr>
      <vt:lpstr>'AGAB|0001-00'!Print_Area</vt:lpstr>
      <vt:lpstr>'AGAB|0332-06'!Print_Area</vt:lpstr>
      <vt:lpstr>'AGAB|0332-07'!Print_Area</vt:lpstr>
      <vt:lpstr>'AGAB|0332-09'!Print_Area</vt:lpstr>
      <vt:lpstr>'AGAC|0001-00'!Print_Area</vt:lpstr>
      <vt:lpstr>'AGAC|0332-05'!Print_Area</vt:lpstr>
      <vt:lpstr>'AGAC|0348-00'!Print_Area</vt:lpstr>
      <vt:lpstr>'AGAD|0001-00'!Print_Area</vt:lpstr>
      <vt:lpstr>'AGAD|0330-00'!Print_Area</vt:lpstr>
      <vt:lpstr>'AGAD|0330-13'!Print_Area</vt:lpstr>
      <vt:lpstr>'AGAD|0332-04'!Print_Area</vt:lpstr>
      <vt:lpstr>'AGAD|0332-08'!Print_Area</vt:lpstr>
      <vt:lpstr>'AGAE|0001-00'!Print_Area</vt:lpstr>
      <vt:lpstr>'AGAE|0330-12'!Print_Area</vt:lpstr>
      <vt:lpstr>'AGAE|0332-10'!Print_Area</vt:lpstr>
      <vt:lpstr>'AGAF|0001-00'!Print_Area</vt:lpstr>
      <vt:lpstr>'AGAF|0330-00'!Print_Area</vt:lpstr>
      <vt:lpstr>'AGAF|0490-00'!Print_Area</vt:lpstr>
      <vt:lpstr>'AGAH|0001-00'!Print_Area</vt:lpstr>
      <vt:lpstr>'AGAH|0332-03'!Print_Area</vt:lpstr>
      <vt:lpstr>'AGAL|0486-00'!Print_Area</vt:lpstr>
      <vt:lpstr>'AGAM|0348-00'!Print_Area</vt:lpstr>
      <vt:lpstr>'AGAM|0403-03'!Print_Area</vt:lpstr>
      <vt:lpstr>'AGAO|0330-00'!Print_Area</vt:lpstr>
      <vt:lpstr>'AGAO|0332-11'!Print_Area</vt:lpstr>
      <vt:lpstr>'AGAO|0332-12'!Print_Area</vt:lpstr>
      <vt:lpstr>'AGAO|0348-00'!Print_Area</vt:lpstr>
      <vt:lpstr>'AGAP|0348-00'!Print_Area</vt:lpstr>
      <vt:lpstr>'AGAP|0402-00'!Print_Area</vt:lpstr>
      <vt:lpstr>'B6'!Print_Area</vt:lpstr>
      <vt:lpstr>Benefits!Print_Area</vt:lpstr>
      <vt:lpstr>'AGAA|0001-00'!Prog_Unadjusted_Total</vt:lpstr>
      <vt:lpstr>'AGAA|0125-01'!Prog_Unadjusted_Total</vt:lpstr>
      <vt:lpstr>'AGAA|0125-02'!Prog_Unadjusted_Total</vt:lpstr>
      <vt:lpstr>'AGAB|0001-00'!Prog_Unadjusted_Total</vt:lpstr>
      <vt:lpstr>'AGAB|0332-06'!Prog_Unadjusted_Total</vt:lpstr>
      <vt:lpstr>'AGAB|0332-07'!Prog_Unadjusted_Total</vt:lpstr>
      <vt:lpstr>'AGAB|0332-09'!Prog_Unadjusted_Total</vt:lpstr>
      <vt:lpstr>'AGAC|0001-00'!Prog_Unadjusted_Total</vt:lpstr>
      <vt:lpstr>'AGAC|0332-05'!Prog_Unadjusted_Total</vt:lpstr>
      <vt:lpstr>'AGAC|0348-00'!Prog_Unadjusted_Total</vt:lpstr>
      <vt:lpstr>'AGAD|0001-00'!Prog_Unadjusted_Total</vt:lpstr>
      <vt:lpstr>'AGAD|0330-00'!Prog_Unadjusted_Total</vt:lpstr>
      <vt:lpstr>'AGAD|0330-13'!Prog_Unadjusted_Total</vt:lpstr>
      <vt:lpstr>'AGAD|0332-04'!Prog_Unadjusted_Total</vt:lpstr>
      <vt:lpstr>'AGAD|0332-08'!Prog_Unadjusted_Total</vt:lpstr>
      <vt:lpstr>'AGAE|0001-00'!Prog_Unadjusted_Total</vt:lpstr>
      <vt:lpstr>'AGAE|0330-12'!Prog_Unadjusted_Total</vt:lpstr>
      <vt:lpstr>'AGAE|0332-10'!Prog_Unadjusted_Total</vt:lpstr>
      <vt:lpstr>'AGAF|0001-00'!Prog_Unadjusted_Total</vt:lpstr>
      <vt:lpstr>'AGAF|0330-00'!Prog_Unadjusted_Total</vt:lpstr>
      <vt:lpstr>'AGAF|0490-00'!Prog_Unadjusted_Total</vt:lpstr>
      <vt:lpstr>'AGAH|0001-00'!Prog_Unadjusted_Total</vt:lpstr>
      <vt:lpstr>'AGAH|0332-03'!Prog_Unadjusted_Total</vt:lpstr>
      <vt:lpstr>'AGAL|0486-00'!Prog_Unadjusted_Total</vt:lpstr>
      <vt:lpstr>'AGAM|0348-00'!Prog_Unadjusted_Total</vt:lpstr>
      <vt:lpstr>'AGAM|0403-03'!Prog_Unadjusted_Total</vt:lpstr>
      <vt:lpstr>'AGAO|0330-00'!Prog_Unadjusted_Total</vt:lpstr>
      <vt:lpstr>'AGAO|0332-11'!Prog_Unadjusted_Total</vt:lpstr>
      <vt:lpstr>'AGAO|0332-12'!Prog_Unadjusted_Total</vt:lpstr>
      <vt:lpstr>'AGAO|0348-00'!Prog_Unadjusted_Total</vt:lpstr>
      <vt:lpstr>'AGAP|0348-00'!Prog_Unadjusted_Total</vt:lpstr>
      <vt:lpstr>'AGAP|0402-00'!Prog_Unadjusted_Total</vt:lpstr>
      <vt:lpstr>Prog_Unadjusted_Total</vt:lpstr>
      <vt:lpstr>'AGAA|0001-00'!Program</vt:lpstr>
      <vt:lpstr>'AGAA|0125-01'!Program</vt:lpstr>
      <vt:lpstr>'AGAA|0125-02'!Program</vt:lpstr>
      <vt:lpstr>'AGAB|0001-00'!Program</vt:lpstr>
      <vt:lpstr>'AGAB|0332-06'!Program</vt:lpstr>
      <vt:lpstr>'AGAB|0332-07'!Program</vt:lpstr>
      <vt:lpstr>'AGAB|0332-09'!Program</vt:lpstr>
      <vt:lpstr>'AGAC|0001-00'!Program</vt:lpstr>
      <vt:lpstr>'AGAC|0332-05'!Program</vt:lpstr>
      <vt:lpstr>'AGAC|0348-00'!Program</vt:lpstr>
      <vt:lpstr>'AGAD|0001-00'!Program</vt:lpstr>
      <vt:lpstr>'AGAD|0330-00'!Program</vt:lpstr>
      <vt:lpstr>'AGAD|0330-13'!Program</vt:lpstr>
      <vt:lpstr>'AGAD|0332-04'!Program</vt:lpstr>
      <vt:lpstr>'AGAD|0332-08'!Program</vt:lpstr>
      <vt:lpstr>'AGAE|0001-00'!Program</vt:lpstr>
      <vt:lpstr>'AGAE|0330-12'!Program</vt:lpstr>
      <vt:lpstr>'AGAE|0332-10'!Program</vt:lpstr>
      <vt:lpstr>'AGAF|0001-00'!Program</vt:lpstr>
      <vt:lpstr>'AGAF|0330-00'!Program</vt:lpstr>
      <vt:lpstr>'AGAF|0490-00'!Program</vt:lpstr>
      <vt:lpstr>'AGAH|0001-00'!Program</vt:lpstr>
      <vt:lpstr>'AGAH|0332-03'!Program</vt:lpstr>
      <vt:lpstr>'AGAL|0486-00'!Program</vt:lpstr>
      <vt:lpstr>'AGAM|0348-00'!Program</vt:lpstr>
      <vt:lpstr>'AGAM|0403-03'!Program</vt:lpstr>
      <vt:lpstr>'AGAO|0330-00'!Program</vt:lpstr>
      <vt:lpstr>'AGAO|0332-11'!Program</vt:lpstr>
      <vt:lpstr>'AGAO|0332-12'!Program</vt:lpstr>
      <vt:lpstr>'AGAO|0348-00'!Program</vt:lpstr>
      <vt:lpstr>'AGAP|0348-00'!Program</vt:lpstr>
      <vt:lpstr>'AGAP|0402-00'!Program</vt:lpstr>
      <vt:lpstr>Program</vt:lpstr>
      <vt:lpstr>PTHealth</vt:lpstr>
      <vt:lpstr>PTHealthBY</vt:lpstr>
      <vt:lpstr>PTHealthChg</vt:lpstr>
      <vt:lpstr>Retire1</vt:lpstr>
      <vt:lpstr>Retire1BY</vt:lpstr>
      <vt:lpstr>Retire1CHG</vt:lpstr>
      <vt:lpstr>Retire2</vt:lpstr>
      <vt:lpstr>Retire2BY</vt:lpstr>
      <vt:lpstr>Retire2CHG</vt:lpstr>
      <vt:lpstr>Retire4</vt:lpstr>
      <vt:lpstr>Retire4BY</vt:lpstr>
      <vt:lpstr>Retire4CHG</vt:lpstr>
      <vt:lpstr>Retire5</vt:lpstr>
      <vt:lpstr>Retire5BY</vt:lpstr>
      <vt:lpstr>Retire5CHG</vt:lpstr>
      <vt:lpstr>Retire6</vt:lpstr>
      <vt:lpstr>Retire6BY</vt:lpstr>
      <vt:lpstr>Retire6CHG</vt:lpstr>
      <vt:lpstr>Retire7</vt:lpstr>
      <vt:lpstr>Retire7BY</vt:lpstr>
      <vt:lpstr>Retire7CHG</vt:lpstr>
      <vt:lpstr>Retire8</vt:lpstr>
      <vt:lpstr>Retire8BY</vt:lpstr>
      <vt:lpstr>Retire8CHG</vt:lpstr>
      <vt:lpstr>Retirement_Rates</vt:lpstr>
      <vt:lpstr>'AGAA|0001-00'!RoundedAppropSalary</vt:lpstr>
      <vt:lpstr>'AGAA|0125-01'!RoundedAppropSalary</vt:lpstr>
      <vt:lpstr>'AGAA|0125-02'!RoundedAppropSalary</vt:lpstr>
      <vt:lpstr>'AGAB|0001-00'!RoundedAppropSalary</vt:lpstr>
      <vt:lpstr>'AGAB|0332-06'!RoundedAppropSalary</vt:lpstr>
      <vt:lpstr>'AGAB|0332-07'!RoundedAppropSalary</vt:lpstr>
      <vt:lpstr>'AGAB|0332-09'!RoundedAppropSalary</vt:lpstr>
      <vt:lpstr>'AGAC|0001-00'!RoundedAppropSalary</vt:lpstr>
      <vt:lpstr>'AGAC|0332-05'!RoundedAppropSalary</vt:lpstr>
      <vt:lpstr>'AGAC|0348-00'!RoundedAppropSalary</vt:lpstr>
      <vt:lpstr>'AGAD|0001-00'!RoundedAppropSalary</vt:lpstr>
      <vt:lpstr>'AGAD|0330-00'!RoundedAppropSalary</vt:lpstr>
      <vt:lpstr>'AGAD|0330-13'!RoundedAppropSalary</vt:lpstr>
      <vt:lpstr>'AGAD|0332-04'!RoundedAppropSalary</vt:lpstr>
      <vt:lpstr>'AGAD|0332-08'!RoundedAppropSalary</vt:lpstr>
      <vt:lpstr>'AGAE|0001-00'!RoundedAppropSalary</vt:lpstr>
      <vt:lpstr>'AGAE|0330-12'!RoundedAppropSalary</vt:lpstr>
      <vt:lpstr>'AGAE|0332-10'!RoundedAppropSalary</vt:lpstr>
      <vt:lpstr>'AGAF|0001-00'!RoundedAppropSalary</vt:lpstr>
      <vt:lpstr>'AGAF|0330-00'!RoundedAppropSalary</vt:lpstr>
      <vt:lpstr>'AGAF|0490-00'!RoundedAppropSalary</vt:lpstr>
      <vt:lpstr>'AGAH|0001-00'!RoundedAppropSalary</vt:lpstr>
      <vt:lpstr>'AGAH|0332-03'!RoundedAppropSalary</vt:lpstr>
      <vt:lpstr>'AGAL|0486-00'!RoundedAppropSalary</vt:lpstr>
      <vt:lpstr>'AGAM|0348-00'!RoundedAppropSalary</vt:lpstr>
      <vt:lpstr>'AGAM|0403-03'!RoundedAppropSalary</vt:lpstr>
      <vt:lpstr>'AGAO|0330-00'!RoundedAppropSalary</vt:lpstr>
      <vt:lpstr>'AGAO|0332-11'!RoundedAppropSalary</vt:lpstr>
      <vt:lpstr>'AGAO|0332-12'!RoundedAppropSalary</vt:lpstr>
      <vt:lpstr>'AGAO|0348-00'!RoundedAppropSalary</vt:lpstr>
      <vt:lpstr>'AGAP|0348-00'!RoundedAppropSalary</vt:lpstr>
      <vt:lpstr>'AGAP|0402-00'!RoundedAppropSalary</vt:lpstr>
      <vt:lpstr>RoundedAppropSalary</vt:lpstr>
      <vt:lpstr>'AGAA|0001-00'!SalaryChg</vt:lpstr>
      <vt:lpstr>'AGAA|0125-01'!SalaryChg</vt:lpstr>
      <vt:lpstr>'AGAA|0125-02'!SalaryChg</vt:lpstr>
      <vt:lpstr>'AGAB|0001-00'!SalaryChg</vt:lpstr>
      <vt:lpstr>'AGAB|0332-06'!SalaryChg</vt:lpstr>
      <vt:lpstr>'AGAB|0332-07'!SalaryChg</vt:lpstr>
      <vt:lpstr>'AGAB|0332-09'!SalaryChg</vt:lpstr>
      <vt:lpstr>'AGAC|0001-00'!SalaryChg</vt:lpstr>
      <vt:lpstr>'AGAC|0332-05'!SalaryChg</vt:lpstr>
      <vt:lpstr>'AGAC|0348-00'!SalaryChg</vt:lpstr>
      <vt:lpstr>'AGAD|0001-00'!SalaryChg</vt:lpstr>
      <vt:lpstr>'AGAD|0330-00'!SalaryChg</vt:lpstr>
      <vt:lpstr>'AGAD|0330-13'!SalaryChg</vt:lpstr>
      <vt:lpstr>'AGAD|0332-04'!SalaryChg</vt:lpstr>
      <vt:lpstr>'AGAD|0332-08'!SalaryChg</vt:lpstr>
      <vt:lpstr>'AGAE|0001-00'!SalaryChg</vt:lpstr>
      <vt:lpstr>'AGAE|0330-12'!SalaryChg</vt:lpstr>
      <vt:lpstr>'AGAE|0332-10'!SalaryChg</vt:lpstr>
      <vt:lpstr>'AGAF|0001-00'!SalaryChg</vt:lpstr>
      <vt:lpstr>'AGAF|0330-00'!SalaryChg</vt:lpstr>
      <vt:lpstr>'AGAF|0490-00'!SalaryChg</vt:lpstr>
      <vt:lpstr>'AGAH|0001-00'!SalaryChg</vt:lpstr>
      <vt:lpstr>'AGAH|0332-03'!SalaryChg</vt:lpstr>
      <vt:lpstr>'AGAL|0486-00'!SalaryChg</vt:lpstr>
      <vt:lpstr>'AGAM|0348-00'!SalaryChg</vt:lpstr>
      <vt:lpstr>'AGAM|0403-03'!SalaryChg</vt:lpstr>
      <vt:lpstr>'AGAO|0330-00'!SalaryChg</vt:lpstr>
      <vt:lpstr>'AGAO|0332-11'!SalaryChg</vt:lpstr>
      <vt:lpstr>'AGAO|0332-12'!SalaryChg</vt:lpstr>
      <vt:lpstr>'AGAO|0348-00'!SalaryChg</vt:lpstr>
      <vt:lpstr>'AGAP|0348-00'!SalaryChg</vt:lpstr>
      <vt:lpstr>'AGAP|0402-00'!SalaryChg</vt:lpstr>
      <vt:lpstr>SalaryChg</vt:lpstr>
      <vt:lpstr>Sick</vt:lpstr>
      <vt:lpstr>SickBY</vt:lpstr>
      <vt:lpstr>SickCHG</vt:lpstr>
      <vt:lpstr>SSDI</vt:lpstr>
      <vt:lpstr>SSDIBY</vt:lpstr>
      <vt:lpstr>SSDICHG</vt:lpstr>
      <vt:lpstr>SSHI</vt:lpstr>
      <vt:lpstr>SSHIBY</vt:lpstr>
      <vt:lpstr>SSHICHG</vt:lpstr>
      <vt:lpstr>UI</vt:lpstr>
      <vt:lpstr>UIBY</vt:lpstr>
      <vt:lpstr>UICHG</vt:lpstr>
      <vt:lpstr>WC</vt:lpstr>
      <vt:lpstr>WCBY</vt:lpstr>
      <vt:lpstr>WCCHG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Agency 215 B6</dc:title>
  <dc:subject>B6</dc:subject>
  <dc:creator>Shane Winslow</dc:creator>
  <cp:lastModifiedBy>Shane Winslow</cp:lastModifiedBy>
  <cp:lastPrinted>2019-06-21T15:46:35Z</cp:lastPrinted>
  <dcterms:created xsi:type="dcterms:W3CDTF">2013-05-01T19:55:41Z</dcterms:created>
  <dcterms:modified xsi:type="dcterms:W3CDTF">2021-07-14T20:28:25Z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980daa53-e238-4358-81e3-d1b7452f1532</vt:lpwstr>
  </property>
</Properties>
</file>